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xml"/>
  <Override PartName="/xl/comments1.xml" ContentType="application/vnd.openxmlformats-officedocument.spreadsheetml.comments+xml"/>
  <Override PartName="/xl/charts/chart4.xml" ContentType="application/vnd.openxmlformats-officedocument.drawingml.chart+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22605" yWindow="165" windowWidth="21690" windowHeight="8400" tabRatio="805" firstSheet="1" activeTab="1"/>
  </bookViews>
  <sheets>
    <sheet name="runsiblings" sheetId="1" state="hidden" r:id="rId1"/>
    <sheet name="Master" sheetId="13" r:id="rId2"/>
    <sheet name="old forecasts" sheetId="9" state="hidden" r:id="rId3"/>
    <sheet name="siblings correlation" sheetId="12" state="hidden" r:id="rId4"/>
  </sheets>
  <externalReferences>
    <externalReference r:id="rId5"/>
    <externalReference r:id="rId6"/>
    <externalReference r:id="rId7"/>
    <externalReference r:id="rId8"/>
  </externalReferences>
  <definedNames>
    <definedName name="broodtable">'[1]Willow RPS wild'!$AF$45:$AJ$67</definedName>
    <definedName name="deshkaplots">[2]eastdata!$BE$8:$BN$55</definedName>
    <definedName name="esc">#REF!</definedName>
    <definedName name="Exploitation">'[1]Willow RPS wild'!$J$47:$J$79</definedName>
    <definedName name="hi">#REF!</definedName>
    <definedName name="LittleSU34">'[3]S-R analysis age 3 and 4.'!$A$6:$I$46</definedName>
    <definedName name="LittleSU5050">'[3]S-R analysis 50 50 '!$A$6:$I$58</definedName>
    <definedName name="low">#REF!</definedName>
    <definedName name="LS34data">'[3]S-R analysis age 3 and 4.'!$A$6:$I$44</definedName>
    <definedName name="LS34SRgraph">'[3]S-R analysis age 3 and 4.'!$K$5:$T$25</definedName>
    <definedName name="LS4data">'[3]S-R analysis age 4 only return'!$A$6:$K$43</definedName>
    <definedName name="LS4SRgraph">'[3]S-R analysis age 4 only return'!$L$5:$U$25</definedName>
    <definedName name="LSBroodtables">'[3]Harvest and Total Run'!$AJ$7:$BH$29</definedName>
    <definedName name="LScohoEscapement">'[3]Escapement Data'!$A$6:$V$42</definedName>
    <definedName name="max_1">#REF!</definedName>
    <definedName name="max_2">#REF!</definedName>
    <definedName name="max_3">#REF!</definedName>
    <definedName name="mid">#REF!</definedName>
    <definedName name="min_1">#REF!</definedName>
    <definedName name="min_2">#REF!</definedName>
    <definedName name="min_3">#REF!</definedName>
    <definedName name="_xlnm.Print_Area" localSheetId="1">Master!$BR$12:$BY$78</definedName>
    <definedName name="_xlnm.Print_Area" localSheetId="2">'old forecasts'!$C$155:$I$186</definedName>
    <definedName name="rps">'[4]T8-brood table'!$L$13,'[4]T8-brood table'!$L$16,'[4]T8-brood table'!$L$19,'[4]T8-brood table'!$L$22,'[4]T8-brood table'!$L$25,'[4]T8-brood table'!$L$28,'[4]T8-brood table'!$L$31,'[4]T8-brood table'!$L$34,'[4]T8-brood table'!$L$37,'[4]T8-brood table'!$L$40,'[4]T8-brood table'!$L$43</definedName>
    <definedName name="summarymodels">'[3]S-R model summary'!$A$6:$S$39</definedName>
    <definedName name="Table.24">'[3]Harvest and Total Run'!$AT$7:$BA$38</definedName>
    <definedName name="Table.28">'[3]Harvest and Total Run'!$AT$53:$BA$83</definedName>
    <definedName name="Table.32">'[3]Harvest and Total Run'!$AT$97:$BA$127</definedName>
    <definedName name="Table_1.">'[3]Escapement Data'!$A$6:$V$43</definedName>
    <definedName name="Table_2.">'[3]Harvest and Total Run'!$A$6:$AG$44</definedName>
    <definedName name="Table_23">'[3]Harvest and Total Run'!$AJ$7:$AR$34</definedName>
    <definedName name="Table_25.">'[3]Harvest and Total Run'!$BB$7:$BH$38</definedName>
    <definedName name="Table_26.">'[3]Harvest and Total Run'!$A$52:$AG$94</definedName>
    <definedName name="Table_27">'[3]Harvest and Total Run'!$AJ$53:$AR$83</definedName>
    <definedName name="Table_29.">'[3]Harvest and Total Run'!$BB$53:$BI$83</definedName>
    <definedName name="Table_30.">'[3]Harvest and Total Run'!$A$96:$AG$135</definedName>
    <definedName name="Table_31.">'[3]Harvest and Total Run'!$AJ$97:$AR$128</definedName>
    <definedName name="Table_33.">'[3]Harvest and Total Run'!$BB$97:$BI$127</definedName>
    <definedName name="table22">'[3]Harvest and Total Run'!$A$6:$AG$44</definedName>
  </definedNames>
  <calcPr calcId="145621"/>
</workbook>
</file>

<file path=xl/calcChain.xml><?xml version="1.0" encoding="utf-8"?>
<calcChain xmlns="http://schemas.openxmlformats.org/spreadsheetml/2006/main">
  <c r="B24" i="13" l="1"/>
  <c r="B69" i="13" s="1"/>
  <c r="B70" i="13" s="1"/>
  <c r="B65" i="13"/>
  <c r="AU65" i="13"/>
  <c r="AU66" i="13"/>
  <c r="AU70" i="13" s="1"/>
  <c r="T67" i="13"/>
  <c r="U67" i="13"/>
  <c r="V67" i="13"/>
  <c r="X67" i="13"/>
  <c r="AU67" i="13"/>
  <c r="B68" i="13"/>
  <c r="T68" i="13"/>
  <c r="U68" i="13"/>
  <c r="V68" i="13"/>
  <c r="W68" i="13"/>
  <c r="X68" i="13"/>
  <c r="X34" i="13" s="1"/>
  <c r="AR72" i="13"/>
  <c r="AW59" i="13" l="1"/>
  <c r="AT61" i="13"/>
  <c r="AW61" i="13" s="1"/>
  <c r="BS60" i="13"/>
  <c r="BG61" i="13"/>
  <c r="AM61" i="13"/>
  <c r="AN61" i="13"/>
  <c r="AO61" i="13"/>
  <c r="AP61" i="13"/>
  <c r="AQ61" i="13"/>
  <c r="N60" i="13"/>
  <c r="AF60" i="13" s="1"/>
  <c r="BH61" i="13"/>
  <c r="Y61" i="13"/>
  <c r="N61" i="13"/>
  <c r="AB61" i="13" s="1"/>
  <c r="M61" i="13"/>
  <c r="L61" i="13"/>
  <c r="N59" i="13"/>
  <c r="AE59" i="13" s="1"/>
  <c r="AQ60" i="13"/>
  <c r="AP60" i="13"/>
  <c r="AO60" i="13"/>
  <c r="AN60" i="13"/>
  <c r="AM60" i="13"/>
  <c r="BH60" i="13"/>
  <c r="Y60" i="13"/>
  <c r="Y59" i="13"/>
  <c r="BG60" i="13"/>
  <c r="M60" i="13"/>
  <c r="L60" i="13"/>
  <c r="AV60" i="13"/>
  <c r="AW60" i="13" s="1"/>
  <c r="AM59" i="13"/>
  <c r="AY21" i="13"/>
  <c r="AY22" i="13"/>
  <c r="AY23" i="13"/>
  <c r="AZ23" i="13" s="1"/>
  <c r="AY25" i="13"/>
  <c r="AZ25" i="13" s="1"/>
  <c r="AY26" i="13"/>
  <c r="AZ26" i="13" s="1"/>
  <c r="AY27" i="13"/>
  <c r="AZ27" i="13" s="1"/>
  <c r="AY28" i="13"/>
  <c r="AZ28" i="13" s="1"/>
  <c r="AY29" i="13"/>
  <c r="AZ29" i="13" s="1"/>
  <c r="AY30" i="13"/>
  <c r="AZ30" i="13" s="1"/>
  <c r="AY31" i="13"/>
  <c r="AZ31" i="13" s="1"/>
  <c r="AY32" i="13"/>
  <c r="AZ32" i="13" s="1"/>
  <c r="AY33" i="13"/>
  <c r="AZ33" i="13" s="1"/>
  <c r="AY34" i="13"/>
  <c r="AZ34" i="13" s="1"/>
  <c r="AY35" i="13"/>
  <c r="AZ35" i="13" s="1"/>
  <c r="AY36" i="13"/>
  <c r="AZ36" i="13" s="1"/>
  <c r="AY37" i="13"/>
  <c r="AZ37" i="13" s="1"/>
  <c r="AY38" i="13"/>
  <c r="AZ38" i="13" s="1"/>
  <c r="AY39" i="13"/>
  <c r="AZ39" i="13" s="1"/>
  <c r="AY40" i="13"/>
  <c r="AZ40" i="13" s="1"/>
  <c r="AY41" i="13"/>
  <c r="AZ41" i="13" s="1"/>
  <c r="AY42" i="13"/>
  <c r="AY43" i="13"/>
  <c r="AZ43" i="13" s="1"/>
  <c r="AY46" i="13"/>
  <c r="AZ46" i="13" s="1"/>
  <c r="AY48" i="13"/>
  <c r="AZ48" i="13" s="1"/>
  <c r="AY49" i="13"/>
  <c r="AZ49" i="13" s="1"/>
  <c r="AY50" i="13"/>
  <c r="AZ50" i="13" s="1"/>
  <c r="AY51" i="13"/>
  <c r="AZ51" i="13" s="1"/>
  <c r="AY53" i="13"/>
  <c r="AZ53" i="13" s="1"/>
  <c r="AY55" i="13"/>
  <c r="N57" i="13"/>
  <c r="AE57" i="13" s="1"/>
  <c r="N58" i="13"/>
  <c r="AD58" i="13" s="1"/>
  <c r="AK58" i="13"/>
  <c r="AM58" i="13" s="1"/>
  <c r="BS59" i="13"/>
  <c r="BH59" i="13"/>
  <c r="BG59" i="13"/>
  <c r="M59" i="13"/>
  <c r="L59" i="13"/>
  <c r="AN59" i="13"/>
  <c r="AO59" i="13"/>
  <c r="AP59" i="13"/>
  <c r="AQ59" i="13"/>
  <c r="AM57" i="13"/>
  <c r="AN57" i="13"/>
  <c r="AO57" i="13"/>
  <c r="AP57" i="13"/>
  <c r="AQ57" i="13"/>
  <c r="AW58" i="13"/>
  <c r="AZ58" i="13"/>
  <c r="BH58" i="13"/>
  <c r="Y58" i="13"/>
  <c r="BS58" i="13"/>
  <c r="AK56" i="13"/>
  <c r="AM56" i="13" s="1"/>
  <c r="N56" i="13"/>
  <c r="AB56" i="13" s="1"/>
  <c r="AZ57" i="13"/>
  <c r="BH57" i="13"/>
  <c r="Y57" i="13"/>
  <c r="BF57" i="13"/>
  <c r="BE57" i="13"/>
  <c r="BD57" i="13"/>
  <c r="BC57" i="13"/>
  <c r="BB57" i="13"/>
  <c r="AW57" i="13"/>
  <c r="BS57" i="13"/>
  <c r="N55" i="13"/>
  <c r="CY55" i="13" s="1"/>
  <c r="BH50" i="13"/>
  <c r="BH51" i="13"/>
  <c r="BH52" i="13"/>
  <c r="BH53" i="13"/>
  <c r="BH54" i="13"/>
  <c r="BH55" i="13"/>
  <c r="BH56" i="13"/>
  <c r="BB56" i="13"/>
  <c r="BC56" i="13"/>
  <c r="BD56" i="13"/>
  <c r="BE56" i="13"/>
  <c r="M56" i="13"/>
  <c r="L56" i="13"/>
  <c r="AW56" i="13"/>
  <c r="Y56" i="13"/>
  <c r="BF56" i="13"/>
  <c r="C9" i="12"/>
  <c r="C139" i="12" s="1"/>
  <c r="C10" i="12"/>
  <c r="C140" i="12" s="1"/>
  <c r="B12" i="12"/>
  <c r="B142" i="12" s="1"/>
  <c r="D12" i="12"/>
  <c r="D142" i="12" s="1"/>
  <c r="AZ12" i="12"/>
  <c r="BD12" i="12"/>
  <c r="B13" i="12"/>
  <c r="B143" i="12" s="1"/>
  <c r="C13" i="12"/>
  <c r="C143" i="12" s="1"/>
  <c r="D13" i="12"/>
  <c r="D143" i="12" s="1"/>
  <c r="E13" i="12"/>
  <c r="E143" i="12" s="1"/>
  <c r="F13" i="12"/>
  <c r="F143" i="12" s="1"/>
  <c r="G13" i="12"/>
  <c r="G143" i="12" s="1"/>
  <c r="H13" i="12"/>
  <c r="H143" i="12" s="1"/>
  <c r="AZ13" i="12"/>
  <c r="BD13" i="12"/>
  <c r="B15" i="12"/>
  <c r="C15" i="12"/>
  <c r="D15" i="12"/>
  <c r="E15" i="12"/>
  <c r="F15" i="12"/>
  <c r="G15" i="12"/>
  <c r="H15" i="12"/>
  <c r="B16" i="12"/>
  <c r="C16" i="12"/>
  <c r="D16" i="12"/>
  <c r="E16" i="12"/>
  <c r="F16" i="12"/>
  <c r="G16" i="12"/>
  <c r="H16" i="12"/>
  <c r="B17" i="12"/>
  <c r="B18" i="12"/>
  <c r="AS18" i="12"/>
  <c r="AT18" i="12"/>
  <c r="BB18" i="12"/>
  <c r="BC18" i="12"/>
  <c r="AS19" i="12"/>
  <c r="AT19" i="12"/>
  <c r="BB19" i="12"/>
  <c r="BC19" i="12"/>
  <c r="AS20" i="12"/>
  <c r="AT20" i="12"/>
  <c r="BB20" i="12"/>
  <c r="BC20" i="12"/>
  <c r="AS21" i="12"/>
  <c r="AT21" i="12"/>
  <c r="BB21" i="12"/>
  <c r="BC21" i="12"/>
  <c r="AS22" i="12"/>
  <c r="AT22" i="12"/>
  <c r="BB22" i="12"/>
  <c r="BC22" i="12"/>
  <c r="AS23" i="12"/>
  <c r="AT23" i="12"/>
  <c r="BB23" i="12"/>
  <c r="BC23" i="12"/>
  <c r="AS24" i="12"/>
  <c r="AT24" i="12"/>
  <c r="BB24" i="12"/>
  <c r="BC24" i="12"/>
  <c r="AS25" i="12"/>
  <c r="AT25" i="12"/>
  <c r="BB25" i="12"/>
  <c r="BC25" i="12"/>
  <c r="AS26" i="12"/>
  <c r="AT26" i="12"/>
  <c r="BB26" i="12"/>
  <c r="BC26" i="12"/>
  <c r="AS27" i="12"/>
  <c r="AT27" i="12"/>
  <c r="BB27" i="12"/>
  <c r="BC27" i="12"/>
  <c r="AS28" i="12"/>
  <c r="AT28" i="12"/>
  <c r="BB28" i="12"/>
  <c r="BC28" i="12"/>
  <c r="AS29" i="12"/>
  <c r="AT29" i="12"/>
  <c r="BB29" i="12"/>
  <c r="BC29" i="12"/>
  <c r="AS30" i="12"/>
  <c r="AT30" i="12"/>
  <c r="BB30" i="12"/>
  <c r="BC30" i="12"/>
  <c r="AS31" i="12"/>
  <c r="AT31" i="12"/>
  <c r="BB31" i="12"/>
  <c r="BC31" i="12"/>
  <c r="AS32" i="12"/>
  <c r="AT32" i="12"/>
  <c r="BB32" i="12"/>
  <c r="BC32" i="12"/>
  <c r="AS33" i="12"/>
  <c r="AT33" i="12"/>
  <c r="BB33" i="12"/>
  <c r="BC33" i="12"/>
  <c r="AS34" i="12"/>
  <c r="AT34" i="12"/>
  <c r="BB34" i="12"/>
  <c r="BC34" i="12"/>
  <c r="AS35" i="12"/>
  <c r="AT35" i="12"/>
  <c r="BB35" i="12"/>
  <c r="BC35" i="12"/>
  <c r="AS36" i="12"/>
  <c r="AT36" i="12"/>
  <c r="BB36" i="12"/>
  <c r="BC36" i="12"/>
  <c r="AS37" i="12"/>
  <c r="AT37" i="12"/>
  <c r="BB37" i="12"/>
  <c r="BC37" i="12"/>
  <c r="AS38" i="12"/>
  <c r="AT38" i="12"/>
  <c r="BB38" i="12"/>
  <c r="BC38" i="12"/>
  <c r="AS39" i="12"/>
  <c r="AT39" i="12"/>
  <c r="BB39" i="12"/>
  <c r="BC39" i="12"/>
  <c r="AQ40" i="12"/>
  <c r="AU39" i="12"/>
  <c r="BD39" i="12"/>
  <c r="BD170" i="12"/>
  <c r="B41" i="12"/>
  <c r="AQ37" i="12" s="1"/>
  <c r="AU36" i="12" s="1"/>
  <c r="B42" i="12"/>
  <c r="AQ38" i="12" s="1"/>
  <c r="B43" i="12"/>
  <c r="AQ39" i="12" s="1"/>
  <c r="AJ46" i="12"/>
  <c r="V47" i="12"/>
  <c r="S103" i="12"/>
  <c r="AD103" i="12"/>
  <c r="AE103" i="12"/>
  <c r="R109" i="12"/>
  <c r="R103" i="12"/>
  <c r="T109" i="12"/>
  <c r="U103" i="12"/>
  <c r="V109" i="12"/>
  <c r="X109" i="12"/>
  <c r="AC109" i="12"/>
  <c r="AC103" i="12"/>
  <c r="AE109" i="12"/>
  <c r="AG109" i="12"/>
  <c r="AI109" i="12"/>
  <c r="R110" i="12"/>
  <c r="T110" i="12"/>
  <c r="V110" i="12"/>
  <c r="X110" i="12"/>
  <c r="AC110" i="12"/>
  <c r="AE110" i="12"/>
  <c r="AG110" i="12"/>
  <c r="AI110" i="12"/>
  <c r="R111" i="12"/>
  <c r="T111" i="12"/>
  <c r="V111" i="12"/>
  <c r="X111" i="12"/>
  <c r="AC111" i="12"/>
  <c r="AE111" i="12"/>
  <c r="AG111" i="12"/>
  <c r="AI111" i="12"/>
  <c r="R112" i="12"/>
  <c r="T112" i="12"/>
  <c r="V112" i="12"/>
  <c r="X112" i="12"/>
  <c r="AC112" i="12"/>
  <c r="AE112" i="12"/>
  <c r="AG112" i="12"/>
  <c r="AI112" i="12"/>
  <c r="R113" i="12"/>
  <c r="T113" i="12"/>
  <c r="V113" i="12"/>
  <c r="X113" i="12"/>
  <c r="AC113" i="12"/>
  <c r="AE113" i="12"/>
  <c r="AG113" i="12"/>
  <c r="AI113" i="12"/>
  <c r="R114" i="12"/>
  <c r="T114" i="12"/>
  <c r="V114" i="12"/>
  <c r="X114" i="12"/>
  <c r="AC114" i="12"/>
  <c r="AE114" i="12"/>
  <c r="AG114" i="12"/>
  <c r="AI114" i="12"/>
  <c r="R115" i="12"/>
  <c r="T115" i="12"/>
  <c r="V115" i="12"/>
  <c r="X115" i="12"/>
  <c r="AC115" i="12"/>
  <c r="AE115" i="12"/>
  <c r="AG115" i="12"/>
  <c r="AI115" i="12"/>
  <c r="R116" i="12"/>
  <c r="T116" i="12"/>
  <c r="V116" i="12"/>
  <c r="X116" i="12"/>
  <c r="AC116" i="12"/>
  <c r="AE116" i="12"/>
  <c r="AG116" i="12"/>
  <c r="AI116" i="12"/>
  <c r="R117" i="12"/>
  <c r="T117" i="12"/>
  <c r="V117" i="12"/>
  <c r="X117" i="12"/>
  <c r="AC117" i="12"/>
  <c r="AE117" i="12"/>
  <c r="AG117" i="12"/>
  <c r="AI117" i="12"/>
  <c r="R118" i="12"/>
  <c r="T118" i="12"/>
  <c r="V118" i="12"/>
  <c r="X118" i="12"/>
  <c r="AC118" i="12"/>
  <c r="AE118" i="12"/>
  <c r="AG118" i="12"/>
  <c r="AI118" i="12"/>
  <c r="R119" i="12"/>
  <c r="T119" i="12"/>
  <c r="V119" i="12"/>
  <c r="X119" i="12"/>
  <c r="AC119" i="12"/>
  <c r="AE119" i="12"/>
  <c r="AG119" i="12"/>
  <c r="AI119" i="12"/>
  <c r="R120" i="12"/>
  <c r="T120" i="12"/>
  <c r="V120" i="12"/>
  <c r="X120" i="12"/>
  <c r="AC120" i="12"/>
  <c r="AE120" i="12"/>
  <c r="AG120" i="12"/>
  <c r="AI120" i="12"/>
  <c r="R121" i="12"/>
  <c r="T121" i="12"/>
  <c r="V121" i="12"/>
  <c r="X121" i="12"/>
  <c r="AC121" i="12"/>
  <c r="AE121" i="12"/>
  <c r="AG121" i="12"/>
  <c r="AI121" i="12"/>
  <c r="R122" i="12"/>
  <c r="T122" i="12"/>
  <c r="V122" i="12"/>
  <c r="X122" i="12"/>
  <c r="AC122" i="12"/>
  <c r="AE122" i="12"/>
  <c r="AG122" i="12"/>
  <c r="AI122" i="12"/>
  <c r="R123" i="12"/>
  <c r="T123" i="12"/>
  <c r="V123" i="12"/>
  <c r="X123" i="12"/>
  <c r="AC123" i="12"/>
  <c r="AE123" i="12"/>
  <c r="AG123" i="12"/>
  <c r="AI123" i="12"/>
  <c r="R124" i="12"/>
  <c r="T124" i="12"/>
  <c r="V124" i="12"/>
  <c r="X124" i="12"/>
  <c r="AC124" i="12"/>
  <c r="AE124" i="12"/>
  <c r="AG124" i="12"/>
  <c r="AI124" i="12"/>
  <c r="R125" i="12"/>
  <c r="T125" i="12"/>
  <c r="V125" i="12"/>
  <c r="X125" i="12"/>
  <c r="AC125" i="12"/>
  <c r="AE125" i="12"/>
  <c r="AG125" i="12"/>
  <c r="AI125" i="12"/>
  <c r="R126" i="12"/>
  <c r="T126" i="12"/>
  <c r="V126" i="12"/>
  <c r="X126" i="12"/>
  <c r="AC126" i="12"/>
  <c r="AE126" i="12"/>
  <c r="AG126" i="12"/>
  <c r="AI126" i="12"/>
  <c r="R127" i="12"/>
  <c r="T127" i="12"/>
  <c r="V127" i="12"/>
  <c r="X127" i="12"/>
  <c r="AC127" i="12"/>
  <c r="AE127" i="12"/>
  <c r="AG127" i="12"/>
  <c r="AI127" i="12"/>
  <c r="R128" i="12"/>
  <c r="T128" i="12"/>
  <c r="V128" i="12"/>
  <c r="X128" i="12"/>
  <c r="AC128" i="12"/>
  <c r="AE128" i="12"/>
  <c r="AG128" i="12"/>
  <c r="AI128" i="12"/>
  <c r="R129" i="12"/>
  <c r="T129" i="12"/>
  <c r="V129" i="12"/>
  <c r="X129" i="12"/>
  <c r="AC129" i="12"/>
  <c r="AE129" i="12"/>
  <c r="AG129" i="12"/>
  <c r="AI129" i="12"/>
  <c r="R130" i="12"/>
  <c r="T130" i="12"/>
  <c r="V130" i="12"/>
  <c r="X130" i="12"/>
  <c r="AZ142" i="12"/>
  <c r="BD142" i="12"/>
  <c r="AZ143" i="12"/>
  <c r="BD143" i="12"/>
  <c r="AS149" i="12"/>
  <c r="AT149" i="12"/>
  <c r="BB149" i="12"/>
  <c r="BC149" i="12"/>
  <c r="AS150" i="12"/>
  <c r="AT150" i="12"/>
  <c r="BB150" i="12"/>
  <c r="BC150" i="12"/>
  <c r="AS151" i="12"/>
  <c r="AT151" i="12"/>
  <c r="BB151" i="12"/>
  <c r="BC151" i="12"/>
  <c r="AS152" i="12"/>
  <c r="AT152" i="12"/>
  <c r="BB152" i="12"/>
  <c r="BC152" i="12"/>
  <c r="AS153" i="12"/>
  <c r="AT153" i="12"/>
  <c r="BB153" i="12"/>
  <c r="BC153" i="12"/>
  <c r="AS154" i="12"/>
  <c r="AT154" i="12"/>
  <c r="BB154" i="12"/>
  <c r="BC154" i="12"/>
  <c r="AS155" i="12"/>
  <c r="AT155" i="12"/>
  <c r="BB155" i="12"/>
  <c r="BC155" i="12"/>
  <c r="AS156" i="12"/>
  <c r="AT156" i="12"/>
  <c r="BB156" i="12"/>
  <c r="BC156" i="12"/>
  <c r="AS157" i="12"/>
  <c r="AT157" i="12"/>
  <c r="BB157" i="12"/>
  <c r="BC157" i="12"/>
  <c r="AS158" i="12"/>
  <c r="AT158" i="12"/>
  <c r="BB158" i="12"/>
  <c r="BC158" i="12"/>
  <c r="AS159" i="12"/>
  <c r="AT159" i="12"/>
  <c r="BB159" i="12"/>
  <c r="BC159" i="12"/>
  <c r="AS160" i="12"/>
  <c r="AT160" i="12"/>
  <c r="BB160" i="12"/>
  <c r="BC160" i="12"/>
  <c r="AS161" i="12"/>
  <c r="AT161" i="12"/>
  <c r="BB161" i="12"/>
  <c r="BC161" i="12"/>
  <c r="AS162" i="12"/>
  <c r="AT162" i="12"/>
  <c r="BB162" i="12"/>
  <c r="BC162" i="12"/>
  <c r="AS163" i="12"/>
  <c r="AT163" i="12"/>
  <c r="BB163" i="12"/>
  <c r="BC163" i="12"/>
  <c r="AS164" i="12"/>
  <c r="AT164" i="12"/>
  <c r="BB164" i="12"/>
  <c r="BC164" i="12"/>
  <c r="AS165" i="12"/>
  <c r="AT165" i="12"/>
  <c r="BB165" i="12"/>
  <c r="BC165" i="12"/>
  <c r="AS166" i="12"/>
  <c r="AT166" i="12"/>
  <c r="BB166" i="12"/>
  <c r="BC166" i="12"/>
  <c r="AS167" i="12"/>
  <c r="AT167" i="12"/>
  <c r="BB167" i="12"/>
  <c r="BC167" i="12"/>
  <c r="AS168" i="12"/>
  <c r="AT168" i="12"/>
  <c r="BB168" i="12"/>
  <c r="BC168" i="12"/>
  <c r="AS169" i="12"/>
  <c r="AT169" i="12"/>
  <c r="BB169" i="12"/>
  <c r="BC169" i="12"/>
  <c r="AS170" i="12"/>
  <c r="AT170" i="12"/>
  <c r="AU170" i="12"/>
  <c r="BB170" i="12"/>
  <c r="BC170" i="12"/>
  <c r="AQ171" i="12"/>
  <c r="V174" i="12"/>
  <c r="AJ175" i="12"/>
  <c r="J180" i="12"/>
  <c r="F181" i="12"/>
  <c r="E178" i="12"/>
  <c r="K181" i="12"/>
  <c r="E194" i="12"/>
  <c r="E195" i="12"/>
  <c r="F197" i="12"/>
  <c r="F201" i="12"/>
  <c r="R238" i="12"/>
  <c r="T238" i="12"/>
  <c r="U232" i="12"/>
  <c r="V238" i="12"/>
  <c r="X238" i="12"/>
  <c r="AC238" i="12"/>
  <c r="AE238" i="12"/>
  <c r="AF232" i="12"/>
  <c r="AG238" i="12"/>
  <c r="AI238" i="12"/>
  <c r="R239" i="12"/>
  <c r="T239" i="12"/>
  <c r="V239" i="12"/>
  <c r="X239" i="12"/>
  <c r="AC239" i="12"/>
  <c r="AE239" i="12"/>
  <c r="AG239" i="12"/>
  <c r="AI239" i="12"/>
  <c r="R240" i="12"/>
  <c r="T240" i="12"/>
  <c r="V240" i="12"/>
  <c r="X240" i="12"/>
  <c r="AC240" i="12"/>
  <c r="AE240" i="12"/>
  <c r="AG240" i="12"/>
  <c r="AI240" i="12"/>
  <c r="R241" i="12"/>
  <c r="T241" i="12"/>
  <c r="V241" i="12"/>
  <c r="X241" i="12"/>
  <c r="AC241" i="12"/>
  <c r="AE241" i="12"/>
  <c r="AG241" i="12"/>
  <c r="AI241" i="12"/>
  <c r="R242" i="12"/>
  <c r="T242" i="12"/>
  <c r="V242" i="12"/>
  <c r="X242" i="12"/>
  <c r="BL12" i="9"/>
  <c r="BN12" i="9"/>
  <c r="BO12" i="9"/>
  <c r="BU12" i="9"/>
  <c r="BP12" i="9"/>
  <c r="BQ12" i="9"/>
  <c r="BT12" i="9"/>
  <c r="BV12" i="9"/>
  <c r="BL13" i="9"/>
  <c r="BN13" i="9"/>
  <c r="BO13" i="9"/>
  <c r="BP13" i="9"/>
  <c r="BU13" i="9"/>
  <c r="BL14" i="9"/>
  <c r="BN14" i="9"/>
  <c r="BO14" i="9"/>
  <c r="BP14" i="9"/>
  <c r="BQ14" i="9"/>
  <c r="BT14" i="9"/>
  <c r="BV14" i="9"/>
  <c r="BL15" i="9"/>
  <c r="BN15" i="9"/>
  <c r="BO15" i="9"/>
  <c r="BP15" i="9"/>
  <c r="BV15" i="9"/>
  <c r="BU15" i="9"/>
  <c r="BL16" i="9"/>
  <c r="BN16" i="9"/>
  <c r="BO16" i="9"/>
  <c r="BU16" i="9"/>
  <c r="BP16" i="9"/>
  <c r="BT16" i="9"/>
  <c r="BV16" i="9"/>
  <c r="AD28" i="9"/>
  <c r="AE28" i="9"/>
  <c r="AG28" i="9"/>
  <c r="AH28" i="9"/>
  <c r="AJ28" i="9"/>
  <c r="AL28" i="9"/>
  <c r="AN28" i="9"/>
  <c r="AP28" i="9"/>
  <c r="AD29" i="9"/>
  <c r="AE29" i="9"/>
  <c r="AE32" i="9"/>
  <c r="AG29" i="9"/>
  <c r="AH29" i="9"/>
  <c r="AJ29" i="9"/>
  <c r="AL29" i="9"/>
  <c r="AN29" i="9"/>
  <c r="AP29" i="9"/>
  <c r="AD30" i="9"/>
  <c r="AE30" i="9"/>
  <c r="AG30" i="9"/>
  <c r="AH30" i="9"/>
  <c r="AT30" i="9"/>
  <c r="AD31" i="9"/>
  <c r="AE31" i="9"/>
  <c r="AG31" i="9"/>
  <c r="AH31" i="9"/>
  <c r="AJ31" i="9"/>
  <c r="AL31" i="9"/>
  <c r="AL33" i="9"/>
  <c r="AN31" i="9"/>
  <c r="AP31" i="9"/>
  <c r="AD32" i="9"/>
  <c r="AG32" i="9"/>
  <c r="AH32" i="9"/>
  <c r="AD33" i="9"/>
  <c r="AG33" i="9"/>
  <c r="AJ33" i="9"/>
  <c r="AN33" i="9"/>
  <c r="AD34" i="9"/>
  <c r="AG34" i="9"/>
  <c r="AR34" i="9"/>
  <c r="H53" i="9"/>
  <c r="H54" i="9"/>
  <c r="E60" i="9"/>
  <c r="AR30" i="9"/>
  <c r="AV31" i="9"/>
  <c r="AV34" i="9"/>
  <c r="F60" i="9"/>
  <c r="AR29" i="9"/>
  <c r="G60" i="9"/>
  <c r="AR28" i="9"/>
  <c r="AR32" i="9"/>
  <c r="H60" i="9"/>
  <c r="E61" i="9"/>
  <c r="F61" i="9"/>
  <c r="G61" i="9"/>
  <c r="H61" i="9"/>
  <c r="E62" i="9"/>
  <c r="F62" i="9"/>
  <c r="G62" i="9"/>
  <c r="H62" i="9"/>
  <c r="H69" i="9"/>
  <c r="E87" i="9"/>
  <c r="F87" i="9"/>
  <c r="G87" i="9"/>
  <c r="E88" i="9"/>
  <c r="F88" i="9"/>
  <c r="G88" i="9"/>
  <c r="AE88" i="9"/>
  <c r="AH88" i="9"/>
  <c r="AT88" i="9"/>
  <c r="G89" i="9"/>
  <c r="G93" i="9"/>
  <c r="AE89" i="9"/>
  <c r="AH89" i="9"/>
  <c r="F90" i="9"/>
  <c r="AE90" i="9"/>
  <c r="AH90" i="9"/>
  <c r="G91" i="9"/>
  <c r="AD91" i="9"/>
  <c r="AE91" i="9"/>
  <c r="AG91" i="9"/>
  <c r="AH91" i="9"/>
  <c r="AJ91" i="9"/>
  <c r="AL91" i="9"/>
  <c r="AL93" i="9"/>
  <c r="AN91" i="9"/>
  <c r="AP91" i="9"/>
  <c r="AP93" i="9"/>
  <c r="AR91" i="9"/>
  <c r="AT91" i="9"/>
  <c r="AD92" i="9"/>
  <c r="AE92" i="9"/>
  <c r="AG92" i="9"/>
  <c r="AH92" i="9"/>
  <c r="AR92" i="9"/>
  <c r="AD93" i="9"/>
  <c r="AG93" i="9"/>
  <c r="AJ93" i="9"/>
  <c r="AN93" i="9"/>
  <c r="AR93" i="9"/>
  <c r="E94" i="9"/>
  <c r="AD94" i="9"/>
  <c r="AG94" i="9"/>
  <c r="AR94" i="9"/>
  <c r="H100" i="9"/>
  <c r="P104" i="9"/>
  <c r="Q104" i="9"/>
  <c r="F89" i="9"/>
  <c r="R104" i="9"/>
  <c r="F91" i="9"/>
  <c r="P105" i="9"/>
  <c r="G90" i="9"/>
  <c r="Q105" i="9"/>
  <c r="R105" i="9"/>
  <c r="M162" i="9"/>
  <c r="P162" i="9"/>
  <c r="G160" i="9"/>
  <c r="O163" i="9"/>
  <c r="F166" i="9"/>
  <c r="G166" i="9"/>
  <c r="F167" i="9"/>
  <c r="G167" i="9"/>
  <c r="F168" i="9"/>
  <c r="G168" i="9"/>
  <c r="M168" i="9"/>
  <c r="N168" i="9"/>
  <c r="C171" i="9"/>
  <c r="H178" i="9"/>
  <c r="J178" i="9"/>
  <c r="J179" i="9"/>
  <c r="J180" i="9"/>
  <c r="J184" i="9"/>
  <c r="F198" i="9"/>
  <c r="F206" i="9"/>
  <c r="G198" i="9"/>
  <c r="G206" i="9"/>
  <c r="F199" i="9"/>
  <c r="G199" i="9"/>
  <c r="G208" i="9"/>
  <c r="H208" i="9"/>
  <c r="H213" i="9"/>
  <c r="F200" i="9"/>
  <c r="G200" i="9"/>
  <c r="H202" i="9"/>
  <c r="M207" i="9"/>
  <c r="N207" i="9"/>
  <c r="E208" i="9"/>
  <c r="F208" i="9"/>
  <c r="E209" i="9"/>
  <c r="G209" i="9"/>
  <c r="F286" i="9"/>
  <c r="G286" i="9"/>
  <c r="F287" i="9"/>
  <c r="G287" i="9"/>
  <c r="F289" i="9"/>
  <c r="G289" i="9"/>
  <c r="J302" i="9"/>
  <c r="J303" i="9"/>
  <c r="X320" i="9"/>
  <c r="X322" i="9"/>
  <c r="X324" i="9"/>
  <c r="X321" i="9"/>
  <c r="F322" i="9"/>
  <c r="F326" i="9"/>
  <c r="G322" i="9"/>
  <c r="G326" i="9"/>
  <c r="G323" i="9"/>
  <c r="X323" i="9"/>
  <c r="F324" i="9"/>
  <c r="G324" i="9"/>
  <c r="U324" i="9"/>
  <c r="V324" i="9"/>
  <c r="W324" i="9"/>
  <c r="N340" i="9"/>
  <c r="N343" i="9"/>
  <c r="AX5" i="13"/>
  <c r="AV6" i="13"/>
  <c r="AX10" i="13"/>
  <c r="BS16" i="13"/>
  <c r="CP16" i="13"/>
  <c r="CP17" i="13"/>
  <c r="CQ17" i="13"/>
  <c r="CR17" i="13"/>
  <c r="CS17" i="13"/>
  <c r="CT17" i="13"/>
  <c r="CU17" i="13"/>
  <c r="N18" i="13"/>
  <c r="BS18" i="13"/>
  <c r="CI18" i="13"/>
  <c r="C17" i="12" s="1"/>
  <c r="CP18" i="13"/>
  <c r="L19" i="13"/>
  <c r="M19" i="13"/>
  <c r="BS19" i="13"/>
  <c r="CP19" i="13"/>
  <c r="A20" i="13"/>
  <c r="L20" i="13"/>
  <c r="M20" i="13"/>
  <c r="CH20" i="13"/>
  <c r="B19" i="12" s="1"/>
  <c r="AQ15" i="12" s="1"/>
  <c r="AQ146" i="12" s="1"/>
  <c r="CX20" i="13"/>
  <c r="CX21" i="13" s="1"/>
  <c r="CX22" i="13" s="1"/>
  <c r="CX23" i="13" s="1"/>
  <c r="CX24" i="13" s="1"/>
  <c r="CX25" i="13" s="1"/>
  <c r="CX26" i="13" s="1"/>
  <c r="CX27" i="13" s="1"/>
  <c r="CX28" i="13" s="1"/>
  <c r="CX29" i="13" s="1"/>
  <c r="CX30" i="13" s="1"/>
  <c r="CX31" i="13" s="1"/>
  <c r="CX32" i="13" s="1"/>
  <c r="CX33" i="13" s="1"/>
  <c r="CX34" i="13" s="1"/>
  <c r="CX35" i="13" s="1"/>
  <c r="CX36" i="13" s="1"/>
  <c r="CX37" i="13" s="1"/>
  <c r="CX38" i="13" s="1"/>
  <c r="CX39" i="13" s="1"/>
  <c r="CX40" i="13" s="1"/>
  <c r="CX41" i="13" s="1"/>
  <c r="CX42" i="13" s="1"/>
  <c r="CX43" i="13" s="1"/>
  <c r="CX44" i="13" s="1"/>
  <c r="CX45" i="13" s="1"/>
  <c r="CX46" i="13" s="1"/>
  <c r="CX47" i="13" s="1"/>
  <c r="CX48" i="13" s="1"/>
  <c r="CX49" i="13" s="1"/>
  <c r="CX50" i="13" s="1"/>
  <c r="CX51" i="13" s="1"/>
  <c r="CX52" i="13" s="1"/>
  <c r="CX53" i="13" s="1"/>
  <c r="CX54" i="13" s="1"/>
  <c r="L21" i="13"/>
  <c r="M21" i="13"/>
  <c r="L22" i="13"/>
  <c r="M22" i="13"/>
  <c r="AW22" i="13"/>
  <c r="BP22" i="13" s="1"/>
  <c r="BX22" i="13" s="1"/>
  <c r="BG22" i="13"/>
  <c r="L23" i="13"/>
  <c r="M23" i="13"/>
  <c r="Y23" i="13"/>
  <c r="AM23" i="13"/>
  <c r="AN23" i="13"/>
  <c r="AO23" i="13"/>
  <c r="AP23" i="13"/>
  <c r="AQ23" i="13"/>
  <c r="AW23" i="13"/>
  <c r="BG23" i="13"/>
  <c r="BH23" i="13"/>
  <c r="L24" i="13"/>
  <c r="M24" i="13"/>
  <c r="Y24" i="13"/>
  <c r="AM24" i="13"/>
  <c r="AN24" i="13"/>
  <c r="AO24" i="13"/>
  <c r="AP24" i="13"/>
  <c r="AQ24" i="13"/>
  <c r="AW24" i="13"/>
  <c r="BG24" i="13"/>
  <c r="BH24" i="13"/>
  <c r="L25" i="13"/>
  <c r="M25" i="13"/>
  <c r="Y25" i="13"/>
  <c r="AF25" i="13"/>
  <c r="AM25" i="13"/>
  <c r="AN25" i="13"/>
  <c r="AO25" i="13"/>
  <c r="AP25" i="13"/>
  <c r="AQ25" i="13"/>
  <c r="AW25" i="13"/>
  <c r="BG25" i="13"/>
  <c r="BH25" i="13"/>
  <c r="L26" i="13"/>
  <c r="M26" i="13"/>
  <c r="Y26" i="13"/>
  <c r="AM26" i="13"/>
  <c r="AN26" i="13"/>
  <c r="AO26" i="13"/>
  <c r="AP26" i="13"/>
  <c r="AQ26" i="13"/>
  <c r="AW26" i="13"/>
  <c r="BG26" i="13"/>
  <c r="BH26" i="13"/>
  <c r="L27" i="13"/>
  <c r="M27" i="13"/>
  <c r="Y27" i="13"/>
  <c r="AM27" i="13"/>
  <c r="AN27" i="13"/>
  <c r="AO27" i="13"/>
  <c r="AP27" i="13"/>
  <c r="AQ27" i="13"/>
  <c r="AW27" i="13"/>
  <c r="BG27" i="13"/>
  <c r="L28" i="13"/>
  <c r="M28" i="13"/>
  <c r="Y28" i="13"/>
  <c r="AM28" i="13"/>
  <c r="AN28" i="13"/>
  <c r="AO28" i="13"/>
  <c r="AP28" i="13"/>
  <c r="AQ28" i="13"/>
  <c r="AW28" i="13"/>
  <c r="BG28" i="13"/>
  <c r="L29" i="13"/>
  <c r="M29" i="13"/>
  <c r="Y29" i="13"/>
  <c r="AM29" i="13"/>
  <c r="AN29" i="13"/>
  <c r="AO29" i="13"/>
  <c r="AP29" i="13"/>
  <c r="AQ29" i="13"/>
  <c r="AW29" i="13"/>
  <c r="BD29" i="13"/>
  <c r="BE29" i="13"/>
  <c r="L30" i="13"/>
  <c r="M30" i="13"/>
  <c r="Y30" i="13"/>
  <c r="AM30" i="13"/>
  <c r="AN30" i="13"/>
  <c r="AO30" i="13"/>
  <c r="AP30" i="13"/>
  <c r="AQ30" i="13"/>
  <c r="BE30" i="13"/>
  <c r="BF30" i="13"/>
  <c r="L31" i="13"/>
  <c r="M31" i="13"/>
  <c r="Y31" i="13"/>
  <c r="AM31" i="13"/>
  <c r="AN31" i="13"/>
  <c r="AO31" i="13"/>
  <c r="AP31" i="13"/>
  <c r="AQ31" i="13"/>
  <c r="AW31" i="13"/>
  <c r="BG31" i="13"/>
  <c r="L32" i="13"/>
  <c r="M32" i="13"/>
  <c r="Y32" i="13"/>
  <c r="AM32" i="13"/>
  <c r="AN32" i="13"/>
  <c r="AO32" i="13"/>
  <c r="AP32" i="13"/>
  <c r="AQ32" i="13"/>
  <c r="AW32" i="13"/>
  <c r="BG32" i="13"/>
  <c r="L33" i="13"/>
  <c r="M33" i="13"/>
  <c r="Y33" i="13"/>
  <c r="AM33" i="13"/>
  <c r="AN33" i="13"/>
  <c r="AO33" i="13"/>
  <c r="AP33" i="13"/>
  <c r="AQ33" i="13"/>
  <c r="AW33" i="13"/>
  <c r="BG33" i="13"/>
  <c r="L34" i="13"/>
  <c r="M34" i="13"/>
  <c r="AW34" i="13"/>
  <c r="BG34" i="13"/>
  <c r="L35" i="13"/>
  <c r="M35" i="13"/>
  <c r="Y35" i="13"/>
  <c r="AM35" i="13"/>
  <c r="AN35" i="13"/>
  <c r="AO35" i="13"/>
  <c r="AP35" i="13"/>
  <c r="AQ35" i="13"/>
  <c r="AW35" i="13"/>
  <c r="BG35" i="13"/>
  <c r="L36" i="13"/>
  <c r="M36" i="13"/>
  <c r="Y36" i="13"/>
  <c r="AM36" i="13"/>
  <c r="AN36" i="13"/>
  <c r="AO36" i="13"/>
  <c r="AP36" i="13"/>
  <c r="AQ36" i="13"/>
  <c r="AW36" i="13"/>
  <c r="BG36" i="13"/>
  <c r="L37" i="13"/>
  <c r="M37" i="13"/>
  <c r="Y37" i="13"/>
  <c r="AM37" i="13"/>
  <c r="AN37" i="13"/>
  <c r="AO37" i="13"/>
  <c r="AP37" i="13"/>
  <c r="AQ37" i="13"/>
  <c r="AW37" i="13"/>
  <c r="BG37" i="13"/>
  <c r="L38" i="13"/>
  <c r="M38" i="13"/>
  <c r="Y38" i="13"/>
  <c r="AM38" i="13"/>
  <c r="AN38" i="13"/>
  <c r="AO38" i="13"/>
  <c r="AP38" i="13"/>
  <c r="AQ38" i="13"/>
  <c r="AW38" i="13"/>
  <c r="BG38" i="13"/>
  <c r="N39" i="13"/>
  <c r="Y39" i="13"/>
  <c r="AM39" i="13"/>
  <c r="AN39" i="13"/>
  <c r="AO39" i="13"/>
  <c r="AP39" i="13"/>
  <c r="AQ39" i="13"/>
  <c r="AW39" i="13"/>
  <c r="BG39" i="13"/>
  <c r="N40" i="13"/>
  <c r="AB40" i="13" s="1"/>
  <c r="Y40" i="13"/>
  <c r="AM40" i="13"/>
  <c r="AN40" i="13"/>
  <c r="AO40" i="13"/>
  <c r="AP40" i="13"/>
  <c r="AQ40" i="13"/>
  <c r="AW40" i="13"/>
  <c r="BG40" i="13"/>
  <c r="N41" i="13"/>
  <c r="CY41" i="13" s="1"/>
  <c r="Y41" i="13"/>
  <c r="AM41" i="13"/>
  <c r="AN41" i="13"/>
  <c r="AO41" i="13"/>
  <c r="AP41" i="13"/>
  <c r="AQ41" i="13"/>
  <c r="AW41" i="13"/>
  <c r="BG41" i="13"/>
  <c r="L42" i="13"/>
  <c r="M42" i="13"/>
  <c r="Y42" i="13"/>
  <c r="AM42" i="13"/>
  <c r="AN42" i="13"/>
  <c r="AO42" i="13"/>
  <c r="AP42" i="13"/>
  <c r="AQ42" i="13"/>
  <c r="AW42" i="13"/>
  <c r="AZ42" i="13"/>
  <c r="BG42" i="13"/>
  <c r="BS42" i="13"/>
  <c r="CP42" i="13"/>
  <c r="N43" i="13"/>
  <c r="AF43" i="13" s="1"/>
  <c r="Y43" i="13"/>
  <c r="AK43" i="13"/>
  <c r="AQ43" i="13" s="1"/>
  <c r="AW43" i="13"/>
  <c r="BG43" i="13"/>
  <c r="BS43" i="13"/>
  <c r="CP43" i="13"/>
  <c r="L44" i="13"/>
  <c r="M44" i="13"/>
  <c r="N44" i="13"/>
  <c r="L196" i="9" s="1"/>
  <c r="M196" i="9" s="1"/>
  <c r="N196" i="9" s="1"/>
  <c r="Y44" i="13"/>
  <c r="AK44" i="13"/>
  <c r="AO44" i="13" s="1"/>
  <c r="AW44" i="13"/>
  <c r="BG44" i="13"/>
  <c r="BS44" i="13"/>
  <c r="CP44" i="13"/>
  <c r="L45" i="13"/>
  <c r="M45" i="13"/>
  <c r="N45" i="13"/>
  <c r="AE45" i="13" s="1"/>
  <c r="Y45" i="13"/>
  <c r="AK45" i="13"/>
  <c r="AP45" i="13" s="1"/>
  <c r="AW45" i="13"/>
  <c r="BG45" i="13"/>
  <c r="BS45" i="13"/>
  <c r="CP45" i="13"/>
  <c r="N46" i="13"/>
  <c r="AD46" i="13" s="1"/>
  <c r="Y46" i="13"/>
  <c r="AK46" i="13"/>
  <c r="AO46" i="13" s="1"/>
  <c r="AW46" i="13"/>
  <c r="BG46" i="13"/>
  <c r="BS46" i="13"/>
  <c r="CP46" i="13"/>
  <c r="L47" i="13"/>
  <c r="M47" i="13"/>
  <c r="N47" i="13"/>
  <c r="AF47" i="13" s="1"/>
  <c r="W47" i="13"/>
  <c r="W67" i="13" s="1"/>
  <c r="Y67" i="13" s="1"/>
  <c r="AK47" i="13"/>
  <c r="AW47" i="13"/>
  <c r="BB47" i="13"/>
  <c r="BC47" i="13"/>
  <c r="BD47" i="13"/>
  <c r="BF47" i="13"/>
  <c r="BH47" i="13"/>
  <c r="BS47" i="13"/>
  <c r="CP47" i="13"/>
  <c r="I48" i="13"/>
  <c r="I72" i="13" s="1"/>
  <c r="Y48" i="13"/>
  <c r="AK48" i="13"/>
  <c r="H217" i="9" s="1"/>
  <c r="AW48" i="13"/>
  <c r="BB48" i="13"/>
  <c r="BC48" i="13"/>
  <c r="BD48" i="13"/>
  <c r="BE48" i="13"/>
  <c r="BF48" i="13"/>
  <c r="BS48" i="13"/>
  <c r="CP48" i="13"/>
  <c r="N49" i="13"/>
  <c r="AB49" i="13" s="1"/>
  <c r="Y49" i="13"/>
  <c r="AK49" i="13"/>
  <c r="AO49" i="13" s="1"/>
  <c r="AW49" i="13"/>
  <c r="BB49" i="13"/>
  <c r="BC49" i="13"/>
  <c r="BD49" i="13"/>
  <c r="BE49" i="13"/>
  <c r="BF49" i="13"/>
  <c r="BH49" i="13"/>
  <c r="BS49" i="13"/>
  <c r="CP49" i="13"/>
  <c r="N50" i="13"/>
  <c r="AB50" i="13" s="1"/>
  <c r="Y50" i="13"/>
  <c r="AK50" i="13"/>
  <c r="H300" i="9" s="1"/>
  <c r="AW50" i="13"/>
  <c r="BB50" i="13"/>
  <c r="BC50" i="13"/>
  <c r="BD50" i="13"/>
  <c r="BE50" i="13"/>
  <c r="BF50" i="13"/>
  <c r="BS50" i="13"/>
  <c r="N51" i="13"/>
  <c r="AE51" i="13" s="1"/>
  <c r="Y51" i="13"/>
  <c r="AK51" i="13"/>
  <c r="AN51" i="13" s="1"/>
  <c r="AW51" i="13"/>
  <c r="BB51" i="13"/>
  <c r="BC51" i="13"/>
  <c r="BD51" i="13"/>
  <c r="BE51" i="13"/>
  <c r="BF51" i="13"/>
  <c r="BS51" i="13"/>
  <c r="L52" i="13"/>
  <c r="M52" i="13"/>
  <c r="N52" i="13"/>
  <c r="CY52" i="13" s="1"/>
  <c r="Y52" i="13"/>
  <c r="AK52" i="13"/>
  <c r="AW52" i="13"/>
  <c r="BB52" i="13"/>
  <c r="BC52" i="13"/>
  <c r="BD52" i="13"/>
  <c r="BE52" i="13"/>
  <c r="BF52" i="13"/>
  <c r="BS52" i="13"/>
  <c r="N53" i="13"/>
  <c r="CY53" i="13" s="1"/>
  <c r="Y53" i="13"/>
  <c r="AK53" i="13"/>
  <c r="AW53" i="13"/>
  <c r="BB53" i="13"/>
  <c r="BC53" i="13"/>
  <c r="BD53" i="13"/>
  <c r="BE53" i="13"/>
  <c r="BF53" i="13"/>
  <c r="BS53" i="13"/>
  <c r="L54" i="13"/>
  <c r="M54" i="13"/>
  <c r="AY54" i="13" s="1"/>
  <c r="AZ54" i="13" s="1"/>
  <c r="N54" i="13"/>
  <c r="AB54" i="13" s="1"/>
  <c r="Y54" i="13"/>
  <c r="AK54" i="13"/>
  <c r="AP54" i="13" s="1"/>
  <c r="AW54" i="13"/>
  <c r="BB54" i="13"/>
  <c r="BC54" i="13"/>
  <c r="BD54" i="13"/>
  <c r="BE54" i="13"/>
  <c r="BF54" i="13"/>
  <c r="BS54" i="13"/>
  <c r="Y55" i="13"/>
  <c r="AM55" i="13"/>
  <c r="AN55" i="13"/>
  <c r="AO55" i="13"/>
  <c r="AP55" i="13"/>
  <c r="AQ55" i="13"/>
  <c r="AW55" i="13"/>
  <c r="AZ55" i="13"/>
  <c r="BB55" i="13"/>
  <c r="BC55" i="13"/>
  <c r="BD55" i="13"/>
  <c r="BE55" i="13"/>
  <c r="BF55" i="13"/>
  <c r="BS55" i="13"/>
  <c r="BS56" i="13"/>
  <c r="AY24" i="13"/>
  <c r="AZ24" i="13" s="1"/>
  <c r="T34" i="13"/>
  <c r="U34" i="13"/>
  <c r="AN34" i="13" s="1"/>
  <c r="V34" i="13"/>
  <c r="AO34" i="13" s="1"/>
  <c r="W34" i="13"/>
  <c r="AP34" i="13" s="1"/>
  <c r="C9" i="1"/>
  <c r="V9" i="1"/>
  <c r="C10" i="1"/>
  <c r="V10" i="1"/>
  <c r="B12" i="1"/>
  <c r="D12" i="1"/>
  <c r="H12" i="1"/>
  <c r="W12" i="1"/>
  <c r="AA12" i="1"/>
  <c r="B13" i="1"/>
  <c r="C13" i="1"/>
  <c r="D13" i="1"/>
  <c r="E13" i="1"/>
  <c r="F13" i="1"/>
  <c r="G13" i="1"/>
  <c r="H13" i="1"/>
  <c r="U13" i="1"/>
  <c r="V13" i="1"/>
  <c r="W13" i="1"/>
  <c r="X13" i="1"/>
  <c r="Y13" i="1"/>
  <c r="Z13" i="1"/>
  <c r="AA13" i="1"/>
  <c r="C14" i="1"/>
  <c r="D14" i="1"/>
  <c r="E14" i="1"/>
  <c r="F14" i="1"/>
  <c r="G14" i="1"/>
  <c r="H14" i="1"/>
  <c r="B15" i="1"/>
  <c r="C15" i="1"/>
  <c r="S16" i="1" s="1"/>
  <c r="D15" i="1"/>
  <c r="E15" i="1"/>
  <c r="F15" i="1"/>
  <c r="G15" i="1"/>
  <c r="H15" i="1"/>
  <c r="U15" i="1"/>
  <c r="V15" i="1"/>
  <c r="W15" i="1"/>
  <c r="X15" i="1"/>
  <c r="Y15" i="1"/>
  <c r="Z15" i="1"/>
  <c r="AA15" i="1"/>
  <c r="B16" i="1"/>
  <c r="C16" i="1"/>
  <c r="D16" i="1"/>
  <c r="E16" i="1"/>
  <c r="F16" i="1"/>
  <c r="G16" i="1"/>
  <c r="H16" i="1"/>
  <c r="U16" i="1"/>
  <c r="V16" i="1"/>
  <c r="W16" i="1"/>
  <c r="X16" i="1"/>
  <c r="Y16" i="1"/>
  <c r="Z16" i="1"/>
  <c r="AA16" i="1"/>
  <c r="B17" i="1"/>
  <c r="C17" i="1"/>
  <c r="D17" i="1"/>
  <c r="E17" i="1"/>
  <c r="F17" i="1"/>
  <c r="G17" i="1"/>
  <c r="H17" i="1"/>
  <c r="U17" i="1"/>
  <c r="V17" i="1"/>
  <c r="W17" i="1"/>
  <c r="X17" i="1"/>
  <c r="Y17" i="1"/>
  <c r="Z17" i="1"/>
  <c r="AA17" i="1"/>
  <c r="B18" i="1"/>
  <c r="C18" i="1"/>
  <c r="S19" i="1" s="1"/>
  <c r="D18" i="1"/>
  <c r="E18" i="1"/>
  <c r="F18" i="1"/>
  <c r="G18" i="1"/>
  <c r="H18" i="1"/>
  <c r="U18" i="1"/>
  <c r="V18" i="1"/>
  <c r="W18" i="1"/>
  <c r="X18" i="1"/>
  <c r="Y18" i="1"/>
  <c r="Z18" i="1"/>
  <c r="AA18" i="1"/>
  <c r="C19" i="1"/>
  <c r="S20" i="1" s="1"/>
  <c r="D19" i="1"/>
  <c r="E19" i="1"/>
  <c r="F19" i="1"/>
  <c r="G19" i="1"/>
  <c r="H19" i="1"/>
  <c r="V19" i="1"/>
  <c r="W19" i="1"/>
  <c r="X19" i="1"/>
  <c r="Y19" i="1"/>
  <c r="Z19" i="1"/>
  <c r="AA19" i="1"/>
  <c r="C20" i="1"/>
  <c r="D20" i="1"/>
  <c r="E20" i="1"/>
  <c r="F20" i="1"/>
  <c r="G20" i="1"/>
  <c r="H20" i="1"/>
  <c r="V20" i="1"/>
  <c r="W20" i="1"/>
  <c r="X20" i="1"/>
  <c r="Y20" i="1"/>
  <c r="Z20" i="1"/>
  <c r="AA20" i="1"/>
  <c r="B41" i="1"/>
  <c r="U41" i="1"/>
  <c r="B42" i="1"/>
  <c r="U42" i="1"/>
  <c r="B43" i="1"/>
  <c r="U43" i="1"/>
  <c r="BR14" i="9"/>
  <c r="BW14" i="9"/>
  <c r="BX14" i="9"/>
  <c r="BQ13" i="9"/>
  <c r="BN18" i="9"/>
  <c r="BT13" i="9"/>
  <c r="BT18" i="9"/>
  <c r="AP33" i="9"/>
  <c r="AW31" i="9"/>
  <c r="AW34" i="9"/>
  <c r="BU14" i="9"/>
  <c r="BO18" i="9"/>
  <c r="BV13" i="9"/>
  <c r="BV18" i="9"/>
  <c r="BP18" i="9"/>
  <c r="J179" i="12"/>
  <c r="K185" i="12"/>
  <c r="J178" i="12"/>
  <c r="G95" i="9"/>
  <c r="AT28" i="9"/>
  <c r="AT32" i="9"/>
  <c r="F95" i="9"/>
  <c r="E95" i="9"/>
  <c r="H87" i="9"/>
  <c r="E93" i="9"/>
  <c r="AT89" i="9"/>
  <c r="AT29" i="9"/>
  <c r="AT90" i="9"/>
  <c r="AF103" i="12"/>
  <c r="AF110" i="12"/>
  <c r="AH110" i="12"/>
  <c r="T103" i="12"/>
  <c r="G94" i="9"/>
  <c r="H94" i="9"/>
  <c r="H104" i="9"/>
  <c r="H88" i="9"/>
  <c r="AR31" i="9"/>
  <c r="BQ16" i="9"/>
  <c r="BU18" i="9"/>
  <c r="N162" i="9"/>
  <c r="Q162" i="9"/>
  <c r="G161" i="9"/>
  <c r="F94" i="9"/>
  <c r="F93" i="9"/>
  <c r="BT15" i="9"/>
  <c r="BQ15" i="9"/>
  <c r="BR12" i="9"/>
  <c r="BW12" i="9"/>
  <c r="AF109" i="12"/>
  <c r="AH109" i="12"/>
  <c r="AK109" i="12"/>
  <c r="AF111" i="12"/>
  <c r="AH111" i="12"/>
  <c r="AJ111" i="12"/>
  <c r="AF113" i="12"/>
  <c r="AH113" i="12"/>
  <c r="AJ113" i="12"/>
  <c r="AF115" i="12"/>
  <c r="AH115" i="12"/>
  <c r="AJ115" i="12"/>
  <c r="AF117" i="12"/>
  <c r="AH117" i="12"/>
  <c r="AK117" i="12"/>
  <c r="AF119" i="12"/>
  <c r="AH119" i="12"/>
  <c r="AK119" i="12"/>
  <c r="AF121" i="12"/>
  <c r="AH121" i="12"/>
  <c r="AJ121" i="12"/>
  <c r="AF123" i="12"/>
  <c r="AH123" i="12"/>
  <c r="AJ123" i="12"/>
  <c r="AF125" i="12"/>
  <c r="AH125" i="12"/>
  <c r="AJ125" i="12"/>
  <c r="AF127" i="12"/>
  <c r="AH127" i="12"/>
  <c r="AJ127" i="12"/>
  <c r="AF129" i="12"/>
  <c r="AH129" i="12"/>
  <c r="AJ129" i="12"/>
  <c r="AF239" i="12"/>
  <c r="AH239" i="12"/>
  <c r="AF241" i="12"/>
  <c r="AH241" i="12"/>
  <c r="AD232" i="12"/>
  <c r="S232" i="12"/>
  <c r="R232" i="12"/>
  <c r="AC232" i="12"/>
  <c r="E179" i="12"/>
  <c r="E196" i="12"/>
  <c r="F185" i="12"/>
  <c r="E180" i="12"/>
  <c r="AK110" i="12"/>
  <c r="AJ110" i="12"/>
  <c r="AE232" i="12"/>
  <c r="AJ241" i="12"/>
  <c r="AK241" i="12"/>
  <c r="AJ119" i="12"/>
  <c r="BW15" i="9"/>
  <c r="BX15" i="9"/>
  <c r="BR15" i="9"/>
  <c r="BR18" i="9"/>
  <c r="AK123" i="12"/>
  <c r="AJ117" i="12"/>
  <c r="AT92" i="9"/>
  <c r="AJ109" i="12"/>
  <c r="AK121" i="12"/>
  <c r="T232" i="12"/>
  <c r="AF240" i="12"/>
  <c r="AH240" i="12"/>
  <c r="AF128" i="12"/>
  <c r="AH128" i="12"/>
  <c r="AF124" i="12"/>
  <c r="AH124" i="12"/>
  <c r="AF120" i="12"/>
  <c r="AH120" i="12"/>
  <c r="AF116" i="12"/>
  <c r="AH116" i="12"/>
  <c r="AF112" i="12"/>
  <c r="AH112" i="12"/>
  <c r="AK111" i="12"/>
  <c r="AK127" i="12"/>
  <c r="BR16" i="9"/>
  <c r="BW16" i="9"/>
  <c r="BX16" i="9"/>
  <c r="U109" i="12"/>
  <c r="W109" i="12"/>
  <c r="U110" i="12"/>
  <c r="W110" i="12"/>
  <c r="U111" i="12"/>
  <c r="W111" i="12"/>
  <c r="U112" i="12"/>
  <c r="W112" i="12"/>
  <c r="U113" i="12"/>
  <c r="W113" i="12"/>
  <c r="U114" i="12"/>
  <c r="W114" i="12"/>
  <c r="U115" i="12"/>
  <c r="W115" i="12"/>
  <c r="U116" i="12"/>
  <c r="W116" i="12"/>
  <c r="U117" i="12"/>
  <c r="W117" i="12"/>
  <c r="U118" i="12"/>
  <c r="W118" i="12"/>
  <c r="U119" i="12"/>
  <c r="W119" i="12"/>
  <c r="U120" i="12"/>
  <c r="W120" i="12"/>
  <c r="U121" i="12"/>
  <c r="W121" i="12"/>
  <c r="U122" i="12"/>
  <c r="W122" i="12"/>
  <c r="U123" i="12"/>
  <c r="W123" i="12"/>
  <c r="U124" i="12"/>
  <c r="W124" i="12"/>
  <c r="U125" i="12"/>
  <c r="W125" i="12"/>
  <c r="U126" i="12"/>
  <c r="W126" i="12"/>
  <c r="U127" i="12"/>
  <c r="W127" i="12"/>
  <c r="U128" i="12"/>
  <c r="W128" i="12"/>
  <c r="U129" i="12"/>
  <c r="W129" i="12"/>
  <c r="U130" i="12"/>
  <c r="W130" i="12"/>
  <c r="U238" i="12"/>
  <c r="W238" i="12"/>
  <c r="U239" i="12"/>
  <c r="W239" i="12"/>
  <c r="U240" i="12"/>
  <c r="W240" i="12"/>
  <c r="U241" i="12"/>
  <c r="W241" i="12"/>
  <c r="U242" i="12"/>
  <c r="W242" i="12"/>
  <c r="H93" i="9"/>
  <c r="AK125" i="12"/>
  <c r="AK113" i="12"/>
  <c r="AK129" i="12"/>
  <c r="BR13" i="9"/>
  <c r="BW13" i="9"/>
  <c r="BX13" i="9"/>
  <c r="BQ18" i="9"/>
  <c r="AJ239" i="12"/>
  <c r="AK239" i="12"/>
  <c r="BW18" i="9"/>
  <c r="BX12" i="9"/>
  <c r="AK115" i="12"/>
  <c r="AR33" i="9"/>
  <c r="AT31" i="9"/>
  <c r="AF238" i="12"/>
  <c r="AH238" i="12"/>
  <c r="AF126" i="12"/>
  <c r="AH126" i="12"/>
  <c r="AF122" i="12"/>
  <c r="AH122" i="12"/>
  <c r="AF118" i="12"/>
  <c r="AH118" i="12"/>
  <c r="AF114" i="12"/>
  <c r="AH114" i="12"/>
  <c r="H95" i="9"/>
  <c r="Y239" i="12"/>
  <c r="Z239" i="12"/>
  <c r="Z128" i="12"/>
  <c r="Y128" i="12"/>
  <c r="Z124" i="12"/>
  <c r="Y124" i="12"/>
  <c r="Z120" i="12"/>
  <c r="Y120" i="12"/>
  <c r="Z116" i="12"/>
  <c r="Y116" i="12"/>
  <c r="Z112" i="12"/>
  <c r="Y112" i="12"/>
  <c r="AJ112" i="12"/>
  <c r="AK112" i="12"/>
  <c r="AJ128" i="12"/>
  <c r="AK128" i="12"/>
  <c r="AK126" i="12"/>
  <c r="AJ126" i="12"/>
  <c r="Y242" i="12"/>
  <c r="Z242" i="12"/>
  <c r="Y238" i="12"/>
  <c r="Z238" i="12"/>
  <c r="Z127" i="12"/>
  <c r="Y127" i="12"/>
  <c r="Z123" i="12"/>
  <c r="Y123" i="12"/>
  <c r="Z119" i="12"/>
  <c r="Y119" i="12"/>
  <c r="Z115" i="12"/>
  <c r="Y115" i="12"/>
  <c r="Z111" i="12"/>
  <c r="Y111" i="12"/>
  <c r="AK116" i="12"/>
  <c r="AJ116" i="12"/>
  <c r="AJ240" i="12"/>
  <c r="AK240" i="12"/>
  <c r="AJ122" i="12"/>
  <c r="AK122" i="12"/>
  <c r="H105" i="9"/>
  <c r="G105" i="9"/>
  <c r="AJ114" i="12"/>
  <c r="AK114" i="12"/>
  <c r="AJ238" i="12"/>
  <c r="AK238" i="12"/>
  <c r="Y241" i="12"/>
  <c r="Z241" i="12"/>
  <c r="Z130" i="12"/>
  <c r="Y130" i="12"/>
  <c r="Z126" i="12"/>
  <c r="Y126" i="12"/>
  <c r="Z122" i="12"/>
  <c r="Y122" i="12"/>
  <c r="Z118" i="12"/>
  <c r="Y118" i="12"/>
  <c r="Z114" i="12"/>
  <c r="Y114" i="12"/>
  <c r="Z110" i="12"/>
  <c r="Y110" i="12"/>
  <c r="AJ120" i="12"/>
  <c r="AK120" i="12"/>
  <c r="AK118" i="12"/>
  <c r="AJ118" i="12"/>
  <c r="BX18" i="9"/>
  <c r="H103" i="9"/>
  <c r="G103" i="9"/>
  <c r="Y240" i="12"/>
  <c r="Z240" i="12"/>
  <c r="Z129" i="12"/>
  <c r="Y129" i="12"/>
  <c r="Z125" i="12"/>
  <c r="Y125" i="12"/>
  <c r="Z121" i="12"/>
  <c r="Y121" i="12"/>
  <c r="Z117" i="12"/>
  <c r="Y117" i="12"/>
  <c r="Z113" i="12"/>
  <c r="Y113" i="12"/>
  <c r="Z109" i="12"/>
  <c r="Y109" i="12"/>
  <c r="AK124" i="12"/>
  <c r="AJ124" i="12"/>
  <c r="AW30" i="13"/>
  <c r="AW21" i="13"/>
  <c r="AE46" i="13"/>
  <c r="AQ34" i="13"/>
  <c r="BG58" i="13"/>
  <c r="AD59" i="13" l="1"/>
  <c r="AB46" i="13"/>
  <c r="AK67" i="13"/>
  <c r="N42" i="13"/>
  <c r="AD42" i="13" s="1"/>
  <c r="AY60" i="13"/>
  <c r="AZ60" i="13" s="1"/>
  <c r="BA42" i="13"/>
  <c r="BM42" i="13" s="1"/>
  <c r="H337" i="9"/>
  <c r="AC49" i="13"/>
  <c r="AP48" i="13"/>
  <c r="M20" i="1"/>
  <c r="L17" i="1"/>
  <c r="CY47" i="13"/>
  <c r="AQ49" i="13"/>
  <c r="AO52" i="13"/>
  <c r="BA48" i="13"/>
  <c r="BO48" i="13" s="1"/>
  <c r="AR60" i="13"/>
  <c r="AD57" i="13"/>
  <c r="AF57" i="13"/>
  <c r="AM49" i="13"/>
  <c r="AM51" i="13"/>
  <c r="AP49" i="13"/>
  <c r="M18" i="1"/>
  <c r="BA58" i="13"/>
  <c r="BN58" i="13" s="1"/>
  <c r="L16" i="12"/>
  <c r="BA35" i="13"/>
  <c r="BL35" i="13" s="1"/>
  <c r="J20" i="1"/>
  <c r="O20" i="1" s="1"/>
  <c r="M16" i="1"/>
  <c r="CH21" i="13"/>
  <c r="B20" i="1" s="1"/>
  <c r="BA37" i="13"/>
  <c r="AO51" i="13"/>
  <c r="AD49" i="13"/>
  <c r="AE49" i="13"/>
  <c r="AP51" i="13"/>
  <c r="L20" i="1"/>
  <c r="K17" i="1"/>
  <c r="N37" i="13"/>
  <c r="AC37" i="13" s="1"/>
  <c r="B19" i="1"/>
  <c r="AD47" i="13"/>
  <c r="CY45" i="13"/>
  <c r="L320" i="9"/>
  <c r="AN48" i="13"/>
  <c r="N35" i="13"/>
  <c r="AE35" i="13" s="1"/>
  <c r="N29" i="13"/>
  <c r="AE29" i="13" s="1"/>
  <c r="BA26" i="13"/>
  <c r="BO26" i="13" s="1"/>
  <c r="N26" i="13"/>
  <c r="AB26" i="13" s="1"/>
  <c r="AC47" i="13"/>
  <c r="M17" i="1"/>
  <c r="N32" i="13"/>
  <c r="AC32" i="13" s="1"/>
  <c r="AC53" i="13"/>
  <c r="CY46" i="13"/>
  <c r="AB53" i="13"/>
  <c r="BA34" i="13"/>
  <c r="BP34" i="13" s="1"/>
  <c r="AC57" i="13"/>
  <c r="AE58" i="13"/>
  <c r="AC52" i="13"/>
  <c r="AF46" i="13"/>
  <c r="N20" i="13"/>
  <c r="AG20" i="13" s="1"/>
  <c r="BA57" i="13"/>
  <c r="BN57" i="13" s="1"/>
  <c r="BV57" i="13" s="1"/>
  <c r="CK52" i="13" s="1"/>
  <c r="BG29" i="13"/>
  <c r="L321" i="9"/>
  <c r="M321" i="9" s="1"/>
  <c r="AM48" i="13"/>
  <c r="AY44" i="13"/>
  <c r="AZ44" i="13" s="1"/>
  <c r="BA44" i="13" s="1"/>
  <c r="BN44" i="13" s="1"/>
  <c r="CY57" i="13"/>
  <c r="H65" i="9"/>
  <c r="AB57" i="13"/>
  <c r="S21" i="1"/>
  <c r="BA55" i="13"/>
  <c r="BO55" i="13" s="1"/>
  <c r="AR27" i="13"/>
  <c r="BD36" i="12"/>
  <c r="BD167" i="12" s="1"/>
  <c r="AU167" i="12"/>
  <c r="AF52" i="13"/>
  <c r="BO58" i="13"/>
  <c r="CY50" i="13"/>
  <c r="AF53" i="13"/>
  <c r="AE52" i="13"/>
  <c r="AE50" i="13"/>
  <c r="AQ54" i="13"/>
  <c r="AY45" i="13"/>
  <c r="AZ45" i="13" s="1"/>
  <c r="BA45" i="13" s="1"/>
  <c r="BM45" i="13" s="1"/>
  <c r="N33" i="13"/>
  <c r="AF33" i="13" s="1"/>
  <c r="AR28" i="13"/>
  <c r="BA50" i="13"/>
  <c r="BL50" i="13" s="1"/>
  <c r="BA31" i="13"/>
  <c r="BO31" i="13" s="1"/>
  <c r="N19" i="1"/>
  <c r="AC46" i="13"/>
  <c r="AD52" i="13"/>
  <c r="AN54" i="13"/>
  <c r="AO54" i="13"/>
  <c r="AB51" i="13"/>
  <c r="BA54" i="13"/>
  <c r="BL54" i="13" s="1"/>
  <c r="BG56" i="13"/>
  <c r="AR57" i="13"/>
  <c r="BA29" i="13"/>
  <c r="BP29" i="13" s="1"/>
  <c r="AB52" i="13"/>
  <c r="BL22" i="13"/>
  <c r="BT22" i="13" s="1"/>
  <c r="L283" i="9"/>
  <c r="N283" i="9" s="1"/>
  <c r="K16" i="12"/>
  <c r="BA30" i="13"/>
  <c r="BN30" i="13" s="1"/>
  <c r="AE53" i="13"/>
  <c r="AM54" i="13"/>
  <c r="AD53" i="13"/>
  <c r="AR39" i="13"/>
  <c r="N30" i="13"/>
  <c r="AE30" i="13" s="1"/>
  <c r="BA27" i="13"/>
  <c r="BP27" i="13" s="1"/>
  <c r="N27" i="13"/>
  <c r="AB27" i="13" s="1"/>
  <c r="N25" i="13"/>
  <c r="AD25" i="13" s="1"/>
  <c r="N18" i="1"/>
  <c r="N36" i="13"/>
  <c r="AB36" i="13" s="1"/>
  <c r="AB59" i="13"/>
  <c r="AD55" i="13"/>
  <c r="AN49" i="13"/>
  <c r="CY40" i="13"/>
  <c r="K18" i="1"/>
  <c r="J18" i="1"/>
  <c r="O18" i="1" s="1"/>
  <c r="L282" i="9"/>
  <c r="AE40" i="13"/>
  <c r="AD40" i="13"/>
  <c r="AC55" i="13"/>
  <c r="AY47" i="13"/>
  <c r="AZ47" i="13" s="1"/>
  <c r="BA47" i="13" s="1"/>
  <c r="BM47" i="13" s="1"/>
  <c r="AR25" i="13"/>
  <c r="AR38" i="13"/>
  <c r="AR35" i="13"/>
  <c r="CP20" i="13"/>
  <c r="AF40" i="13"/>
  <c r="AW63" i="9"/>
  <c r="J19" i="1"/>
  <c r="O19" i="1" s="1"/>
  <c r="AF55" i="13"/>
  <c r="AR41" i="13"/>
  <c r="AB55" i="13"/>
  <c r="AD44" i="13"/>
  <c r="AE55" i="13"/>
  <c r="N22" i="13"/>
  <c r="CY22" i="13" s="1"/>
  <c r="AB47" i="13"/>
  <c r="L197" i="9"/>
  <c r="M197" i="9" s="1"/>
  <c r="N197" i="9" s="1"/>
  <c r="BN22" i="13"/>
  <c r="BV22" i="13" s="1"/>
  <c r="X21" i="1" s="1"/>
  <c r="AQ51" i="13"/>
  <c r="AC40" i="13"/>
  <c r="N31" i="13"/>
  <c r="AE31" i="13" s="1"/>
  <c r="M16" i="12"/>
  <c r="AY59" i="13"/>
  <c r="AZ59" i="13" s="1"/>
  <c r="BA59" i="13" s="1"/>
  <c r="BP59" i="13" s="1"/>
  <c r="BA41" i="13"/>
  <c r="BN41" i="13" s="1"/>
  <c r="BA36" i="13"/>
  <c r="BL36" i="13" s="1"/>
  <c r="AC59" i="13"/>
  <c r="AF44" i="13"/>
  <c r="BG52" i="13"/>
  <c r="AF39" i="13"/>
  <c r="BO22" i="13"/>
  <c r="BW22" i="13" s="1"/>
  <c r="L18" i="1"/>
  <c r="CY59" i="13"/>
  <c r="AF49" i="13"/>
  <c r="AE44" i="13"/>
  <c r="CY49" i="13"/>
  <c r="BM22" i="13"/>
  <c r="N17" i="1"/>
  <c r="BA43" i="13"/>
  <c r="N23" i="13"/>
  <c r="AF23" i="13" s="1"/>
  <c r="N19" i="13"/>
  <c r="AG19" i="13" s="1"/>
  <c r="AF59" i="13"/>
  <c r="BA24" i="13"/>
  <c r="BN24" i="13" s="1"/>
  <c r="N24" i="13"/>
  <c r="AR42" i="13"/>
  <c r="K19" i="1"/>
  <c r="AM46" i="13"/>
  <c r="BA53" i="13"/>
  <c r="BA66" i="13" s="1"/>
  <c r="BA33" i="13"/>
  <c r="BM33" i="13" s="1"/>
  <c r="BA25" i="13"/>
  <c r="BP25" i="13" s="1"/>
  <c r="BX25" i="13" s="1"/>
  <c r="AC60" i="13"/>
  <c r="AD61" i="13"/>
  <c r="AM43" i="13"/>
  <c r="AO48" i="13"/>
  <c r="AB41" i="13"/>
  <c r="AF51" i="13"/>
  <c r="CY51" i="13"/>
  <c r="AM50" i="13"/>
  <c r="AQ46" i="13"/>
  <c r="AR33" i="13"/>
  <c r="BA28" i="13"/>
  <c r="N28" i="13"/>
  <c r="CY28" i="13" s="1"/>
  <c r="N21" i="13"/>
  <c r="CY21" i="13" s="1"/>
  <c r="N16" i="12"/>
  <c r="BA51" i="13"/>
  <c r="BO51" i="13" s="1"/>
  <c r="BA40" i="13"/>
  <c r="BP40" i="13" s="1"/>
  <c r="BA32" i="13"/>
  <c r="BO32" i="13" s="1"/>
  <c r="BA23" i="13"/>
  <c r="BO23" i="13" s="1"/>
  <c r="AD60" i="13"/>
  <c r="AY61" i="13"/>
  <c r="AZ61" i="13" s="1"/>
  <c r="BA61" i="13" s="1"/>
  <c r="BN61" i="13" s="1"/>
  <c r="AE61" i="13"/>
  <c r="AE60" i="13"/>
  <c r="AR31" i="13"/>
  <c r="Y47" i="13"/>
  <c r="AC51" i="13"/>
  <c r="BA39" i="13"/>
  <c r="BO39" i="13" s="1"/>
  <c r="BO37" i="13"/>
  <c r="AP46" i="13"/>
  <c r="AP50" i="13"/>
  <c r="AC43" i="13"/>
  <c r="AF50" i="13"/>
  <c r="AQ48" i="13"/>
  <c r="AD50" i="13"/>
  <c r="AO43" i="13"/>
  <c r="N38" i="13"/>
  <c r="AB38" i="13" s="1"/>
  <c r="J16" i="12"/>
  <c r="O16" i="12" s="1"/>
  <c r="AY56" i="13"/>
  <c r="AZ56" i="13" s="1"/>
  <c r="BA56" i="13" s="1"/>
  <c r="CY60" i="13"/>
  <c r="AE43" i="13"/>
  <c r="AM45" i="13"/>
  <c r="AR32" i="13"/>
  <c r="AR37" i="13"/>
  <c r="AO50" i="13"/>
  <c r="AC50" i="13"/>
  <c r="L19" i="1"/>
  <c r="AD51" i="13"/>
  <c r="BG50" i="13"/>
  <c r="N48" i="13"/>
  <c r="AB48" i="13" s="1"/>
  <c r="AN46" i="13"/>
  <c r="M19" i="1"/>
  <c r="AE47" i="13"/>
  <c r="AN43" i="13"/>
  <c r="BE47" i="13"/>
  <c r="BG47" i="13" s="1"/>
  <c r="BA46" i="13"/>
  <c r="BO46" i="13" s="1"/>
  <c r="AP43" i="13"/>
  <c r="AB60" i="13"/>
  <c r="AR61" i="13"/>
  <c r="AN47" i="13"/>
  <c r="AO47" i="13"/>
  <c r="AP47" i="13"/>
  <c r="AM47" i="13"/>
  <c r="AQ47" i="13"/>
  <c r="G21" i="1"/>
  <c r="Z21" i="1"/>
  <c r="J16" i="1"/>
  <c r="O16" i="1" s="1"/>
  <c r="S17" i="1"/>
  <c r="S45" i="1" s="1"/>
  <c r="BG51" i="13"/>
  <c r="BG48" i="13"/>
  <c r="AZ38" i="12"/>
  <c r="AZ169" i="12" s="1"/>
  <c r="AU37" i="12"/>
  <c r="AQ169" i="12"/>
  <c r="AP44" i="13"/>
  <c r="AN44" i="13"/>
  <c r="AQ44" i="13"/>
  <c r="AM44" i="13"/>
  <c r="BG30" i="13"/>
  <c r="AP52" i="13"/>
  <c r="AM52" i="13"/>
  <c r="AN52" i="13"/>
  <c r="AQ52" i="13"/>
  <c r="BL42" i="13"/>
  <c r="AB45" i="13"/>
  <c r="L284" i="9"/>
  <c r="AD45" i="13"/>
  <c r="AC45" i="13"/>
  <c r="AF45" i="13"/>
  <c r="L195" i="9"/>
  <c r="M195" i="9" s="1"/>
  <c r="AR40" i="13"/>
  <c r="AR36" i="13"/>
  <c r="AR24" i="13"/>
  <c r="AP58" i="13"/>
  <c r="AQ58" i="13"/>
  <c r="AO58" i="13"/>
  <c r="AN58" i="13"/>
  <c r="J17" i="1"/>
  <c r="O17" i="1" s="1"/>
  <c r="S18" i="1"/>
  <c r="BG57" i="13"/>
  <c r="CY56" i="13"/>
  <c r="AC56" i="13"/>
  <c r="AD56" i="13"/>
  <c r="AF56" i="13"/>
  <c r="AE56" i="13"/>
  <c r="AR59" i="13"/>
  <c r="BP45" i="13"/>
  <c r="K16" i="1"/>
  <c r="N16" i="1"/>
  <c r="Y34" i="13"/>
  <c r="AM34" i="13"/>
  <c r="BG55" i="13"/>
  <c r="AR55" i="13"/>
  <c r="BG54" i="13"/>
  <c r="AF54" i="13"/>
  <c r="AD54" i="13"/>
  <c r="AC54" i="13"/>
  <c r="CY54" i="13"/>
  <c r="AE54" i="13"/>
  <c r="BG53" i="13"/>
  <c r="AU38" i="12"/>
  <c r="AQ170" i="12"/>
  <c r="AZ39" i="12"/>
  <c r="AZ170" i="12" s="1"/>
  <c r="AP56" i="13"/>
  <c r="AN56" i="13"/>
  <c r="AO56" i="13"/>
  <c r="AQ56" i="13"/>
  <c r="CY39" i="13"/>
  <c r="AB39" i="13"/>
  <c r="AC39" i="13"/>
  <c r="AE39" i="13"/>
  <c r="AD39" i="13"/>
  <c r="AR29" i="13"/>
  <c r="BS20" i="13"/>
  <c r="A21" i="13"/>
  <c r="U19" i="1"/>
  <c r="CY18" i="13"/>
  <c r="AG18" i="13"/>
  <c r="AP53" i="13"/>
  <c r="AQ53" i="13"/>
  <c r="AM53" i="13"/>
  <c r="AQ45" i="13"/>
  <c r="AO45" i="13"/>
  <c r="L161" i="9"/>
  <c r="M161" i="9" s="1"/>
  <c r="AB43" i="13"/>
  <c r="CY43" i="13"/>
  <c r="AD43" i="13"/>
  <c r="N34" i="13"/>
  <c r="AD34" i="13" s="1"/>
  <c r="K20" i="1"/>
  <c r="N20" i="1"/>
  <c r="CY44" i="13"/>
  <c r="L160" i="9"/>
  <c r="M160" i="9" s="1"/>
  <c r="AB44" i="13"/>
  <c r="AC44" i="13"/>
  <c r="AR26" i="13"/>
  <c r="AZ37" i="12"/>
  <c r="AZ168" i="12" s="1"/>
  <c r="AQ168" i="12"/>
  <c r="BA60" i="13"/>
  <c r="CY61" i="13"/>
  <c r="AF61" i="13"/>
  <c r="AC61" i="13"/>
  <c r="AO53" i="13"/>
  <c r="AY52" i="13"/>
  <c r="AZ52" i="13" s="1"/>
  <c r="BA52" i="13" s="1"/>
  <c r="AQ50" i="13"/>
  <c r="AN50" i="13"/>
  <c r="BG49" i="13"/>
  <c r="CY58" i="13"/>
  <c r="AC58" i="13"/>
  <c r="AF58" i="13"/>
  <c r="AB58" i="13"/>
  <c r="BA49" i="13"/>
  <c r="BA38" i="13"/>
  <c r="L16" i="1"/>
  <c r="AN53" i="13"/>
  <c r="AN45" i="13"/>
  <c r="AD41" i="13"/>
  <c r="AC41" i="13"/>
  <c r="AF41" i="13"/>
  <c r="AE41" i="13"/>
  <c r="AR30" i="13"/>
  <c r="AR23" i="13"/>
  <c r="N66" i="13" l="1"/>
  <c r="AC42" i="13"/>
  <c r="N65" i="13"/>
  <c r="AF42" i="13"/>
  <c r="N68" i="13"/>
  <c r="N67" i="13"/>
  <c r="N70" i="13" s="1"/>
  <c r="CY42" i="13"/>
  <c r="AB42" i="13"/>
  <c r="AG42" i="13" s="1"/>
  <c r="AE42" i="13"/>
  <c r="BL37" i="13"/>
  <c r="BA65" i="13"/>
  <c r="AE26" i="13"/>
  <c r="BW26" i="13" s="1"/>
  <c r="F25" i="1" s="1"/>
  <c r="CY26" i="13"/>
  <c r="BO42" i="13"/>
  <c r="BW42" i="13" s="1"/>
  <c r="CL36" i="13" s="1"/>
  <c r="AC33" i="13"/>
  <c r="BU33" i="13" s="1"/>
  <c r="CJ29" i="13" s="1"/>
  <c r="BP42" i="13"/>
  <c r="BX42" i="13" s="1"/>
  <c r="CM35" i="13" s="1"/>
  <c r="BL48" i="13"/>
  <c r="BT48" i="13" s="1"/>
  <c r="BV58" i="13"/>
  <c r="CK53" i="13" s="1"/>
  <c r="BN42" i="13"/>
  <c r="N72" i="13"/>
  <c r="BP48" i="13"/>
  <c r="BN36" i="13"/>
  <c r="BL58" i="13"/>
  <c r="BT58" i="13" s="1"/>
  <c r="AC26" i="13"/>
  <c r="BN48" i="13"/>
  <c r="BP58" i="13"/>
  <c r="BX58" i="13" s="1"/>
  <c r="CM51" i="13" s="1"/>
  <c r="BM48" i="13"/>
  <c r="AF29" i="13"/>
  <c r="BX29" i="13" s="1"/>
  <c r="CM22" i="13" s="1"/>
  <c r="AC35" i="13"/>
  <c r="AG46" i="13"/>
  <c r="AB32" i="13"/>
  <c r="BN35" i="13"/>
  <c r="BM35" i="13"/>
  <c r="BL26" i="13"/>
  <c r="BT26" i="13" s="1"/>
  <c r="BL33" i="13"/>
  <c r="BN31" i="13"/>
  <c r="AE37" i="13"/>
  <c r="BW37" i="13" s="1"/>
  <c r="Y36" i="1" s="1"/>
  <c r="AB29" i="13"/>
  <c r="CY36" i="13"/>
  <c r="BP35" i="13"/>
  <c r="AG22" i="13"/>
  <c r="BW46" i="13"/>
  <c r="CL40" i="13" s="1"/>
  <c r="BM34" i="13"/>
  <c r="BM55" i="13"/>
  <c r="BU55" i="13" s="1"/>
  <c r="CJ51" i="13" s="1"/>
  <c r="BP31" i="13"/>
  <c r="AD35" i="13"/>
  <c r="BO44" i="13"/>
  <c r="BW44" i="13" s="1"/>
  <c r="CL38" i="13" s="1"/>
  <c r="BO57" i="13"/>
  <c r="BW57" i="13" s="1"/>
  <c r="CL51" i="13" s="1"/>
  <c r="BM37" i="13"/>
  <c r="H338" i="9"/>
  <c r="H339" i="9" s="1"/>
  <c r="J339" i="9" s="1"/>
  <c r="CY35" i="13"/>
  <c r="BO35" i="13"/>
  <c r="BW35" i="13" s="1"/>
  <c r="BP37" i="13"/>
  <c r="AB35" i="13"/>
  <c r="BT35" i="13" s="1"/>
  <c r="BM58" i="13"/>
  <c r="BU58" i="13" s="1"/>
  <c r="CJ54" i="13" s="1"/>
  <c r="BM31" i="13"/>
  <c r="AF26" i="13"/>
  <c r="BN53" i="13"/>
  <c r="BV53" i="13" s="1"/>
  <c r="AR49" i="13"/>
  <c r="AD26" i="13"/>
  <c r="CY30" i="13"/>
  <c r="BP57" i="13"/>
  <c r="BX57" i="13" s="1"/>
  <c r="CM50" i="13" s="1"/>
  <c r="BL57" i="13"/>
  <c r="BT57" i="13" s="1"/>
  <c r="BM54" i="13"/>
  <c r="BU54" i="13" s="1"/>
  <c r="AF35" i="13"/>
  <c r="AD29" i="13"/>
  <c r="BL31" i="13"/>
  <c r="AD37" i="13"/>
  <c r="BN55" i="13"/>
  <c r="BV55" i="13" s="1"/>
  <c r="CK50" i="13" s="1"/>
  <c r="CY37" i="13"/>
  <c r="BP54" i="13"/>
  <c r="BX54" i="13" s="1"/>
  <c r="CM47" i="13" s="1"/>
  <c r="CH22" i="13"/>
  <c r="CH23" i="13" s="1"/>
  <c r="AE33" i="13"/>
  <c r="CY20" i="13"/>
  <c r="AR54" i="13"/>
  <c r="BO27" i="13"/>
  <c r="AD33" i="13"/>
  <c r="BM26" i="13"/>
  <c r="CY29" i="13"/>
  <c r="BM51" i="13"/>
  <c r="BU51" i="13" s="1"/>
  <c r="CJ47" i="13" s="1"/>
  <c r="AC29" i="13"/>
  <c r="BP55" i="13"/>
  <c r="BL55" i="13"/>
  <c r="BT55" i="13" s="1"/>
  <c r="CI52" i="13" s="1"/>
  <c r="AF37" i="13"/>
  <c r="AG49" i="13"/>
  <c r="AG57" i="13"/>
  <c r="BN37" i="13"/>
  <c r="BN27" i="13"/>
  <c r="BN25" i="13"/>
  <c r="BV25" i="13" s="1"/>
  <c r="AF30" i="13"/>
  <c r="AG53" i="13"/>
  <c r="AB37" i="13"/>
  <c r="BT37" i="13" s="1"/>
  <c r="AD32" i="13"/>
  <c r="AE32" i="13"/>
  <c r="BW32" i="13" s="1"/>
  <c r="BL44" i="13"/>
  <c r="BT44" i="13" s="1"/>
  <c r="BW51" i="13"/>
  <c r="CL45" i="13" s="1"/>
  <c r="N320" i="9"/>
  <c r="M320" i="9"/>
  <c r="CY32" i="13"/>
  <c r="BT50" i="13"/>
  <c r="CI47" i="13" s="1"/>
  <c r="AF32" i="13"/>
  <c r="BP44" i="13"/>
  <c r="BX44" i="13" s="1"/>
  <c r="Z43" i="1" s="1"/>
  <c r="AR51" i="13"/>
  <c r="BV44" i="13"/>
  <c r="AD57" i="9" s="1"/>
  <c r="BP26" i="13"/>
  <c r="BN26" i="13"/>
  <c r="CP21" i="13"/>
  <c r="B20" i="12"/>
  <c r="AQ16" i="12" s="1"/>
  <c r="AQ147" i="12" s="1"/>
  <c r="BL34" i="13"/>
  <c r="BO34" i="13"/>
  <c r="CY33" i="13"/>
  <c r="BM57" i="13"/>
  <c r="BU57" i="13" s="1"/>
  <c r="CJ53" i="13" s="1"/>
  <c r="BN34" i="13"/>
  <c r="BM50" i="13"/>
  <c r="BU50" i="13" s="1"/>
  <c r="BL47" i="13"/>
  <c r="BT47" i="13" s="1"/>
  <c r="BL41" i="13"/>
  <c r="BT54" i="13"/>
  <c r="CI51" i="13" s="1"/>
  <c r="AC30" i="13"/>
  <c r="AF38" i="13"/>
  <c r="BO50" i="13"/>
  <c r="BW50" i="13" s="1"/>
  <c r="CL44" i="13" s="1"/>
  <c r="AB33" i="13"/>
  <c r="BL25" i="13"/>
  <c r="BM53" i="13"/>
  <c r="BU53" i="13" s="1"/>
  <c r="BU47" i="13"/>
  <c r="CJ43" i="13" s="1"/>
  <c r="AD27" i="13"/>
  <c r="M283" i="9"/>
  <c r="BO41" i="13"/>
  <c r="BW41" i="13" s="1"/>
  <c r="BM41" i="13"/>
  <c r="BU41" i="13" s="1"/>
  <c r="AE25" i="13"/>
  <c r="BN50" i="13"/>
  <c r="BV50" i="13" s="1"/>
  <c r="CK45" i="13" s="1"/>
  <c r="BP47" i="13"/>
  <c r="BX47" i="13" s="1"/>
  <c r="CM40" i="13" s="1"/>
  <c r="BP41" i="13"/>
  <c r="BX41" i="13" s="1"/>
  <c r="G40" i="1" s="1"/>
  <c r="N321" i="9"/>
  <c r="BP53" i="13"/>
  <c r="BX53" i="13" s="1"/>
  <c r="CM46" i="13" s="1"/>
  <c r="AD30" i="13"/>
  <c r="BV30" i="13" s="1"/>
  <c r="CK25" i="13" s="1"/>
  <c r="BL53" i="13"/>
  <c r="BT53" i="13" s="1"/>
  <c r="BP50" i="13"/>
  <c r="BX50" i="13" s="1"/>
  <c r="BN47" i="13"/>
  <c r="BV47" i="13" s="1"/>
  <c r="E21" i="1"/>
  <c r="BM44" i="13"/>
  <c r="BU44" i="13" s="1"/>
  <c r="BW55" i="13"/>
  <c r="CL49" i="13" s="1"/>
  <c r="BW31" i="13"/>
  <c r="Y30" i="1" s="1"/>
  <c r="AC25" i="13"/>
  <c r="BW58" i="13"/>
  <c r="CL52" i="13" s="1"/>
  <c r="BO53" i="13"/>
  <c r="BW53" i="13" s="1"/>
  <c r="CL47" i="13" s="1"/>
  <c r="AG52" i="13"/>
  <c r="BN29" i="13"/>
  <c r="BN59" i="13"/>
  <c r="BV59" i="13" s="1"/>
  <c r="CK54" i="13" s="1"/>
  <c r="AC28" i="13"/>
  <c r="BM30" i="13"/>
  <c r="BP61" i="13"/>
  <c r="BX61" i="13" s="1"/>
  <c r="BM32" i="13"/>
  <c r="BU32" i="13" s="1"/>
  <c r="W31" i="1" s="1"/>
  <c r="BN46" i="13"/>
  <c r="BV46" i="13" s="1"/>
  <c r="CK41" i="13" s="1"/>
  <c r="AG50" i="13"/>
  <c r="AB30" i="13"/>
  <c r="AG51" i="13"/>
  <c r="CY27" i="13"/>
  <c r="BL27" i="13"/>
  <c r="BT27" i="13" s="1"/>
  <c r="V26" i="1" s="1"/>
  <c r="BN54" i="13"/>
  <c r="BV54" i="13" s="1"/>
  <c r="CK49" i="13" s="1"/>
  <c r="BL30" i="13"/>
  <c r="AE38" i="13"/>
  <c r="AC48" i="13"/>
  <c r="BO30" i="13"/>
  <c r="BW30" i="13" s="1"/>
  <c r="Y29" i="1" s="1"/>
  <c r="BL40" i="13"/>
  <c r="BT40" i="13" s="1"/>
  <c r="AF27" i="13"/>
  <c r="BX27" i="13" s="1"/>
  <c r="CM20" i="13" s="1"/>
  <c r="G19" i="12" s="1"/>
  <c r="AB25" i="13"/>
  <c r="AC27" i="13"/>
  <c r="AE36" i="13"/>
  <c r="BO59" i="13"/>
  <c r="BW59" i="13" s="1"/>
  <c r="CL53" i="13" s="1"/>
  <c r="BO45" i="13"/>
  <c r="BW45" i="13" s="1"/>
  <c r="BM29" i="13"/>
  <c r="BM59" i="13"/>
  <c r="BU59" i="13" s="1"/>
  <c r="CJ55" i="13" s="1"/>
  <c r="AE27" i="13"/>
  <c r="AF36" i="13"/>
  <c r="CY19" i="13"/>
  <c r="BN39" i="13"/>
  <c r="BV39" i="13" s="1"/>
  <c r="BL29" i="13"/>
  <c r="AG59" i="13"/>
  <c r="BL45" i="13"/>
  <c r="BT45" i="13" s="1"/>
  <c r="CI42" i="13" s="1"/>
  <c r="CY25" i="13"/>
  <c r="AR56" i="13"/>
  <c r="BO29" i="13"/>
  <c r="BW29" i="13" s="1"/>
  <c r="CL23" i="13" s="1"/>
  <c r="H66" i="9"/>
  <c r="H67" i="9" s="1"/>
  <c r="BM27" i="13"/>
  <c r="AD36" i="13"/>
  <c r="BM39" i="13"/>
  <c r="BU39" i="13" s="1"/>
  <c r="AG47" i="13"/>
  <c r="AB31" i="13"/>
  <c r="BP30" i="13"/>
  <c r="BN45" i="13"/>
  <c r="BV45" i="13" s="1"/>
  <c r="BL59" i="13"/>
  <c r="CY38" i="13"/>
  <c r="AC36" i="13"/>
  <c r="BP23" i="13"/>
  <c r="BX23" i="13" s="1"/>
  <c r="AG60" i="13"/>
  <c r="BO54" i="13"/>
  <c r="BW54" i="13" s="1"/>
  <c r="CL48" i="13" s="1"/>
  <c r="AG40" i="13"/>
  <c r="BO56" i="13"/>
  <c r="BW56" i="13" s="1"/>
  <c r="CL50" i="13" s="1"/>
  <c r="BM56" i="13"/>
  <c r="BU56" i="13" s="1"/>
  <c r="BN56" i="13"/>
  <c r="BV56" i="13" s="1"/>
  <c r="BP56" i="13"/>
  <c r="BX56" i="13" s="1"/>
  <c r="BX40" i="13"/>
  <c r="CM33" i="13" s="1"/>
  <c r="BM36" i="13"/>
  <c r="AE23" i="13"/>
  <c r="BW23" i="13" s="1"/>
  <c r="AD23" i="13"/>
  <c r="AC31" i="13"/>
  <c r="AD31" i="13"/>
  <c r="CY31" i="13"/>
  <c r="AF31" i="13"/>
  <c r="AG61" i="13"/>
  <c r="AD28" i="13"/>
  <c r="AC23" i="13"/>
  <c r="AF48" i="13"/>
  <c r="BM40" i="13"/>
  <c r="BU40" i="13" s="1"/>
  <c r="CJ36" i="13" s="1"/>
  <c r="BM46" i="13"/>
  <c r="BU46" i="13" s="1"/>
  <c r="CJ42" i="13" s="1"/>
  <c r="CY23" i="13"/>
  <c r="BP36" i="13"/>
  <c r="BP43" i="13"/>
  <c r="BX43" i="13" s="1"/>
  <c r="BO43" i="13"/>
  <c r="BW43" i="13" s="1"/>
  <c r="BL43" i="13"/>
  <c r="BT43" i="13" s="1"/>
  <c r="BM43" i="13"/>
  <c r="BU43" i="13" s="1"/>
  <c r="BN43" i="13"/>
  <c r="BV43" i="13" s="1"/>
  <c r="CY48" i="13"/>
  <c r="BO36" i="13"/>
  <c r="AG58" i="13"/>
  <c r="BQ22" i="13"/>
  <c r="BN33" i="13"/>
  <c r="Y21" i="1"/>
  <c r="F21" i="1"/>
  <c r="AG55" i="13"/>
  <c r="BP33" i="13"/>
  <c r="BX33" i="13" s="1"/>
  <c r="CM26" i="13" s="1"/>
  <c r="BX59" i="13"/>
  <c r="CM52" i="13" s="1"/>
  <c r="BO33" i="13"/>
  <c r="BP46" i="13"/>
  <c r="BX46" i="13" s="1"/>
  <c r="CM39" i="13" s="1"/>
  <c r="AB23" i="13"/>
  <c r="M282" i="9"/>
  <c r="N282" i="9"/>
  <c r="BP24" i="13"/>
  <c r="BO24" i="13"/>
  <c r="CY24" i="13"/>
  <c r="O61" i="13"/>
  <c r="O53" i="13"/>
  <c r="O45" i="13"/>
  <c r="O37" i="13"/>
  <c r="O29" i="13"/>
  <c r="O21" i="13"/>
  <c r="O42" i="13"/>
  <c r="O18" i="13"/>
  <c r="O41" i="13"/>
  <c r="O32" i="13"/>
  <c r="O55" i="13"/>
  <c r="O31" i="13"/>
  <c r="O38" i="13"/>
  <c r="O60" i="13"/>
  <c r="O52" i="13"/>
  <c r="O44" i="13"/>
  <c r="O36" i="13"/>
  <c r="O28" i="13"/>
  <c r="O20" i="13"/>
  <c r="O50" i="13"/>
  <c r="O26" i="13"/>
  <c r="O49" i="13"/>
  <c r="O25" i="13"/>
  <c r="O40" i="13"/>
  <c r="O47" i="13"/>
  <c r="O54" i="13"/>
  <c r="O30" i="13"/>
  <c r="O59" i="13"/>
  <c r="O51" i="13"/>
  <c r="O43" i="13"/>
  <c r="O35" i="13"/>
  <c r="O27" i="13"/>
  <c r="O19" i="13"/>
  <c r="O58" i="13"/>
  <c r="O34" i="13"/>
  <c r="O57" i="13"/>
  <c r="O33" i="13"/>
  <c r="O48" i="13"/>
  <c r="O24" i="13"/>
  <c r="O39" i="13"/>
  <c r="O46" i="13"/>
  <c r="O56" i="13"/>
  <c r="O23" i="13"/>
  <c r="O22" i="13"/>
  <c r="AF24" i="13"/>
  <c r="AB24" i="13"/>
  <c r="BM24" i="13"/>
  <c r="AC24" i="13"/>
  <c r="AE24" i="13"/>
  <c r="BL24" i="13"/>
  <c r="AD24" i="13"/>
  <c r="BV24" i="13" s="1"/>
  <c r="BN40" i="13"/>
  <c r="BV40" i="13" s="1"/>
  <c r="E39" i="1" s="1"/>
  <c r="BL61" i="13"/>
  <c r="BL56" i="13"/>
  <c r="BT56" i="13" s="1"/>
  <c r="BN32" i="13"/>
  <c r="BO40" i="13"/>
  <c r="BW40" i="13" s="1"/>
  <c r="F39" i="1" s="1"/>
  <c r="AG54" i="13"/>
  <c r="AC38" i="13"/>
  <c r="AD38" i="13"/>
  <c r="BV61" i="13"/>
  <c r="CK56" i="13" s="1"/>
  <c r="AG21" i="13"/>
  <c r="BO25" i="13"/>
  <c r="BM25" i="13"/>
  <c r="BM61" i="13"/>
  <c r="BU61" i="13" s="1"/>
  <c r="BP32" i="13"/>
  <c r="BP51" i="13"/>
  <c r="BX51" i="13" s="1"/>
  <c r="CM44" i="13" s="1"/>
  <c r="BL46" i="13"/>
  <c r="BT46" i="13" s="1"/>
  <c r="BN51" i="13"/>
  <c r="BV51" i="13" s="1"/>
  <c r="CK46" i="13" s="1"/>
  <c r="BL39" i="13"/>
  <c r="BP39" i="13"/>
  <c r="BX39" i="13" s="1"/>
  <c r="AB28" i="13"/>
  <c r="AE28" i="13"/>
  <c r="AF28" i="13"/>
  <c r="AR48" i="13"/>
  <c r="AR46" i="13"/>
  <c r="AR43" i="13"/>
  <c r="BM23" i="13"/>
  <c r="AG41" i="13"/>
  <c r="BL23" i="13"/>
  <c r="BO47" i="13"/>
  <c r="BW47" i="13" s="1"/>
  <c r="CL41" i="13" s="1"/>
  <c r="BL32" i="13"/>
  <c r="AE48" i="13"/>
  <c r="BW48" i="13" s="1"/>
  <c r="L319" i="9"/>
  <c r="AR50" i="13"/>
  <c r="AG56" i="13"/>
  <c r="AD48" i="13"/>
  <c r="BO61" i="13"/>
  <c r="BW61" i="13" s="1"/>
  <c r="CL55" i="13" s="1"/>
  <c r="BU42" i="13"/>
  <c r="BN23" i="13"/>
  <c r="BL51" i="13"/>
  <c r="BT51" i="13" s="1"/>
  <c r="BL28" i="13"/>
  <c r="BN28" i="13"/>
  <c r="BO28" i="13"/>
  <c r="BP28" i="13"/>
  <c r="BM28" i="13"/>
  <c r="N161" i="9"/>
  <c r="Q161" i="9" s="1"/>
  <c r="F161" i="9" s="1"/>
  <c r="P161" i="9"/>
  <c r="F160" i="9" s="1"/>
  <c r="BL60" i="13"/>
  <c r="BO60" i="13"/>
  <c r="BW60" i="13" s="1"/>
  <c r="BM60" i="13"/>
  <c r="BU60" i="13" s="1"/>
  <c r="BN60" i="13"/>
  <c r="BV60" i="13" s="1"/>
  <c r="BP60" i="13"/>
  <c r="BX60" i="13" s="1"/>
  <c r="BS21" i="13"/>
  <c r="U20" i="1"/>
  <c r="A22" i="13"/>
  <c r="BT36" i="13"/>
  <c r="AR44" i="13"/>
  <c r="V21" i="1"/>
  <c r="CI19" i="13"/>
  <c r="C21" i="1"/>
  <c r="AR47" i="13"/>
  <c r="BP38" i="13"/>
  <c r="BM38" i="13"/>
  <c r="BL38" i="13"/>
  <c r="BN38" i="13"/>
  <c r="BO38" i="13"/>
  <c r="AG43" i="13"/>
  <c r="BX45" i="13"/>
  <c r="BV42" i="13"/>
  <c r="BM52" i="13"/>
  <c r="BU52" i="13" s="1"/>
  <c r="BN52" i="13"/>
  <c r="BV52" i="13" s="1"/>
  <c r="BL52" i="13"/>
  <c r="N160" i="9"/>
  <c r="Q160" i="9" s="1"/>
  <c r="P160" i="9"/>
  <c r="AR53" i="13"/>
  <c r="AG45" i="13"/>
  <c r="BL49" i="13"/>
  <c r="BO49" i="13"/>
  <c r="BW49" i="13" s="1"/>
  <c r="BM49" i="13"/>
  <c r="BU49" i="13" s="1"/>
  <c r="BP49" i="13"/>
  <c r="BX49" i="13" s="1"/>
  <c r="BN49" i="13"/>
  <c r="BV49" i="13" s="1"/>
  <c r="AR52" i="13"/>
  <c r="BV41" i="13"/>
  <c r="AR45" i="13"/>
  <c r="BO52" i="13"/>
  <c r="BW52" i="13" s="1"/>
  <c r="AE34" i="13"/>
  <c r="AF34" i="13"/>
  <c r="BX34" i="13" s="1"/>
  <c r="CM27" i="13" s="1"/>
  <c r="CY34" i="13"/>
  <c r="AC34" i="13"/>
  <c r="AB34" i="13"/>
  <c r="AU169" i="12"/>
  <c r="BD38" i="12"/>
  <c r="BD169" i="12" s="1"/>
  <c r="AU168" i="12"/>
  <c r="BD37" i="12"/>
  <c r="BD168" i="12" s="1"/>
  <c r="BU45" i="13"/>
  <c r="AG44" i="13"/>
  <c r="G24" i="1"/>
  <c r="CM18" i="13"/>
  <c r="Z24" i="1"/>
  <c r="N284" i="9"/>
  <c r="M284" i="9"/>
  <c r="BT41" i="13"/>
  <c r="AG39" i="13"/>
  <c r="AR34" i="13"/>
  <c r="BP52" i="13"/>
  <c r="BX52" i="13" s="1"/>
  <c r="N195" i="9"/>
  <c r="BW39" i="13"/>
  <c r="AR58" i="13"/>
  <c r="BT42" i="13" l="1"/>
  <c r="BQ48" i="13"/>
  <c r="BQ42" i="13"/>
  <c r="AG37" i="13"/>
  <c r="BV37" i="13"/>
  <c r="CK32" i="13" s="1"/>
  <c r="BV48" i="13"/>
  <c r="L177" i="9" s="1"/>
  <c r="L178" i="9" s="1"/>
  <c r="BV36" i="13"/>
  <c r="E35" i="1" s="1"/>
  <c r="BV31" i="13"/>
  <c r="X30" i="1" s="1"/>
  <c r="BX48" i="13"/>
  <c r="CM41" i="13" s="1"/>
  <c r="G40" i="12" s="1"/>
  <c r="BU35" i="13"/>
  <c r="D34" i="1" s="1"/>
  <c r="BW77" i="13"/>
  <c r="BW76" i="13"/>
  <c r="BW78" i="13"/>
  <c r="BW75" i="13"/>
  <c r="BU34" i="13"/>
  <c r="CJ30" i="13" s="1"/>
  <c r="BX77" i="13"/>
  <c r="BX76" i="13"/>
  <c r="BU36" i="13"/>
  <c r="W35" i="1" s="1"/>
  <c r="BU26" i="13"/>
  <c r="D25" i="1" s="1"/>
  <c r="BU48" i="13"/>
  <c r="BZ48" i="13" s="1"/>
  <c r="BX30" i="13"/>
  <c r="G29" i="1" s="1"/>
  <c r="BQ37" i="13"/>
  <c r="BV33" i="13"/>
  <c r="CK28" i="13" s="1"/>
  <c r="BV35" i="13"/>
  <c r="E34" i="1" s="1"/>
  <c r="AG25" i="13"/>
  <c r="BT33" i="13"/>
  <c r="V32" i="1" s="1"/>
  <c r="B21" i="1"/>
  <c r="BT32" i="13"/>
  <c r="C31" i="1" s="1"/>
  <c r="BQ35" i="13"/>
  <c r="CP22" i="13"/>
  <c r="BX31" i="13"/>
  <c r="Z30" i="1" s="1"/>
  <c r="BQ31" i="13"/>
  <c r="AG26" i="13"/>
  <c r="BW34" i="13"/>
  <c r="Y33" i="1" s="1"/>
  <c r="K120" i="9"/>
  <c r="K122" i="9" s="1"/>
  <c r="BQ34" i="13"/>
  <c r="BX26" i="13"/>
  <c r="Z25" i="1" s="1"/>
  <c r="AG29" i="13"/>
  <c r="BV27" i="13"/>
  <c r="E26" i="1" s="1"/>
  <c r="R26" i="1" s="1"/>
  <c r="BX35" i="13"/>
  <c r="BQ58" i="13"/>
  <c r="BU31" i="13"/>
  <c r="CJ27" i="13" s="1"/>
  <c r="D26" i="12" s="1"/>
  <c r="AR26" i="12" s="1"/>
  <c r="AG36" i="13"/>
  <c r="BV26" i="13"/>
  <c r="E25" i="1" s="1"/>
  <c r="BX37" i="13"/>
  <c r="G36" i="1" s="1"/>
  <c r="BT31" i="13"/>
  <c r="C30" i="1" s="1"/>
  <c r="W32" i="1"/>
  <c r="BQ44" i="13"/>
  <c r="D31" i="1"/>
  <c r="D32" i="1"/>
  <c r="AG32" i="13"/>
  <c r="BU37" i="13"/>
  <c r="BZ37" i="13" s="1"/>
  <c r="BQ55" i="13"/>
  <c r="BU30" i="13"/>
  <c r="W29" i="1" s="1"/>
  <c r="BV29" i="13"/>
  <c r="E28" i="1" s="1"/>
  <c r="AG35" i="13"/>
  <c r="CL25" i="13"/>
  <c r="F24" i="12" s="1"/>
  <c r="BV28" i="13"/>
  <c r="CK23" i="13" s="1"/>
  <c r="BW33" i="13"/>
  <c r="Y32" i="1" s="1"/>
  <c r="F29" i="1"/>
  <c r="F30" i="1"/>
  <c r="BX32" i="13"/>
  <c r="G31" i="1" s="1"/>
  <c r="BU29" i="13"/>
  <c r="BZ29" i="13" s="1"/>
  <c r="BX55" i="13"/>
  <c r="CM48" i="13" s="1"/>
  <c r="B21" i="12"/>
  <c r="AQ17" i="12" s="1"/>
  <c r="AQ148" i="12" s="1"/>
  <c r="Z41" i="1"/>
  <c r="BU25" i="13"/>
  <c r="D24" i="1" s="1"/>
  <c r="AG23" i="13"/>
  <c r="G41" i="1"/>
  <c r="BZ55" i="13"/>
  <c r="BW27" i="13"/>
  <c r="CL21" i="13" s="1"/>
  <c r="V36" i="1"/>
  <c r="C36" i="1"/>
  <c r="X24" i="1"/>
  <c r="CK20" i="13"/>
  <c r="E19" i="12" s="1"/>
  <c r="E24" i="1"/>
  <c r="Q25" i="1" s="1"/>
  <c r="F28" i="1"/>
  <c r="Y39" i="1"/>
  <c r="F22" i="1"/>
  <c r="BQ27" i="13"/>
  <c r="BQ29" i="13"/>
  <c r="CL34" i="13"/>
  <c r="F33" i="12" s="1"/>
  <c r="BX38" i="13"/>
  <c r="Z37" i="1" s="1"/>
  <c r="BQ54" i="13"/>
  <c r="E43" i="1"/>
  <c r="CK39" i="13"/>
  <c r="E38" i="12" s="1"/>
  <c r="E150" i="12" s="1"/>
  <c r="BQ59" i="13"/>
  <c r="BT25" i="13"/>
  <c r="V24" i="1" s="1"/>
  <c r="AG33" i="13"/>
  <c r="CM32" i="13"/>
  <c r="BW38" i="13"/>
  <c r="CL32" i="13" s="1"/>
  <c r="BU28" i="13"/>
  <c r="CJ24" i="13" s="1"/>
  <c r="D23" i="12" s="1"/>
  <c r="BW36" i="13"/>
  <c r="F35" i="1" s="1"/>
  <c r="BQ26" i="13"/>
  <c r="X43" i="1"/>
  <c r="X39" i="1"/>
  <c r="BZ57" i="13"/>
  <c r="BW25" i="13"/>
  <c r="F24" i="1" s="1"/>
  <c r="BV34" i="13"/>
  <c r="X33" i="1" s="1"/>
  <c r="BZ59" i="13"/>
  <c r="G43" i="1"/>
  <c r="X29" i="1"/>
  <c r="AG28" i="13"/>
  <c r="BU23" i="13"/>
  <c r="CM37" i="13"/>
  <c r="G36" i="12" s="1"/>
  <c r="BQ23" i="13"/>
  <c r="BQ36" i="13"/>
  <c r="BQ50" i="13"/>
  <c r="Z32" i="1"/>
  <c r="CL24" i="13"/>
  <c r="F23" i="12" s="1"/>
  <c r="CI34" i="13"/>
  <c r="C33" i="12" s="1"/>
  <c r="BT29" i="13"/>
  <c r="C28" i="1" s="1"/>
  <c r="BU27" i="13"/>
  <c r="CJ23" i="13" s="1"/>
  <c r="G38" i="1"/>
  <c r="BT59" i="13"/>
  <c r="BY59" i="13" s="1"/>
  <c r="CA59" i="13" s="1"/>
  <c r="G39" i="1"/>
  <c r="AG27" i="13"/>
  <c r="CI24" i="13"/>
  <c r="C23" i="12" s="1"/>
  <c r="BQ41" i="13"/>
  <c r="C26" i="1"/>
  <c r="S27" i="1" s="1"/>
  <c r="Z38" i="1"/>
  <c r="BT34" i="13"/>
  <c r="V33" i="1" s="1"/>
  <c r="Z39" i="1"/>
  <c r="BQ57" i="13"/>
  <c r="E29" i="1"/>
  <c r="AG38" i="13"/>
  <c r="BX36" i="13"/>
  <c r="CM29" i="13" s="1"/>
  <c r="G28" i="12" s="1"/>
  <c r="BZ46" i="13"/>
  <c r="AG30" i="13"/>
  <c r="Z26" i="1"/>
  <c r="BQ30" i="13"/>
  <c r="Y28" i="1"/>
  <c r="CL31" i="13"/>
  <c r="F30" i="12" s="1"/>
  <c r="BQ56" i="13"/>
  <c r="BT30" i="13"/>
  <c r="V29" i="1" s="1"/>
  <c r="CM34" i="13"/>
  <c r="F41" i="1"/>
  <c r="BY54" i="13"/>
  <c r="CC54" i="13" s="1"/>
  <c r="CJ28" i="13"/>
  <c r="D27" i="12" s="1"/>
  <c r="Z29" i="1"/>
  <c r="BQ53" i="13"/>
  <c r="Z40" i="1"/>
  <c r="Y41" i="1"/>
  <c r="G26" i="1"/>
  <c r="F36" i="1"/>
  <c r="CL39" i="13"/>
  <c r="F38" i="12" s="1"/>
  <c r="F150" i="12" s="1"/>
  <c r="G71" i="9"/>
  <c r="AV88" i="9" s="1"/>
  <c r="G28" i="1"/>
  <c r="BQ45" i="13"/>
  <c r="E42" i="1"/>
  <c r="CK38" i="13"/>
  <c r="E37" i="12" s="1"/>
  <c r="X42" i="1"/>
  <c r="BZ43" i="13"/>
  <c r="D42" i="1"/>
  <c r="CJ39" i="13"/>
  <c r="D38" i="12" s="1"/>
  <c r="AR38" i="12" s="1"/>
  <c r="W42" i="1"/>
  <c r="F42" i="1"/>
  <c r="Y42" i="1"/>
  <c r="CL37" i="13"/>
  <c r="F36" i="12" s="1"/>
  <c r="F148" i="12" s="1"/>
  <c r="AG31" i="13"/>
  <c r="W39" i="1"/>
  <c r="Y22" i="1"/>
  <c r="CK31" i="13"/>
  <c r="E30" i="12" s="1"/>
  <c r="BW24" i="13"/>
  <c r="CL18" i="13" s="1"/>
  <c r="F17" i="12" s="1"/>
  <c r="BY45" i="13"/>
  <c r="CA45" i="13" s="1"/>
  <c r="BQ47" i="13"/>
  <c r="D39" i="1"/>
  <c r="BQ43" i="13"/>
  <c r="CJ50" i="13"/>
  <c r="M120" i="9"/>
  <c r="M126" i="9" s="1"/>
  <c r="BQ46" i="13"/>
  <c r="BV38" i="13"/>
  <c r="X37" i="1" s="1"/>
  <c r="BZ58" i="13"/>
  <c r="BZ54" i="13"/>
  <c r="BQ61" i="13"/>
  <c r="BX24" i="13"/>
  <c r="G23" i="1" s="1"/>
  <c r="G32" i="1"/>
  <c r="BZ51" i="13"/>
  <c r="Y43" i="1"/>
  <c r="BX28" i="13"/>
  <c r="BV23" i="13"/>
  <c r="G42" i="1"/>
  <c r="Z42" i="1"/>
  <c r="CM36" i="13"/>
  <c r="G35" i="12" s="1"/>
  <c r="G147" i="12" s="1"/>
  <c r="BQ33" i="13"/>
  <c r="BU38" i="13"/>
  <c r="CJ34" i="13" s="1"/>
  <c r="AD56" i="9"/>
  <c r="AD59" i="9" s="1"/>
  <c r="BW28" i="13"/>
  <c r="CL22" i="13" s="1"/>
  <c r="F21" i="12" s="1"/>
  <c r="BQ39" i="13"/>
  <c r="BQ32" i="13"/>
  <c r="CK19" i="13"/>
  <c r="E18" i="12" s="1"/>
  <c r="BU24" i="13"/>
  <c r="X23" i="1"/>
  <c r="E23" i="1"/>
  <c r="BQ24" i="13"/>
  <c r="AG24" i="13"/>
  <c r="BT24" i="13"/>
  <c r="BZ42" i="13"/>
  <c r="BV32" i="13"/>
  <c r="BZ40" i="13"/>
  <c r="BT23" i="13"/>
  <c r="AG34" i="13"/>
  <c r="BQ40" i="13"/>
  <c r="W41" i="1"/>
  <c r="N319" i="9"/>
  <c r="M319" i="9"/>
  <c r="W24" i="1"/>
  <c r="CK35" i="13"/>
  <c r="E34" i="12" s="1"/>
  <c r="BT61" i="13"/>
  <c r="BY61" i="13" s="1"/>
  <c r="CJ38" i="13"/>
  <c r="Y25" i="1"/>
  <c r="H218" i="9"/>
  <c r="H219" i="9" s="1"/>
  <c r="H301" i="9"/>
  <c r="H302" i="9" s="1"/>
  <c r="Z28" i="1"/>
  <c r="D41" i="1"/>
  <c r="CL20" i="13"/>
  <c r="F19" i="12" s="1"/>
  <c r="F43" i="1"/>
  <c r="BT39" i="13"/>
  <c r="M177" i="9"/>
  <c r="CL42" i="13"/>
  <c r="F41" i="12" s="1"/>
  <c r="BQ51" i="13"/>
  <c r="AG48" i="13"/>
  <c r="BQ25" i="13"/>
  <c r="BQ28" i="13"/>
  <c r="BT28" i="13"/>
  <c r="CM45" i="13"/>
  <c r="BZ53" i="13"/>
  <c r="CJ49" i="13"/>
  <c r="CM49" i="13"/>
  <c r="BQ60" i="13"/>
  <c r="BT60" i="13"/>
  <c r="CI53" i="13"/>
  <c r="BY56" i="13"/>
  <c r="CD56" i="13" s="1"/>
  <c r="D41" i="12"/>
  <c r="Y31" i="1"/>
  <c r="CL26" i="13"/>
  <c r="F31" i="1"/>
  <c r="L120" i="9"/>
  <c r="CK42" i="13"/>
  <c r="CJ45" i="13"/>
  <c r="BZ49" i="13"/>
  <c r="W34" i="1"/>
  <c r="D35" i="12"/>
  <c r="BQ38" i="13"/>
  <c r="BT38" i="13"/>
  <c r="CJ56" i="13"/>
  <c r="BZ60" i="13"/>
  <c r="F37" i="12"/>
  <c r="CM43" i="13"/>
  <c r="Z33" i="1"/>
  <c r="G33" i="1"/>
  <c r="BZ56" i="13"/>
  <c r="CJ52" i="13"/>
  <c r="CN52" i="13" s="1"/>
  <c r="CL43" i="13"/>
  <c r="E160" i="9"/>
  <c r="P163" i="9"/>
  <c r="C41" i="12"/>
  <c r="CK51" i="13"/>
  <c r="CN51" i="13" s="1"/>
  <c r="CU51" i="13" s="1"/>
  <c r="CI32" i="13"/>
  <c r="V34" i="1"/>
  <c r="C34" i="1"/>
  <c r="BY57" i="13"/>
  <c r="CA57" i="13" s="1"/>
  <c r="CI54" i="13"/>
  <c r="CL54" i="13"/>
  <c r="C32" i="1"/>
  <c r="CI30" i="13"/>
  <c r="CM54" i="13"/>
  <c r="Q163" i="9"/>
  <c r="E161" i="9"/>
  <c r="CI45" i="13"/>
  <c r="G21" i="12"/>
  <c r="BS22" i="13"/>
  <c r="A23" i="13"/>
  <c r="U21" i="1"/>
  <c r="CI38" i="13"/>
  <c r="V40" i="1"/>
  <c r="BY41" i="13"/>
  <c r="CC41" i="13" s="1"/>
  <c r="C40" i="1"/>
  <c r="F40" i="12"/>
  <c r="G32" i="12"/>
  <c r="F22" i="12"/>
  <c r="CI44" i="13"/>
  <c r="BY47" i="13"/>
  <c r="CC47" i="13" s="1"/>
  <c r="CI55" i="13"/>
  <c r="BY58" i="13"/>
  <c r="CA58" i="13" s="1"/>
  <c r="CJ40" i="13"/>
  <c r="AD58" i="9"/>
  <c r="W43" i="1"/>
  <c r="BZ44" i="13"/>
  <c r="D43" i="1"/>
  <c r="BZ39" i="13"/>
  <c r="W38" i="1"/>
  <c r="D38" i="1"/>
  <c r="R39" i="1" s="1"/>
  <c r="CJ35" i="13"/>
  <c r="CK47" i="13"/>
  <c r="CN47" i="13" s="1"/>
  <c r="CK37" i="13"/>
  <c r="E41" i="1"/>
  <c r="X41" i="1"/>
  <c r="CL33" i="13"/>
  <c r="Y38" i="1"/>
  <c r="F38" i="1"/>
  <c r="L184" i="9"/>
  <c r="L180" i="9"/>
  <c r="BZ47" i="13"/>
  <c r="C25" i="1"/>
  <c r="CI23" i="13"/>
  <c r="V25" i="1"/>
  <c r="BZ45" i="13"/>
  <c r="E71" i="9"/>
  <c r="AV90" i="9" s="1"/>
  <c r="CJ41" i="13"/>
  <c r="G25" i="12"/>
  <c r="BZ52" i="13"/>
  <c r="CJ48" i="13"/>
  <c r="F40" i="1"/>
  <c r="CL35" i="13"/>
  <c r="Y40" i="1"/>
  <c r="C18" i="12"/>
  <c r="F35" i="12"/>
  <c r="E24" i="12"/>
  <c r="BZ50" i="13"/>
  <c r="CJ46" i="13"/>
  <c r="F33" i="1"/>
  <c r="CI43" i="13"/>
  <c r="BY46" i="13"/>
  <c r="CA46" i="13" s="1"/>
  <c r="BT49" i="13"/>
  <c r="BQ49" i="13"/>
  <c r="CJ57" i="13"/>
  <c r="BZ61" i="13"/>
  <c r="V35" i="1"/>
  <c r="C35" i="1"/>
  <c r="CI33" i="13"/>
  <c r="K129" i="9"/>
  <c r="K123" i="9"/>
  <c r="X40" i="1"/>
  <c r="CK36" i="13"/>
  <c r="E40" i="1"/>
  <c r="BZ41" i="13"/>
  <c r="W40" i="1"/>
  <c r="CJ37" i="13"/>
  <c r="D40" i="1"/>
  <c r="CM38" i="13"/>
  <c r="S22" i="1"/>
  <c r="D28" i="12"/>
  <c r="Y34" i="1"/>
  <c r="F34" i="1"/>
  <c r="CL29" i="13"/>
  <c r="BY42" i="13"/>
  <c r="CC42" i="13" s="1"/>
  <c r="C41" i="1"/>
  <c r="V41" i="1"/>
  <c r="CI39" i="13"/>
  <c r="D42" i="12"/>
  <c r="G17" i="12"/>
  <c r="G38" i="12"/>
  <c r="CK40" i="13"/>
  <c r="F71" i="9"/>
  <c r="AV89" i="9" s="1"/>
  <c r="CJ32" i="13"/>
  <c r="CH24" i="13"/>
  <c r="CP23" i="13"/>
  <c r="B22" i="12"/>
  <c r="AQ18" i="12" s="1"/>
  <c r="B22" i="1"/>
  <c r="CI50" i="13"/>
  <c r="BY53" i="13"/>
  <c r="CA53" i="13" s="1"/>
  <c r="CK44" i="13"/>
  <c r="G39" i="12"/>
  <c r="G34" i="12"/>
  <c r="CM53" i="13"/>
  <c r="G22" i="1"/>
  <c r="Z22" i="1"/>
  <c r="CL46" i="13"/>
  <c r="BT52" i="13"/>
  <c r="BQ52" i="13"/>
  <c r="C42" i="1"/>
  <c r="V42" i="1"/>
  <c r="CI40" i="13"/>
  <c r="BY43" i="13"/>
  <c r="CA43" i="13" s="1"/>
  <c r="CK48" i="13"/>
  <c r="BY51" i="13"/>
  <c r="CA51" i="13" s="1"/>
  <c r="CI48" i="13"/>
  <c r="CK34" i="13"/>
  <c r="E38" i="1"/>
  <c r="X38" i="1"/>
  <c r="F39" i="12"/>
  <c r="BY50" i="13"/>
  <c r="CB50" i="13" s="1"/>
  <c r="CM42" i="13"/>
  <c r="E40" i="12"/>
  <c r="G43" i="12"/>
  <c r="E31" i="12"/>
  <c r="V39" i="1"/>
  <c r="C39" i="1"/>
  <c r="BY40" i="13"/>
  <c r="CA40" i="13" s="1"/>
  <c r="CI37" i="13"/>
  <c r="CI41" i="13"/>
  <c r="C43" i="1"/>
  <c r="V43" i="1"/>
  <c r="BY44" i="13"/>
  <c r="CA44" i="13" s="1"/>
  <c r="F43" i="12"/>
  <c r="CK55" i="13"/>
  <c r="BW66" i="13" l="1"/>
  <c r="R35" i="1"/>
  <c r="BW71" i="13"/>
  <c r="CK43" i="13"/>
  <c r="E42" i="12" s="1"/>
  <c r="Q36" i="1"/>
  <c r="BU76" i="13"/>
  <c r="BX78" i="13"/>
  <c r="BX70" i="13"/>
  <c r="X34" i="1"/>
  <c r="CL71" i="13"/>
  <c r="CL70" i="13"/>
  <c r="CM72" i="13"/>
  <c r="CM70" i="13"/>
  <c r="CM71" i="13"/>
  <c r="BU77" i="13"/>
  <c r="BX75" i="13"/>
  <c r="BV78" i="13"/>
  <c r="BX67" i="13"/>
  <c r="CL67" i="13"/>
  <c r="CK30" i="13"/>
  <c r="E36" i="1"/>
  <c r="X36" i="1"/>
  <c r="CJ65" i="13"/>
  <c r="BU75" i="13"/>
  <c r="BV76" i="13"/>
  <c r="BW68" i="13"/>
  <c r="BX66" i="13"/>
  <c r="CL66" i="13"/>
  <c r="BT68" i="13"/>
  <c r="BT70" i="13"/>
  <c r="BT71" i="13"/>
  <c r="BT66" i="13"/>
  <c r="BT67" i="13"/>
  <c r="BT65" i="13"/>
  <c r="E30" i="1"/>
  <c r="Q31" i="1" s="1"/>
  <c r="BW67" i="13"/>
  <c r="BX65" i="13"/>
  <c r="D35" i="1"/>
  <c r="CJ72" i="13"/>
  <c r="CJ70" i="13"/>
  <c r="CJ71" i="13"/>
  <c r="CK26" i="13"/>
  <c r="E25" i="12" s="1"/>
  <c r="BA26" i="12" s="1"/>
  <c r="BE26" i="12" s="1"/>
  <c r="X35" i="1"/>
  <c r="BV66" i="13"/>
  <c r="BV67" i="13"/>
  <c r="BV70" i="13"/>
  <c r="BV65" i="13"/>
  <c r="BV68" i="13"/>
  <c r="BV71" i="13"/>
  <c r="BU70" i="13"/>
  <c r="BU65" i="13"/>
  <c r="BU22" i="13" s="1"/>
  <c r="W21" i="1" s="1"/>
  <c r="BU68" i="13"/>
  <c r="BU71" i="13"/>
  <c r="BU66" i="13"/>
  <c r="BU67" i="13"/>
  <c r="BU78" i="13"/>
  <c r="BV75" i="13"/>
  <c r="BW65" i="13"/>
  <c r="BX71" i="13"/>
  <c r="BV77" i="13"/>
  <c r="BW70" i="13"/>
  <c r="BX68" i="13"/>
  <c r="CJ31" i="13"/>
  <c r="CN31" i="13" s="1"/>
  <c r="CR31" i="13" s="1"/>
  <c r="CK73" i="13"/>
  <c r="BX72" i="13"/>
  <c r="BV72" i="13"/>
  <c r="CJ22" i="13"/>
  <c r="D21" i="12" s="1"/>
  <c r="AR21" i="12" s="1"/>
  <c r="BT72" i="13"/>
  <c r="L179" i="9"/>
  <c r="CL73" i="13"/>
  <c r="CL72" i="13"/>
  <c r="CJ44" i="13"/>
  <c r="D43" i="12" s="1"/>
  <c r="BU72" i="13"/>
  <c r="BW72" i="13"/>
  <c r="BW73" i="13"/>
  <c r="W33" i="1"/>
  <c r="CJ73" i="13"/>
  <c r="BZ35" i="13"/>
  <c r="BZ33" i="13"/>
  <c r="Y37" i="1"/>
  <c r="E32" i="1"/>
  <c r="Q33" i="1" s="1"/>
  <c r="BY30" i="13"/>
  <c r="CA30" i="13" s="1"/>
  <c r="W25" i="1"/>
  <c r="CM73" i="13"/>
  <c r="BT76" i="13"/>
  <c r="BT78" i="13"/>
  <c r="BT75" i="13"/>
  <c r="BT77" i="13"/>
  <c r="CJ19" i="13"/>
  <c r="D18" i="12" s="1"/>
  <c r="BU73" i="13"/>
  <c r="D33" i="1"/>
  <c r="S33" i="1" s="1"/>
  <c r="BT73" i="13"/>
  <c r="CM24" i="13"/>
  <c r="G23" i="12" s="1"/>
  <c r="G30" i="1"/>
  <c r="BX73" i="13"/>
  <c r="BV73" i="13"/>
  <c r="F32" i="1"/>
  <c r="CJ21" i="13"/>
  <c r="D20" i="12" s="1"/>
  <c r="AR20" i="12" s="1"/>
  <c r="AV20" i="12" s="1"/>
  <c r="CM23" i="13"/>
  <c r="X32" i="1"/>
  <c r="X26" i="1"/>
  <c r="BY48" i="13"/>
  <c r="CA48" i="13" s="1"/>
  <c r="CK21" i="13"/>
  <c r="E20" i="12" s="1"/>
  <c r="BA21" i="12" s="1"/>
  <c r="BY33" i="13"/>
  <c r="CD33" i="13" s="1"/>
  <c r="BY35" i="13"/>
  <c r="CC35" i="13" s="1"/>
  <c r="BZ26" i="13"/>
  <c r="K130" i="9"/>
  <c r="CM28" i="13"/>
  <c r="CK22" i="13"/>
  <c r="E21" i="12" s="1"/>
  <c r="BA22" i="12" s="1"/>
  <c r="R25" i="1"/>
  <c r="V30" i="1"/>
  <c r="BZ36" i="13"/>
  <c r="CI29" i="13"/>
  <c r="C28" i="12" s="1"/>
  <c r="D22" i="1"/>
  <c r="R23" i="1" s="1"/>
  <c r="CM25" i="13"/>
  <c r="G24" i="12" s="1"/>
  <c r="Z34" i="1"/>
  <c r="CL28" i="13"/>
  <c r="F27" i="12" s="1"/>
  <c r="CL27" i="13"/>
  <c r="F26" i="12" s="1"/>
  <c r="Q43" i="1"/>
  <c r="Q29" i="1"/>
  <c r="C29" i="1"/>
  <c r="X25" i="1"/>
  <c r="Y35" i="1"/>
  <c r="CL30" i="13"/>
  <c r="F29" i="12" s="1"/>
  <c r="V31" i="1"/>
  <c r="D29" i="1"/>
  <c r="R30" i="1" s="1"/>
  <c r="G34" i="1"/>
  <c r="CM30" i="13"/>
  <c r="G29" i="12" s="1"/>
  <c r="Q30" i="1"/>
  <c r="K128" i="9"/>
  <c r="Z36" i="1"/>
  <c r="CM19" i="13"/>
  <c r="G18" i="12" s="1"/>
  <c r="BY31" i="13"/>
  <c r="CA31" i="13" s="1"/>
  <c r="CD45" i="13"/>
  <c r="BY26" i="13"/>
  <c r="CE26" i="13" s="1"/>
  <c r="G25" i="1"/>
  <c r="CI28" i="13"/>
  <c r="C27" i="12" s="1"/>
  <c r="CJ26" i="13"/>
  <c r="D25" i="12" s="1"/>
  <c r="AR25" i="12" s="1"/>
  <c r="BZ31" i="13"/>
  <c r="CI22" i="13"/>
  <c r="C21" i="12" s="1"/>
  <c r="CB45" i="13"/>
  <c r="BY36" i="13"/>
  <c r="CD36" i="13" s="1"/>
  <c r="W30" i="1"/>
  <c r="D22" i="12"/>
  <c r="AR22" i="12" s="1"/>
  <c r="CA54" i="13"/>
  <c r="M129" i="9"/>
  <c r="CK18" i="13"/>
  <c r="E17" i="12" s="1"/>
  <c r="BA18" i="12" s="1"/>
  <c r="W22" i="1"/>
  <c r="M122" i="9"/>
  <c r="F27" i="1"/>
  <c r="Q27" i="1" s="1"/>
  <c r="D30" i="1"/>
  <c r="X28" i="1"/>
  <c r="E22" i="12"/>
  <c r="BA23" i="12" s="1"/>
  <c r="BZ34" i="13"/>
  <c r="Y24" i="1"/>
  <c r="BZ30" i="13"/>
  <c r="G22" i="12"/>
  <c r="W36" i="1"/>
  <c r="D36" i="1"/>
  <c r="S36" i="1" s="1"/>
  <c r="CJ33" i="13"/>
  <c r="D32" i="12" s="1"/>
  <c r="AR32" i="12" s="1"/>
  <c r="Z31" i="1"/>
  <c r="Y26" i="1"/>
  <c r="R43" i="1"/>
  <c r="BY37" i="13"/>
  <c r="CA37" i="13" s="1"/>
  <c r="F26" i="1"/>
  <c r="Q26" i="1" s="1"/>
  <c r="CK24" i="13"/>
  <c r="E23" i="12" s="1"/>
  <c r="BA24" i="12" s="1"/>
  <c r="M128" i="9"/>
  <c r="CI31" i="13"/>
  <c r="C30" i="12" s="1"/>
  <c r="CK29" i="13"/>
  <c r="E28" i="12" s="1"/>
  <c r="BA29" i="12" s="1"/>
  <c r="CI26" i="13"/>
  <c r="C25" i="12" s="1"/>
  <c r="H71" i="9"/>
  <c r="Z35" i="1"/>
  <c r="E37" i="1"/>
  <c r="Q38" i="1" s="1"/>
  <c r="C24" i="1"/>
  <c r="S25" i="1" s="1"/>
  <c r="BA39" i="12"/>
  <c r="BE39" i="12" s="1"/>
  <c r="R42" i="1"/>
  <c r="E27" i="1"/>
  <c r="BZ27" i="13"/>
  <c r="D26" i="1"/>
  <c r="BY55" i="13"/>
  <c r="CE55" i="13" s="1"/>
  <c r="X27" i="1"/>
  <c r="C33" i="1"/>
  <c r="S34" i="1" s="1"/>
  <c r="BY34" i="13"/>
  <c r="AA33" i="1" s="1"/>
  <c r="BY29" i="13"/>
  <c r="CA29" i="13" s="1"/>
  <c r="BZ23" i="13"/>
  <c r="D150" i="12"/>
  <c r="E33" i="1"/>
  <c r="R33" i="1" s="1"/>
  <c r="CJ25" i="13"/>
  <c r="D24" i="12" s="1"/>
  <c r="AR24" i="12" s="1"/>
  <c r="W28" i="1"/>
  <c r="D28" i="1"/>
  <c r="R29" i="1" s="1"/>
  <c r="BY39" i="13"/>
  <c r="F37" i="1"/>
  <c r="Z23" i="1"/>
  <c r="G37" i="1"/>
  <c r="W27" i="1"/>
  <c r="Q41" i="1"/>
  <c r="G31" i="12"/>
  <c r="CM31" i="13"/>
  <c r="G30" i="12" s="1"/>
  <c r="CI56" i="13"/>
  <c r="BY23" i="13"/>
  <c r="F23" i="1"/>
  <c r="CB54" i="13"/>
  <c r="CC45" i="13"/>
  <c r="V28" i="1"/>
  <c r="X22" i="1"/>
  <c r="BZ24" i="13"/>
  <c r="D27" i="1"/>
  <c r="R28" i="1" s="1"/>
  <c r="W37" i="1"/>
  <c r="E22" i="1"/>
  <c r="M125" i="9"/>
  <c r="G35" i="1"/>
  <c r="D37" i="1"/>
  <c r="S37" i="1" s="1"/>
  <c r="CI20" i="13"/>
  <c r="C19" i="12" s="1"/>
  <c r="BZ25" i="13"/>
  <c r="W26" i="1"/>
  <c r="CL19" i="13"/>
  <c r="F18" i="12" s="1"/>
  <c r="AD60" i="9"/>
  <c r="AW60" i="9" s="1"/>
  <c r="AX60" i="9" s="1"/>
  <c r="CD54" i="13"/>
  <c r="BY25" i="13"/>
  <c r="CD25" i="13" s="1"/>
  <c r="BY27" i="13"/>
  <c r="CD27" i="13" s="1"/>
  <c r="CE54" i="13"/>
  <c r="CA47" i="13"/>
  <c r="CA33" i="13"/>
  <c r="Z27" i="1"/>
  <c r="CE45" i="13"/>
  <c r="CD41" i="13"/>
  <c r="M124" i="9"/>
  <c r="CA41" i="13"/>
  <c r="V22" i="1"/>
  <c r="G27" i="1"/>
  <c r="CB41" i="13"/>
  <c r="G33" i="12"/>
  <c r="G145" i="12" s="1"/>
  <c r="CI27" i="13"/>
  <c r="C26" i="12" s="1"/>
  <c r="BZ38" i="13"/>
  <c r="CK33" i="13"/>
  <c r="E32" i="12" s="1"/>
  <c r="BY32" i="13"/>
  <c r="CA32" i="13" s="1"/>
  <c r="R36" i="1"/>
  <c r="X31" i="1"/>
  <c r="CT52" i="13"/>
  <c r="CQ52" i="13"/>
  <c r="BZ28" i="13"/>
  <c r="M130" i="9"/>
  <c r="CM21" i="13"/>
  <c r="G20" i="12" s="1"/>
  <c r="Y23" i="1"/>
  <c r="Y27" i="1"/>
  <c r="M123" i="9"/>
  <c r="Q24" i="1"/>
  <c r="CJ20" i="13"/>
  <c r="D19" i="12" s="1"/>
  <c r="AR19" i="12" s="1"/>
  <c r="D23" i="1"/>
  <c r="R24" i="1" s="1"/>
  <c r="W23" i="1"/>
  <c r="BY24" i="13"/>
  <c r="CC24" i="13" s="1"/>
  <c r="D37" i="12"/>
  <c r="D149" i="12" s="1"/>
  <c r="CI21" i="13"/>
  <c r="C20" i="12" s="1"/>
  <c r="V23" i="1"/>
  <c r="C23" i="1"/>
  <c r="S24" i="1" s="1"/>
  <c r="CB61" i="13"/>
  <c r="CE61" i="13"/>
  <c r="CA61" i="13"/>
  <c r="CN34" i="13"/>
  <c r="CU34" i="13" s="1"/>
  <c r="CK27" i="13"/>
  <c r="BZ32" i="13"/>
  <c r="CI58" i="13"/>
  <c r="C22" i="1"/>
  <c r="M179" i="9"/>
  <c r="M184" i="9"/>
  <c r="M180" i="9"/>
  <c r="M178" i="9"/>
  <c r="AR169" i="12"/>
  <c r="AV169" i="12" s="1"/>
  <c r="AW169" i="12" s="1"/>
  <c r="AX169" i="12" s="1"/>
  <c r="AV38" i="12"/>
  <c r="AW38" i="12" s="1"/>
  <c r="AX38" i="12" s="1"/>
  <c r="E31" i="1"/>
  <c r="CB56" i="13"/>
  <c r="BY28" i="13"/>
  <c r="C27" i="1"/>
  <c r="V27" i="1"/>
  <c r="CI25" i="13"/>
  <c r="C24" i="12" s="1"/>
  <c r="C38" i="1"/>
  <c r="S39" i="1" s="1"/>
  <c r="V38" i="1"/>
  <c r="CI36" i="13"/>
  <c r="CZ47" i="13"/>
  <c r="CT47" i="13"/>
  <c r="CQ47" i="13"/>
  <c r="CU47" i="13"/>
  <c r="CR47" i="13"/>
  <c r="S42" i="1"/>
  <c r="E36" i="12"/>
  <c r="CN54" i="13"/>
  <c r="CU54" i="13" s="1"/>
  <c r="G26" i="12"/>
  <c r="S29" i="1"/>
  <c r="L122" i="9"/>
  <c r="L124" i="9"/>
  <c r="L128" i="9"/>
  <c r="L130" i="9"/>
  <c r="L129" i="9"/>
  <c r="L125" i="9"/>
  <c r="L126" i="9"/>
  <c r="L123" i="9"/>
  <c r="E39" i="12"/>
  <c r="C36" i="12"/>
  <c r="CN37" i="13"/>
  <c r="CR37" i="13" s="1"/>
  <c r="CN48" i="13"/>
  <c r="CQ48" i="13" s="1"/>
  <c r="CA42" i="13"/>
  <c r="E27" i="12"/>
  <c r="CI46" i="13"/>
  <c r="BY49" i="13"/>
  <c r="BA25" i="12"/>
  <c r="D40" i="12"/>
  <c r="CC26" i="13"/>
  <c r="D34" i="12"/>
  <c r="S41" i="1"/>
  <c r="CN45" i="13"/>
  <c r="CQ45" i="13" s="1"/>
  <c r="S35" i="1"/>
  <c r="F42" i="12"/>
  <c r="G42" i="12"/>
  <c r="D147" i="12"/>
  <c r="AR35" i="12"/>
  <c r="CE59" i="13"/>
  <c r="CD59" i="13"/>
  <c r="CC59" i="13"/>
  <c r="CB59" i="13"/>
  <c r="AA39" i="1"/>
  <c r="H39" i="1"/>
  <c r="J39" i="1" s="1"/>
  <c r="CB40" i="13"/>
  <c r="CC40" i="13"/>
  <c r="CD40" i="13"/>
  <c r="CE40" i="13"/>
  <c r="CD51" i="13"/>
  <c r="CC51" i="13"/>
  <c r="CB51" i="13"/>
  <c r="CE51" i="13"/>
  <c r="S43" i="1"/>
  <c r="F31" i="12"/>
  <c r="S32" i="1"/>
  <c r="E43" i="12"/>
  <c r="AZ18" i="12"/>
  <c r="AZ149" i="12" s="1"/>
  <c r="AQ149" i="12"/>
  <c r="G150" i="12"/>
  <c r="AR28" i="12"/>
  <c r="R40" i="1"/>
  <c r="CR51" i="13"/>
  <c r="C32" i="12"/>
  <c r="CE46" i="13"/>
  <c r="CD46" i="13"/>
  <c r="CB46" i="13"/>
  <c r="CC46" i="13"/>
  <c r="R41" i="1"/>
  <c r="Q42" i="1"/>
  <c r="AA40" i="1"/>
  <c r="H40" i="1"/>
  <c r="N40" i="1" s="1"/>
  <c r="CE41" i="13"/>
  <c r="U22" i="1"/>
  <c r="BS23" i="13"/>
  <c r="A24" i="13"/>
  <c r="H161" i="9"/>
  <c r="E168" i="9"/>
  <c r="H168" i="9" s="1"/>
  <c r="H173" i="9" s="1"/>
  <c r="H160" i="9"/>
  <c r="E166" i="9"/>
  <c r="H166" i="9" s="1"/>
  <c r="E167" i="9"/>
  <c r="H167" i="9" s="1"/>
  <c r="H172" i="9" s="1"/>
  <c r="CR52" i="13"/>
  <c r="S31" i="1"/>
  <c r="E41" i="12"/>
  <c r="S40" i="1"/>
  <c r="F145" i="12"/>
  <c r="AV91" i="9"/>
  <c r="AV92" i="9"/>
  <c r="AW90" i="9" s="1"/>
  <c r="G37" i="12"/>
  <c r="E35" i="12"/>
  <c r="E146" i="12"/>
  <c r="BA35" i="12"/>
  <c r="H43" i="1"/>
  <c r="J43" i="1" s="1"/>
  <c r="AA43" i="1"/>
  <c r="CC44" i="13"/>
  <c r="CE44" i="13"/>
  <c r="CD44" i="13"/>
  <c r="G146" i="12"/>
  <c r="C42" i="12"/>
  <c r="CN43" i="13"/>
  <c r="F32" i="12"/>
  <c r="BA19" i="12"/>
  <c r="CA56" i="13"/>
  <c r="CN50" i="13"/>
  <c r="CQ50" i="13" s="1"/>
  <c r="BA31" i="12"/>
  <c r="N120" i="9"/>
  <c r="CE47" i="13"/>
  <c r="CD47" i="13"/>
  <c r="CB47" i="13"/>
  <c r="CI49" i="13"/>
  <c r="BY52" i="13"/>
  <c r="CA52" i="13" s="1"/>
  <c r="F28" i="12"/>
  <c r="Q40" i="1"/>
  <c r="E29" i="12"/>
  <c r="C22" i="12"/>
  <c r="CN23" i="13"/>
  <c r="C43" i="12"/>
  <c r="CN44" i="13"/>
  <c r="CQ44" i="13" s="1"/>
  <c r="D33" i="12"/>
  <c r="CS51" i="13"/>
  <c r="F25" i="12"/>
  <c r="D36" i="12"/>
  <c r="C31" i="12"/>
  <c r="CN32" i="13"/>
  <c r="CR32" i="13" s="1"/>
  <c r="F151" i="12"/>
  <c r="CE53" i="13"/>
  <c r="CD53" i="13"/>
  <c r="AA41" i="1"/>
  <c r="H41" i="1"/>
  <c r="J41" i="1" s="1"/>
  <c r="CE42" i="13"/>
  <c r="CD42" i="13"/>
  <c r="CB42" i="13"/>
  <c r="CB44" i="13"/>
  <c r="CB33" i="13"/>
  <c r="C145" i="12"/>
  <c r="F34" i="12"/>
  <c r="CS47" i="13"/>
  <c r="CN55" i="13"/>
  <c r="CZ55" i="13" s="1"/>
  <c r="C29" i="12"/>
  <c r="CB57" i="13"/>
  <c r="CC57" i="13"/>
  <c r="CD57" i="13"/>
  <c r="CE57" i="13"/>
  <c r="F20" i="12"/>
  <c r="CN53" i="13"/>
  <c r="CQ53" i="13" s="1"/>
  <c r="CE56" i="13"/>
  <c r="CN41" i="13"/>
  <c r="CR41" i="13" s="1"/>
  <c r="C40" i="12"/>
  <c r="CQ51" i="13"/>
  <c r="BA32" i="12"/>
  <c r="G41" i="12"/>
  <c r="E33" i="12"/>
  <c r="CE43" i="13"/>
  <c r="AA42" i="1"/>
  <c r="H42" i="1"/>
  <c r="J42" i="1" s="1"/>
  <c r="CB43" i="13"/>
  <c r="CD43" i="13"/>
  <c r="CC43" i="13"/>
  <c r="D31" i="12"/>
  <c r="G27" i="12"/>
  <c r="R34" i="1"/>
  <c r="D39" i="12"/>
  <c r="CC61" i="13"/>
  <c r="CD61" i="13"/>
  <c r="AR23" i="12"/>
  <c r="V37" i="1"/>
  <c r="BY38" i="13"/>
  <c r="CI35" i="13"/>
  <c r="C37" i="1"/>
  <c r="Q39" i="1"/>
  <c r="CE30" i="13"/>
  <c r="D29" i="12"/>
  <c r="Q35" i="1"/>
  <c r="F149" i="12"/>
  <c r="AR27" i="12"/>
  <c r="CH25" i="13"/>
  <c r="B23" i="12"/>
  <c r="AQ19" i="12" s="1"/>
  <c r="B23" i="1"/>
  <c r="CP24" i="13"/>
  <c r="F147" i="12"/>
  <c r="CB58" i="13"/>
  <c r="CD58" i="13"/>
  <c r="CC58" i="13"/>
  <c r="CE58" i="13"/>
  <c r="CN38" i="13"/>
  <c r="CQ38" i="13" s="1"/>
  <c r="C37" i="12"/>
  <c r="CC53" i="13"/>
  <c r="AV26" i="12"/>
  <c r="AR157" i="12"/>
  <c r="AV157" i="12" s="1"/>
  <c r="CC56" i="13"/>
  <c r="CZ51" i="13"/>
  <c r="CT51" i="13"/>
  <c r="CU52" i="13"/>
  <c r="CZ52" i="13"/>
  <c r="CS52" i="13"/>
  <c r="CC50" i="13"/>
  <c r="CA50" i="13"/>
  <c r="CD50" i="13"/>
  <c r="C39" i="12"/>
  <c r="CN40" i="13"/>
  <c r="CQ40" i="13" s="1"/>
  <c r="G151" i="12"/>
  <c r="C38" i="12"/>
  <c r="CN39" i="13"/>
  <c r="CQ39" i="13" s="1"/>
  <c r="BA38" i="12"/>
  <c r="E149" i="12"/>
  <c r="S26" i="1"/>
  <c r="BA20" i="12"/>
  <c r="CN42" i="13"/>
  <c r="CE50" i="13"/>
  <c r="G148" i="12"/>
  <c r="BY60" i="13"/>
  <c r="CA60" i="13" s="1"/>
  <c r="CI57" i="13"/>
  <c r="CB53" i="13"/>
  <c r="H25" i="1" l="1"/>
  <c r="J25" i="1" s="1"/>
  <c r="CE48" i="13"/>
  <c r="CB48" i="13"/>
  <c r="CN30" i="13"/>
  <c r="CR30" i="13" s="1"/>
  <c r="CI70" i="13"/>
  <c r="CI71" i="13"/>
  <c r="BA157" i="12"/>
  <c r="BE157" i="12" s="1"/>
  <c r="BF157" i="12" s="1"/>
  <c r="BG157" i="12" s="1"/>
  <c r="CL68" i="13"/>
  <c r="CK71" i="13"/>
  <c r="CJ67" i="13"/>
  <c r="CI67" i="13"/>
  <c r="CK65" i="13"/>
  <c r="CA26" i="13"/>
  <c r="BY70" i="13"/>
  <c r="BY68" i="13"/>
  <c r="BY66" i="13"/>
  <c r="BY67" i="13"/>
  <c r="BY65" i="13"/>
  <c r="BY71" i="13"/>
  <c r="Q37" i="1"/>
  <c r="CK72" i="13"/>
  <c r="CJ68" i="13"/>
  <c r="CK66" i="13"/>
  <c r="D30" i="12"/>
  <c r="AR30" i="12" s="1"/>
  <c r="CM65" i="13"/>
  <c r="CM68" i="13"/>
  <c r="CM66" i="13"/>
  <c r="CM67" i="13"/>
  <c r="CI65" i="13"/>
  <c r="CK68" i="13"/>
  <c r="CL65" i="13"/>
  <c r="CI68" i="13"/>
  <c r="AW20" i="12"/>
  <c r="AX20" i="12" s="1"/>
  <c r="CK70" i="13"/>
  <c r="CJ66" i="13"/>
  <c r="CI66" i="13"/>
  <c r="CK67" i="13"/>
  <c r="CI73" i="13"/>
  <c r="CI72" i="13"/>
  <c r="Q32" i="1"/>
  <c r="CB55" i="13"/>
  <c r="H24" i="1"/>
  <c r="L24" i="1" s="1"/>
  <c r="CD35" i="13"/>
  <c r="BY72" i="13"/>
  <c r="AR151" i="12"/>
  <c r="AV151" i="12" s="1"/>
  <c r="AW151" i="12" s="1"/>
  <c r="AX151" i="12" s="1"/>
  <c r="CD30" i="13"/>
  <c r="CC23" i="13"/>
  <c r="BY73" i="13"/>
  <c r="CC30" i="13"/>
  <c r="N177" i="9"/>
  <c r="N184" i="9" s="1"/>
  <c r="O184" i="9" s="1"/>
  <c r="H29" i="1"/>
  <c r="M29" i="1" s="1"/>
  <c r="CD48" i="13"/>
  <c r="CD39" i="13"/>
  <c r="BY78" i="13"/>
  <c r="BY76" i="13"/>
  <c r="BY75" i="13"/>
  <c r="BY77" i="13"/>
  <c r="AA29" i="1"/>
  <c r="AA34" i="1"/>
  <c r="CC36" i="13"/>
  <c r="R32" i="1"/>
  <c r="CB36" i="13"/>
  <c r="CB30" i="13"/>
  <c r="CF30" i="13" s="1"/>
  <c r="CC48" i="13"/>
  <c r="CF48" i="13" s="1"/>
  <c r="H34" i="1"/>
  <c r="K34" i="1" s="1"/>
  <c r="H32" i="1"/>
  <c r="M32" i="1" s="1"/>
  <c r="CC33" i="13"/>
  <c r="CB35" i="13"/>
  <c r="AA22" i="1"/>
  <c r="CN33" i="13"/>
  <c r="CS33" i="13" s="1"/>
  <c r="AA32" i="1"/>
  <c r="AA25" i="1"/>
  <c r="CE35" i="13"/>
  <c r="CE33" i="13"/>
  <c r="S30" i="1"/>
  <c r="CA35" i="13"/>
  <c r="CF35" i="13" s="1"/>
  <c r="CD31" i="13"/>
  <c r="CB31" i="13"/>
  <c r="CN22" i="13"/>
  <c r="CQ22" i="13" s="1"/>
  <c r="CB26" i="13"/>
  <c r="R27" i="1"/>
  <c r="H30" i="1"/>
  <c r="J30" i="1" s="1"/>
  <c r="Q34" i="1"/>
  <c r="CD26" i="13"/>
  <c r="AA30" i="1"/>
  <c r="CN28" i="13"/>
  <c r="CS28" i="13" s="1"/>
  <c r="Q23" i="1"/>
  <c r="CB39" i="13"/>
  <c r="CE29" i="13"/>
  <c r="CC31" i="13"/>
  <c r="CQ41" i="13"/>
  <c r="CE37" i="13"/>
  <c r="CE36" i="13"/>
  <c r="CE31" i="13"/>
  <c r="CN29" i="13"/>
  <c r="CS29" i="13" s="1"/>
  <c r="AA35" i="1"/>
  <c r="H35" i="1"/>
  <c r="J35" i="1" s="1"/>
  <c r="CA36" i="13"/>
  <c r="CA34" i="13"/>
  <c r="CE34" i="13"/>
  <c r="R37" i="1"/>
  <c r="H33" i="1"/>
  <c r="L33" i="1" s="1"/>
  <c r="CN24" i="13"/>
  <c r="CS24" i="13" s="1"/>
  <c r="AA36" i="1"/>
  <c r="R31" i="1"/>
  <c r="CD34" i="13"/>
  <c r="CC39" i="13"/>
  <c r="AV32" i="12"/>
  <c r="AW32" i="12" s="1"/>
  <c r="AX32" i="12" s="1"/>
  <c r="AR163" i="12"/>
  <c r="AV163" i="12" s="1"/>
  <c r="AW163" i="12" s="1"/>
  <c r="AX163" i="12" s="1"/>
  <c r="BA170" i="12"/>
  <c r="BE170" i="12" s="1"/>
  <c r="CE39" i="13"/>
  <c r="CF54" i="13"/>
  <c r="CB37" i="13"/>
  <c r="CC34" i="13"/>
  <c r="AV60" i="9"/>
  <c r="CA39" i="13"/>
  <c r="CC37" i="13"/>
  <c r="CQ23" i="13"/>
  <c r="CD37" i="13"/>
  <c r="CB34" i="13"/>
  <c r="AA38" i="1"/>
  <c r="H36" i="1"/>
  <c r="M36" i="1" s="1"/>
  <c r="Q28" i="1"/>
  <c r="CC29" i="13"/>
  <c r="AF56" i="9"/>
  <c r="H28" i="1"/>
  <c r="J28" i="1" s="1"/>
  <c r="H38" i="1"/>
  <c r="L38" i="1" s="1"/>
  <c r="CD55" i="13"/>
  <c r="CB32" i="13"/>
  <c r="AA31" i="1"/>
  <c r="AA28" i="1"/>
  <c r="CN26" i="13"/>
  <c r="CR26" i="13" s="1"/>
  <c r="CA55" i="13"/>
  <c r="CC55" i="13"/>
  <c r="CB29" i="13"/>
  <c r="AR37" i="12"/>
  <c r="AV37" i="12" s="1"/>
  <c r="AW37" i="12" s="1"/>
  <c r="AX37" i="12" s="1"/>
  <c r="CD29" i="13"/>
  <c r="AF57" i="9"/>
  <c r="H22" i="1"/>
  <c r="K22" i="1" s="1"/>
  <c r="AF58" i="9"/>
  <c r="AA24" i="1"/>
  <c r="CC27" i="13"/>
  <c r="CE23" i="13"/>
  <c r="AA26" i="1"/>
  <c r="CC32" i="13"/>
  <c r="CB23" i="13"/>
  <c r="CE32" i="13"/>
  <c r="CN19" i="13"/>
  <c r="CS19" i="13" s="1"/>
  <c r="CD23" i="13"/>
  <c r="M40" i="1"/>
  <c r="L40" i="1"/>
  <c r="CA23" i="13"/>
  <c r="CF45" i="13"/>
  <c r="CN27" i="13"/>
  <c r="CQ27" i="13" s="1"/>
  <c r="R38" i="1"/>
  <c r="CE27" i="13"/>
  <c r="CA27" i="13"/>
  <c r="CE25" i="13"/>
  <c r="CB27" i="13"/>
  <c r="CB25" i="13"/>
  <c r="H26" i="1"/>
  <c r="M26" i="1" s="1"/>
  <c r="CA25" i="13"/>
  <c r="CC25" i="13"/>
  <c r="CF41" i="13"/>
  <c r="H33" i="12"/>
  <c r="H145" i="12" s="1"/>
  <c r="CN36" i="13"/>
  <c r="H31" i="1"/>
  <c r="K31" i="1" s="1"/>
  <c r="CD32" i="13"/>
  <c r="CF40" i="13"/>
  <c r="CR34" i="13"/>
  <c r="CT34" i="13"/>
  <c r="CZ34" i="13"/>
  <c r="DA34" i="13" s="1"/>
  <c r="CF50" i="13"/>
  <c r="CN20" i="13"/>
  <c r="CQ20" i="13" s="1"/>
  <c r="CQ34" i="13"/>
  <c r="CT54" i="13"/>
  <c r="CF61" i="13"/>
  <c r="CF53" i="13"/>
  <c r="CF47" i="13"/>
  <c r="CR48" i="13"/>
  <c r="CN25" i="13"/>
  <c r="CU25" i="13" s="1"/>
  <c r="CF56" i="13"/>
  <c r="AW89" i="9"/>
  <c r="K40" i="1"/>
  <c r="D21" i="1"/>
  <c r="R22" i="1" s="1"/>
  <c r="R45" i="1" s="1"/>
  <c r="CD24" i="13"/>
  <c r="BY22" i="13"/>
  <c r="AA21" i="1" s="1"/>
  <c r="CJ18" i="13"/>
  <c r="CN18" i="13" s="1"/>
  <c r="CR18" i="13" s="1"/>
  <c r="CA24" i="13"/>
  <c r="CB24" i="13"/>
  <c r="AA23" i="1"/>
  <c r="CE24" i="13"/>
  <c r="H23" i="1"/>
  <c r="M23" i="1" s="1"/>
  <c r="CN21" i="13"/>
  <c r="CZ21" i="13" s="1"/>
  <c r="DB21" i="13" s="1"/>
  <c r="L41" i="1"/>
  <c r="CU31" i="13"/>
  <c r="CB28" i="13"/>
  <c r="CC28" i="13"/>
  <c r="AA27" i="1"/>
  <c r="H27" i="1"/>
  <c r="J27" i="1" s="1"/>
  <c r="CE28" i="13"/>
  <c r="CD28" i="13"/>
  <c r="CF46" i="13"/>
  <c r="F47" i="12"/>
  <c r="CF51" i="13"/>
  <c r="S23" i="1"/>
  <c r="M34" i="1"/>
  <c r="CF43" i="13"/>
  <c r="CS34" i="13"/>
  <c r="CF57" i="13"/>
  <c r="CF44" i="13"/>
  <c r="CS44" i="13"/>
  <c r="CF42" i="13"/>
  <c r="S28" i="1"/>
  <c r="CV51" i="13"/>
  <c r="J34" i="1"/>
  <c r="CF58" i="13"/>
  <c r="CF59" i="13"/>
  <c r="CS48" i="13"/>
  <c r="CV52" i="13"/>
  <c r="CT30" i="13"/>
  <c r="D49" i="12"/>
  <c r="E26" i="12"/>
  <c r="BA27" i="12" s="1"/>
  <c r="C35" i="12"/>
  <c r="C147" i="12" s="1"/>
  <c r="CA28" i="13"/>
  <c r="BE23" i="12"/>
  <c r="BF23" i="12" s="1"/>
  <c r="BG23" i="12" s="1"/>
  <c r="BA154" i="12"/>
  <c r="BE154" i="12" s="1"/>
  <c r="BF154" i="12" s="1"/>
  <c r="BG154" i="12" s="1"/>
  <c r="CN49" i="13"/>
  <c r="CQ49" i="13" s="1"/>
  <c r="AW91" i="9"/>
  <c r="AV93" i="9"/>
  <c r="C150" i="12"/>
  <c r="CT42" i="13"/>
  <c r="CZ42" i="13"/>
  <c r="H41" i="12"/>
  <c r="CR42" i="13"/>
  <c r="CQ42" i="13"/>
  <c r="BA169" i="12"/>
  <c r="BE169" i="12" s="1"/>
  <c r="BF169" i="12" s="1"/>
  <c r="BG169" i="12" s="1"/>
  <c r="BE38" i="12"/>
  <c r="BF38" i="12" s="1"/>
  <c r="BG38" i="12" s="1"/>
  <c r="CP25" i="13"/>
  <c r="CH26" i="13"/>
  <c r="B24" i="1"/>
  <c r="B24" i="12"/>
  <c r="AQ20" i="12" s="1"/>
  <c r="AR158" i="12"/>
  <c r="AV158" i="12" s="1"/>
  <c r="AW158" i="12" s="1"/>
  <c r="AX158" i="12" s="1"/>
  <c r="AV27" i="12"/>
  <c r="AW27" i="12" s="1"/>
  <c r="AX27" i="12" s="1"/>
  <c r="H37" i="1"/>
  <c r="J37" i="1" s="1"/>
  <c r="AA37" i="1"/>
  <c r="CD38" i="13"/>
  <c r="CE38" i="13"/>
  <c r="CB38" i="13"/>
  <c r="CC38" i="13"/>
  <c r="BE22" i="12"/>
  <c r="BF22" i="12" s="1"/>
  <c r="BG22" i="12" s="1"/>
  <c r="BA153" i="12"/>
  <c r="BE153" i="12" s="1"/>
  <c r="BF153" i="12" s="1"/>
  <c r="BG153" i="12" s="1"/>
  <c r="AR18" i="12"/>
  <c r="D47" i="12"/>
  <c r="BE29" i="12"/>
  <c r="BF29" i="12" s="1"/>
  <c r="BG29" i="12" s="1"/>
  <c r="BA160" i="12"/>
  <c r="BE160" i="12" s="1"/>
  <c r="BF160" i="12" s="1"/>
  <c r="BG160" i="12" s="1"/>
  <c r="BA162" i="12"/>
  <c r="BE162" i="12" s="1"/>
  <c r="BF162" i="12" s="1"/>
  <c r="BG162" i="12" s="1"/>
  <c r="BE31" i="12"/>
  <c r="BF31" i="12" s="1"/>
  <c r="BG31" i="12" s="1"/>
  <c r="AV21" i="12"/>
  <c r="AW21" i="12" s="1"/>
  <c r="AX21" i="12" s="1"/>
  <c r="AR152" i="12"/>
  <c r="AV152" i="12" s="1"/>
  <c r="AW152" i="12" s="1"/>
  <c r="AX152" i="12" s="1"/>
  <c r="H42" i="12"/>
  <c r="CZ43" i="13"/>
  <c r="CS43" i="13"/>
  <c r="CR43" i="13"/>
  <c r="G149" i="12"/>
  <c r="CT32" i="13"/>
  <c r="C148" i="12"/>
  <c r="CU53" i="13"/>
  <c r="CZ39" i="13"/>
  <c r="H38" i="12"/>
  <c r="J38" i="12" s="1"/>
  <c r="CR39" i="13"/>
  <c r="CS39" i="13"/>
  <c r="CT39" i="13"/>
  <c r="CU39" i="13"/>
  <c r="BE21" i="12"/>
  <c r="BF21" i="12" s="1"/>
  <c r="BG21" i="12" s="1"/>
  <c r="BA152" i="12"/>
  <c r="BE152" i="12" s="1"/>
  <c r="BF152" i="12" s="1"/>
  <c r="BG152" i="12" s="1"/>
  <c r="DB55" i="13"/>
  <c r="DA55" i="13"/>
  <c r="AR33" i="12"/>
  <c r="CC52" i="13"/>
  <c r="CD52" i="13"/>
  <c r="CE52" i="13"/>
  <c r="CB52" i="13"/>
  <c r="CQ43" i="13"/>
  <c r="L43" i="1"/>
  <c r="M43" i="1"/>
  <c r="N43" i="1"/>
  <c r="AV94" i="9"/>
  <c r="AW88" i="9"/>
  <c r="BE18" i="12"/>
  <c r="BF18" i="12" s="1"/>
  <c r="BG18" i="12" s="1"/>
  <c r="BA149" i="12"/>
  <c r="BE149" i="12" s="1"/>
  <c r="BF149" i="12" s="1"/>
  <c r="BG149" i="12" s="1"/>
  <c r="H171" i="9"/>
  <c r="K43" i="1"/>
  <c r="M39" i="1"/>
  <c r="L39" i="1"/>
  <c r="N39" i="1"/>
  <c r="K39" i="1"/>
  <c r="F49" i="12"/>
  <c r="CZ48" i="13"/>
  <c r="CU48" i="13"/>
  <c r="CT48" i="13"/>
  <c r="H39" i="12"/>
  <c r="L39" i="12" s="1"/>
  <c r="CZ40" i="13"/>
  <c r="CU40" i="13"/>
  <c r="CT40" i="13"/>
  <c r="AR154" i="12"/>
  <c r="AV154" i="12" s="1"/>
  <c r="AW154" i="12" s="1"/>
  <c r="AX154" i="12" s="1"/>
  <c r="AV23" i="12"/>
  <c r="AW23" i="12" s="1"/>
  <c r="AX23" i="12" s="1"/>
  <c r="BA34" i="12"/>
  <c r="E145" i="12"/>
  <c r="F160" i="12" s="1"/>
  <c r="DB52" i="13"/>
  <c r="DA52" i="13"/>
  <c r="CR40" i="13"/>
  <c r="BA30" i="12"/>
  <c r="BA150" i="12"/>
  <c r="BE150" i="12" s="1"/>
  <c r="BF150" i="12" s="1"/>
  <c r="BG150" i="12" s="1"/>
  <c r="BE19" i="12"/>
  <c r="BF19" i="12" s="1"/>
  <c r="BG19" i="12" s="1"/>
  <c r="CZ31" i="13"/>
  <c r="H30" i="12"/>
  <c r="CT31" i="13"/>
  <c r="CS31" i="13"/>
  <c r="CZ22" i="13"/>
  <c r="CR22" i="13"/>
  <c r="CU22" i="13"/>
  <c r="BE25" i="12"/>
  <c r="BF25" i="12" s="1"/>
  <c r="BG25" i="12" s="1"/>
  <c r="BA156" i="12"/>
  <c r="BE156" i="12" s="1"/>
  <c r="BF156" i="12" s="1"/>
  <c r="BG156" i="12" s="1"/>
  <c r="CQ31" i="13"/>
  <c r="D146" i="12"/>
  <c r="D161" i="12" s="1"/>
  <c r="AR34" i="12"/>
  <c r="E151" i="12"/>
  <c r="BA36" i="12"/>
  <c r="E147" i="12"/>
  <c r="F162" i="12" s="1"/>
  <c r="BA151" i="12"/>
  <c r="BE151" i="12" s="1"/>
  <c r="BF151" i="12" s="1"/>
  <c r="BG151" i="12" s="1"/>
  <c r="BE20" i="12"/>
  <c r="BF20" i="12" s="1"/>
  <c r="BG20" i="12" s="1"/>
  <c r="AR29" i="12"/>
  <c r="D151" i="12"/>
  <c r="AR39" i="12"/>
  <c r="CZ53" i="13"/>
  <c r="CR53" i="13"/>
  <c r="CS53" i="13"/>
  <c r="CT53" i="13"/>
  <c r="N25" i="1"/>
  <c r="K25" i="1"/>
  <c r="L25" i="1"/>
  <c r="M25" i="1"/>
  <c r="C151" i="12"/>
  <c r="H22" i="12"/>
  <c r="J22" i="12" s="1"/>
  <c r="CZ23" i="13"/>
  <c r="CT23" i="13"/>
  <c r="CU23" i="13"/>
  <c r="CR23" i="13"/>
  <c r="CS23" i="13"/>
  <c r="CS42" i="13"/>
  <c r="BA28" i="12"/>
  <c r="BE24" i="12"/>
  <c r="BF24" i="12" s="1"/>
  <c r="BG24" i="12" s="1"/>
  <c r="BA155" i="12"/>
  <c r="BE155" i="12" s="1"/>
  <c r="BF155" i="12" s="1"/>
  <c r="BG155" i="12" s="1"/>
  <c r="BF26" i="12"/>
  <c r="BG26" i="12" s="1"/>
  <c r="CZ54" i="13"/>
  <c r="CS54" i="13"/>
  <c r="CR54" i="13"/>
  <c r="CV47" i="13"/>
  <c r="D164" i="12"/>
  <c r="BA33" i="12"/>
  <c r="CD49" i="13"/>
  <c r="CE49" i="13"/>
  <c r="CB49" i="13"/>
  <c r="CC49" i="13"/>
  <c r="DA51" i="13"/>
  <c r="DB51" i="13"/>
  <c r="C149" i="12"/>
  <c r="CA38" i="13"/>
  <c r="AR31" i="12"/>
  <c r="K42" i="1"/>
  <c r="N42" i="1"/>
  <c r="M42" i="1"/>
  <c r="L42" i="1"/>
  <c r="K41" i="1"/>
  <c r="N41" i="1"/>
  <c r="M41" i="1"/>
  <c r="AV35" i="12"/>
  <c r="AW35" i="12" s="1"/>
  <c r="AX35" i="12" s="1"/>
  <c r="AR166" i="12"/>
  <c r="AV166" i="12" s="1"/>
  <c r="AW166" i="12" s="1"/>
  <c r="AX166" i="12" s="1"/>
  <c r="J40" i="1"/>
  <c r="CA49" i="13"/>
  <c r="CZ37" i="13"/>
  <c r="H36" i="12"/>
  <c r="J36" i="12" s="1"/>
  <c r="CT37" i="13"/>
  <c r="CU37" i="13"/>
  <c r="CS37" i="13"/>
  <c r="DB47" i="13"/>
  <c r="DA47" i="13"/>
  <c r="AV22" i="12"/>
  <c r="AW22" i="12" s="1"/>
  <c r="AX22" i="12" s="1"/>
  <c r="AR153" i="12"/>
  <c r="AV153" i="12" s="1"/>
  <c r="AW153" i="12" s="1"/>
  <c r="AX153" i="12" s="1"/>
  <c r="BS24" i="13"/>
  <c r="U23" i="1"/>
  <c r="A25" i="13"/>
  <c r="CS40" i="13"/>
  <c r="CU42" i="13"/>
  <c r="CU30" i="13"/>
  <c r="CZ32" i="13"/>
  <c r="H31" i="12"/>
  <c r="CU32" i="13"/>
  <c r="CS32" i="13"/>
  <c r="N123" i="9"/>
  <c r="N130" i="9"/>
  <c r="N129" i="9"/>
  <c r="N122" i="9"/>
  <c r="N128" i="9"/>
  <c r="O128" i="9" s="1"/>
  <c r="AV24" i="12"/>
  <c r="AW24" i="12" s="1"/>
  <c r="AX24" i="12" s="1"/>
  <c r="AR155" i="12"/>
  <c r="AV155" i="12" s="1"/>
  <c r="AW155" i="12" s="1"/>
  <c r="AX155" i="12" s="1"/>
  <c r="CZ45" i="13"/>
  <c r="CT45" i="13"/>
  <c r="CS45" i="13"/>
  <c r="CU45" i="13"/>
  <c r="S38" i="1"/>
  <c r="CQ30" i="13"/>
  <c r="CQ32" i="13"/>
  <c r="AR36" i="12"/>
  <c r="D148" i="12"/>
  <c r="CS50" i="13"/>
  <c r="CZ50" i="13"/>
  <c r="CU50" i="13"/>
  <c r="CR50" i="13"/>
  <c r="CT50" i="13"/>
  <c r="CU43" i="13"/>
  <c r="CQ54" i="13"/>
  <c r="CC60" i="13"/>
  <c r="CE60" i="13"/>
  <c r="CD60" i="13"/>
  <c r="CB60" i="13"/>
  <c r="CZ38" i="13"/>
  <c r="H37" i="12"/>
  <c r="J37" i="12" s="1"/>
  <c r="CR38" i="13"/>
  <c r="CT38" i="13"/>
  <c r="CS38" i="13"/>
  <c r="AV19" i="12"/>
  <c r="AW19" i="12" s="1"/>
  <c r="AX19" i="12" s="1"/>
  <c r="AR150" i="12"/>
  <c r="AV150" i="12" s="1"/>
  <c r="AW150" i="12" s="1"/>
  <c r="AX150" i="12" s="1"/>
  <c r="AQ150" i="12"/>
  <c r="AU18" i="12"/>
  <c r="AZ19" i="12"/>
  <c r="AZ150" i="12" s="1"/>
  <c r="CN35" i="13"/>
  <c r="CQ35" i="13" s="1"/>
  <c r="C34" i="12"/>
  <c r="BE32" i="12"/>
  <c r="BF32" i="12" s="1"/>
  <c r="BG32" i="12" s="1"/>
  <c r="BA163" i="12"/>
  <c r="BE163" i="12" s="1"/>
  <c r="BF163" i="12" s="1"/>
  <c r="BG163" i="12" s="1"/>
  <c r="H40" i="12"/>
  <c r="J40" i="12" s="1"/>
  <c r="CZ41" i="13"/>
  <c r="CT41" i="13"/>
  <c r="CU41" i="13"/>
  <c r="CS41" i="13"/>
  <c r="F146" i="12"/>
  <c r="CR45" i="13"/>
  <c r="CZ44" i="13"/>
  <c r="H43" i="12"/>
  <c r="CR44" i="13"/>
  <c r="CU44" i="13"/>
  <c r="CT44" i="13"/>
  <c r="BE35" i="12"/>
  <c r="BF35" i="12" s="1"/>
  <c r="BG35" i="12" s="1"/>
  <c r="BA166" i="12"/>
  <c r="BE166" i="12" s="1"/>
  <c r="BF166" i="12" s="1"/>
  <c r="BG166" i="12" s="1"/>
  <c r="CU38" i="13"/>
  <c r="N38" i="1"/>
  <c r="AV28" i="12"/>
  <c r="AW28" i="12" s="1"/>
  <c r="AX28" i="12" s="1"/>
  <c r="AR159" i="12"/>
  <c r="AV159" i="12" s="1"/>
  <c r="AW159" i="12" s="1"/>
  <c r="AX159" i="12" s="1"/>
  <c r="CT43" i="13"/>
  <c r="CN46" i="13"/>
  <c r="CQ37" i="13"/>
  <c r="AR156" i="12"/>
  <c r="AV156" i="12" s="1"/>
  <c r="AW156" i="12" s="1"/>
  <c r="AX156" i="12" s="1"/>
  <c r="AV25" i="12"/>
  <c r="AW25" i="12" s="1"/>
  <c r="AX25" i="12" s="1"/>
  <c r="E148" i="12"/>
  <c r="BA37" i="12"/>
  <c r="CA65" i="13" l="1"/>
  <c r="CA68" i="13"/>
  <c r="CA66" i="13"/>
  <c r="CA67" i="13"/>
  <c r="CN67" i="13"/>
  <c r="CQ29" i="13"/>
  <c r="N179" i="9"/>
  <c r="N31" i="1"/>
  <c r="Q45" i="1"/>
  <c r="CF33" i="13"/>
  <c r="CN66" i="13"/>
  <c r="CB65" i="13"/>
  <c r="CB66" i="13"/>
  <c r="CB67" i="13"/>
  <c r="CB68" i="13"/>
  <c r="CN65" i="13"/>
  <c r="H29" i="12"/>
  <c r="N29" i="12" s="1"/>
  <c r="CE66" i="13"/>
  <c r="CE67" i="13"/>
  <c r="CE65" i="13"/>
  <c r="CE68" i="13"/>
  <c r="CC65" i="13"/>
  <c r="CC68" i="13"/>
  <c r="CC66" i="13"/>
  <c r="CC67" i="13"/>
  <c r="CS66" i="13"/>
  <c r="M24" i="1"/>
  <c r="CZ30" i="13"/>
  <c r="DA30" i="13" s="1"/>
  <c r="CU29" i="13"/>
  <c r="CS30" i="13"/>
  <c r="CN71" i="13"/>
  <c r="CN70" i="13"/>
  <c r="J24" i="1"/>
  <c r="O24" i="1" s="1"/>
  <c r="N35" i="1"/>
  <c r="K30" i="12"/>
  <c r="H28" i="12"/>
  <c r="M28" i="12" s="1"/>
  <c r="CD65" i="13"/>
  <c r="CD68" i="13"/>
  <c r="CD66" i="13"/>
  <c r="CD67" i="13"/>
  <c r="CN68" i="13"/>
  <c r="J33" i="12"/>
  <c r="L34" i="1"/>
  <c r="K29" i="1"/>
  <c r="M35" i="1"/>
  <c r="J32" i="1"/>
  <c r="N24" i="1"/>
  <c r="N32" i="1"/>
  <c r="K24" i="1"/>
  <c r="K30" i="1"/>
  <c r="N29" i="1"/>
  <c r="N178" i="9"/>
  <c r="L30" i="1"/>
  <c r="N34" i="1"/>
  <c r="CN73" i="13"/>
  <c r="CN72" i="13"/>
  <c r="CC75" i="13"/>
  <c r="CC77" i="13"/>
  <c r="CC76" i="13"/>
  <c r="CC78" i="13"/>
  <c r="J38" i="1"/>
  <c r="K32" i="1"/>
  <c r="CZ29" i="13"/>
  <c r="DB29" i="13" s="1"/>
  <c r="CR24" i="13"/>
  <c r="CR65" i="13" s="1"/>
  <c r="R47" i="1"/>
  <c r="AC22" i="1" s="1"/>
  <c r="AG22" i="1" s="1"/>
  <c r="AJ22" i="1" s="1"/>
  <c r="CA78" i="13"/>
  <c r="CA75" i="13"/>
  <c r="CA76" i="13"/>
  <c r="CA77" i="13"/>
  <c r="CE77" i="13"/>
  <c r="CE76" i="13"/>
  <c r="CE78" i="13"/>
  <c r="CE75" i="13"/>
  <c r="CT29" i="13"/>
  <c r="L32" i="1"/>
  <c r="CT22" i="13"/>
  <c r="L29" i="1"/>
  <c r="CB76" i="13"/>
  <c r="CB77" i="13"/>
  <c r="CB78" i="13"/>
  <c r="CB75" i="13"/>
  <c r="J29" i="1"/>
  <c r="CD76" i="13"/>
  <c r="CD77" i="13"/>
  <c r="CD78" i="13"/>
  <c r="CD75" i="13"/>
  <c r="CQ33" i="13"/>
  <c r="CZ28" i="13"/>
  <c r="DB28" i="13" s="1"/>
  <c r="CT28" i="13"/>
  <c r="CF26" i="13"/>
  <c r="H27" i="12"/>
  <c r="K27" i="12" s="1"/>
  <c r="L22" i="1"/>
  <c r="M30" i="1"/>
  <c r="CT33" i="13"/>
  <c r="CR33" i="13"/>
  <c r="M28" i="1"/>
  <c r="M33" i="1"/>
  <c r="CU33" i="13"/>
  <c r="CU70" i="13" s="1"/>
  <c r="N28" i="1"/>
  <c r="H32" i="12"/>
  <c r="J32" i="12" s="1"/>
  <c r="CF36" i="13"/>
  <c r="CF31" i="13"/>
  <c r="CZ33" i="13"/>
  <c r="DB33" i="13" s="1"/>
  <c r="CU28" i="13"/>
  <c r="CF34" i="13"/>
  <c r="CS22" i="13"/>
  <c r="N30" i="1"/>
  <c r="O30" i="1" s="1"/>
  <c r="Q47" i="1"/>
  <c r="AD35" i="1" s="1"/>
  <c r="AH35" i="1" s="1"/>
  <c r="AK35" i="1" s="1"/>
  <c r="CF39" i="13"/>
  <c r="CZ27" i="13"/>
  <c r="DA27" i="13" s="1"/>
  <c r="CR29" i="13"/>
  <c r="CS27" i="13"/>
  <c r="CR28" i="13"/>
  <c r="H21" i="12"/>
  <c r="J21" i="12" s="1"/>
  <c r="CQ28" i="13"/>
  <c r="CV28" i="13" s="1"/>
  <c r="AR168" i="12"/>
  <c r="AV168" i="12" s="1"/>
  <c r="AW168" i="12" s="1"/>
  <c r="AX168" i="12" s="1"/>
  <c r="K38" i="1"/>
  <c r="K28" i="1"/>
  <c r="CF29" i="13"/>
  <c r="AF60" i="9"/>
  <c r="H24" i="12"/>
  <c r="N24" i="12" s="1"/>
  <c r="K35" i="1"/>
  <c r="L35" i="1"/>
  <c r="L26" i="1"/>
  <c r="L28" i="1"/>
  <c r="N22" i="1"/>
  <c r="N36" i="1"/>
  <c r="J36" i="1"/>
  <c r="L36" i="1"/>
  <c r="CQ19" i="13"/>
  <c r="CU19" i="13"/>
  <c r="H25" i="12"/>
  <c r="M25" i="12" s="1"/>
  <c r="H23" i="12"/>
  <c r="CU24" i="13"/>
  <c r="CU68" i="13" s="1"/>
  <c r="CZ26" i="13"/>
  <c r="DB26" i="13" s="1"/>
  <c r="CT26" i="13"/>
  <c r="H19" i="12"/>
  <c r="J19" i="12" s="1"/>
  <c r="CQ26" i="13"/>
  <c r="J33" i="1"/>
  <c r="O33" i="1" s="1"/>
  <c r="CZ20" i="13"/>
  <c r="DB20" i="13" s="1"/>
  <c r="CR27" i="13"/>
  <c r="CV27" i="13" s="1"/>
  <c r="CU26" i="13"/>
  <c r="M22" i="1"/>
  <c r="N33" i="1"/>
  <c r="J22" i="1"/>
  <c r="K36" i="1"/>
  <c r="CZ24" i="13"/>
  <c r="CR20" i="13"/>
  <c r="CS26" i="13"/>
  <c r="CT24" i="13"/>
  <c r="CT65" i="13" s="1"/>
  <c r="J26" i="1"/>
  <c r="K33" i="1"/>
  <c r="CT27" i="13"/>
  <c r="CQ24" i="13"/>
  <c r="CQ65" i="13" s="1"/>
  <c r="CF37" i="13"/>
  <c r="N26" i="1"/>
  <c r="CT20" i="13"/>
  <c r="CS20" i="13"/>
  <c r="M33" i="12"/>
  <c r="CR25" i="13"/>
  <c r="CQ25" i="13"/>
  <c r="J31" i="1"/>
  <c r="CF23" i="13"/>
  <c r="CZ25" i="13"/>
  <c r="DA25" i="13" s="1"/>
  <c r="M31" i="1"/>
  <c r="CF27" i="13"/>
  <c r="M38" i="1"/>
  <c r="CF25" i="13"/>
  <c r="CF32" i="13"/>
  <c r="L31" i="1"/>
  <c r="CR19" i="13"/>
  <c r="CF55" i="13"/>
  <c r="CT25" i="13"/>
  <c r="H35" i="12"/>
  <c r="L35" i="12" s="1"/>
  <c r="N23" i="1"/>
  <c r="CT19" i="13"/>
  <c r="CZ19" i="13"/>
  <c r="CU20" i="13"/>
  <c r="L33" i="12"/>
  <c r="H18" i="12"/>
  <c r="J18" i="12" s="1"/>
  <c r="DB34" i="13"/>
  <c r="K33" i="12"/>
  <c r="CU36" i="13"/>
  <c r="C55" i="12"/>
  <c r="E55" i="12" s="1"/>
  <c r="CU27" i="13"/>
  <c r="CS25" i="13"/>
  <c r="CS65" i="13" s="1"/>
  <c r="K26" i="1"/>
  <c r="H26" i="12"/>
  <c r="K26" i="12" s="1"/>
  <c r="CV34" i="13"/>
  <c r="K23" i="1"/>
  <c r="CR36" i="13"/>
  <c r="N33" i="12"/>
  <c r="CS36" i="13"/>
  <c r="CT36" i="13"/>
  <c r="CQ36" i="13"/>
  <c r="CZ36" i="13"/>
  <c r="DB36" i="13" s="1"/>
  <c r="O40" i="1"/>
  <c r="L23" i="1"/>
  <c r="CV41" i="13"/>
  <c r="O43" i="1"/>
  <c r="S47" i="1"/>
  <c r="CV45" i="13"/>
  <c r="O42" i="1"/>
  <c r="CF52" i="13"/>
  <c r="AW92" i="9"/>
  <c r="CV48" i="13"/>
  <c r="J23" i="1"/>
  <c r="H21" i="1"/>
  <c r="N21" i="1" s="1"/>
  <c r="CR21" i="13"/>
  <c r="D17" i="12"/>
  <c r="CQ21" i="13"/>
  <c r="CF24" i="13"/>
  <c r="DA21" i="13"/>
  <c r="CS21" i="13"/>
  <c r="CT21" i="13"/>
  <c r="H20" i="12"/>
  <c r="M20" i="12" s="1"/>
  <c r="CU21" i="13"/>
  <c r="L29" i="12"/>
  <c r="AC29" i="1"/>
  <c r="J30" i="12"/>
  <c r="K36" i="12"/>
  <c r="L36" i="12"/>
  <c r="CV39" i="13"/>
  <c r="CV38" i="13"/>
  <c r="K29" i="12"/>
  <c r="N30" i="12"/>
  <c r="AC23" i="1"/>
  <c r="O41" i="1"/>
  <c r="J29" i="12"/>
  <c r="AC41" i="1"/>
  <c r="AC26" i="1"/>
  <c r="AC27" i="1"/>
  <c r="AG27" i="1" s="1"/>
  <c r="AJ27" i="1" s="1"/>
  <c r="AC39" i="1"/>
  <c r="AG39" i="1" s="1"/>
  <c r="AJ39" i="1" s="1"/>
  <c r="CF60" i="13"/>
  <c r="CV32" i="13"/>
  <c r="C56" i="12"/>
  <c r="E56" i="12" s="1"/>
  <c r="E47" i="12"/>
  <c r="C60" i="12"/>
  <c r="E60" i="12" s="1"/>
  <c r="K27" i="1"/>
  <c r="L27" i="1"/>
  <c r="N27" i="1"/>
  <c r="M27" i="1"/>
  <c r="CV37" i="13"/>
  <c r="CV50" i="13"/>
  <c r="CV30" i="13"/>
  <c r="CF49" i="13"/>
  <c r="CV53" i="13"/>
  <c r="CV31" i="13"/>
  <c r="CV23" i="13"/>
  <c r="AW157" i="12"/>
  <c r="AX157" i="12" s="1"/>
  <c r="O25" i="1"/>
  <c r="E49" i="12"/>
  <c r="CV29" i="13"/>
  <c r="O39" i="1"/>
  <c r="C59" i="12"/>
  <c r="E59" i="12" s="1"/>
  <c r="CV54" i="13"/>
  <c r="K40" i="12"/>
  <c r="CZ18" i="13"/>
  <c r="CQ18" i="13"/>
  <c r="H17" i="12"/>
  <c r="CT18" i="13"/>
  <c r="CS18" i="13"/>
  <c r="CU18" i="13"/>
  <c r="CV44" i="13"/>
  <c r="CV40" i="13"/>
  <c r="AW26" i="12"/>
  <c r="AX26" i="12" s="1"/>
  <c r="CF28" i="13"/>
  <c r="M29" i="12"/>
  <c r="K39" i="12"/>
  <c r="CS46" i="13"/>
  <c r="CS71" i="13" s="1"/>
  <c r="CZ46" i="13"/>
  <c r="CZ69" i="13" s="1"/>
  <c r="CU46" i="13"/>
  <c r="CR46" i="13"/>
  <c r="CR67" i="13" s="1"/>
  <c r="CT46" i="13"/>
  <c r="BE36" i="12"/>
  <c r="BF36" i="12" s="1"/>
  <c r="BG36" i="12" s="1"/>
  <c r="BA167" i="12"/>
  <c r="BE167" i="12" s="1"/>
  <c r="BF167" i="12" s="1"/>
  <c r="BG167" i="12" s="1"/>
  <c r="DA26" i="13"/>
  <c r="K28" i="12"/>
  <c r="N28" i="12"/>
  <c r="DA44" i="13"/>
  <c r="DB44" i="13"/>
  <c r="DA45" i="13"/>
  <c r="DB45" i="13"/>
  <c r="AR149" i="12"/>
  <c r="AV149" i="12" s="1"/>
  <c r="AW149" i="12" s="1"/>
  <c r="AX149" i="12" s="1"/>
  <c r="AV18" i="12"/>
  <c r="AW18" i="12" s="1"/>
  <c r="AX18" i="12" s="1"/>
  <c r="DA28" i="13"/>
  <c r="D163" i="12"/>
  <c r="F163" i="12"/>
  <c r="DA22" i="13"/>
  <c r="DB22" i="13"/>
  <c r="AQ151" i="12"/>
  <c r="AU19" i="12"/>
  <c r="AZ20" i="12"/>
  <c r="AZ151" i="12" s="1"/>
  <c r="F161" i="12"/>
  <c r="U24" i="1"/>
  <c r="A26" i="13"/>
  <c r="BS25" i="13"/>
  <c r="BA159" i="12"/>
  <c r="BE159" i="12" s="1"/>
  <c r="BF159" i="12" s="1"/>
  <c r="BG159" i="12" s="1"/>
  <c r="BE28" i="12"/>
  <c r="BF28" i="12" s="1"/>
  <c r="BG28" i="12" s="1"/>
  <c r="AV34" i="12"/>
  <c r="AW34" i="12" s="1"/>
  <c r="AX34" i="12" s="1"/>
  <c r="AR165" i="12"/>
  <c r="AV165" i="12" s="1"/>
  <c r="AW165" i="12" s="1"/>
  <c r="AX165" i="12" s="1"/>
  <c r="DA43" i="13"/>
  <c r="DB43" i="13"/>
  <c r="L37" i="1"/>
  <c r="M37" i="1"/>
  <c r="N37" i="1"/>
  <c r="K37" i="1"/>
  <c r="CV42" i="13"/>
  <c r="BA168" i="12"/>
  <c r="BE168" i="12" s="1"/>
  <c r="BF168" i="12" s="1"/>
  <c r="BG168" i="12" s="1"/>
  <c r="BE37" i="12"/>
  <c r="BF37" i="12" s="1"/>
  <c r="BG37" i="12" s="1"/>
  <c r="L31" i="12"/>
  <c r="N31" i="12"/>
  <c r="C146" i="12"/>
  <c r="DA32" i="13"/>
  <c r="DB32" i="13"/>
  <c r="DA29" i="13"/>
  <c r="AV29" i="12"/>
  <c r="AW29" i="12" s="1"/>
  <c r="AX29" i="12" s="1"/>
  <c r="AR160" i="12"/>
  <c r="AV160" i="12" s="1"/>
  <c r="AW160" i="12" s="1"/>
  <c r="AX160" i="12" s="1"/>
  <c r="CZ35" i="13"/>
  <c r="H34" i="12"/>
  <c r="J34" i="12" s="1"/>
  <c r="CU35" i="13"/>
  <c r="CS35" i="13"/>
  <c r="CS70" i="13" s="1"/>
  <c r="CR35" i="13"/>
  <c r="CT35" i="13"/>
  <c r="DA50" i="13"/>
  <c r="DB50" i="13"/>
  <c r="DA39" i="13"/>
  <c r="DB39" i="13"/>
  <c r="H149" i="12"/>
  <c r="J149" i="12" s="1"/>
  <c r="K37" i="12"/>
  <c r="L37" i="12"/>
  <c r="M37" i="12"/>
  <c r="K31" i="12"/>
  <c r="DA33" i="13"/>
  <c r="C153" i="12"/>
  <c r="E153" i="12" s="1"/>
  <c r="AV30" i="12"/>
  <c r="AW30" i="12" s="1"/>
  <c r="AX30" i="12" s="1"/>
  <c r="AR161" i="12"/>
  <c r="AV161" i="12" s="1"/>
  <c r="AW161" i="12" s="1"/>
  <c r="AX161" i="12" s="1"/>
  <c r="BE27" i="12"/>
  <c r="BF27" i="12" s="1"/>
  <c r="BG27" i="12" s="1"/>
  <c r="BA158" i="12"/>
  <c r="BE158" i="12" s="1"/>
  <c r="BF158" i="12" s="1"/>
  <c r="BG158" i="12" s="1"/>
  <c r="CH27" i="13"/>
  <c r="CP26" i="13"/>
  <c r="B25" i="12"/>
  <c r="AQ21" i="12" s="1"/>
  <c r="B25" i="1"/>
  <c r="N22" i="12"/>
  <c r="L22" i="12"/>
  <c r="K22" i="12"/>
  <c r="M22" i="12"/>
  <c r="DA31" i="13"/>
  <c r="DB31" i="13"/>
  <c r="H151" i="12"/>
  <c r="K151" i="12" s="1"/>
  <c r="M39" i="12"/>
  <c r="N39" i="12"/>
  <c r="DA48" i="13"/>
  <c r="DB48" i="13"/>
  <c r="M31" i="12"/>
  <c r="CZ49" i="13"/>
  <c r="CT49" i="13"/>
  <c r="CS49" i="13"/>
  <c r="CR49" i="13"/>
  <c r="CU49" i="13"/>
  <c r="H150" i="12"/>
  <c r="J150" i="12" s="1"/>
  <c r="K38" i="12"/>
  <c r="M38" i="12"/>
  <c r="L38" i="12"/>
  <c r="N38" i="12"/>
  <c r="J28" i="12"/>
  <c r="DA53" i="13"/>
  <c r="DB53" i="13"/>
  <c r="DA41" i="13"/>
  <c r="DB41" i="13"/>
  <c r="AU149" i="12"/>
  <c r="BD18" i="12"/>
  <c r="BD149" i="12" s="1"/>
  <c r="DB38" i="13"/>
  <c r="DA38" i="13"/>
  <c r="H148" i="12"/>
  <c r="K148" i="12" s="1"/>
  <c r="M36" i="12"/>
  <c r="N36" i="12"/>
  <c r="AR162" i="12"/>
  <c r="AV162" i="12" s="1"/>
  <c r="AW162" i="12" s="1"/>
  <c r="AX162" i="12" s="1"/>
  <c r="AV31" i="12"/>
  <c r="AW31" i="12" s="1"/>
  <c r="AX31" i="12" s="1"/>
  <c r="BA164" i="12"/>
  <c r="BE164" i="12" s="1"/>
  <c r="BF164" i="12" s="1"/>
  <c r="BG164" i="12" s="1"/>
  <c r="BE33" i="12"/>
  <c r="BF33" i="12" s="1"/>
  <c r="BG33" i="12" s="1"/>
  <c r="AV39" i="12"/>
  <c r="AR170" i="12"/>
  <c r="AV170" i="12" s="1"/>
  <c r="D162" i="12"/>
  <c r="BE30" i="12"/>
  <c r="BF30" i="12" s="1"/>
  <c r="BG30" i="12" s="1"/>
  <c r="BA161" i="12"/>
  <c r="BE161" i="12" s="1"/>
  <c r="BF161" i="12" s="1"/>
  <c r="BG161" i="12" s="1"/>
  <c r="C154" i="12"/>
  <c r="E154" i="12" s="1"/>
  <c r="N37" i="12"/>
  <c r="CQ46" i="13"/>
  <c r="N40" i="12"/>
  <c r="L40" i="12"/>
  <c r="M40" i="12"/>
  <c r="AR167" i="12"/>
  <c r="AV167" i="12" s="1"/>
  <c r="AW167" i="12" s="1"/>
  <c r="AX167" i="12" s="1"/>
  <c r="AV36" i="12"/>
  <c r="AW36" i="12" s="1"/>
  <c r="AX36" i="12" s="1"/>
  <c r="DB37" i="13"/>
  <c r="DA37" i="13"/>
  <c r="J31" i="12"/>
  <c r="CF38" i="13"/>
  <c r="DB54" i="13"/>
  <c r="DA54" i="13"/>
  <c r="DB23" i="13"/>
  <c r="DA23" i="13"/>
  <c r="J39" i="12"/>
  <c r="M30" i="12"/>
  <c r="L30" i="12"/>
  <c r="BE34" i="12"/>
  <c r="BF34" i="12" s="1"/>
  <c r="BG34" i="12" s="1"/>
  <c r="BA165" i="12"/>
  <c r="BE165" i="12" s="1"/>
  <c r="BF165" i="12" s="1"/>
  <c r="BG165" i="12" s="1"/>
  <c r="DA40" i="13"/>
  <c r="DB40" i="13"/>
  <c r="BG175" i="12"/>
  <c r="BG176" i="12"/>
  <c r="BG178" i="12" s="1"/>
  <c r="CV43" i="13"/>
  <c r="AV33" i="12"/>
  <c r="AW33" i="12" s="1"/>
  <c r="AX33" i="12" s="1"/>
  <c r="AR164" i="12"/>
  <c r="AV164" i="12" s="1"/>
  <c r="AW164" i="12" s="1"/>
  <c r="AX164" i="12" s="1"/>
  <c r="DA42" i="13"/>
  <c r="DB42" i="13"/>
  <c r="AC32" i="1" l="1"/>
  <c r="AG32" i="1" s="1"/>
  <c r="AJ32" i="1" s="1"/>
  <c r="AC20" i="1"/>
  <c r="AC25" i="1"/>
  <c r="AC40" i="1"/>
  <c r="AG40" i="1" s="1"/>
  <c r="AJ40" i="1" s="1"/>
  <c r="CT67" i="13"/>
  <c r="CU66" i="13"/>
  <c r="CR66" i="13"/>
  <c r="CS67" i="13"/>
  <c r="CT66" i="13"/>
  <c r="CU65" i="13"/>
  <c r="L28" i="12"/>
  <c r="AC38" i="1"/>
  <c r="AG38" i="1" s="1"/>
  <c r="AJ38" i="1" s="1"/>
  <c r="AC30" i="1"/>
  <c r="AG30" i="1" s="1"/>
  <c r="AJ30" i="1" s="1"/>
  <c r="AC42" i="1"/>
  <c r="AG42" i="1" s="1"/>
  <c r="AJ42" i="1" s="1"/>
  <c r="AC28" i="1"/>
  <c r="AG28" i="1" s="1"/>
  <c r="AJ28" i="1" s="1"/>
  <c r="AC35" i="1"/>
  <c r="AG35" i="1" s="1"/>
  <c r="AJ35" i="1" s="1"/>
  <c r="CU73" i="13"/>
  <c r="CU72" i="13"/>
  <c r="CQ67" i="13"/>
  <c r="CT68" i="13"/>
  <c r="CU67" i="13"/>
  <c r="O28" i="1"/>
  <c r="CQ68" i="13"/>
  <c r="O34" i="1"/>
  <c r="CU71" i="13"/>
  <c r="AC33" i="1"/>
  <c r="AC37" i="1"/>
  <c r="AE37" i="1" s="1"/>
  <c r="AC24" i="1"/>
  <c r="CR68" i="13"/>
  <c r="CS68" i="13"/>
  <c r="CT70" i="13"/>
  <c r="CT71" i="13"/>
  <c r="CR70" i="13"/>
  <c r="CR71" i="13"/>
  <c r="CQ71" i="13"/>
  <c r="CQ70" i="13"/>
  <c r="O32" i="1"/>
  <c r="CQ66" i="13"/>
  <c r="CS72" i="13"/>
  <c r="DB30" i="13"/>
  <c r="CZ68" i="13"/>
  <c r="AC31" i="1"/>
  <c r="AG31" i="1" s="1"/>
  <c r="AJ31" i="1" s="1"/>
  <c r="CQ73" i="13"/>
  <c r="CQ72" i="13"/>
  <c r="CR73" i="13"/>
  <c r="CR72" i="13"/>
  <c r="O29" i="1"/>
  <c r="CV22" i="13"/>
  <c r="CS73" i="13"/>
  <c r="CT72" i="13"/>
  <c r="CV33" i="13"/>
  <c r="CT73" i="13"/>
  <c r="AC34" i="1"/>
  <c r="AE34" i="1" s="1"/>
  <c r="AC43" i="1"/>
  <c r="AG43" i="1" s="1"/>
  <c r="AJ43" i="1" s="1"/>
  <c r="M32" i="12"/>
  <c r="DB95" i="13"/>
  <c r="L27" i="12"/>
  <c r="AD43" i="1"/>
  <c r="AH43" i="1" s="1"/>
  <c r="AK43" i="1" s="1"/>
  <c r="K24" i="12"/>
  <c r="AC36" i="1"/>
  <c r="AG36" i="1" s="1"/>
  <c r="AJ36" i="1" s="1"/>
  <c r="AC21" i="1"/>
  <c r="DB27" i="13"/>
  <c r="J27" i="12"/>
  <c r="AD34" i="1"/>
  <c r="AH34" i="1" s="1"/>
  <c r="AK34" i="1" s="1"/>
  <c r="AD32" i="1"/>
  <c r="AH32" i="1" s="1"/>
  <c r="AK32" i="1" s="1"/>
  <c r="AD28" i="1"/>
  <c r="AH28" i="1" s="1"/>
  <c r="AK28" i="1" s="1"/>
  <c r="L21" i="12"/>
  <c r="K32" i="12"/>
  <c r="AD31" i="1"/>
  <c r="AH31" i="1" s="1"/>
  <c r="AK31" i="1" s="1"/>
  <c r="L32" i="12"/>
  <c r="O22" i="1"/>
  <c r="AD37" i="1"/>
  <c r="AH37" i="1" s="1"/>
  <c r="AK37" i="1" s="1"/>
  <c r="AD27" i="1"/>
  <c r="AH27" i="1" s="1"/>
  <c r="AK27" i="1" s="1"/>
  <c r="N32" i="12"/>
  <c r="M35" i="12"/>
  <c r="O35" i="1"/>
  <c r="K21" i="12"/>
  <c r="N27" i="12"/>
  <c r="L24" i="12"/>
  <c r="N35" i="12"/>
  <c r="M21" i="12"/>
  <c r="M27" i="12"/>
  <c r="AD29" i="1"/>
  <c r="AH29" i="1" s="1"/>
  <c r="AK29" i="1" s="1"/>
  <c r="AD40" i="1"/>
  <c r="AH40" i="1" s="1"/>
  <c r="AK40" i="1" s="1"/>
  <c r="AD26" i="1"/>
  <c r="AH26" i="1" s="1"/>
  <c r="AK26" i="1" s="1"/>
  <c r="AD30" i="1"/>
  <c r="AH30" i="1" s="1"/>
  <c r="AK30" i="1" s="1"/>
  <c r="J35" i="12"/>
  <c r="N21" i="12"/>
  <c r="AD41" i="1"/>
  <c r="AH41" i="1" s="1"/>
  <c r="AK41" i="1" s="1"/>
  <c r="AD42" i="1"/>
  <c r="AH42" i="1" s="1"/>
  <c r="AK42" i="1" s="1"/>
  <c r="AD38" i="1"/>
  <c r="AH38" i="1" s="1"/>
  <c r="AK38" i="1" s="1"/>
  <c r="CV26" i="13"/>
  <c r="AD24" i="1"/>
  <c r="AH24" i="1" s="1"/>
  <c r="AK24" i="1" s="1"/>
  <c r="O38" i="1"/>
  <c r="AD33" i="1"/>
  <c r="AH33" i="1" s="1"/>
  <c r="AK33" i="1" s="1"/>
  <c r="AD39" i="1"/>
  <c r="AH39" i="1" s="1"/>
  <c r="AK39" i="1" s="1"/>
  <c r="AD25" i="1"/>
  <c r="AH25" i="1" s="1"/>
  <c r="AK25" i="1" s="1"/>
  <c r="AD22" i="1"/>
  <c r="AH22" i="1" s="1"/>
  <c r="AK22" i="1" s="1"/>
  <c r="AD23" i="1"/>
  <c r="AH23" i="1" s="1"/>
  <c r="AK23" i="1" s="1"/>
  <c r="AD36" i="1"/>
  <c r="AH36" i="1" s="1"/>
  <c r="AK36" i="1" s="1"/>
  <c r="CV25" i="13"/>
  <c r="CV66" i="13" s="1"/>
  <c r="J24" i="12"/>
  <c r="M24" i="12"/>
  <c r="CV24" i="13"/>
  <c r="O36" i="1"/>
  <c r="DA20" i="13"/>
  <c r="L19" i="12"/>
  <c r="M19" i="12"/>
  <c r="N19" i="12"/>
  <c r="K19" i="12"/>
  <c r="N25" i="12"/>
  <c r="K25" i="12"/>
  <c r="BG47" i="12"/>
  <c r="BG49" i="12" s="1"/>
  <c r="N45" i="1"/>
  <c r="CV20" i="13"/>
  <c r="O31" i="1"/>
  <c r="K35" i="12"/>
  <c r="L18" i="12"/>
  <c r="CV19" i="13"/>
  <c r="N23" i="12"/>
  <c r="J23" i="12"/>
  <c r="K23" i="12"/>
  <c r="L23" i="12"/>
  <c r="M23" i="12"/>
  <c r="J25" i="12"/>
  <c r="DA24" i="13"/>
  <c r="DB24" i="13"/>
  <c r="L25" i="12"/>
  <c r="O26" i="1"/>
  <c r="N47" i="1"/>
  <c r="DB25" i="13"/>
  <c r="H147" i="12"/>
  <c r="L147" i="12" s="1"/>
  <c r="O33" i="12"/>
  <c r="DA19" i="13"/>
  <c r="DB19" i="13"/>
  <c r="CV36" i="13"/>
  <c r="O23" i="1"/>
  <c r="N18" i="12"/>
  <c r="M18" i="12"/>
  <c r="K18" i="12"/>
  <c r="L26" i="12"/>
  <c r="N26" i="12"/>
  <c r="M26" i="12"/>
  <c r="J26" i="12"/>
  <c r="AG24" i="1"/>
  <c r="AJ24" i="1" s="1"/>
  <c r="J47" i="1"/>
  <c r="DA36" i="13"/>
  <c r="L47" i="1"/>
  <c r="O30" i="12"/>
  <c r="O31" i="12"/>
  <c r="L20" i="12"/>
  <c r="O37" i="1"/>
  <c r="L21" i="1"/>
  <c r="L45" i="1" s="1"/>
  <c r="J21" i="1"/>
  <c r="O27" i="1"/>
  <c r="M21" i="1"/>
  <c r="M45" i="1" s="1"/>
  <c r="K21" i="1"/>
  <c r="K45" i="1" s="1"/>
  <c r="K17" i="12"/>
  <c r="N20" i="12"/>
  <c r="K20" i="12"/>
  <c r="CV21" i="13"/>
  <c r="AE22" i="1"/>
  <c r="AE28" i="1"/>
  <c r="J20" i="12"/>
  <c r="N149" i="12"/>
  <c r="AG37" i="1"/>
  <c r="AJ37" i="1" s="1"/>
  <c r="AE42" i="1"/>
  <c r="AG41" i="1"/>
  <c r="AJ41" i="1" s="1"/>
  <c r="AG29" i="1"/>
  <c r="AJ29" i="1" s="1"/>
  <c r="O29" i="12"/>
  <c r="CV18" i="13"/>
  <c r="AG25" i="1"/>
  <c r="AJ25" i="1" s="1"/>
  <c r="O36" i="12"/>
  <c r="O38" i="12"/>
  <c r="AE31" i="1"/>
  <c r="AG26" i="1"/>
  <c r="AJ26" i="1" s="1"/>
  <c r="AG23" i="1"/>
  <c r="AJ23" i="1" s="1"/>
  <c r="O37" i="12"/>
  <c r="CV49" i="13"/>
  <c r="M47" i="1"/>
  <c r="O40" i="12"/>
  <c r="D167" i="12"/>
  <c r="E164" i="12" s="1"/>
  <c r="K47" i="1"/>
  <c r="CV35" i="13"/>
  <c r="J17" i="12"/>
  <c r="N17" i="12"/>
  <c r="M17" i="12"/>
  <c r="L17" i="12"/>
  <c r="DA18" i="13"/>
  <c r="DB18" i="13"/>
  <c r="BG46" i="12"/>
  <c r="O28" i="12"/>
  <c r="F167" i="12"/>
  <c r="G163" i="12" s="1"/>
  <c r="O22" i="12"/>
  <c r="DA35" i="13"/>
  <c r="DB35" i="13"/>
  <c r="L151" i="12"/>
  <c r="J151" i="12"/>
  <c r="M148" i="12"/>
  <c r="N148" i="12"/>
  <c r="J148" i="12"/>
  <c r="K150" i="12"/>
  <c r="M150" i="12"/>
  <c r="L150" i="12"/>
  <c r="N150" i="12"/>
  <c r="AX176" i="12"/>
  <c r="AX178" i="12" s="1"/>
  <c r="AX175" i="12"/>
  <c r="AU20" i="12"/>
  <c r="AQ152" i="12"/>
  <c r="AZ21" i="12"/>
  <c r="AZ152" i="12" s="1"/>
  <c r="AU150" i="12"/>
  <c r="BD19" i="12"/>
  <c r="BD150" i="12" s="1"/>
  <c r="O39" i="12"/>
  <c r="M149" i="12"/>
  <c r="K149" i="12"/>
  <c r="L149" i="12"/>
  <c r="L148" i="12"/>
  <c r="DA49" i="13"/>
  <c r="DB49" i="13"/>
  <c r="DB46" i="13"/>
  <c r="DA46" i="13"/>
  <c r="DA69" i="13" s="1"/>
  <c r="CH28" i="13"/>
  <c r="B26" i="12"/>
  <c r="AQ22" i="12" s="1"/>
  <c r="CP27" i="13"/>
  <c r="B26" i="1"/>
  <c r="U25" i="1"/>
  <c r="A27" i="13"/>
  <c r="BS26" i="13"/>
  <c r="N151" i="12"/>
  <c r="M151" i="12"/>
  <c r="AX46" i="12"/>
  <c r="AX47" i="12"/>
  <c r="AX49" i="12" s="1"/>
  <c r="CV46" i="13"/>
  <c r="H146" i="12"/>
  <c r="J146" i="12" s="1"/>
  <c r="L34" i="12"/>
  <c r="N34" i="12"/>
  <c r="M34" i="12"/>
  <c r="K34" i="12"/>
  <c r="AE27" i="1" l="1"/>
  <c r="AE39" i="1"/>
  <c r="AE41" i="1"/>
  <c r="AE32" i="1"/>
  <c r="AE30" i="1"/>
  <c r="AE33" i="1"/>
  <c r="CV67" i="13"/>
  <c r="AE40" i="1"/>
  <c r="CV68" i="13"/>
  <c r="AE38" i="1"/>
  <c r="CV65" i="13"/>
  <c r="AE23" i="1"/>
  <c r="AG33" i="1"/>
  <c r="AJ33" i="1" s="1"/>
  <c r="AE29" i="1"/>
  <c r="O35" i="12"/>
  <c r="O27" i="12"/>
  <c r="AE24" i="1"/>
  <c r="AE26" i="1"/>
  <c r="AE36" i="1"/>
  <c r="DA68" i="13"/>
  <c r="AE25" i="1"/>
  <c r="AE35" i="1"/>
  <c r="CV70" i="13"/>
  <c r="CV71" i="13"/>
  <c r="CV73" i="13"/>
  <c r="CV72" i="13"/>
  <c r="AG34" i="1"/>
  <c r="AJ34" i="1" s="1"/>
  <c r="AE43" i="1"/>
  <c r="O24" i="12"/>
  <c r="O32" i="12"/>
  <c r="DA75" i="13"/>
  <c r="DA83" i="13"/>
  <c r="DA91" i="13"/>
  <c r="DA77" i="13"/>
  <c r="DA80" i="13"/>
  <c r="DA92" i="13"/>
  <c r="DA76" i="13"/>
  <c r="DA89" i="13"/>
  <c r="DA74" i="13"/>
  <c r="DA81" i="13"/>
  <c r="DA93" i="13"/>
  <c r="DA78" i="13"/>
  <c r="DA82" i="13"/>
  <c r="DA86" i="13"/>
  <c r="DA90" i="13"/>
  <c r="DA79" i="13"/>
  <c r="DA87" i="13"/>
  <c r="DA84" i="13"/>
  <c r="DA88" i="13"/>
  <c r="DA85" i="13"/>
  <c r="O21" i="12"/>
  <c r="K147" i="12"/>
  <c r="O25" i="12"/>
  <c r="N147" i="12"/>
  <c r="O19" i="12"/>
  <c r="O18" i="12"/>
  <c r="J49" i="12"/>
  <c r="L49" i="12"/>
  <c r="O26" i="12"/>
  <c r="O23" i="12"/>
  <c r="O21" i="1"/>
  <c r="J147" i="12"/>
  <c r="O147" i="12" s="1"/>
  <c r="M147" i="12"/>
  <c r="J45" i="1"/>
  <c r="N49" i="12"/>
  <c r="M49" i="12"/>
  <c r="O20" i="12"/>
  <c r="K47" i="12"/>
  <c r="O150" i="12"/>
  <c r="E165" i="12"/>
  <c r="G160" i="12"/>
  <c r="G164" i="12"/>
  <c r="O149" i="12"/>
  <c r="E161" i="12"/>
  <c r="E163" i="12"/>
  <c r="E162" i="12"/>
  <c r="M47" i="12"/>
  <c r="N47" i="12"/>
  <c r="O284" i="9"/>
  <c r="O197" i="9"/>
  <c r="O321" i="9"/>
  <c r="G161" i="12"/>
  <c r="O34" i="12"/>
  <c r="G162" i="12"/>
  <c r="L47" i="12"/>
  <c r="O196" i="9"/>
  <c r="O320" i="9"/>
  <c r="O283" i="9"/>
  <c r="J47" i="12"/>
  <c r="O17" i="12"/>
  <c r="K49" i="12"/>
  <c r="O148" i="12"/>
  <c r="G165" i="12"/>
  <c r="O195" i="9"/>
  <c r="O282" i="9"/>
  <c r="O319" i="9"/>
  <c r="AQ153" i="12"/>
  <c r="AU21" i="12"/>
  <c r="AZ22" i="12"/>
  <c r="AZ153" i="12" s="1"/>
  <c r="K54" i="12"/>
  <c r="O54" i="12" s="1"/>
  <c r="K55" i="12"/>
  <c r="CH29" i="13"/>
  <c r="B27" i="1"/>
  <c r="CP28" i="13"/>
  <c r="B27" i="12"/>
  <c r="AQ23" i="12" s="1"/>
  <c r="M55" i="12"/>
  <c r="M54" i="12"/>
  <c r="AU151" i="12"/>
  <c r="BD20" i="12"/>
  <c r="BD151" i="12" s="1"/>
  <c r="BS27" i="13"/>
  <c r="U26" i="1"/>
  <c r="A28" i="13"/>
  <c r="O151" i="12"/>
  <c r="L55" i="12"/>
  <c r="L54" i="12"/>
  <c r="N146" i="12"/>
  <c r="L146" i="12"/>
  <c r="K146" i="12"/>
  <c r="M146" i="12"/>
  <c r="CZ79" i="13" l="1"/>
  <c r="CZ83" i="13"/>
  <c r="CZ87" i="13"/>
  <c r="CZ91" i="13"/>
  <c r="CZ84" i="13"/>
  <c r="CZ92" i="13"/>
  <c r="CZ85" i="13"/>
  <c r="CZ93" i="13"/>
  <c r="CZ78" i="13"/>
  <c r="CZ82" i="13"/>
  <c r="CZ86" i="13"/>
  <c r="CZ90" i="13"/>
  <c r="CZ75" i="13"/>
  <c r="CZ77" i="13"/>
  <c r="CZ74" i="13"/>
  <c r="CZ80" i="13"/>
  <c r="CZ88" i="13"/>
  <c r="CZ76" i="13"/>
  <c r="CZ81" i="13"/>
  <c r="CZ89" i="13"/>
  <c r="O146" i="12"/>
  <c r="O322" i="9"/>
  <c r="P319" i="9"/>
  <c r="Q319" i="9"/>
  <c r="P196" i="9"/>
  <c r="F195" i="9" s="1"/>
  <c r="Q196" i="9"/>
  <c r="F196" i="9" s="1"/>
  <c r="P282" i="9"/>
  <c r="O285" i="9"/>
  <c r="Q282" i="9"/>
  <c r="Q283" i="9"/>
  <c r="F283" i="9" s="1"/>
  <c r="P283" i="9"/>
  <c r="F282" i="9" s="1"/>
  <c r="Q320" i="9"/>
  <c r="F320" i="9" s="1"/>
  <c r="P320" i="9"/>
  <c r="F319" i="9" s="1"/>
  <c r="O198" i="9"/>
  <c r="P195" i="9"/>
  <c r="Q195" i="9"/>
  <c r="Q321" i="9"/>
  <c r="G320" i="9" s="1"/>
  <c r="P321" i="9"/>
  <c r="G319" i="9" s="1"/>
  <c r="O55" i="12"/>
  <c r="P197" i="9"/>
  <c r="G195" i="9" s="1"/>
  <c r="Q197" i="9"/>
  <c r="G196" i="9" s="1"/>
  <c r="P284" i="9"/>
  <c r="G282" i="9" s="1"/>
  <c r="Q284" i="9"/>
  <c r="G283" i="9" s="1"/>
  <c r="B28" i="1"/>
  <c r="CH30" i="13"/>
  <c r="CP29" i="13"/>
  <c r="B28" i="12"/>
  <c r="AQ24" i="12" s="1"/>
  <c r="AU152" i="12"/>
  <c r="BD21" i="12"/>
  <c r="BD152" i="12" s="1"/>
  <c r="U27" i="1"/>
  <c r="A29" i="13"/>
  <c r="BS28" i="13"/>
  <c r="AQ154" i="12"/>
  <c r="AU22" i="12"/>
  <c r="AZ23" i="12"/>
  <c r="AZ154" i="12" s="1"/>
  <c r="Q285" i="9" l="1"/>
  <c r="E283" i="9"/>
  <c r="Q198" i="9"/>
  <c r="E196" i="9"/>
  <c r="H196" i="9" s="1"/>
  <c r="E195" i="9"/>
  <c r="P198" i="9"/>
  <c r="P285" i="9"/>
  <c r="E282" i="9"/>
  <c r="G291" i="9"/>
  <c r="G292" i="9"/>
  <c r="F328" i="9"/>
  <c r="F329" i="9"/>
  <c r="F209" i="9"/>
  <c r="H209" i="9" s="1"/>
  <c r="H214" i="9" s="1"/>
  <c r="E320" i="9"/>
  <c r="Q322" i="9"/>
  <c r="F292" i="9"/>
  <c r="F291" i="9"/>
  <c r="E319" i="9"/>
  <c r="P322" i="9"/>
  <c r="G328" i="9"/>
  <c r="G329" i="9"/>
  <c r="U28" i="1"/>
  <c r="BS29" i="13"/>
  <c r="A30" i="13"/>
  <c r="AZ24" i="12"/>
  <c r="AZ155" i="12" s="1"/>
  <c r="AQ155" i="12"/>
  <c r="AU23" i="12"/>
  <c r="BD22" i="12"/>
  <c r="BD153" i="12" s="1"/>
  <c r="AU153" i="12"/>
  <c r="B29" i="1"/>
  <c r="CH31" i="13"/>
  <c r="CP30" i="13"/>
  <c r="B29" i="12"/>
  <c r="AQ25" i="12" s="1"/>
  <c r="Q330" i="9" l="1"/>
  <c r="E291" i="9"/>
  <c r="H291" i="9" s="1"/>
  <c r="H296" i="9" s="1"/>
  <c r="E289" i="9"/>
  <c r="H289" i="9" s="1"/>
  <c r="H295" i="9" s="1"/>
  <c r="H282" i="9"/>
  <c r="H320" i="9"/>
  <c r="E329" i="9"/>
  <c r="H329" i="9" s="1"/>
  <c r="H334" i="9" s="1"/>
  <c r="H195" i="9"/>
  <c r="E206" i="9"/>
  <c r="H206" i="9" s="1"/>
  <c r="H212" i="9" s="1"/>
  <c r="Q206" i="9"/>
  <c r="H319" i="9"/>
  <c r="E326" i="9"/>
  <c r="H326" i="9" s="1"/>
  <c r="E328" i="9"/>
  <c r="H328" i="9" s="1"/>
  <c r="H283" i="9"/>
  <c r="E292" i="9"/>
  <c r="H292" i="9" s="1"/>
  <c r="H297" i="9" s="1"/>
  <c r="Q293" i="9"/>
  <c r="AU154" i="12"/>
  <c r="BD23" i="12"/>
  <c r="BD154" i="12" s="1"/>
  <c r="AQ156" i="12"/>
  <c r="AZ25" i="12"/>
  <c r="AZ156" i="12" s="1"/>
  <c r="AU24" i="12"/>
  <c r="U29" i="1"/>
  <c r="BS30" i="13"/>
  <c r="A31" i="13"/>
  <c r="B30" i="12"/>
  <c r="AQ26" i="12" s="1"/>
  <c r="B30" i="1"/>
  <c r="CH32" i="13"/>
  <c r="CP31" i="13"/>
  <c r="H332" i="9" l="1"/>
  <c r="J338" i="9"/>
  <c r="J340" i="9" s="1"/>
  <c r="AU155" i="12"/>
  <c r="BD24" i="12"/>
  <c r="BD155" i="12" s="1"/>
  <c r="U30" i="1"/>
  <c r="BS31" i="13"/>
  <c r="A32" i="13"/>
  <c r="B31" i="12"/>
  <c r="AQ27" i="12" s="1"/>
  <c r="B31" i="1"/>
  <c r="CP32" i="13"/>
  <c r="CH33" i="13"/>
  <c r="AU25" i="12"/>
  <c r="AQ157" i="12"/>
  <c r="AZ26" i="12"/>
  <c r="AZ157" i="12" s="1"/>
  <c r="B32" i="12" l="1"/>
  <c r="AQ28" i="12" s="1"/>
  <c r="CH34" i="13"/>
  <c r="CP33" i="13"/>
  <c r="B32" i="1"/>
  <c r="AZ27" i="12"/>
  <c r="AZ158" i="12" s="1"/>
  <c r="AU26" i="12"/>
  <c r="AQ158" i="12"/>
  <c r="BS32" i="13"/>
  <c r="U31" i="1"/>
  <c r="A33" i="13"/>
  <c r="AU156" i="12"/>
  <c r="BD25" i="12"/>
  <c r="BD156" i="12" s="1"/>
  <c r="BD26" i="12" l="1"/>
  <c r="BD157" i="12" s="1"/>
  <c r="AU157" i="12"/>
  <c r="A34" i="13"/>
  <c r="U32" i="1"/>
  <c r="BS33" i="13"/>
  <c r="CH35" i="13"/>
  <c r="B33" i="1"/>
  <c r="CP34" i="13"/>
  <c r="B33" i="12"/>
  <c r="AZ28" i="12"/>
  <c r="AZ159" i="12" s="1"/>
  <c r="AU27" i="12"/>
  <c r="AQ159" i="12"/>
  <c r="B34" i="12" l="1"/>
  <c r="CH36" i="13"/>
  <c r="B34" i="1"/>
  <c r="CP35" i="13"/>
  <c r="BD27" i="12"/>
  <c r="BD158" i="12" s="1"/>
  <c r="AU158" i="12"/>
  <c r="A35" i="13"/>
  <c r="BS34" i="13"/>
  <c r="U33" i="1"/>
  <c r="AQ29" i="12"/>
  <c r="B145" i="12"/>
  <c r="B35" i="12" l="1"/>
  <c r="CH37" i="13"/>
  <c r="CP36" i="13"/>
  <c r="B35" i="1"/>
  <c r="U34" i="1"/>
  <c r="A36" i="13"/>
  <c r="BS35" i="13"/>
  <c r="AU28" i="12"/>
  <c r="AZ29" i="12"/>
  <c r="AZ160" i="12" s="1"/>
  <c r="AQ160" i="12"/>
  <c r="AQ30" i="12"/>
  <c r="B146" i="12"/>
  <c r="BD28" i="12" l="1"/>
  <c r="BD159" i="12" s="1"/>
  <c r="AU159" i="12"/>
  <c r="U35" i="1"/>
  <c r="A37" i="13"/>
  <c r="BS36" i="13"/>
  <c r="B36" i="12"/>
  <c r="B36" i="1"/>
  <c r="CH38" i="13"/>
  <c r="CP37" i="13"/>
  <c r="AZ30" i="12"/>
  <c r="AZ161" i="12" s="1"/>
  <c r="AU29" i="12"/>
  <c r="AQ161" i="12"/>
  <c r="AQ31" i="12"/>
  <c r="B147" i="12"/>
  <c r="AU30" i="12" l="1"/>
  <c r="AQ162" i="12"/>
  <c r="AZ31" i="12"/>
  <c r="AZ162" i="12" s="1"/>
  <c r="U36" i="1"/>
  <c r="BS37" i="13"/>
  <c r="A38" i="13"/>
  <c r="AU160" i="12"/>
  <c r="BD29" i="12"/>
  <c r="BD160" i="12" s="1"/>
  <c r="B37" i="12"/>
  <c r="CP38" i="13"/>
  <c r="B37" i="1"/>
  <c r="CH39" i="13"/>
  <c r="B148" i="12"/>
  <c r="AQ32" i="12"/>
  <c r="U37" i="1" l="1"/>
  <c r="A39" i="13"/>
  <c r="BS38" i="13"/>
  <c r="AQ163" i="12"/>
  <c r="AU31" i="12"/>
  <c r="AZ32" i="12"/>
  <c r="AZ163" i="12" s="1"/>
  <c r="B38" i="12"/>
  <c r="CP39" i="13"/>
  <c r="CH40" i="13"/>
  <c r="B38" i="1"/>
  <c r="B149" i="12"/>
  <c r="AQ33" i="12"/>
  <c r="BD30" i="12"/>
  <c r="BD161" i="12" s="1"/>
  <c r="AU161" i="12"/>
  <c r="AQ34" i="12" l="1"/>
  <c r="B150" i="12"/>
  <c r="BS39" i="13"/>
  <c r="U38" i="1"/>
  <c r="A40" i="13"/>
  <c r="AU162" i="12"/>
  <c r="BD31" i="12"/>
  <c r="BD162" i="12" s="1"/>
  <c r="AU32" i="12"/>
  <c r="AQ164" i="12"/>
  <c r="AZ33" i="12"/>
  <c r="AZ164" i="12" s="1"/>
  <c r="CP40" i="13"/>
  <c r="CH41" i="13"/>
  <c r="B39" i="1"/>
  <c r="B39" i="12"/>
  <c r="AU163" i="12" l="1"/>
  <c r="BD32" i="12"/>
  <c r="BD163" i="12" s="1"/>
  <c r="B151" i="12"/>
  <c r="AQ35" i="12"/>
  <c r="U39" i="1"/>
  <c r="BS40" i="13"/>
  <c r="A41" i="13"/>
  <c r="B40" i="1"/>
  <c r="B40" i="12"/>
  <c r="AQ36" i="12" s="1"/>
  <c r="CP41" i="13"/>
  <c r="AZ34" i="12"/>
  <c r="AZ165" i="12" s="1"/>
  <c r="AQ165" i="12"/>
  <c r="AU33" i="12"/>
  <c r="AU34" i="12" l="1"/>
  <c r="AQ166" i="12"/>
  <c r="AZ35" i="12"/>
  <c r="AZ166" i="12" s="1"/>
  <c r="BS41" i="13"/>
  <c r="U40" i="1"/>
  <c r="AU164" i="12"/>
  <c r="BD33" i="12"/>
  <c r="BD164" i="12" s="1"/>
  <c r="AZ36" i="12"/>
  <c r="AZ167" i="12" s="1"/>
  <c r="AQ167" i="12"/>
  <c r="AU35" i="12"/>
  <c r="BD35" i="12" l="1"/>
  <c r="BD166" i="12" s="1"/>
  <c r="AU166" i="12"/>
  <c r="BD34" i="12"/>
  <c r="BD165" i="12" s="1"/>
  <c r="AU165" i="12"/>
</calcChain>
</file>

<file path=xl/comments1.xml><?xml version="1.0" encoding="utf-8"?>
<comments xmlns="http://schemas.openxmlformats.org/spreadsheetml/2006/main">
  <authors>
    <author>RY</author>
    <author>rjyanusz</author>
    <author>Ry</author>
    <author>Suzanne Hayes</author>
    <author>Hayes, Suzanne R (DFG)</author>
    <author>Decovich, Nick A (DFG)</author>
  </authors>
  <commentList>
    <comment ref="T14" authorId="0">
      <text>
        <r>
          <rPr>
            <b/>
            <sz val="8"/>
            <color indexed="81"/>
            <rFont val="Tahoma"/>
            <family val="2"/>
          </rPr>
          <t>RY:</t>
        </r>
        <r>
          <rPr>
            <sz val="8"/>
            <color indexed="81"/>
            <rFont val="Tahoma"/>
            <family val="2"/>
          </rPr>
          <t xml:space="preserve">
NEED BETTER ESTIMATES OF AGE COMP. TO AVOID ROUND OFF ERROR
</t>
        </r>
      </text>
    </comment>
    <comment ref="AX14" authorId="0">
      <text>
        <r>
          <rPr>
            <b/>
            <sz val="8"/>
            <color indexed="81"/>
            <rFont val="Tahoma"/>
            <family val="2"/>
          </rPr>
          <t>RY:</t>
        </r>
        <r>
          <rPr>
            <sz val="8"/>
            <color indexed="81"/>
            <rFont val="Tahoma"/>
            <family val="2"/>
          </rPr>
          <t xml:space="preserve">
SEE FILE "KS ESCAPEMENT CORRELATIONS", SHEET "SUMMARY" FOR DERIVATION OF THESE VALUES</t>
        </r>
      </text>
    </comment>
    <comment ref="AT15" authorId="0">
      <text>
        <r>
          <rPr>
            <b/>
            <sz val="8"/>
            <color indexed="81"/>
            <rFont val="Tahoma"/>
            <family val="2"/>
          </rPr>
          <t>RY:</t>
        </r>
        <r>
          <rPr>
            <sz val="8"/>
            <color indexed="81"/>
            <rFont val="Tahoma"/>
            <family val="2"/>
          </rPr>
          <t xml:space="preserve">
NEW VALUES FROM '02 CF AMR ENTERED 1/13/04 (ry)</t>
        </r>
      </text>
    </comment>
    <comment ref="AU15" authorId="1">
      <text>
        <r>
          <rPr>
            <b/>
            <sz val="8"/>
            <color indexed="81"/>
            <rFont val="Tahoma"/>
            <family val="2"/>
          </rPr>
          <t>rjyanusz:</t>
        </r>
        <r>
          <rPr>
            <sz val="8"/>
            <color indexed="81"/>
            <rFont val="Tahoma"/>
            <family val="2"/>
          </rPr>
          <t xml:space="preserve">
FULL SEASON</t>
        </r>
      </text>
    </comment>
    <comment ref="AW15" authorId="0">
      <text>
        <r>
          <rPr>
            <b/>
            <sz val="10"/>
            <color indexed="81"/>
            <rFont val="Tahoma"/>
            <family val="2"/>
          </rPr>
          <t>RY:</t>
        </r>
        <r>
          <rPr>
            <sz val="10"/>
            <color indexed="81"/>
            <rFont val="Tahoma"/>
            <family val="2"/>
          </rPr>
          <t xml:space="preserve">
Full-season for ND and  general + eastern subd, full season Kustatan.  Updated values from '02 CF AMR</t>
        </r>
      </text>
    </comment>
    <comment ref="L16" authorId="0">
      <text>
        <r>
          <rPr>
            <b/>
            <sz val="10"/>
            <color indexed="81"/>
            <rFont val="Tahoma"/>
            <family val="2"/>
          </rPr>
          <t>RY:</t>
        </r>
        <r>
          <rPr>
            <sz val="10"/>
            <color indexed="81"/>
            <rFont val="Tahoma"/>
            <family val="2"/>
          </rPr>
          <t xml:space="preserve">
see sheet "air regress" for these values</t>
        </r>
      </text>
    </comment>
    <comment ref="AV16" authorId="1">
      <text>
        <r>
          <rPr>
            <b/>
            <sz val="8"/>
            <color indexed="81"/>
            <rFont val="Tahoma"/>
            <family val="2"/>
          </rPr>
          <t>rjyanusz:</t>
        </r>
        <r>
          <rPr>
            <sz val="8"/>
            <color indexed="81"/>
            <rFont val="Tahoma"/>
            <family val="2"/>
          </rPr>
          <t xml:space="preserve">
matches catch database</t>
        </r>
      </text>
    </comment>
    <comment ref="AT17" authorId="1">
      <text>
        <r>
          <rPr>
            <b/>
            <sz val="8"/>
            <color indexed="81"/>
            <rFont val="Tahoma"/>
            <family val="2"/>
          </rPr>
          <t>rjyanusz:</t>
        </r>
        <r>
          <rPr>
            <sz val="8"/>
            <color indexed="81"/>
            <rFont val="Tahoma"/>
            <family val="2"/>
          </rPr>
          <t xml:space="preserve">
SEE SHEET "SUBSISTENCE" AND UPDATE HARVEST NEXT YEAR</t>
        </r>
      </text>
    </comment>
    <comment ref="B21" authorId="0">
      <text>
        <r>
          <rPr>
            <b/>
            <sz val="10"/>
            <color indexed="81"/>
            <rFont val="Tahoma"/>
            <family val="2"/>
          </rPr>
          <t>RY:</t>
        </r>
        <r>
          <rPr>
            <sz val="10"/>
            <color indexed="81"/>
            <rFont val="Tahoma"/>
            <family val="2"/>
          </rPr>
          <t xml:space="preserve">
BLUE DENOTES VALUES OUTSIDE REGRESSION DATA</t>
        </r>
      </text>
    </comment>
    <comment ref="BU22" authorId="0">
      <text>
        <r>
          <rPr>
            <b/>
            <sz val="10"/>
            <color indexed="81"/>
            <rFont val="Tahoma"/>
            <family val="2"/>
          </rPr>
          <t>RY:</t>
        </r>
        <r>
          <rPr>
            <sz val="10"/>
            <color indexed="81"/>
            <rFont val="Tahoma"/>
            <family val="2"/>
          </rPr>
          <t xml:space="preserve">
average</t>
        </r>
      </text>
    </comment>
    <comment ref="B24" authorId="0">
      <text>
        <r>
          <rPr>
            <b/>
            <sz val="10"/>
            <color indexed="81"/>
            <rFont val="Tahoma"/>
            <family val="2"/>
          </rPr>
          <t>RY:</t>
        </r>
        <r>
          <rPr>
            <sz val="10"/>
            <color indexed="81"/>
            <rFont val="Tahoma"/>
            <family val="2"/>
          </rPr>
          <t xml:space="preserve">
average, no correlations to use this year</t>
        </r>
      </text>
    </comment>
    <comment ref="B25" authorId="0">
      <text>
        <r>
          <rPr>
            <b/>
            <sz val="10"/>
            <color indexed="81"/>
            <rFont val="Tahoma"/>
            <family val="2"/>
          </rPr>
          <t>RY:</t>
        </r>
        <r>
          <rPr>
            <sz val="10"/>
            <color indexed="81"/>
            <rFont val="Tahoma"/>
            <family val="2"/>
          </rPr>
          <t xml:space="preserve">
see file 'ks escapement correlations' for derivation of value; E-M method</t>
        </r>
      </text>
    </comment>
    <comment ref="T30" authorId="0">
      <text>
        <r>
          <rPr>
            <b/>
            <sz val="10"/>
            <color indexed="81"/>
            <rFont val="Tahoma"/>
            <family val="2"/>
          </rPr>
          <t>RY:</t>
        </r>
        <r>
          <rPr>
            <sz val="10"/>
            <color indexed="81"/>
            <rFont val="Tahoma"/>
            <family val="2"/>
          </rPr>
          <t xml:space="preserve">
used combined upper and lower Deshka samples, for comparability with other years</t>
        </r>
      </text>
    </comment>
    <comment ref="B33" authorId="0">
      <text>
        <r>
          <rPr>
            <b/>
            <sz val="10"/>
            <color indexed="81"/>
            <rFont val="Tahoma"/>
            <family val="2"/>
          </rPr>
          <t>RY:</t>
        </r>
        <r>
          <rPr>
            <sz val="10"/>
            <color indexed="81"/>
            <rFont val="Tahoma"/>
            <family val="2"/>
          </rPr>
          <t xml:space="preserve">
see file 'ks escapement correlations' for derivation of value, E-M method</t>
        </r>
      </text>
    </comment>
    <comment ref="CI36" authorId="0">
      <text>
        <r>
          <rPr>
            <b/>
            <sz val="8"/>
            <color indexed="81"/>
            <rFont val="Tahoma"/>
            <family val="2"/>
          </rPr>
          <t>RY:</t>
        </r>
        <r>
          <rPr>
            <sz val="8"/>
            <color indexed="81"/>
            <rFont val="Tahoma"/>
            <family val="2"/>
          </rPr>
          <t xml:space="preserve">
green indicated returns counted by weir</t>
        </r>
      </text>
    </comment>
    <comment ref="CQ36" authorId="0">
      <text>
        <r>
          <rPr>
            <b/>
            <sz val="8"/>
            <color indexed="81"/>
            <rFont val="Tahoma"/>
            <family val="2"/>
          </rPr>
          <t>RY:</t>
        </r>
        <r>
          <rPr>
            <sz val="8"/>
            <color indexed="81"/>
            <rFont val="Tahoma"/>
            <family val="2"/>
          </rPr>
          <t xml:space="preserve">
GREEN INDICATES DATA OBTAINED FROM WEIR OPERATIONS</t>
        </r>
      </text>
    </comment>
    <comment ref="B38" authorId="0">
      <text>
        <r>
          <rPr>
            <b/>
            <sz val="10"/>
            <color indexed="81"/>
            <rFont val="Tahoma"/>
            <family val="2"/>
          </rPr>
          <t>RY:</t>
        </r>
        <r>
          <rPr>
            <sz val="10"/>
            <color indexed="81"/>
            <rFont val="Tahoma"/>
            <family val="2"/>
          </rPr>
          <t xml:space="preserve">
BLUE DENOTES VALUES OUTSIDE REGRESSION DATA</t>
        </r>
      </text>
    </comment>
    <comment ref="CF39" authorId="0">
      <text>
        <r>
          <rPr>
            <b/>
            <sz val="10"/>
            <color indexed="81"/>
            <rFont val="Tahoma"/>
            <family val="2"/>
          </rPr>
          <t>RY:</t>
        </r>
        <r>
          <rPr>
            <sz val="10"/>
            <color indexed="81"/>
            <rFont val="Tahoma"/>
            <family val="2"/>
          </rPr>
          <t xml:space="preserve">
BOX INDICATES WEIR DATA</t>
        </r>
      </text>
    </comment>
    <comment ref="DB39" authorId="0">
      <text>
        <r>
          <rPr>
            <b/>
            <sz val="10"/>
            <color indexed="81"/>
            <rFont val="Tahoma"/>
            <family val="2"/>
          </rPr>
          <t>RY:</t>
        </r>
        <r>
          <rPr>
            <sz val="10"/>
            <color indexed="81"/>
            <rFont val="Tahoma"/>
            <family val="2"/>
          </rPr>
          <t xml:space="preserve">
BOX INDICATES WEIR DATA</t>
        </r>
      </text>
    </comment>
    <comment ref="F42" authorId="0">
      <text>
        <r>
          <rPr>
            <b/>
            <sz val="10"/>
            <color indexed="81"/>
            <rFont val="Tahoma"/>
            <family val="2"/>
          </rPr>
          <t>RY:</t>
        </r>
        <r>
          <rPr>
            <sz val="10"/>
            <color indexed="81"/>
            <rFont val="Tahoma"/>
            <family val="2"/>
          </rPr>
          <t xml:space="preserve">
assumes normal start date would have been 5/26</t>
        </r>
      </text>
    </comment>
    <comment ref="BB43" authorId="0">
      <text>
        <r>
          <rPr>
            <b/>
            <sz val="8"/>
            <color indexed="81"/>
            <rFont val="Tahoma"/>
            <family val="2"/>
          </rPr>
          <t>RY:</t>
        </r>
        <r>
          <rPr>
            <sz val="8"/>
            <color indexed="81"/>
            <rFont val="Tahoma"/>
            <family val="2"/>
          </rPr>
          <t xml:space="preserve">
Rutz and Sweet 2000</t>
        </r>
      </text>
    </comment>
    <comment ref="AY44" authorId="0">
      <text>
        <r>
          <rPr>
            <b/>
            <sz val="10"/>
            <color indexed="81"/>
            <rFont val="Tahoma"/>
            <family val="2"/>
          </rPr>
          <t>RY:</t>
        </r>
        <r>
          <rPr>
            <sz val="10"/>
            <color indexed="81"/>
            <rFont val="Tahoma"/>
            <family val="2"/>
          </rPr>
          <t xml:space="preserve">
ORANGE INDICATES MISSING AERIAL COUNT FILLED IN USING WEIR REGRESSION</t>
        </r>
      </text>
    </comment>
    <comment ref="W46" authorId="0">
      <text>
        <r>
          <rPr>
            <b/>
            <sz val="8"/>
            <color indexed="81"/>
            <rFont val="Tahoma"/>
            <family val="2"/>
          </rPr>
          <t>RY:</t>
        </r>
        <r>
          <rPr>
            <sz val="8"/>
            <color indexed="81"/>
            <rFont val="Tahoma"/>
            <family val="2"/>
          </rPr>
          <t xml:space="preserve">
AMR reports 16.6, appears to be an error, Sam's memo says 15.6</t>
        </r>
      </text>
    </comment>
    <comment ref="W47" authorId="0">
      <text>
        <r>
          <rPr>
            <b/>
            <sz val="10"/>
            <color indexed="81"/>
            <rFont val="Tahoma"/>
            <family val="2"/>
          </rPr>
          <t>RY:</t>
        </r>
        <r>
          <rPr>
            <sz val="10"/>
            <color indexed="81"/>
            <rFont val="Tahoma"/>
            <family val="2"/>
          </rPr>
          <t xml:space="preserve">
age 2.3 added to this category, because they're from same BY</t>
        </r>
      </text>
    </comment>
    <comment ref="F49" authorId="0">
      <text>
        <r>
          <rPr>
            <b/>
            <sz val="10"/>
            <color indexed="81"/>
            <rFont val="Tahoma"/>
            <family val="2"/>
          </rPr>
          <t>RY:</t>
        </r>
        <r>
          <rPr>
            <sz val="10"/>
            <color indexed="81"/>
            <rFont val="Tahoma"/>
            <family val="2"/>
          </rPr>
          <t xml:space="preserve">
for Chinook season</t>
        </r>
      </text>
    </comment>
    <comment ref="AU51" authorId="1">
      <text>
        <r>
          <rPr>
            <b/>
            <sz val="8"/>
            <color indexed="81"/>
            <rFont val="Tahoma"/>
            <family val="2"/>
          </rPr>
          <t>rjyanusz:</t>
        </r>
        <r>
          <rPr>
            <sz val="8"/>
            <color indexed="81"/>
            <rFont val="Tahoma"/>
            <family val="2"/>
          </rPr>
          <t xml:space="preserve">
from CF 07 AMR
</t>
        </r>
      </text>
    </comment>
    <comment ref="AV51" authorId="1">
      <text>
        <r>
          <rPr>
            <b/>
            <sz val="8"/>
            <color indexed="81"/>
            <rFont val="Tahoma"/>
            <family val="2"/>
          </rPr>
          <t>rjyanusz:</t>
        </r>
        <r>
          <rPr>
            <sz val="8"/>
            <color indexed="81"/>
            <rFont val="Tahoma"/>
            <family val="2"/>
          </rPr>
          <t xml:space="preserve">
from CF 07 AMR
</t>
        </r>
      </text>
    </comment>
    <comment ref="AU52" authorId="1">
      <text>
        <r>
          <rPr>
            <b/>
            <sz val="8"/>
            <color indexed="81"/>
            <rFont val="Tahoma"/>
            <family val="2"/>
          </rPr>
          <t>rjyanusz:</t>
        </r>
        <r>
          <rPr>
            <sz val="8"/>
            <color indexed="81"/>
            <rFont val="Tahoma"/>
            <family val="2"/>
          </rPr>
          <t xml:space="preserve">
CF web page</t>
        </r>
      </text>
    </comment>
    <comment ref="AY52" authorId="1">
      <text>
        <r>
          <rPr>
            <b/>
            <sz val="8"/>
            <color indexed="81"/>
            <rFont val="Tahoma"/>
            <family val="2"/>
          </rPr>
          <t>rjyanusz:</t>
        </r>
        <r>
          <rPr>
            <sz val="8"/>
            <color indexed="81"/>
            <rFont val="Tahoma"/>
            <family val="2"/>
          </rPr>
          <t xml:space="preserve">
ESTIMATED FROM REGRESSION</t>
        </r>
      </text>
    </comment>
    <comment ref="AU53" authorId="1">
      <text>
        <r>
          <rPr>
            <b/>
            <sz val="8"/>
            <color indexed="81"/>
            <rFont val="Tahoma"/>
            <family val="2"/>
          </rPr>
          <t>rjyanusz:</t>
        </r>
        <r>
          <rPr>
            <sz val="8"/>
            <color indexed="81"/>
            <rFont val="Tahoma"/>
            <family val="2"/>
          </rPr>
          <t xml:space="preserve">
CF web page 10/29/09</t>
        </r>
      </text>
    </comment>
    <comment ref="AV53" authorId="1">
      <text>
        <r>
          <rPr>
            <b/>
            <sz val="8"/>
            <color indexed="81"/>
            <rFont val="Tahoma"/>
            <family val="2"/>
          </rPr>
          <t>rjyanusz:</t>
        </r>
        <r>
          <rPr>
            <sz val="8"/>
            <color indexed="81"/>
            <rFont val="Tahoma"/>
            <family val="2"/>
          </rPr>
          <t xml:space="preserve">
CF web page 10/29/09</t>
        </r>
      </text>
    </comment>
    <comment ref="AT54" authorId="1">
      <text>
        <r>
          <rPr>
            <b/>
            <sz val="8"/>
            <color indexed="81"/>
            <rFont val="Tahoma"/>
            <family val="2"/>
          </rPr>
          <t>rjyanusz:</t>
        </r>
        <r>
          <rPr>
            <sz val="8"/>
            <color indexed="81"/>
            <rFont val="Tahoma"/>
            <family val="2"/>
          </rPr>
          <t xml:space="preserve">
11/29/11 e-mail from Holen
revised number from D. holen Table 11-6 emailed on 11/28/12</t>
        </r>
      </text>
    </comment>
    <comment ref="AU54" authorId="1">
      <text>
        <r>
          <rPr>
            <b/>
            <sz val="8"/>
            <color indexed="81"/>
            <rFont val="Tahoma"/>
            <family val="2"/>
          </rPr>
          <t>rjyanusz:</t>
        </r>
        <r>
          <rPr>
            <sz val="8"/>
            <color indexed="81"/>
            <rFont val="Tahoma"/>
            <family val="2"/>
          </rPr>
          <t xml:space="preserve">
E-MAIL FROM IVEY/SHIELDS 10/26/10.</t>
        </r>
      </text>
    </comment>
    <comment ref="AV54" authorId="1">
      <text>
        <r>
          <rPr>
            <b/>
            <sz val="8"/>
            <color indexed="81"/>
            <rFont val="Tahoma"/>
            <family val="2"/>
          </rPr>
          <t>rjyanusz:</t>
        </r>
        <r>
          <rPr>
            <sz val="8"/>
            <color indexed="81"/>
            <rFont val="Tahoma"/>
            <family val="2"/>
          </rPr>
          <t xml:space="preserve">
E-MAIL FROM IVEY/SHIELDS 10/26/10.</t>
        </r>
      </text>
    </comment>
    <comment ref="AY54" authorId="1">
      <text>
        <r>
          <rPr>
            <b/>
            <sz val="8"/>
            <color indexed="81"/>
            <rFont val="Tahoma"/>
            <family val="2"/>
          </rPr>
          <t>rjyanusz:</t>
        </r>
        <r>
          <rPr>
            <sz val="8"/>
            <color indexed="81"/>
            <rFont val="Tahoma"/>
            <family val="2"/>
          </rPr>
          <t xml:space="preserve">
ESTIMATED FROM REGRESSION</t>
        </r>
      </text>
    </comment>
    <comment ref="I55" authorId="2">
      <text>
        <r>
          <rPr>
            <b/>
            <sz val="8"/>
            <color indexed="81"/>
            <rFont val="Tahoma"/>
            <family val="2"/>
          </rPr>
          <t>Ry:</t>
        </r>
        <r>
          <rPr>
            <sz val="8"/>
            <color indexed="81"/>
            <rFont val="Tahoma"/>
            <family val="2"/>
          </rPr>
          <t xml:space="preserve">
Deshka also has a harvest for "reach not specified" of 399, so 473 might be a minimum</t>
        </r>
      </text>
    </comment>
    <comment ref="W55" authorId="1">
      <text>
        <r>
          <rPr>
            <b/>
            <sz val="8"/>
            <color indexed="81"/>
            <rFont val="Tahoma"/>
            <family val="2"/>
          </rPr>
          <t>rjyanusz:</t>
        </r>
        <r>
          <rPr>
            <sz val="8"/>
            <color indexed="81"/>
            <rFont val="Tahoma"/>
            <family val="2"/>
          </rPr>
          <t xml:space="preserve">
should updat above after projection memo issued, difference is insignificant.</t>
        </r>
      </text>
    </comment>
    <comment ref="AT55" authorId="1">
      <text>
        <r>
          <rPr>
            <b/>
            <sz val="8"/>
            <color indexed="81"/>
            <rFont val="Tahoma"/>
            <family val="2"/>
          </rPr>
          <t>rjyanusz:</t>
        </r>
        <r>
          <rPr>
            <sz val="8"/>
            <color indexed="81"/>
            <rFont val="Tahoma"/>
            <family val="2"/>
          </rPr>
          <t xml:space="preserve">
11/29/11 e-mail from Holen
revised with number from Table 11 -6 from Holen provided on 11/28/12</t>
        </r>
      </text>
    </comment>
    <comment ref="AU55" authorId="1">
      <text>
        <r>
          <rPr>
            <sz val="8"/>
            <color indexed="81"/>
            <rFont val="Tahoma"/>
            <family val="2"/>
          </rPr>
          <t>hayes- Sheilds 2011 FMR 12-25</t>
        </r>
      </text>
    </comment>
    <comment ref="AV55" authorId="1">
      <text>
        <r>
          <rPr>
            <sz val="8"/>
            <color indexed="81"/>
            <rFont val="Tahoma"/>
            <family val="2"/>
          </rPr>
          <t>hayes- Sheilds 2011 FMR 12-25</t>
        </r>
      </text>
    </comment>
    <comment ref="I56" authorId="2">
      <text>
        <r>
          <rPr>
            <b/>
            <sz val="8"/>
            <color indexed="81"/>
            <rFont val="Tahoma"/>
            <family val="2"/>
          </rPr>
          <t>Ry:</t>
        </r>
        <r>
          <rPr>
            <sz val="8"/>
            <color indexed="81"/>
            <rFont val="Tahoma"/>
            <family val="2"/>
          </rPr>
          <t xml:space="preserve">
Deshka also has a harvest for "reach not specified" of 199, so 144 might be a minimum</t>
        </r>
      </text>
    </comment>
    <comment ref="AT56" authorId="3">
      <text>
        <r>
          <rPr>
            <b/>
            <sz val="8"/>
            <color indexed="81"/>
            <rFont val="Tahoma"/>
            <family val="2"/>
          </rPr>
          <t>Suzanne Hayes:</t>
        </r>
        <r>
          <rPr>
            <sz val="8"/>
            <color indexed="81"/>
            <rFont val="Tahoma"/>
            <family val="2"/>
          </rPr>
          <t xml:space="preserve">
harvest increased from 553 preliminary to 840 estimate from Dave Holen's table 11 -6</t>
        </r>
      </text>
    </comment>
    <comment ref="AU56" authorId="3">
      <text>
        <r>
          <rPr>
            <b/>
            <sz val="8"/>
            <color indexed="81"/>
            <rFont val="Tahoma"/>
            <family val="2"/>
          </rPr>
          <t>Suzanne Hayes:</t>
        </r>
        <r>
          <rPr>
            <sz val="8"/>
            <color indexed="81"/>
            <rFont val="Tahoma"/>
            <family val="2"/>
          </rPr>
          <t xml:space="preserve">
email from Pat Shields 11/30/12</t>
        </r>
      </text>
    </comment>
    <comment ref="AV56" authorId="3">
      <text>
        <r>
          <rPr>
            <b/>
            <sz val="8"/>
            <color indexed="81"/>
            <rFont val="Tahoma"/>
            <family val="2"/>
          </rPr>
          <t>Suzanne Hayes:</t>
        </r>
        <r>
          <rPr>
            <sz val="8"/>
            <color indexed="81"/>
            <rFont val="Tahoma"/>
            <family val="2"/>
          </rPr>
          <t xml:space="preserve">
email from Pat Shields 11/30/12</t>
        </r>
      </text>
    </comment>
    <comment ref="AY56" authorId="1">
      <text>
        <r>
          <rPr>
            <b/>
            <sz val="8"/>
            <color indexed="81"/>
            <rFont val="Tahoma"/>
            <family val="2"/>
          </rPr>
          <t>rjyanusz:</t>
        </r>
        <r>
          <rPr>
            <sz val="8"/>
            <color indexed="81"/>
            <rFont val="Tahoma"/>
            <family val="2"/>
          </rPr>
          <t xml:space="preserve">
ESTIMATED FROM REGRESSION</t>
        </r>
      </text>
    </comment>
    <comment ref="AT57" authorId="4">
      <text>
        <r>
          <rPr>
            <b/>
            <sz val="9"/>
            <color indexed="81"/>
            <rFont val="Tahoma"/>
            <family val="2"/>
          </rPr>
          <t>Hayes, Suzanne R (DFG):</t>
        </r>
        <r>
          <rPr>
            <sz val="9"/>
            <color indexed="81"/>
            <rFont val="Tahoma"/>
            <family val="2"/>
          </rPr>
          <t xml:space="preserve">
email from Davin Holen on 11/17/2014. still a preliminary estimate but should not change much</t>
        </r>
      </text>
    </comment>
    <comment ref="AU57" authorId="3">
      <text>
        <r>
          <rPr>
            <b/>
            <sz val="8"/>
            <color indexed="81"/>
            <rFont val="Tahoma"/>
            <family val="2"/>
          </rPr>
          <t>Suzanne Hayes:</t>
        </r>
        <r>
          <rPr>
            <sz val="8"/>
            <color indexed="81"/>
            <rFont val="Tahoma"/>
            <family val="2"/>
          </rPr>
          <t xml:space="preserve">
estimate from Aaron Dupuise,  email . Premilinary catch data 10/10/2013,  updated with information provided by Pat Shields email on 11/18/2014, small change.  Numberis now final</t>
        </r>
      </text>
    </comment>
    <comment ref="AV57" authorId="3">
      <text>
        <r>
          <rPr>
            <b/>
            <sz val="8"/>
            <color indexed="81"/>
            <rFont val="Tahoma"/>
            <family val="2"/>
          </rPr>
          <t>Suzanne Hayes:</t>
        </r>
        <r>
          <rPr>
            <sz val="8"/>
            <color indexed="81"/>
            <rFont val="Tahoma"/>
            <family val="2"/>
          </rPr>
          <t xml:space="preserve">
estimate from Aaron Dupuise,  email . Premilinary catch data 10/10/2013,  updated with information provided by Pat Shields email on 11/18/2014, small change.  Numberis now final</t>
        </r>
      </text>
    </comment>
    <comment ref="AT58" authorId="4">
      <text>
        <r>
          <rPr>
            <b/>
            <sz val="9"/>
            <color indexed="81"/>
            <rFont val="Tahoma"/>
            <family val="2"/>
          </rPr>
          <t>Hayes, Suzanne R (DFG):</t>
        </r>
        <r>
          <rPr>
            <sz val="9"/>
            <color indexed="81"/>
            <rFont val="Tahoma"/>
            <family val="2"/>
          </rPr>
          <t xml:space="preserve">
file "Tyonek Tables 2014"</t>
        </r>
      </text>
    </comment>
    <comment ref="AU58" authorId="4">
      <text>
        <r>
          <rPr>
            <b/>
            <sz val="9"/>
            <color indexed="81"/>
            <rFont val="Tahoma"/>
            <family val="2"/>
          </rPr>
          <t>Hayes, Suzanne R (DFG):</t>
        </r>
        <r>
          <rPr>
            <sz val="9"/>
            <color indexed="81"/>
            <rFont val="Tahoma"/>
            <family val="2"/>
          </rPr>
          <t xml:space="preserve">
Source: Pat Shields email on 11/24/2014, preliminary numbers from fish tickets, they are now error checking the data base.</t>
        </r>
      </text>
    </comment>
    <comment ref="AV58" authorId="4">
      <text>
        <r>
          <rPr>
            <b/>
            <sz val="9"/>
            <color indexed="81"/>
            <rFont val="Tahoma"/>
            <family val="2"/>
          </rPr>
          <t>Hayes, Suzanne R (DFG):</t>
        </r>
        <r>
          <rPr>
            <sz val="9"/>
            <color indexed="81"/>
            <rFont val="Tahoma"/>
            <family val="2"/>
          </rPr>
          <t xml:space="preserve">
Source: Pat Shields email on 11/18/2014, preliminary numbers from fish tickets, they are now error checking the data base.</t>
        </r>
      </text>
    </comment>
    <comment ref="AY58" authorId="4">
      <text>
        <r>
          <rPr>
            <b/>
            <sz val="9"/>
            <color indexed="81"/>
            <rFont val="Tahoma"/>
            <family val="2"/>
          </rPr>
          <t>Hayes, Suzanne R (DFG):</t>
        </r>
        <r>
          <rPr>
            <sz val="9"/>
            <color indexed="81"/>
            <rFont val="Tahoma"/>
            <family val="2"/>
          </rPr>
          <t xml:space="preserve">
Estimated by regression, Rich Yanusz calculation</t>
        </r>
      </text>
    </comment>
    <comment ref="BB58" authorId="5">
      <text>
        <r>
          <rPr>
            <b/>
            <sz val="9"/>
            <color indexed="81"/>
            <rFont val="Tahoma"/>
            <family val="2"/>
          </rPr>
          <t>Decovich, Nick A (DFG):</t>
        </r>
        <r>
          <rPr>
            <sz val="9"/>
            <color indexed="81"/>
            <rFont val="Tahoma"/>
            <family val="2"/>
          </rPr>
          <t xml:space="preserve">
Age comps of NCI comm fishery used for 2014 on. Small number of 1.5's were removed because we didn't see 1.5's at weir. </t>
        </r>
      </text>
    </comment>
    <comment ref="AK59" authorId="5">
      <text>
        <r>
          <rPr>
            <b/>
            <sz val="9"/>
            <color indexed="81"/>
            <rFont val="Tahoma"/>
            <family val="2"/>
          </rPr>
          <t>Decovich, Nick A (DFG):</t>
        </r>
        <r>
          <rPr>
            <sz val="9"/>
            <color indexed="81"/>
            <rFont val="Tahoma"/>
            <family val="2"/>
          </rPr>
          <t xml:space="preserve">
Changed 100316 ND via SHS</t>
        </r>
      </text>
    </comment>
    <comment ref="AU59" authorId="0">
      <text>
        <r>
          <rPr>
            <b/>
            <sz val="9"/>
            <color indexed="81"/>
            <rFont val="Tahoma"/>
            <family val="2"/>
          </rPr>
          <t>RY:</t>
        </r>
        <r>
          <rPr>
            <sz val="9"/>
            <color indexed="81"/>
            <rFont val="Tahoma"/>
            <family val="2"/>
          </rPr>
          <t xml:space="preserve">
from CF UCI web site</t>
        </r>
      </text>
    </comment>
    <comment ref="AV59" authorId="0">
      <text>
        <r>
          <rPr>
            <b/>
            <sz val="9"/>
            <color indexed="81"/>
            <rFont val="Tahoma"/>
            <family val="2"/>
          </rPr>
          <t>RY:</t>
        </r>
        <r>
          <rPr>
            <sz val="9"/>
            <color indexed="81"/>
            <rFont val="Tahoma"/>
            <family val="2"/>
          </rPr>
          <t xml:space="preserve">
from CF UCI web site</t>
        </r>
      </text>
    </comment>
    <comment ref="AY59" authorId="1">
      <text>
        <r>
          <rPr>
            <b/>
            <sz val="8"/>
            <color indexed="81"/>
            <rFont val="Tahoma"/>
            <family val="2"/>
          </rPr>
          <t>rjyanusz:</t>
        </r>
        <r>
          <rPr>
            <sz val="8"/>
            <color indexed="81"/>
            <rFont val="Tahoma"/>
            <family val="2"/>
          </rPr>
          <t xml:space="preserve">
ESTIMATED FROM REGRESSION</t>
        </r>
      </text>
    </comment>
    <comment ref="AU60" authorId="5">
      <text>
        <r>
          <rPr>
            <b/>
            <sz val="9"/>
            <color indexed="81"/>
            <rFont val="Tahoma"/>
            <family val="2"/>
          </rPr>
          <t>Decovich, Nick A (DFG):</t>
        </r>
        <r>
          <rPr>
            <sz val="9"/>
            <color indexed="81"/>
            <rFont val="Tahoma"/>
            <family val="2"/>
          </rPr>
          <t xml:space="preserve">
Inseaon Estimates from CF website</t>
        </r>
      </text>
    </comment>
    <comment ref="AV60" authorId="5">
      <text>
        <r>
          <rPr>
            <b/>
            <sz val="9"/>
            <color indexed="81"/>
            <rFont val="Tahoma"/>
            <family val="2"/>
          </rPr>
          <t>Decovich, Nick A (DFG):</t>
        </r>
        <r>
          <rPr>
            <sz val="9"/>
            <color indexed="81"/>
            <rFont val="Tahoma"/>
            <family val="2"/>
          </rPr>
          <t xml:space="preserve">
Couldn't find, so used 5 year average.</t>
        </r>
      </text>
    </comment>
    <comment ref="AY60" authorId="1">
      <text>
        <r>
          <rPr>
            <b/>
            <sz val="8"/>
            <color indexed="81"/>
            <rFont val="Tahoma"/>
            <family val="2"/>
          </rPr>
          <t>rjyanusz:</t>
        </r>
        <r>
          <rPr>
            <sz val="8"/>
            <color indexed="81"/>
            <rFont val="Tahoma"/>
            <family val="2"/>
          </rPr>
          <t xml:space="preserve">
ESTIMATED FROM REGRESSION</t>
        </r>
      </text>
    </comment>
    <comment ref="AX61" authorId="5">
      <text>
        <r>
          <rPr>
            <b/>
            <sz val="9"/>
            <color indexed="81"/>
            <rFont val="Tahoma"/>
            <family val="2"/>
          </rPr>
          <t>Decovich, Nick A (DFG):</t>
        </r>
        <r>
          <rPr>
            <sz val="9"/>
            <color indexed="81"/>
            <rFont val="Tahoma"/>
            <family val="2"/>
          </rPr>
          <t xml:space="preserve">
Only NCI. Need to get ANC.</t>
        </r>
      </text>
    </comment>
    <comment ref="AY61" authorId="1">
      <text>
        <r>
          <rPr>
            <b/>
            <sz val="8"/>
            <color indexed="81"/>
            <rFont val="Tahoma"/>
            <family val="2"/>
          </rPr>
          <t>rjyanusz:</t>
        </r>
        <r>
          <rPr>
            <sz val="8"/>
            <color indexed="81"/>
            <rFont val="Tahoma"/>
            <family val="2"/>
          </rPr>
          <t xml:space="preserve">
ESTIMATED FROM REGRESSION</t>
        </r>
      </text>
    </comment>
    <comment ref="BB64" authorId="1">
      <text>
        <r>
          <rPr>
            <b/>
            <sz val="8"/>
            <color indexed="81"/>
            <rFont val="Tahoma"/>
            <family val="2"/>
          </rPr>
          <t>rjyanusz:</t>
        </r>
        <r>
          <rPr>
            <sz val="8"/>
            <color indexed="81"/>
            <rFont val="Tahoma"/>
            <family val="2"/>
          </rPr>
          <t xml:space="preserve">
'05 - '11 YEARS WITH 12-HR ND OPENINGS</t>
        </r>
      </text>
    </comment>
    <comment ref="AV65" authorId="1">
      <text>
        <r>
          <rPr>
            <b/>
            <sz val="8"/>
            <color indexed="81"/>
            <rFont val="Tahoma"/>
            <family val="2"/>
          </rPr>
          <t>rjyanusz:</t>
        </r>
        <r>
          <rPr>
            <sz val="8"/>
            <color indexed="81"/>
            <rFont val="Tahoma"/>
            <family val="2"/>
          </rPr>
          <t xml:space="preserve">
1986 WAS FIRST YEAR DIRECTED KS SETNET FISHERY EXISTED</t>
        </r>
      </text>
    </comment>
    <comment ref="BB65" authorId="1">
      <text>
        <r>
          <rPr>
            <b/>
            <sz val="8"/>
            <color indexed="81"/>
            <rFont val="Tahoma"/>
            <family val="2"/>
          </rPr>
          <t>rjyanusz:</t>
        </r>
        <r>
          <rPr>
            <sz val="8"/>
            <color indexed="81"/>
            <rFont val="Tahoma"/>
            <family val="2"/>
          </rPr>
          <t xml:space="preserve">
1993 IS START OF WHEN GILL NETTERS WERE RESTRICTED TO REGISTERING FOR ONLY ONE AREA</t>
        </r>
      </text>
    </comment>
    <comment ref="AV66" authorId="1">
      <text>
        <r>
          <rPr>
            <b/>
            <sz val="8"/>
            <color indexed="81"/>
            <rFont val="Tahoma"/>
            <family val="2"/>
          </rPr>
          <t>rjyanusz:</t>
        </r>
        <r>
          <rPr>
            <sz val="8"/>
            <color indexed="81"/>
            <rFont val="Tahoma"/>
            <family val="2"/>
          </rPr>
          <t xml:space="preserve">
1993 IS START OF WHEN GILL NETTERS WERE RESTRICTED TO REGISTERING FOR ONLY ONE AREA</t>
        </r>
      </text>
    </comment>
    <comment ref="AV67" authorId="1">
      <text>
        <r>
          <rPr>
            <b/>
            <sz val="8"/>
            <color indexed="81"/>
            <rFont val="Tahoma"/>
            <family val="2"/>
          </rPr>
          <t>rjyanusz:</t>
        </r>
        <r>
          <rPr>
            <sz val="8"/>
            <color indexed="81"/>
            <rFont val="Tahoma"/>
            <family val="2"/>
          </rPr>
          <t xml:space="preserve">
'05 WAS 1ST YEAR OF 12-HR ND OPENINGS</t>
        </r>
      </text>
    </comment>
    <comment ref="AK107" authorId="0">
      <text>
        <r>
          <rPr>
            <b/>
            <sz val="10"/>
            <color indexed="81"/>
            <rFont val="Tahoma"/>
            <family val="2"/>
          </rPr>
          <t>RY:</t>
        </r>
        <r>
          <rPr>
            <sz val="10"/>
            <color indexed="81"/>
            <rFont val="Tahoma"/>
            <family val="2"/>
          </rPr>
          <t xml:space="preserve">
'98-00 VARs for only below-weir harvest.  Didn't need above-weir VAR because the above weir harvest was subtracted out based on the boater interviews, and that VAR was assumed to be 0.</t>
        </r>
      </text>
    </comment>
  </commentList>
</comments>
</file>

<file path=xl/comments2.xml><?xml version="1.0" encoding="utf-8"?>
<comments xmlns="http://schemas.openxmlformats.org/spreadsheetml/2006/main">
  <authors>
    <author>RY</author>
    <author>rjyanusz</author>
  </authors>
  <commentList>
    <comment ref="E53" authorId="0">
      <text>
        <r>
          <rPr>
            <b/>
            <sz val="10"/>
            <color indexed="81"/>
            <rFont val="Tahoma"/>
            <family val="2"/>
          </rPr>
          <t>RY:</t>
        </r>
        <r>
          <rPr>
            <sz val="10"/>
            <color indexed="81"/>
            <rFont val="Tahoma"/>
            <family val="2"/>
          </rPr>
          <t xml:space="preserve">
all forecast values entered by hand so they agree with the 12/18/00 forecast memo.  Models have been updated since that memo, so there are currently no live links to reproduce those values</t>
        </r>
      </text>
    </comment>
    <comment ref="M167" authorId="0">
      <text>
        <r>
          <rPr>
            <b/>
            <sz val="8"/>
            <color indexed="81"/>
            <rFont val="Tahoma"/>
            <family val="2"/>
          </rPr>
          <t>RY:</t>
        </r>
        <r>
          <rPr>
            <sz val="8"/>
            <color indexed="81"/>
            <rFont val="Tahoma"/>
            <family val="2"/>
          </rPr>
          <t xml:space="preserve">
from sheet 'current full Ricker'</t>
        </r>
      </text>
    </comment>
    <comment ref="N167" authorId="0">
      <text>
        <r>
          <rPr>
            <b/>
            <sz val="8"/>
            <color indexed="81"/>
            <rFont val="Tahoma"/>
            <family val="2"/>
          </rPr>
          <t>RY:</t>
        </r>
        <r>
          <rPr>
            <sz val="8"/>
            <color indexed="81"/>
            <rFont val="Tahoma"/>
            <family val="2"/>
          </rPr>
          <t xml:space="preserve">
from sheet 'current trimmed Ricker'</t>
        </r>
      </text>
    </comment>
    <comment ref="C206" authorId="0">
      <text>
        <r>
          <rPr>
            <b/>
            <sz val="10"/>
            <color indexed="81"/>
            <rFont val="Tahoma"/>
            <family val="2"/>
          </rPr>
          <t>RY:</t>
        </r>
        <r>
          <rPr>
            <sz val="10"/>
            <color indexed="81"/>
            <rFont val="Tahoma"/>
            <family val="2"/>
          </rPr>
          <t xml:space="preserve">
changed to using just the full Ricker at Hasbrouck's request</t>
        </r>
      </text>
    </comment>
    <comment ref="M206" authorId="0">
      <text>
        <r>
          <rPr>
            <b/>
            <sz val="8"/>
            <color indexed="81"/>
            <rFont val="Tahoma"/>
            <family val="2"/>
          </rPr>
          <t>RY:</t>
        </r>
        <r>
          <rPr>
            <sz val="8"/>
            <color indexed="81"/>
            <rFont val="Tahoma"/>
            <family val="2"/>
          </rPr>
          <t xml:space="preserve">
from sheet 'S-R regexp full'</t>
        </r>
      </text>
    </comment>
    <comment ref="N206" authorId="0">
      <text>
        <r>
          <rPr>
            <b/>
            <sz val="8"/>
            <color indexed="81"/>
            <rFont val="Tahoma"/>
            <family val="2"/>
          </rPr>
          <t>RY:</t>
        </r>
        <r>
          <rPr>
            <sz val="8"/>
            <color indexed="81"/>
            <rFont val="Tahoma"/>
            <family val="2"/>
          </rPr>
          <t xml:space="preserve">
from sheet 'S-R regexp trim'</t>
        </r>
      </text>
    </comment>
    <comment ref="H217" authorId="0">
      <text>
        <r>
          <rPr>
            <b/>
            <sz val="10"/>
            <color indexed="81"/>
            <rFont val="Tahoma"/>
            <family val="2"/>
          </rPr>
          <t>RY:</t>
        </r>
        <r>
          <rPr>
            <sz val="10"/>
            <color indexed="81"/>
            <rFont val="Tahoma"/>
            <family val="2"/>
          </rPr>
          <t xml:space="preserve">
added 1 at Hasbrouck's request</t>
        </r>
      </text>
    </comment>
    <comment ref="C275" authorId="1">
      <text>
        <r>
          <rPr>
            <b/>
            <sz val="8"/>
            <color indexed="81"/>
            <rFont val="Tahoma"/>
            <family val="2"/>
          </rPr>
          <t>rjyanusz:</t>
        </r>
        <r>
          <rPr>
            <sz val="8"/>
            <color indexed="81"/>
            <rFont val="Tahoma"/>
            <family val="2"/>
          </rPr>
          <t xml:space="preserve">
updated 11/2/06, '05 Deshka contribution to CF harvest just needs Anchorage escapements added to the calculation, otherwise done</t>
        </r>
      </text>
    </comment>
    <comment ref="C289" authorId="0">
      <text>
        <r>
          <rPr>
            <b/>
            <sz val="10"/>
            <color indexed="81"/>
            <rFont val="Tahoma"/>
            <family val="2"/>
          </rPr>
          <t>RY:</t>
        </r>
        <r>
          <rPr>
            <sz val="10"/>
            <color indexed="81"/>
            <rFont val="Tahoma"/>
            <family val="2"/>
          </rPr>
          <t xml:space="preserve">
changed to using just the full Ricker at Hasbrouck's request</t>
        </r>
      </text>
    </comment>
    <comment ref="C326" authorId="0">
      <text>
        <r>
          <rPr>
            <b/>
            <sz val="10"/>
            <color indexed="81"/>
            <rFont val="Tahoma"/>
            <family val="2"/>
          </rPr>
          <t>RY:</t>
        </r>
        <r>
          <rPr>
            <sz val="10"/>
            <color indexed="81"/>
            <rFont val="Tahoma"/>
            <family val="2"/>
          </rPr>
          <t xml:space="preserve">
changed to using just the full Ricker at Hasbrouck's request</t>
        </r>
      </text>
    </comment>
  </commentList>
</comments>
</file>

<file path=xl/comments3.xml><?xml version="1.0" encoding="utf-8"?>
<comments xmlns="http://schemas.openxmlformats.org/spreadsheetml/2006/main">
  <authors>
    <author>RY</author>
  </authors>
  <commentList>
    <comment ref="K54" authorId="0">
      <text>
        <r>
          <rPr>
            <b/>
            <sz val="8"/>
            <color indexed="81"/>
            <rFont val="Tahoma"/>
            <family val="2"/>
          </rPr>
          <t>RY:</t>
        </r>
        <r>
          <rPr>
            <sz val="8"/>
            <color indexed="81"/>
            <rFont val="Tahoma"/>
            <family val="2"/>
          </rPr>
          <t xml:space="preserve">
Sandone used these averages in his 2000 run prediction</t>
        </r>
      </text>
    </comment>
  </commentList>
</comments>
</file>

<file path=xl/sharedStrings.xml><?xml version="1.0" encoding="utf-8"?>
<sst xmlns="http://schemas.openxmlformats.org/spreadsheetml/2006/main" count="1946" uniqueCount="616">
  <si>
    <t>Ricker model.  Includes brood years 1975-1986 and 1992.  Years 1987-1991 were excluded because of extremely poor productivity.</t>
  </si>
  <si>
    <t>Aerial survey count doubled.</t>
  </si>
  <si>
    <t>Weir count</t>
  </si>
  <si>
    <t>This model does not provide a projection for the age-4 component.  The projected number of returning age-4 salmon from the</t>
  </si>
  <si>
    <t>trimmed years model was substituted.</t>
  </si>
  <si>
    <t>f</t>
  </si>
  <si>
    <t>The average ratio of the age-5:age-4 chinook salmon in the Deshka River from weir passage data is 2.20:1; the median ratio is 2.02:1.</t>
  </si>
  <si>
    <t>Because of the low escapement observed in the Deshka River in 1995, I am hesitant to use either number to project the return of age-5</t>
  </si>
  <si>
    <t>salmon in 1999.   Therefore, I used a more conservative 1.57:1 in my projection of the age-5 component,</t>
  </si>
  <si>
    <t>'74-03 avg. for non-missing years</t>
  </si>
  <si>
    <t>which was observed in 1999.</t>
  </si>
  <si>
    <t>g</t>
  </si>
  <si>
    <t>The projected number of returning age-4 salmon from the trimmed years model was used in this model.</t>
  </si>
  <si>
    <t>Shaded cells contain the observed data for 2000.</t>
  </si>
  <si>
    <t>Observed Escapement</t>
  </si>
  <si>
    <t>Number</t>
  </si>
  <si>
    <t>TABLE FOR 2001 FORECAST, TAKEN FROM SANDONE'S MEMO AND UPDATED WITH THE OBSERVED 2000 RUN DATA.</t>
  </si>
  <si>
    <t>Bayes' Mean</t>
  </si>
  <si>
    <t>Bayes' Lower 95% Interval</t>
  </si>
  <si>
    <t>Bayes' Upper 95% Interval</t>
  </si>
  <si>
    <t>PROPORTION OF BROOD YEAR RETURN BY AGE CLASS</t>
  </si>
  <si>
    <t>h</t>
  </si>
  <si>
    <t>Age Com-</t>
  </si>
  <si>
    <t>position</t>
  </si>
  <si>
    <t>avg.</t>
  </si>
  <si>
    <t>closed in '95, '96, and opened late in '97</t>
  </si>
  <si>
    <t>Table 1.</t>
  </si>
  <si>
    <t>guess/observed</t>
  </si>
  <si>
    <t>diff/guess</t>
  </si>
  <si>
    <t>esc. goal</t>
  </si>
  <si>
    <t>surplus</t>
  </si>
  <si>
    <t>unharvested</t>
  </si>
  <si>
    <t>Above</t>
  </si>
  <si>
    <t>file inseas00.xls</t>
  </si>
  <si>
    <t/>
  </si>
  <si>
    <t xml:space="preserve">Marine Harvest f </t>
  </si>
  <si>
    <t>corrected SWHS for above weir</t>
  </si>
  <si>
    <t>file inseas99.xls</t>
  </si>
  <si>
    <t>Does not include three age-3 chinook salmon estimated in the 2000 commercial harvest.</t>
  </si>
  <si>
    <t>esc.</t>
  </si>
  <si>
    <t>Run size forecasts for the Deshka River-origin chinook salmon stock, 2000.  Taken from Table 1 of the Gene Sandone memo dated November 2, 1999.</t>
  </si>
  <si>
    <t>Table ___.</t>
  </si>
  <si>
    <t>Median</t>
  </si>
  <si>
    <t>Ricker model with all brood years included.</t>
  </si>
  <si>
    <t>Ricker model using brood years 1975-1986 and 1992.  Years 1987-1991 were excluded because of extremely poor productivity.</t>
  </si>
  <si>
    <t>Average of the two spawner-recruit forecasts</t>
  </si>
  <si>
    <t>N/A</t>
  </si>
  <si>
    <t xml:space="preserve">Abundance forecasts for the 2001 Deshka River chinook salmon run. N/A means not applicable. </t>
  </si>
  <si>
    <t>2001 Forecasts</t>
  </si>
  <si>
    <t>Maximum</t>
  </si>
  <si>
    <t>min. weir data</t>
  </si>
  <si>
    <t>max. weir data</t>
  </si>
  <si>
    <t>Minimum</t>
  </si>
  <si>
    <t>min. all data</t>
  </si>
  <si>
    <t>Based on age samples collected at the weir for brood years 1991-93</t>
  </si>
  <si>
    <t>Guess</t>
  </si>
  <si>
    <t>Min.</t>
  </si>
  <si>
    <t>Max.</t>
  </si>
  <si>
    <t>2008 Deshka chinook salmon forecast</t>
  </si>
  <si>
    <t>Table  1.-Forecasts of the 2008 total run of Deshka River chinook salmon using Ricker models.</t>
  </si>
  <si>
    <t xml:space="preserve">Deshka River chinook salmon in 2008.  BEG means biological </t>
  </si>
  <si>
    <t>2008 Run Forecast</t>
  </si>
  <si>
    <t>----- do NOT USE --- SOME OF THE LINKED CELLS HAVE CHANGED AND ARE NO LONGER RELEVANT TO '2007'</t>
  </si>
  <si>
    <t xml:space="preserve">Deshka River chinook salmon in 2007.  BEG means biological </t>
  </si>
  <si>
    <t>e- 1979-2006 average</t>
  </si>
  <si>
    <t>2005 Deshka chinook salmon forecast</t>
  </si>
  <si>
    <t>Returning Number per Age Class</t>
  </si>
  <si>
    <t>Percent per Age Class</t>
  </si>
  <si>
    <t>(ESCAPEMENT + SPORT HARVEST +MARINE. HARVEST)</t>
  </si>
  <si>
    <t>(ESCAPEMENT + SPORT HARVEST +MARINE HARVEST)</t>
  </si>
  <si>
    <t>MARINE HARVEST</t>
  </si>
  <si>
    <t>final SHS</t>
  </si>
  <si>
    <t>Sweet and Rutz 2001 (FDS 01-9)</t>
  </si>
  <si>
    <t>Sweet et al. 2003 (FDS 03-10)</t>
  </si>
  <si>
    <t>weir-CF sampling dropped</t>
  </si>
  <si>
    <r>
      <t xml:space="preserve">b- Includes brood years 1974-86 and 1992-97 with </t>
    </r>
    <r>
      <rPr>
        <sz val="10"/>
        <rFont val="Symbol"/>
        <family val="1"/>
        <charset val="2"/>
      </rPr>
      <t>a</t>
    </r>
    <r>
      <rPr>
        <sz val="10"/>
        <rFont val="Times New Roman"/>
        <family val="1"/>
      </rPr>
      <t xml:space="preserve">=4.669  and </t>
    </r>
    <r>
      <rPr>
        <sz val="10"/>
        <rFont val="Symbol"/>
        <family val="1"/>
        <charset val="2"/>
      </rPr>
      <t>b</t>
    </r>
    <r>
      <rPr>
        <sz val="10"/>
        <rFont val="Times New Roman"/>
        <family val="1"/>
      </rPr>
      <t xml:space="preserve">=-3.53x10-5 </t>
    </r>
  </si>
  <si>
    <t>2003 Deshka chinook salmon forecast</t>
  </si>
  <si>
    <t>Table  1.-Forecasts of the 2003 total run of Deshka River chinook salmon using Ricker models.</t>
  </si>
  <si>
    <t>Table  2.-Forecasts of the age-1.3 and age-1.4 components of the Deshka River chinook salmon run in 2003</t>
  </si>
  <si>
    <t>in 2003</t>
  </si>
  <si>
    <t>2003 Abundance Forecast</t>
  </si>
  <si>
    <t>2003 Run Forecast</t>
  </si>
  <si>
    <t xml:space="preserve">d- Value is the average of the 2000 and 2001 sport harvests.  </t>
  </si>
  <si>
    <t>e- 1977-2002 average</t>
  </si>
  <si>
    <t xml:space="preserve">Deshka River chinook salmon in 2003.  BEG means biological </t>
  </si>
  <si>
    <t>weir average</t>
  </si>
  <si>
    <t xml:space="preserve">Deshka River chinook salmon in 2005.  BEG means biological </t>
  </si>
  <si>
    <r>
      <t xml:space="preserve">b- Includes brood years 1974-85 and 1992-97 with </t>
    </r>
    <r>
      <rPr>
        <sz val="10"/>
        <rFont val="Symbol"/>
        <family val="1"/>
        <charset val="2"/>
      </rPr>
      <t>a</t>
    </r>
    <r>
      <rPr>
        <sz val="10"/>
        <rFont val="Times New Roman"/>
        <family val="1"/>
      </rPr>
      <t xml:space="preserve">=5.117  and </t>
    </r>
    <r>
      <rPr>
        <sz val="10"/>
        <rFont val="Symbol"/>
        <family val="1"/>
        <charset val="2"/>
      </rPr>
      <t>b</t>
    </r>
    <r>
      <rPr>
        <sz val="10"/>
        <rFont val="Times New Roman"/>
        <family val="1"/>
      </rPr>
      <t xml:space="preserve">=-3.898x10-5 </t>
    </r>
  </si>
  <si>
    <r>
      <t xml:space="preserve">a- Includes brood years 1974-97 with </t>
    </r>
    <r>
      <rPr>
        <sz val="10"/>
        <rFont val="Symbol"/>
        <family val="1"/>
        <charset val="2"/>
      </rPr>
      <t>a</t>
    </r>
    <r>
      <rPr>
        <sz val="10"/>
        <rFont val="Times New Roman"/>
        <family val="1"/>
      </rPr>
      <t xml:space="preserve">=3.174 and </t>
    </r>
    <r>
      <rPr>
        <sz val="10"/>
        <rFont val="Symbol"/>
        <family val="1"/>
        <charset val="2"/>
      </rPr>
      <t>b</t>
    </r>
    <r>
      <rPr>
        <sz val="10"/>
        <rFont val="Times New Roman"/>
        <family val="1"/>
      </rPr>
      <t>=-3.170x10-5</t>
    </r>
  </si>
  <si>
    <t>missing years</t>
  </si>
  <si>
    <t>Combined Model- Average Sport Harvest a</t>
  </si>
  <si>
    <t>b-Lowest abundance of age-1.2 ever at weir plus</t>
  </si>
  <si>
    <t>assuming average sport harvest in 2008</t>
  </si>
  <si>
    <t xml:space="preserve">Deshka River Chinook salmon in 2009 by various models.  BEG means biological </t>
  </si>
  <si>
    <t>Sibling Regression-Average Sport Harvest in 2008</t>
  </si>
  <si>
    <t>Sibling Regression-No Sport Harvest in 2008</t>
  </si>
  <si>
    <t xml:space="preserve">e- 2000-2007 average </t>
  </si>
  <si>
    <t>f- 1993-2008 average</t>
  </si>
  <si>
    <t>Highest projection  d</t>
  </si>
  <si>
    <t xml:space="preserve">Sport Harvest e </t>
  </si>
  <si>
    <t>assuming no sport harvest in 2008</t>
  </si>
  <si>
    <t>c- Sum of lowest projections for each age class</t>
  </si>
  <si>
    <t>d- Sum of highest projections for each age class</t>
  </si>
  <si>
    <t>forecast harvest</t>
  </si>
  <si>
    <t>forecast '08 total run</t>
  </si>
  <si>
    <t>forecast escapement</t>
  </si>
  <si>
    <t>07 combined model forecast</t>
  </si>
  <si>
    <t>observed total run</t>
  </si>
  <si>
    <t>'07 lowest model</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</si>
  <si>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</si>
  <si>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</si>
  <si>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</si>
  <si>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</si>
  <si>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</si>
  <si>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</si>
  <si>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</si>
  <si>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</si>
  <si>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</si>
  <si>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</si>
  <si>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</si>
  <si>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</si>
  <si>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</si>
  <si>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</si>
  <si>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</si>
  <si>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</si>
  <si>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</si>
  <si>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</si>
  <si>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</si>
  <si>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</si>
  <si>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</si>
  <si>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</si>
  <si>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</si>
  <si>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X Variable 1</t>
  </si>
  <si>
    <t>Age 4s</t>
  </si>
  <si>
    <t>Pred(Age 5s)</t>
  </si>
  <si>
    <t>Age 5s</t>
  </si>
  <si>
    <t>Pred(Age 6s)</t>
  </si>
  <si>
    <t>1982 and 1974 are the outliers in both plots</t>
  </si>
  <si>
    <t>1975-94 average</t>
  </si>
  <si>
    <t>PREDICTED RETURNS</t>
  </si>
  <si>
    <t>intercept</t>
  </si>
  <si>
    <t>slope</t>
  </si>
  <si>
    <t>predicted</t>
  </si>
  <si>
    <t>difference</t>
  </si>
  <si>
    <t>sq</t>
  </si>
  <si>
    <t>diff.</t>
  </si>
  <si>
    <t>age 6</t>
  </si>
  <si>
    <t>AGE 5</t>
  </si>
  <si>
    <t>AGE 6</t>
  </si>
  <si>
    <t>MSE</t>
  </si>
  <si>
    <t>CELLS BELOW LINKED TO SHEET "ROOT"</t>
  </si>
  <si>
    <t>NO RAW DATA ENTRY HERE; SEE SHEET "ROOT" FOR THAT</t>
  </si>
  <si>
    <t>THIS SHEET CALCULATES THE SIBLING RELATIONSHIP FOR DESHKA CHINOOK SALMON USING LINEAR REGRESSION OF ONE RETURN ON THE FOLLOWING YEAR'S RETURN</t>
  </si>
  <si>
    <t>RESIDUAL OUTPUT</t>
  </si>
  <si>
    <t>Observation</t>
  </si>
  <si>
    <t>final, file Deshka KS 2008_AA_ry, has biometric review</t>
  </si>
  <si>
    <t>Predicted Y</t>
  </si>
  <si>
    <t>Residuals</t>
  </si>
  <si>
    <t>Calculate 95% CI bands around regression following Sokal and Rohlf (1995), Box 14.3, steps 4, 7)</t>
  </si>
  <si>
    <t>Residual output above = dy.x in Sokal and Rohlf (1995)</t>
  </si>
  <si>
    <t>sybar</t>
  </si>
  <si>
    <t>s^2y.x</t>
  </si>
  <si>
    <t>sum(d^2y.x)</t>
  </si>
  <si>
    <t>d^2y.x</t>
  </si>
  <si>
    <t>X</t>
  </si>
  <si>
    <t>x^2</t>
  </si>
  <si>
    <t xml:space="preserve">for </t>
  </si>
  <si>
    <t>each x:</t>
  </si>
  <si>
    <t>(Xi-Xbar)^2=</t>
  </si>
  <si>
    <t>sum x^2=</t>
  </si>
  <si>
    <t>t(0.05,20)</t>
  </si>
  <si>
    <t>half-width</t>
  </si>
  <si>
    <t>95% C.I.</t>
  </si>
  <si>
    <t>95%CI up</t>
  </si>
  <si>
    <t>95%CI lo</t>
  </si>
  <si>
    <t>n=</t>
  </si>
  <si>
    <t>MS resid=</t>
  </si>
  <si>
    <t>SS resid=</t>
  </si>
  <si>
    <t>yhat</t>
  </si>
  <si>
    <t>Need to sort X so CIs plot correctly</t>
  </si>
  <si>
    <t>1994 IS OUTLIER IN BOTH DATA SETS</t>
  </si>
  <si>
    <t>pred(5)</t>
  </si>
  <si>
    <t>pred(6)</t>
  </si>
  <si>
    <t>01 prediction</t>
  </si>
  <si>
    <t>REVISED '01 FORECAST</t>
  </si>
  <si>
    <t>total run</t>
  </si>
  <si>
    <t>-CF harvest</t>
  </si>
  <si>
    <t>-SF harvest</t>
  </si>
  <si>
    <t>SSE</t>
  </si>
  <si>
    <t>better than ratio</t>
  </si>
  <si>
    <t>worse than full data regression</t>
  </si>
  <si>
    <t>very similar to ratio method</t>
  </si>
  <si>
    <t>Harvest Projections</t>
  </si>
  <si>
    <t>Yield Projections (available after minimum BEG of 13,000)</t>
  </si>
  <si>
    <t>2009 Total Run Projections</t>
  </si>
  <si>
    <t>Age 1.2</t>
  </si>
  <si>
    <t>Age 1.3</t>
  </si>
  <si>
    <t>Age 1.4</t>
  </si>
  <si>
    <t>Model -</t>
  </si>
  <si>
    <t>=Esc. Projected</t>
  </si>
  <si>
    <t>better than ratio method</t>
  </si>
  <si>
    <t>worst of all</t>
  </si>
  <si>
    <t>all years</t>
  </si>
  <si>
    <t>REVISED '00 FORECAST</t>
  </si>
  <si>
    <t>02' FORECAST</t>
  </si>
  <si>
    <t>CELLS BELOW LINKED ABOVE</t>
  </si>
  <si>
    <t>These values were used in '00 and '01 forecasts</t>
  </si>
  <si>
    <t>RATIO DATA</t>
  </si>
  <si>
    <t xml:space="preserve">avg not using </t>
  </si>
  <si>
    <t>weir at RM 17</t>
  </si>
  <si>
    <t>weir at RM 7</t>
  </si>
  <si>
    <t>weir count (no sport fishery, no harvest correction needed)</t>
  </si>
  <si>
    <t>(weir count)-(harvest above weir)</t>
  </si>
  <si>
    <t>conditions too poor for aerial survey; weir at RM 7</t>
  </si>
  <si>
    <t xml:space="preserve"> weir at RM 7</t>
  </si>
  <si>
    <t>weir in late, weir at RM 7</t>
  </si>
  <si>
    <t>creel average</t>
  </si>
  <si>
    <t>In</t>
  </si>
  <si>
    <t>Down</t>
  </si>
  <si>
    <t>TIme</t>
  </si>
  <si>
    <t>Delaney, Kevin, and K. Hepler. 1983. Inventory and cataloging of sport fish and sport fish waters of the lower Susitna River and central Cook Inlet drainages. Alaska Department of Fish and Game. Federal Aid in Fish Restoration, Annual Performance Report, 1982-83, Project F-9-15, 24(G-I-H), Juneau.</t>
  </si>
  <si>
    <t>'86-92 avg.</t>
  </si>
  <si>
    <t>Hepler, Kelly R., and Robert W. Bentz. 1984. Chinook salmon population and angler use studies of upper Cook Inlet waters.  Alaska Department of Fish and Game.  Federal Aid in Fish Restoration, Annual Performance Report, 1983-84, Project F-9-16, 25(G-II-M), Juneau.</t>
  </si>
  <si>
    <t>Hepler, Kelly R., and Robert W. Bentz. 1985. Chinook salmon population and angler use studies of northern Cook Inlet waters.  Alaska Department of Fish and Game.  Federal Aid in Fish Restoration, Annual Performance Report, 1984-85, Project F-9-17, 26(G-II-M), Juneau.</t>
  </si>
  <si>
    <t>unpublished, ADF&amp;G, Palmer</t>
  </si>
  <si>
    <t>2007 Run Forecast</t>
  </si>
  <si>
    <t>2007 Deshka chinook salmon forecast</t>
  </si>
  <si>
    <t>Table  1.-Forecasts of the 2006 total run of Deshka River chinook salmon using Ricker models.</t>
  </si>
  <si>
    <t xml:space="preserve">Deshka River chinook salmon in 2006.  BEG means biological </t>
  </si>
  <si>
    <t>2006 Run Forecast</t>
  </si>
  <si>
    <t xml:space="preserve">Ricker a </t>
  </si>
  <si>
    <t xml:space="preserve">Ricker b </t>
  </si>
  <si>
    <t>a- Includes brood years 1974-97 with a=3.174 and b=-3.170x10-5</t>
  </si>
  <si>
    <t xml:space="preserve">b- Includes brood years 1974-85 and 1992-97 with a=5.117  and b=-3.898x10-5 </t>
  </si>
  <si>
    <t xml:space="preserve">d- Value is the average of the 2000-2004 sport harvests.  </t>
  </si>
  <si>
    <t>e- 1979-2004 average</t>
  </si>
  <si>
    <t>a- Includes brood years 1974-98 with a=2.991 and b=-2.859x10-5</t>
  </si>
  <si>
    <t xml:space="preserve">b- Includes brood years 1974-85 and 1992-98 with a=3.744  and b=-2.879x10-5 </t>
  </si>
  <si>
    <t xml:space="preserve">d- Value is the average of the 2000-2005 sport harvests.  </t>
  </si>
  <si>
    <r>
      <t>Hepler, Kelly R., and Robert W. Bentz. 1987. Harvest, effort and escapement statistics for selected chinook salmon (</t>
    </r>
    <r>
      <rPr>
        <i/>
        <sz val="10"/>
        <rFont val="Arial"/>
        <family val="2"/>
      </rPr>
      <t>Oncorhynchus tshawytscha</t>
    </r>
    <r>
      <rPr>
        <sz val="10"/>
        <rFont val="Arial"/>
        <family val="2"/>
      </rPr>
      <t>) sport fisheries in northern Cook Inlet, Alaska, 1986.  Alaska Department of Fish and Game.  Fishery Data Series No. 8, Juneau.</t>
    </r>
  </si>
  <si>
    <t>Hepler,Kelly R., R. W. Conrad, and D. Vincent-Lang. 1988. Estimates of harvest and effort for selected sport fisheries for chinook salmon  in northern Cook Inlet, Alaska, 1987.  Alaska Department of Fish and Game.  Fishery Data Series No. 59, Juneau.</t>
  </si>
  <si>
    <t>Hepler,Kelly R., A. G. Hoffman, and D. Vincent-Lang. 1989. Estimates of effort and harvest for selected sport fisheries for chinook salmon  in northern Cook Inlet, Alaska, 1988.  Alaska Department of Fish and Game.  Fishery Data Series No. 45, Juneau.</t>
  </si>
  <si>
    <t>Sweet, Dana E., and K. A. Webster. 1990. Estimates of effort and harvest for selected sport fisheries for chinook salmon  in northern Cook Inlet, Alaska, 1989.  Alaska Department of Fish and Game.  Fishery Data Series No. 90-32, Anchorage.</t>
  </si>
  <si>
    <t>----- do NOT USE --- SOME OF THE LINKED CELLS HAVE CHANGED AND ARE NO LONGER RELEVANT TO '2008'</t>
  </si>
  <si>
    <t>Whitmore, Craig, D. Sweet, and L. Bartlett.  1993.  Area management report for the recreational fisheries of northern Cook Inlet.  Alaska Department of Fish and Game.  Fishery Management Report, Anchorage.</t>
  </si>
  <si>
    <t>Whitmore, C., D. Sweet,  L. Bartlett, A. Havens and L. Restad.  1994.  1993 area management report for the recreational fisheries of northern Cook Inlet.  Alaska Department of Fish and Game.  Fishery Management Report No. 94-6, Anchorage.</t>
  </si>
  <si>
    <t>Whitmore, C., D. Sweet,  and L. Bartlett.  1995.  Area management report for the recreational fisheries of northern Cook Inlet, 1994.  Alaska Department of Fish and Game.  Fishery Management Report No. 95-6, Anchorage.</t>
  </si>
  <si>
    <t>Whitmore, Craig, and D. Sweet.  1999.  Area management report for the recreational fisheries of northern Cook Inlet, 1998.  Alaska Department of Fish and Game.  Fishery Management Report No. 99-1, Anchorage.</t>
  </si>
  <si>
    <t>Rutz, Dave, and D. Sweet.  2000.  Area management report for the recreational fisheries of northern Cook Inlet, 1999.  Alaska Department of Fish and Game.  Fishery Management Report No. 00-8, Anchorage.</t>
  </si>
  <si>
    <t>Whitmore, Craig, and D. Sweet.  1998.  Area management report for the recreational fisheries of northern Cook Inlet, 1997.  Alaska Department of Fish and Game.  Fishery Management Report No. 98-4, Anchorage.</t>
  </si>
  <si>
    <t>Whitmore, Craig, and D. Sweet.  1997.  Area management report for the recreational fisheries of northern Cook Inlet, 1996.  Alaska Department of Fish and Game.  Fishery Management Report No. 97-3, Anchorage.</t>
  </si>
  <si>
    <t>Whitmore, Craig, D. Sweet, and L. Bartlett.  1996.  Area management report for the recreational fisheries of northern Cook Inlet, 1995.  Alaska Department of Fish and Game.  Fishery Management Report No. 96-2, Anchorage.</t>
  </si>
  <si>
    <t>ANC + NCI</t>
  </si>
  <si>
    <t>trimmed is</t>
  </si>
  <si>
    <t>smaller than all-years</t>
  </si>
  <si>
    <t>prelim '06</t>
  </si>
  <si>
    <t>06 combined</t>
  </si>
  <si>
    <t>DON'T USE-REGRESSION NOT PROPER FOR 2 RANDOM VARIABLES</t>
  </si>
  <si>
    <t>CORRELATION OK</t>
  </si>
  <si>
    <t>4:5 Correlation</t>
  </si>
  <si>
    <t>5:6 Correlation</t>
  </si>
  <si>
    <t>r-square</t>
  </si>
  <si>
    <t>Brood table developed below USING NEW VALUES FOR THE DESHKA COMMERCIAL HARVEST and 1986 sport harvest ages</t>
  </si>
  <si>
    <t>hidden-&gt;</t>
  </si>
  <si>
    <t>stopped at '03 for FDS report</t>
  </si>
  <si>
    <t>Marine</t>
  </si>
  <si>
    <t>DESHKA CHINOOK</t>
  </si>
  <si>
    <t>pre-weir</t>
  </si>
  <si>
    <t>Table  1.-Forecasts of the 2005 total run of Deshka River chinook salmon using Ricker models.</t>
  </si>
  <si>
    <t>Tyonek</t>
  </si>
  <si>
    <t>Subsistence</t>
  </si>
  <si>
    <t>prelim 04 tot run</t>
  </si>
  <si>
    <t>Point Estimate</t>
  </si>
  <si>
    <t>age-1.3 and age-1.4 projections from the sibling model</t>
  </si>
  <si>
    <t>a- Includes brood years 1974-00 with a=3.116 and b=-2.897x10-5</t>
  </si>
  <si>
    <t xml:space="preserve">b- Includes brood years 1974-85 and 1992-00 with a=3.835  and b=-2.904x10-5 </t>
  </si>
  <si>
    <t>e- 1993-2007 average</t>
  </si>
  <si>
    <t xml:space="preserve">d- Value is the average of the 2000-2006 sport harvests.  </t>
  </si>
  <si>
    <t>Table 4- check math for 07 forecast vs. 07 observed</t>
  </si>
  <si>
    <t>Looks like round-off error makes this table 2 fish more than the spreadsheet</t>
  </si>
  <si>
    <t>SF</t>
  </si>
  <si>
    <t>ESC</t>
  </si>
  <si>
    <t>TOTAL</t>
  </si>
  <si>
    <t>a-All years Ricker model plus</t>
  </si>
  <si>
    <t>weir only</t>
  </si>
  <si>
    <t>Lowest</t>
  </si>
  <si>
    <t>age-1.3 and age-1.4 forecasts from the sibling model</t>
  </si>
  <si>
    <t>Lowest forecasts</t>
  </si>
  <si>
    <t>Partial Ricker</t>
  </si>
  <si>
    <t xml:space="preserve">Performance of abundance forecasts for the 2001 Deshka River chinook salmon run. N/A means not applicable. </t>
  </si>
  <si>
    <t xml:space="preserve"> weir at RM 7; severe flood Aug. 18-19/06</t>
  </si>
  <si>
    <t>Size</t>
  </si>
  <si>
    <t>return</t>
  </si>
  <si>
    <t>2006 Deshka chinook salmon forecast</t>
  </si>
  <si>
    <t>Table  1.-Forecasts of the 2007 total run of Deshka River chinook salmon using Ricker models.</t>
  </si>
  <si>
    <t>ALL YEARS</t>
  </si>
  <si>
    <t>PRE-WEIR</t>
  </si>
  <si>
    <t>All years</t>
  </si>
  <si>
    <t>WEIR-ONLY SIBLING CORRELATION</t>
  </si>
  <si>
    <t>p=0.11 (run in Splus)</t>
  </si>
  <si>
    <t>USING REGRESSION -----  NOT RIGHT      !!!!!!!!!!!!</t>
  </si>
  <si>
    <t xml:space="preserve">f- total run forecast minus the  lower and upper BEG </t>
  </si>
  <si>
    <t>contrast</t>
  </si>
  <si>
    <t>1974-2003</t>
  </si>
  <si>
    <t>average, '74-2001</t>
  </si>
  <si>
    <r>
      <t xml:space="preserve">Ricker </t>
    </r>
    <r>
      <rPr>
        <vertAlign val="superscript"/>
        <sz val="12"/>
        <rFont val="Times New Roman"/>
        <family val="1"/>
      </rPr>
      <t>a</t>
    </r>
    <r>
      <rPr>
        <sz val="10"/>
        <rFont val="Times New Roman"/>
        <family val="1"/>
      </rPr>
      <t xml:space="preserve"> </t>
    </r>
  </si>
  <si>
    <r>
      <t xml:space="preserve">Ricker </t>
    </r>
    <r>
      <rPr>
        <vertAlign val="superscript"/>
        <sz val="12"/>
        <rFont val="Times New Roman"/>
        <family val="1"/>
      </rPr>
      <t>b</t>
    </r>
    <r>
      <rPr>
        <sz val="10"/>
        <rFont val="Times New Roman"/>
        <family val="1"/>
      </rPr>
      <t xml:space="preserve"> </t>
    </r>
  </si>
  <si>
    <r>
      <t>Combined Model</t>
    </r>
    <r>
      <rPr>
        <sz val="12"/>
        <rFont val="Times New Roman"/>
        <family val="1"/>
      </rPr>
      <t xml:space="preserve"> </t>
    </r>
    <r>
      <rPr>
        <vertAlign val="superscript"/>
        <sz val="12"/>
        <rFont val="Times New Roman"/>
        <family val="1"/>
      </rPr>
      <t>a</t>
    </r>
  </si>
  <si>
    <r>
      <t xml:space="preserve">Worst case </t>
    </r>
    <r>
      <rPr>
        <vertAlign val="superscript"/>
        <sz val="12"/>
        <rFont val="Times New Roman"/>
        <family val="1"/>
      </rPr>
      <t>b</t>
    </r>
  </si>
  <si>
    <r>
      <t xml:space="preserve">Best case </t>
    </r>
    <r>
      <rPr>
        <vertAlign val="superscript"/>
        <sz val="12"/>
        <rFont val="Times New Roman"/>
        <family val="1"/>
      </rPr>
      <t>c</t>
    </r>
    <r>
      <rPr>
        <sz val="10"/>
        <rFont val="Times New Roman"/>
        <family val="1"/>
      </rPr>
      <t xml:space="preserve"> </t>
    </r>
  </si>
  <si>
    <r>
      <t xml:space="preserve">Sport Harvest </t>
    </r>
    <r>
      <rPr>
        <vertAlign val="superscript"/>
        <sz val="12"/>
        <rFont val="Times New Roman"/>
        <family val="1"/>
      </rPr>
      <t>d</t>
    </r>
    <r>
      <rPr>
        <sz val="10"/>
        <rFont val="Times New Roman"/>
        <family val="1"/>
      </rPr>
      <t xml:space="preserve"> </t>
    </r>
  </si>
  <si>
    <r>
      <t xml:space="preserve">Commercial Harvest </t>
    </r>
    <r>
      <rPr>
        <vertAlign val="superscript"/>
        <sz val="12"/>
        <rFont val="Times New Roman"/>
        <family val="1"/>
      </rPr>
      <t>e</t>
    </r>
    <r>
      <rPr>
        <sz val="10"/>
        <rFont val="Times New Roman"/>
        <family val="1"/>
      </rPr>
      <t xml:space="preserve"> </t>
    </r>
  </si>
  <si>
    <r>
      <t xml:space="preserve">Yield Forecasts (BEG 14,000-28,000) </t>
    </r>
    <r>
      <rPr>
        <vertAlign val="superscript"/>
        <sz val="12"/>
        <rFont val="Times New Roman"/>
        <family val="1"/>
      </rPr>
      <t>f</t>
    </r>
    <r>
      <rPr>
        <b/>
        <sz val="10"/>
        <rFont val="Times New Roman"/>
        <family val="1"/>
      </rPr>
      <t xml:space="preserve"> </t>
    </r>
  </si>
  <si>
    <r>
      <t xml:space="preserve">Combined Model </t>
    </r>
    <r>
      <rPr>
        <vertAlign val="superscript"/>
        <sz val="12"/>
        <rFont val="Times New Roman"/>
        <family val="1"/>
      </rPr>
      <t>a</t>
    </r>
    <r>
      <rPr>
        <sz val="10"/>
        <rFont val="Times New Roman"/>
        <family val="1"/>
      </rPr>
      <t xml:space="preserve"> </t>
    </r>
  </si>
  <si>
    <r>
      <t xml:space="preserve">Worst case </t>
    </r>
    <r>
      <rPr>
        <vertAlign val="superscript"/>
        <sz val="12"/>
        <rFont val="Times New Roman"/>
        <family val="1"/>
      </rPr>
      <t>b</t>
    </r>
    <r>
      <rPr>
        <sz val="10"/>
        <rFont val="Times New Roman"/>
        <family val="1"/>
      </rPr>
      <t xml:space="preserve"> </t>
    </r>
  </si>
  <si>
    <r>
      <t xml:space="preserve">Preliminary Total Run </t>
    </r>
    <r>
      <rPr>
        <vertAlign val="superscript"/>
        <sz val="12"/>
        <rFont val="Times New Roman"/>
        <family val="1"/>
      </rPr>
      <t>e</t>
    </r>
    <r>
      <rPr>
        <b/>
        <sz val="10"/>
        <rFont val="Times New Roman"/>
        <family val="1"/>
      </rPr>
      <t xml:space="preserve"> </t>
    </r>
  </si>
  <si>
    <r>
      <t xml:space="preserve">b- Includes brood years 1974-86 and 1992-94 with </t>
    </r>
    <r>
      <rPr>
        <sz val="10"/>
        <rFont val="Symbol"/>
        <family val="1"/>
        <charset val="2"/>
      </rPr>
      <t>a</t>
    </r>
    <r>
      <rPr>
        <sz val="10"/>
        <rFont val="Times New Roman"/>
        <family val="1"/>
      </rPr>
      <t xml:space="preserve">=4.63 and </t>
    </r>
    <r>
      <rPr>
        <sz val="10"/>
        <rFont val="Symbol"/>
        <family val="1"/>
        <charset val="2"/>
      </rPr>
      <t>b</t>
    </r>
    <r>
      <rPr>
        <sz val="10"/>
        <rFont val="Times New Roman"/>
        <family val="1"/>
      </rPr>
      <t>=0.0000351</t>
    </r>
  </si>
  <si>
    <r>
      <t xml:space="preserve">a- Includes brood years 1974-92 with </t>
    </r>
    <r>
      <rPr>
        <sz val="10"/>
        <rFont val="Symbol"/>
        <family val="1"/>
        <charset val="2"/>
      </rPr>
      <t>a</t>
    </r>
    <r>
      <rPr>
        <sz val="10"/>
        <rFont val="Times New Roman"/>
        <family val="1"/>
      </rPr>
      <t xml:space="preserve">=2.91 and </t>
    </r>
    <r>
      <rPr>
        <sz val="10"/>
        <rFont val="Symbol"/>
        <family val="1"/>
        <charset val="2"/>
      </rPr>
      <t>b</t>
    </r>
    <r>
      <rPr>
        <sz val="10"/>
        <rFont val="Times New Roman"/>
        <family val="1"/>
      </rPr>
      <t>=0.0000295</t>
    </r>
  </si>
  <si>
    <t>late 2002.</t>
  </si>
  <si>
    <t xml:space="preserve">Table  3.- Combined forecasts of the total run, yields, and escapement of </t>
  </si>
  <si>
    <t>Data unavailable.  Estimated from the average sport harvest age class composition during 1979-1989, 1991-1994 and 1998.</t>
  </si>
  <si>
    <t>1.3</t>
  </si>
  <si>
    <t>1.4</t>
  </si>
  <si>
    <t>1.5</t>
  </si>
  <si>
    <t>Aerial:Weir Regression</t>
  </si>
  <si>
    <t>constant</t>
  </si>
  <si>
    <t>Sweet et al. (2004)</t>
  </si>
  <si>
    <t>Commercial Harvest</t>
  </si>
  <si>
    <t>Total  Harvest</t>
  </si>
  <si>
    <t>Worst Case</t>
  </si>
  <si>
    <t>Best Case</t>
  </si>
  <si>
    <t>Average Sibling</t>
  </si>
  <si>
    <t>Minimum Sibling</t>
  </si>
  <si>
    <t>Maximum  Sibling</t>
  </si>
  <si>
    <t>Harvests</t>
  </si>
  <si>
    <t>2002 Deshka chinook salmon forecast</t>
  </si>
  <si>
    <t>2001 Deshka Chinook Forecast</t>
  </si>
  <si>
    <t>b- Sum of lowest forecasts</t>
  </si>
  <si>
    <t>c- Sum of highest forecasts</t>
  </si>
  <si>
    <t>e- Includes 570 age-1.1 fish not included in forecasts</t>
  </si>
  <si>
    <t xml:space="preserve">d- Value is the 2000 sport harvest.  </t>
  </si>
  <si>
    <t>e- 1977-2001 average</t>
  </si>
  <si>
    <t>Total Return Forecast</t>
  </si>
  <si>
    <t>2002 Run Forecast</t>
  </si>
  <si>
    <t>2002 Abundance Forecast</t>
  </si>
  <si>
    <t>Total Run Forecasts</t>
  </si>
  <si>
    <t>Harvest Forecasts</t>
  </si>
  <si>
    <t>average sibling model</t>
  </si>
  <si>
    <t>a- Average of age-1.2 forecasts plus age-1.3 and age-1.4 forecasts from</t>
  </si>
  <si>
    <t xml:space="preserve">d- Value is the 2000 sport harvest.  2001 estimate will not be available until </t>
  </si>
  <si>
    <t>regression</t>
  </si>
  <si>
    <t>regression+EM</t>
  </si>
  <si>
    <t>regression+average</t>
  </si>
  <si>
    <t>Table  1.-Forecasts of the 2002 total run of Deshka River chinook salmon using Ricker models.</t>
  </si>
  <si>
    <t>Table  2.-Forecasts of the age-1.3 and age-1.4 components of the Deshka River chinook salmon run in 2002</t>
  </si>
  <si>
    <t>using sibling ratios.</t>
  </si>
  <si>
    <t>NA</t>
  </si>
  <si>
    <t>escapement goal and NA means not applicable.</t>
  </si>
  <si>
    <t>Biological Escapement Goal</t>
  </si>
  <si>
    <t>R=aSexp(-betaS)</t>
  </si>
  <si>
    <t>Ricker equation</t>
  </si>
  <si>
    <t>LN(R/S)=LN(a)-betaS</t>
  </si>
  <si>
    <t>y=mx+b, where m=beta and LN(a)=b</t>
  </si>
  <si>
    <t>SWHS Harv.</t>
  </si>
  <si>
    <t>Harv.Above</t>
  </si>
  <si>
    <t xml:space="preserve">Inseason </t>
  </si>
  <si>
    <t>LN(alpha)</t>
  </si>
  <si>
    <r>
      <t xml:space="preserve">a- Includes brood years 1974-97 with </t>
    </r>
    <r>
      <rPr>
        <sz val="10"/>
        <rFont val="Symbol"/>
        <family val="1"/>
        <charset val="2"/>
      </rPr>
      <t>a</t>
    </r>
    <r>
      <rPr>
        <sz val="10"/>
        <rFont val="Times New Roman"/>
        <family val="1"/>
      </rPr>
      <t xml:space="preserve">=3.558 and </t>
    </r>
    <r>
      <rPr>
        <sz val="10"/>
        <rFont val="Symbol"/>
        <family val="1"/>
        <charset val="2"/>
      </rPr>
      <t>b</t>
    </r>
    <r>
      <rPr>
        <sz val="10"/>
        <rFont val="Times New Roman"/>
        <family val="1"/>
      </rPr>
      <t>=-3.50x10-5</t>
    </r>
  </si>
  <si>
    <t xml:space="preserve">d- Value is the average of the 2000-2002 sport harvests.  </t>
  </si>
  <si>
    <t>e- 1977-2003 average</t>
  </si>
  <si>
    <t>lower 80% prediction interval</t>
  </si>
  <si>
    <t>upper 80% prediction interval</t>
  </si>
  <si>
    <t xml:space="preserve">Deshka River chinook salmon in 2002.  BEG means biological </t>
  </si>
  <si>
    <t>in 2001.  NA means not applicable.</t>
  </si>
  <si>
    <t>Table  4.-Observed and forecasted chinook salmon run to the Deshka River</t>
  </si>
  <si>
    <t>Age in</t>
  </si>
  <si>
    <t>Composition</t>
  </si>
  <si>
    <t>Abundance</t>
  </si>
  <si>
    <t>in 2001</t>
  </si>
  <si>
    <t>in 2002</t>
  </si>
  <si>
    <t>Sibling Ratios</t>
  </si>
  <si>
    <t>All Years Ricker</t>
  </si>
  <si>
    <t>Trimmed Ricker</t>
  </si>
  <si>
    <t>Combined Model</t>
  </si>
  <si>
    <t xml:space="preserve">d- Value is the average of the 2000-2003 sport harvests.  </t>
  </si>
  <si>
    <t>e- 1979-2003 average</t>
  </si>
  <si>
    <t>Highest</t>
  </si>
  <si>
    <t>Observed 2003</t>
  </si>
  <si>
    <t>Forecast - Observed</t>
  </si>
  <si>
    <t>i.e. "Forecast was X under/over the observed"</t>
  </si>
  <si>
    <t>age 1.2</t>
  </si>
  <si>
    <t>age 1.3</t>
  </si>
  <si>
    <t>age 1.4</t>
  </si>
  <si>
    <t>(values are "frozen", published in 12/18/00 memo)</t>
  </si>
  <si>
    <t>LIVE TABLE</t>
  </si>
  <si>
    <t>count '75-94</t>
  </si>
  <si>
    <t>sorted total returns</t>
  </si>
  <si>
    <t>%</t>
  </si>
  <si>
    <t>cum %</t>
  </si>
  <si>
    <t>SE</t>
  </si>
  <si>
    <t>THIS SHEET IS LINKED TO ALL OTHER SHEETS</t>
  </si>
  <si>
    <t>Deshka chinook salmon brood table</t>
  </si>
  <si>
    <t>Escapement</t>
  </si>
  <si>
    <t>Harvest</t>
  </si>
  <si>
    <t>Return Year</t>
  </si>
  <si>
    <t>Comment</t>
  </si>
  <si>
    <t>Index</t>
  </si>
  <si>
    <t>Count</t>
  </si>
  <si>
    <t>helicopter</t>
  </si>
  <si>
    <t>Weir</t>
  </si>
  <si>
    <t>Method</t>
  </si>
  <si>
    <t>ESCAPEMENT</t>
  </si>
  <si>
    <t>Source</t>
  </si>
  <si>
    <t>\\SF-PAL1\USER\SF\SALMON\BEG\CHINOOK\Deshka\Deshka_s.xls</t>
  </si>
  <si>
    <t>Available  chinook salmon escapement data and preferred value.</t>
  </si>
  <si>
    <t>Age Class Composition</t>
  </si>
  <si>
    <t>Year</t>
  </si>
  <si>
    <t>weir</t>
  </si>
  <si>
    <t>Sample</t>
  </si>
  <si>
    <t>Deshka SF creel</t>
  </si>
  <si>
    <t>Citation</t>
  </si>
  <si>
    <t>Number per Age Class</t>
  </si>
  <si>
    <t>All</t>
  </si>
  <si>
    <t>small</t>
  </si>
  <si>
    <t>large</t>
  </si>
  <si>
    <t>fish</t>
  </si>
  <si>
    <t>Total</t>
  </si>
  <si>
    <t>SPORT HARVEST</t>
  </si>
  <si>
    <t>Nor. Dist.</t>
  </si>
  <si>
    <t>HARVEST</t>
  </si>
  <si>
    <t>CF harvest</t>
  </si>
  <si>
    <t>Deshka</t>
  </si>
  <si>
    <t>contrib. to</t>
  </si>
  <si>
    <t>CF</t>
  </si>
  <si>
    <t>Escape./a</t>
  </si>
  <si>
    <t>(ESCAPEMENT + SPORT HARVEST +COMM. HARVEST)</t>
  </si>
  <si>
    <t>BROOD TABLE</t>
  </si>
  <si>
    <t>TOTAL RETURN BY BROOD YEAR</t>
  </si>
  <si>
    <t>Brood</t>
  </si>
  <si>
    <t>Return</t>
  </si>
  <si>
    <t>Brood table developed below</t>
  </si>
  <si>
    <t>Return = escapement +sport harvest + commercial harvest</t>
  </si>
  <si>
    <t>Modeled after Sandone's 1998 BEG analysis</t>
  </si>
  <si>
    <t>BROOD YEAR RETURN BY AGE</t>
  </si>
  <si>
    <t>sport</t>
  </si>
  <si>
    <t>Commercial</t>
  </si>
  <si>
    <t>Comments</t>
  </si>
  <si>
    <t>Return per</t>
  </si>
  <si>
    <t>Spawner</t>
  </si>
  <si>
    <t>average</t>
  </si>
  <si>
    <t>ENTER</t>
  </si>
  <si>
    <t>FORMULA</t>
  </si>
  <si>
    <t>Row below defines source of cell cotents, to speed up determining what has to be entered and what is automatic</t>
  </si>
  <si>
    <t>Age Class Composition in Northern District</t>
  </si>
  <si>
    <t>Sum</t>
  </si>
  <si>
    <t>Full Ricker</t>
  </si>
  <si>
    <t>Combined Model a</t>
  </si>
  <si>
    <t>Worst case b</t>
  </si>
  <si>
    <t xml:space="preserve">Best case c </t>
  </si>
  <si>
    <t>Yield Forecasts (available after minimum BEG of 13,000)</t>
  </si>
  <si>
    <t xml:space="preserve">Sport Harvest d </t>
  </si>
  <si>
    <t xml:space="preserve">Commercial Harvest e </t>
  </si>
  <si>
    <t xml:space="preserve">a- Average of age-1.2 forecasts from Ricker models plus </t>
  </si>
  <si>
    <t>age-1.3 and age-1.4 forecasts from average sibling model</t>
  </si>
  <si>
    <t>b- Sum of lowest forecasts for each age class</t>
  </si>
  <si>
    <t>c- Sum of highest forecasts for each age class</t>
  </si>
  <si>
    <t>2004 Deshka chinook salmon forecast</t>
  </si>
  <si>
    <t xml:space="preserve">Table    3 .- Combined forecasts of the total run, harvests, and escapement of </t>
  </si>
  <si>
    <t xml:space="preserve">Table    .- Combined forecasts of the total run, harvests, and escapement of </t>
  </si>
  <si>
    <t xml:space="preserve">Deshka River chinook salmon in 2004.  BEG means biological </t>
  </si>
  <si>
    <t>Sibling Regression</t>
  </si>
  <si>
    <t>2005 Run Forecast</t>
  </si>
  <si>
    <t>Table  1.-Forecasts of the 2004 total run of Deshka River chinook salmon using Ricker models.</t>
  </si>
  <si>
    <t>2004 Run Forecast</t>
  </si>
  <si>
    <t>Pat Shields' in-season e-mails of harvest; and Sam's e-mailed file of age comps.</t>
  </si>
  <si>
    <t>\\SF-PAL1\USER\SF\SALMON\BEG\CHINOOK\Deshka\Deshka_s.xls; see also Table 18 in Palmer AMR</t>
  </si>
  <si>
    <t>\\SF-PAL1\USER\SF\SALMON\CHINOOK\NCICOM~1\Chinook Salmon Harvest\1999\99NCI_King_com_har_AWL.xls; this one from Susie's inseason e-mails of harvest</t>
  </si>
  <si>
    <t>ND1</t>
  </si>
  <si>
    <t>ND2</t>
  </si>
  <si>
    <t>ND3</t>
  </si>
  <si>
    <t>a- proportion of the NCI escapment surveys due to Deshka; obtain from aerial surveys published in AMR</t>
  </si>
  <si>
    <t>Yield</t>
  </si>
  <si>
    <t>severe flood in fall '86</t>
  </si>
  <si>
    <t>RY- 11/00</t>
  </si>
  <si>
    <t>Aerial</t>
  </si>
  <si>
    <t>Average</t>
  </si>
  <si>
    <t>Deshka Harvest per Age Class</t>
  </si>
  <si>
    <t>Run</t>
  </si>
  <si>
    <t>CELLS BELOW LINKED TO SHEET "BROODTABLE"</t>
  </si>
  <si>
    <t>THIS SHEET CALCULATES THE SIBLING RELATIONSHIP FO R DESHKA CHINOOK SALMON</t>
  </si>
  <si>
    <t xml:space="preserve"> Age Class</t>
  </si>
  <si>
    <t>SIBLING RELATIONSHIP</t>
  </si>
  <si>
    <t>RATIO BETWEEN AGE CLASSES</t>
  </si>
  <si>
    <t>Age 5 / Age 4</t>
  </si>
  <si>
    <t>Age 6 / Age 5</t>
  </si>
  <si>
    <t>1974-94 average</t>
  </si>
  <si>
    <t>1980-94 average</t>
  </si>
  <si>
    <t>formula</t>
  </si>
  <si>
    <t>Age 4 / Age 3</t>
  </si>
  <si>
    <t>linked</t>
  </si>
  <si>
    <t>ENTER RAW DATA IN THIS SHEET</t>
  </si>
  <si>
    <t>Predicted</t>
  </si>
  <si>
    <t>Difference</t>
  </si>
  <si>
    <t>Kustatan</t>
  </si>
  <si>
    <t>% Difference</t>
  </si>
  <si>
    <t>OBSERVED</t>
  </si>
  <si>
    <t>PROPORTION OF RUN BY AGE CLASS</t>
  </si>
  <si>
    <t>1975-88 avg</t>
  </si>
  <si>
    <t>1975-88 median</t>
  </si>
  <si>
    <t>Summary table of forecast accuracy for the  Deshka River chinook salmon runs</t>
  </si>
  <si>
    <t>Go to column AZ ----&gt;</t>
  </si>
  <si>
    <t>OBSERVED ANNUAL RUNS</t>
  </si>
  <si>
    <t>FORECASTS</t>
  </si>
  <si>
    <t>1.2,1.3,1.4</t>
  </si>
  <si>
    <t>(FORECAST-OBSERVED)</t>
  </si>
  <si>
    <t>"Forecast was x under/over the observed"</t>
  </si>
  <si>
    <t>FORECAST DIFFERENCE</t>
  </si>
  <si>
    <t>FORECAST/ OBSERVED</t>
  </si>
  <si>
    <t>PERCENT DIFFERENCE</t>
  </si>
  <si>
    <t>"Forecast was x% over/under the observed"</t>
  </si>
  <si>
    <t>For example:</t>
  </si>
  <si>
    <t>Absolute</t>
  </si>
  <si>
    <t xml:space="preserve">Table  3  .- Projections of the total run, harvests, and escapement of </t>
  </si>
  <si>
    <t>Lowest projection c</t>
  </si>
  <si>
    <t>Highest forecasts</t>
  </si>
  <si>
    <t>weir; see footnote 1</t>
  </si>
  <si>
    <t>corrected SWHS</t>
  </si>
  <si>
    <t>median</t>
  </si>
  <si>
    <t>6:5 ratio</t>
  </si>
  <si>
    <t>5:4 ratio</t>
  </si>
  <si>
    <t>link</t>
  </si>
  <si>
    <t>Age</t>
  </si>
  <si>
    <t>Model</t>
  </si>
  <si>
    <t>alpha</t>
  </si>
  <si>
    <t>beta</t>
  </si>
  <si>
    <t>Combined Model- Worst Case b</t>
  </si>
  <si>
    <t>2009 Deshka chinook salmon forecast</t>
  </si>
  <si>
    <t>ESCAPEMENT AGES</t>
  </si>
  <si>
    <t>Ricker</t>
  </si>
  <si>
    <t>enter</t>
  </si>
  <si>
    <t xml:space="preserve"> avg. weir data</t>
  </si>
  <si>
    <t>med. weir data</t>
  </si>
  <si>
    <t>diff</t>
  </si>
  <si>
    <t>age 4</t>
  </si>
  <si>
    <t>age 5</t>
  </si>
  <si>
    <t>All Years</t>
  </si>
  <si>
    <t>Trimmed</t>
  </si>
  <si>
    <t>Median Sibling</t>
  </si>
  <si>
    <t>Best Guess</t>
  </si>
  <si>
    <t>Observed</t>
  </si>
  <si>
    <t>TOTAL RUN BY RETURN YEAR</t>
  </si>
  <si>
    <t>AGE COMPOSITION OF TOTAL RUN BY RETURN YEAR</t>
  </si>
  <si>
    <t>min</t>
  </si>
  <si>
    <t>max</t>
  </si>
  <si>
    <t>Rank</t>
  </si>
  <si>
    <t>Projection Models</t>
  </si>
  <si>
    <t>Sibling Relationship</t>
  </si>
  <si>
    <t>Spawner-recruit</t>
  </si>
  <si>
    <t>AGE COMPOSITION OF TOTAL RETURN BY BROOD YEAR</t>
  </si>
  <si>
    <t>Lowest forecasts b</t>
  </si>
  <si>
    <t>Highest forecasts c</t>
  </si>
  <si>
    <t xml:space="preserve">Average ratio between </t>
  </si>
  <si>
    <t xml:space="preserve">Median ratio between </t>
  </si>
  <si>
    <t xml:space="preserve">Brood </t>
  </si>
  <si>
    <t>Estimated</t>
  </si>
  <si>
    <t>All Years Model</t>
  </si>
  <si>
    <t>a</t>
  </si>
  <si>
    <t>Trimmed Years Model</t>
  </si>
  <si>
    <t>b</t>
  </si>
  <si>
    <t>consecutive sibling</t>
  </si>
  <si>
    <t>Brood Year</t>
  </si>
  <si>
    <t>age</t>
  </si>
  <si>
    <t>(1974-1992)</t>
  </si>
  <si>
    <t>(1974-1986 &amp; 1992)</t>
  </si>
  <si>
    <t>age classes</t>
  </si>
  <si>
    <t>my best guess</t>
  </si>
  <si>
    <t>class</t>
  </si>
  <si>
    <t>number</t>
  </si>
  <si>
    <t>proportion</t>
  </si>
  <si>
    <t>c</t>
  </si>
  <si>
    <t>d</t>
  </si>
  <si>
    <t>e</t>
  </si>
  <si>
    <t>Total Run (age 5 &amp; 6)</t>
  </si>
  <si>
    <t>Total Run (age 4, 5, &amp; 6)</t>
  </si>
  <si>
    <t>Harvestable Surplus (age 5 &amp; 6)</t>
  </si>
  <si>
    <t>Harvestable Surplus (age 4, 5, &amp; 6)</t>
  </si>
  <si>
    <t>Ricker model.  All brood years included.</t>
  </si>
  <si>
    <t>UCI Mar.</t>
  </si>
  <si>
    <t>'79-94</t>
  </si>
  <si>
    <t>see file 'O:\SF\SALMON\CHINOOK\Streams\DESHKA~1\Brood Table\KS escapement correlations' for details</t>
  </si>
  <si>
    <t>'93-11 avg.</t>
  </si>
  <si>
    <t>'05-11 avg.</t>
  </si>
  <si>
    <t>'05-'11 / '93-11</t>
  </si>
  <si>
    <t>no survey</t>
  </si>
  <si>
    <t>pooled, post AA's review</t>
  </si>
  <si>
    <t>partial</t>
  </si>
  <si>
    <t>poor runs , reduced bag?, no bait or closed part of run</t>
  </si>
  <si>
    <t>Preliminary run</t>
  </si>
  <si>
    <t>(weir count)-(inseason harvest above weir)</t>
  </si>
  <si>
    <t>weir in two weeks late</t>
  </si>
  <si>
    <t>99 -2012 above weir harvest SWHS</t>
  </si>
  <si>
    <t>weir not fish tight on June 28 and 29</t>
  </si>
  <si>
    <t>Ivey's memo</t>
  </si>
  <si>
    <t>Brockman's memo</t>
  </si>
  <si>
    <t>Bullock's memo</t>
  </si>
  <si>
    <t>pooled,excel spreadsheet 2013 Deshka chinook age analysisDl_AAFinal</t>
  </si>
  <si>
    <t>pooled,excel spreadsheet 2014 Deshka chinook age analysisDl_AAFinal</t>
  </si>
  <si>
    <t xml:space="preserve">08 -2013 </t>
  </si>
  <si>
    <t>average, '95-2007</t>
  </si>
  <si>
    <t>'79-14</t>
  </si>
  <si>
    <t>'95-14</t>
  </si>
  <si>
    <t>stratified, "2015 Deshka Chinook Age Analysis_DL_AA"</t>
  </si>
  <si>
    <t>'95-97,'99-'15 avg.</t>
  </si>
  <si>
    <t>08 -14 avg</t>
  </si>
  <si>
    <t>Spawners</t>
  </si>
  <si>
    <t>'93-14 avg.</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</si>
</sst>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1" formatCode="_(* #,##0_);_(* \(#,##0\);_(* &quot;-&quot;_);_(@_)"/>
    <numFmt numFmtId="43" formatCode="_(* #,##0.00_);_(* \(#,##0.00\);_(* &quot;-&quot;??_);_(@_)"/>
    <numFmt numFmtId="164" formatCode="_(* #,##0_);_(* \(#,##0\);_(* &quot;-&quot;??_);_(@_)"/>
    <numFmt numFmtId="165" formatCode="0.0"/>
    <numFmt numFmtId="166" formatCode="#,##0.0_);\(#,##0.0\)"/>
    <numFmt numFmtId="167" formatCode="0.00000"/>
    <numFmt numFmtId="168" formatCode="0.000"/>
    <numFmt numFmtId="169" formatCode="0.0%"/>
    <numFmt numFmtId="170" formatCode="#,##0.0"/>
    <numFmt numFmtId="171" formatCode="0_);\(0\)"/>
    <numFmt numFmtId="172" formatCode="0.0E+00"/>
    <numFmt numFmtId="173" formatCode="m/d"/>
    <numFmt numFmtId="174" formatCode="#,##0.000"/>
    <numFmt numFmtId="175" formatCode="#,##0.000_);\(#,##0.000\)"/>
  </numFmts>
  <fonts count="40" x14ac:knownFonts="1">
    <font>
      <sz val="10"/>
      <name val="Arial"/>
    </font>
    <font>
      <sz val="10"/>
      <name val="Arial"/>
      <family val="2"/>
    </font>
    <font>
      <sz val="10"/>
      <name val="Arial"/>
      <family val="2"/>
    </font>
    <font>
      <b/>
      <sz val="8"/>
      <color indexed="81"/>
      <name val="Tahoma"/>
      <family val="2"/>
    </font>
    <font>
      <sz val="8"/>
      <color indexed="81"/>
      <name val="Tahoma"/>
      <family val="2"/>
    </font>
    <font>
      <b/>
      <sz val="10"/>
      <name val="Arial"/>
      <family val="2"/>
    </font>
    <font>
      <u/>
      <sz val="10"/>
      <color indexed="12"/>
      <name val="Arial"/>
      <family val="2"/>
    </font>
    <font>
      <b/>
      <sz val="14"/>
      <name val="Arial"/>
      <family val="2"/>
    </font>
    <font>
      <b/>
      <sz val="16"/>
      <color indexed="10"/>
      <name val="Arial"/>
      <family val="2"/>
    </font>
    <font>
      <sz val="10"/>
      <color indexed="9"/>
      <name val="Arial"/>
      <family val="2"/>
    </font>
    <font>
      <b/>
      <sz val="12"/>
      <name val="Arial"/>
      <family val="2"/>
    </font>
    <font>
      <vertAlign val="superscript"/>
      <sz val="10"/>
      <name val="Arial"/>
      <family val="2"/>
    </font>
    <font>
      <sz val="8"/>
      <color indexed="55"/>
      <name val="Arial"/>
      <family val="2"/>
    </font>
    <font>
      <sz val="10"/>
      <name val="Times New Roman"/>
      <family val="1"/>
    </font>
    <font>
      <sz val="10"/>
      <color indexed="9"/>
      <name val="Times New Roman"/>
      <family val="1"/>
    </font>
    <font>
      <b/>
      <sz val="14"/>
      <name val="Times New Roman"/>
      <family val="1"/>
    </font>
    <font>
      <b/>
      <sz val="12"/>
      <name val="Times New Roman"/>
      <family val="1"/>
    </font>
    <font>
      <vertAlign val="superscript"/>
      <sz val="10"/>
      <name val="Times New Roman"/>
      <family val="1"/>
    </font>
    <font>
      <b/>
      <sz val="10"/>
      <name val="Times New Roman"/>
      <family val="1"/>
    </font>
    <font>
      <i/>
      <sz val="10"/>
      <name val="Arial"/>
      <family val="2"/>
    </font>
    <font>
      <sz val="10"/>
      <color indexed="10"/>
      <name val="Arial"/>
      <family val="2"/>
    </font>
    <font>
      <sz val="10"/>
      <name val="Symbol"/>
      <family val="1"/>
      <charset val="2"/>
    </font>
    <font>
      <sz val="10"/>
      <color indexed="22"/>
      <name val="Arial"/>
      <family val="2"/>
    </font>
    <font>
      <b/>
      <sz val="10"/>
      <color indexed="81"/>
      <name val="Tahoma"/>
      <family val="2"/>
    </font>
    <font>
      <sz val="10"/>
      <color indexed="81"/>
      <name val="Tahoma"/>
      <family val="2"/>
    </font>
    <font>
      <b/>
      <sz val="10"/>
      <color indexed="10"/>
      <name val="Arial"/>
      <family val="2"/>
    </font>
    <font>
      <sz val="12"/>
      <name val="Times New Roman"/>
      <family val="1"/>
    </font>
    <font>
      <sz val="11"/>
      <name val="Times New Roman"/>
      <family val="1"/>
    </font>
    <font>
      <b/>
      <sz val="9"/>
      <color indexed="81"/>
      <name val="Tahoma"/>
      <family val="2"/>
    </font>
    <font>
      <sz val="9"/>
      <color indexed="81"/>
      <name val="Tahoma"/>
      <family val="2"/>
    </font>
    <font>
      <vertAlign val="superscript"/>
      <sz val="12"/>
      <name val="Times New Roman"/>
      <family val="1"/>
    </font>
    <font>
      <b/>
      <i/>
      <sz val="10"/>
      <name val="Times New Roman"/>
      <family val="1"/>
    </font>
    <font>
      <sz val="8"/>
      <color indexed="55"/>
      <name val="Times New Roman"/>
      <family val="1"/>
    </font>
    <font>
      <b/>
      <i/>
      <sz val="10"/>
      <name val="Arial"/>
      <family val="2"/>
    </font>
    <font>
      <sz val="10"/>
      <name val="Arial"/>
      <family val="2"/>
    </font>
    <font>
      <sz val="10"/>
      <name val="Arial"/>
      <family val="2"/>
    </font>
    <font>
      <sz val="10"/>
      <name val="Arial"/>
      <family val="2"/>
    </font>
    <font>
      <sz val="10"/>
      <name val="Arial"/>
      <family val="2"/>
    </font>
    <font>
      <sz val="10"/>
      <name val="Arial"/>
      <family val="2"/>
    </font>
    <font>
      <sz val="11"/>
      <color theme="1"/>
      <name val="Calibri"/>
      <family val="2"/>
      <scheme val="minor"/>
    </font>
  </fonts>
  <fills count="13">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14"/>
        <bgColor indexed="64"/>
      </patternFill>
    </fill>
    <fill>
      <patternFill patternType="solid">
        <fgColor indexed="13"/>
        <bgColor indexed="64"/>
      </patternFill>
    </fill>
    <fill>
      <patternFill patternType="solid">
        <fgColor indexed="52"/>
        <bgColor indexed="64"/>
      </patternFill>
    </fill>
    <fill>
      <patternFill patternType="solid">
        <fgColor rgb="FFFFFF00"/>
        <bgColor indexed="64"/>
      </patternFill>
    </fill>
    <fill>
      <patternFill patternType="solid">
        <fgColor rgb="FF00B050"/>
        <bgColor indexed="64"/>
      </patternFill>
    </fill>
  </fills>
  <borders count="25">
    <border>
      <left/>
      <right/>
      <top/>
      <bottom/>
      <diagonal/>
    </border>
    <border>
      <left/>
      <right/>
      <top/>
      <bottom style="thin">
        <color indexed="64"/>
      </bottom>
      <diagonal/>
    </border>
    <border>
      <left/>
      <right/>
      <top style="thin">
        <color indexed="64"/>
      </top>
      <bottom/>
      <diagonal/>
    </border>
    <border>
      <left/>
      <right/>
      <top/>
      <bottom style="double">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medium">
        <color indexed="64"/>
      </top>
      <bottom style="thin">
        <color indexed="64"/>
      </bottom>
      <diagonal/>
    </border>
    <border>
      <left/>
      <right/>
      <top/>
      <bottom style="medium">
        <color indexed="64"/>
      </bottom>
      <diagonal/>
    </border>
    <border>
      <left/>
      <right/>
      <top style="double">
        <color indexed="64"/>
      </top>
      <bottom style="thin">
        <color indexed="64"/>
      </bottom>
      <diagonal/>
    </border>
    <border>
      <left/>
      <right/>
      <top style="double">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51">
    <xf numFmtId="0" fontId="0" fillId="0" borderId="0"/>
    <xf numFmtId="37" fontId="1" fillId="0" borderId="0" applyFont="0" applyFill="0" applyBorder="0" applyProtection="0">
      <alignment horizontal="center"/>
    </xf>
    <xf numFmtId="41" fontId="2" fillId="0" borderId="0" applyFont="0" applyFill="0" applyBorder="0" applyAlignment="0" applyProtection="0"/>
    <xf numFmtId="37" fontId="2" fillId="0" borderId="0" applyFont="0" applyFill="0" applyBorder="0" applyProtection="0">
      <alignment horizontal="center"/>
    </xf>
    <xf numFmtId="37" fontId="2" fillId="0" borderId="0" applyFont="0" applyFill="0" applyBorder="0" applyProtection="0">
      <alignment horizontal="center"/>
    </xf>
    <xf numFmtId="37" fontId="2" fillId="0" borderId="0" applyFont="0" applyFill="0" applyBorder="0" applyProtection="0">
      <alignment horizontal="center"/>
    </xf>
    <xf numFmtId="43" fontId="2" fillId="0" borderId="0" applyFont="0" applyFill="0" applyBorder="0" applyAlignment="0" applyProtection="0"/>
    <xf numFmtId="43" fontId="2" fillId="0" borderId="0" applyFont="0" applyFill="0" applyBorder="0" applyAlignment="0" applyProtection="0"/>
    <xf numFmtId="37" fontId="2" fillId="0" borderId="0" applyFont="0" applyFill="0" applyBorder="0" applyProtection="0">
      <alignment horizontal="center"/>
    </xf>
    <xf numFmtId="43" fontId="39" fillId="0" borderId="0" applyFont="0" applyFill="0" applyBorder="0" applyAlignment="0" applyProtection="0"/>
    <xf numFmtId="43" fontId="2" fillId="0" borderId="0" applyFont="0" applyFill="0" applyBorder="0" applyAlignment="0" applyProtection="0"/>
    <xf numFmtId="37" fontId="2" fillId="0" borderId="0" applyFont="0" applyFill="0" applyBorder="0" applyProtection="0">
      <alignment horizontal="center"/>
    </xf>
    <xf numFmtId="37" fontId="2" fillId="0" borderId="0" applyFont="0" applyFill="0" applyBorder="0" applyProtection="0">
      <alignment horizontal="center"/>
    </xf>
    <xf numFmtId="37" fontId="2" fillId="0" borderId="0" applyFont="0" applyFill="0" applyBorder="0" applyProtection="0">
      <alignment horizontal="center"/>
    </xf>
    <xf numFmtId="37" fontId="2" fillId="0" borderId="0" applyFont="0" applyFill="0" applyBorder="0" applyProtection="0">
      <alignment horizontal="center"/>
    </xf>
    <xf numFmtId="37" fontId="2" fillId="0" borderId="0" applyFont="0" applyFill="0" applyBorder="0" applyProtection="0">
      <alignment horizontal="center"/>
    </xf>
    <xf numFmtId="37" fontId="2" fillId="0" borderId="0" applyFont="0" applyFill="0" applyBorder="0" applyProtection="0">
      <alignment horizontal="center"/>
    </xf>
    <xf numFmtId="37" fontId="2" fillId="0" borderId="0" applyFont="0" applyFill="0" applyBorder="0" applyProtection="0">
      <alignment horizontal="center"/>
    </xf>
    <xf numFmtId="0" fontId="6" fillId="0" borderId="0" applyNumberFormat="0" applyFill="0" applyBorder="0" applyAlignment="0" applyProtection="0">
      <alignment vertical="top"/>
      <protection locked="0"/>
    </xf>
    <xf numFmtId="0" fontId="39" fillId="0" borderId="0"/>
    <xf numFmtId="0" fontId="39" fillId="0" borderId="0"/>
    <xf numFmtId="0" fontId="2" fillId="0" borderId="0"/>
    <xf numFmtId="0" fontId="2" fillId="0" borderId="0"/>
    <xf numFmtId="0" fontId="2" fillId="0" borderId="0"/>
    <xf numFmtId="0" fontId="2" fillId="0" borderId="0"/>
    <xf numFmtId="0" fontId="2" fillId="0" borderId="0"/>
    <xf numFmtId="0" fontId="3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0" borderId="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9" fillId="0" borderId="0" applyFont="0" applyFill="0" applyBorder="0" applyAlignment="0" applyProtection="0"/>
    <xf numFmtId="9" fontId="2" fillId="0" borderId="0" applyFont="0" applyFill="0" applyBorder="0" applyAlignment="0" applyProtection="0"/>
  </cellStyleXfs>
  <cellXfs count="476">
    <xf numFmtId="0" fontId="0" fillId="0" borderId="0" xfId="0"/>
    <xf numFmtId="0" fontId="0" fillId="0" borderId="0" xfId="0" applyBorder="1"/>
    <xf numFmtId="0" fontId="2" fillId="0" borderId="0" xfId="0" applyFont="1" applyFill="1" applyBorder="1"/>
    <xf numFmtId="3" fontId="2" fillId="0" borderId="0" xfId="0" applyNumberFormat="1" applyFont="1" applyBorder="1"/>
    <xf numFmtId="2" fontId="2" fillId="0" borderId="0" xfId="0" applyNumberFormat="1" applyFont="1"/>
    <xf numFmtId="0" fontId="0" fillId="0" borderId="0" xfId="0" applyFill="1"/>
    <xf numFmtId="3" fontId="0" fillId="0" borderId="0" xfId="0" applyNumberFormat="1" applyFill="1"/>
    <xf numFmtId="3" fontId="2" fillId="0" borderId="0" xfId="0" applyNumberFormat="1" applyFont="1" applyFill="1"/>
    <xf numFmtId="3" fontId="2" fillId="0" borderId="0" xfId="0" applyNumberFormat="1" applyFont="1" applyFill="1" applyBorder="1"/>
    <xf numFmtId="3" fontId="0" fillId="0" borderId="0" xfId="0" applyNumberFormat="1" applyBorder="1"/>
    <xf numFmtId="3" fontId="0" fillId="0" borderId="0" xfId="0" applyNumberFormat="1" applyAlignment="1">
      <alignment horizontal="center"/>
    </xf>
    <xf numFmtId="0" fontId="0" fillId="0" borderId="1" xfId="0" applyBorder="1"/>
    <xf numFmtId="0" fontId="0" fillId="0" borderId="1" xfId="0" applyFill="1" applyBorder="1"/>
    <xf numFmtId="0" fontId="0" fillId="0" borderId="0" xfId="0" applyAlignment="1">
      <alignment horizontal="center"/>
    </xf>
    <xf numFmtId="37" fontId="0" fillId="0" borderId="0" xfId="1" applyFont="1">
      <alignment horizontal="center"/>
    </xf>
    <xf numFmtId="0" fontId="5" fillId="0" borderId="0" xfId="0" applyFont="1" applyBorder="1"/>
    <xf numFmtId="0" fontId="5" fillId="0" borderId="1" xfId="0" applyFont="1" applyBorder="1"/>
    <xf numFmtId="0" fontId="0" fillId="0" borderId="1" xfId="0" applyBorder="1" applyAlignment="1">
      <alignment horizontal="center"/>
    </xf>
    <xf numFmtId="0" fontId="6" fillId="0" borderId="0" xfId="18" applyAlignment="1" applyProtection="1"/>
    <xf numFmtId="0" fontId="5" fillId="0" borderId="0" xfId="0" applyFont="1"/>
    <xf numFmtId="2" fontId="0" fillId="0" borderId="1" xfId="0" applyNumberFormat="1" applyBorder="1" applyAlignment="1">
      <alignment horizontal="centerContinuous"/>
    </xf>
    <xf numFmtId="2" fontId="0" fillId="0" borderId="0" xfId="0" applyNumberFormat="1"/>
    <xf numFmtId="2" fontId="0" fillId="0" borderId="0" xfId="0" applyNumberFormat="1" applyBorder="1"/>
    <xf numFmtId="2" fontId="0" fillId="0" borderId="0" xfId="0" applyNumberFormat="1" applyFill="1"/>
    <xf numFmtId="2" fontId="0" fillId="0" borderId="0" xfId="0" applyNumberFormat="1" applyAlignment="1">
      <alignment horizontal="center"/>
    </xf>
    <xf numFmtId="0" fontId="2" fillId="0" borderId="0" xfId="0" applyFont="1" applyBorder="1"/>
    <xf numFmtId="0" fontId="0" fillId="0" borderId="0" xfId="0" applyAlignment="1">
      <alignment horizontal="right"/>
    </xf>
    <xf numFmtId="3" fontId="0" fillId="0" borderId="1" xfId="0" applyNumberFormat="1" applyBorder="1" applyAlignment="1">
      <alignment horizontal="centerContinuous"/>
    </xf>
    <xf numFmtId="3" fontId="0" fillId="0" borderId="1" xfId="0" applyNumberFormat="1" applyBorder="1"/>
    <xf numFmtId="3" fontId="5" fillId="0" borderId="1" xfId="0" applyNumberFormat="1" applyFont="1" applyBorder="1" applyAlignment="1">
      <alignment horizontal="centerContinuous"/>
    </xf>
    <xf numFmtId="3" fontId="2" fillId="0" borderId="1" xfId="0" applyNumberFormat="1" applyFont="1" applyBorder="1" applyAlignment="1">
      <alignment horizontal="centerContinuous"/>
    </xf>
    <xf numFmtId="2" fontId="0" fillId="0" borderId="2" xfId="0" applyNumberFormat="1" applyBorder="1" applyAlignment="1">
      <alignment horizontal="centerContinuous"/>
    </xf>
    <xf numFmtId="0" fontId="0" fillId="0" borderId="2" xfId="0" applyBorder="1" applyAlignment="1">
      <alignment horizontal="centerContinuous"/>
    </xf>
    <xf numFmtId="0" fontId="0" fillId="0" borderId="0" xfId="0" quotePrefix="1"/>
    <xf numFmtId="0" fontId="0" fillId="0" borderId="3" xfId="0" applyBorder="1"/>
    <xf numFmtId="0" fontId="7" fillId="0" borderId="3" xfId="0" applyFont="1" applyBorder="1"/>
    <xf numFmtId="0" fontId="0" fillId="0" borderId="0" xfId="0" applyFill="1" applyBorder="1"/>
    <xf numFmtId="4" fontId="0" fillId="0" borderId="0" xfId="0" applyNumberFormat="1" applyFill="1" applyBorder="1"/>
    <xf numFmtId="0" fontId="0" fillId="0" borderId="0" xfId="0" applyFill="1" applyAlignment="1">
      <alignment horizontal="center"/>
    </xf>
    <xf numFmtId="2" fontId="0" fillId="0" borderId="0" xfId="0" applyNumberFormat="1" applyFill="1" applyAlignment="1">
      <alignment horizontal="center"/>
    </xf>
    <xf numFmtId="37" fontId="0" fillId="0" borderId="0" xfId="1" applyFont="1" applyFill="1">
      <alignment horizontal="center"/>
    </xf>
    <xf numFmtId="37" fontId="0" fillId="0" borderId="0" xfId="0" applyNumberFormat="1"/>
    <xf numFmtId="0" fontId="0" fillId="0" borderId="0" xfId="0" applyBorder="1" applyAlignment="1">
      <alignment horizontal="center"/>
    </xf>
    <xf numFmtId="0" fontId="2" fillId="0" borderId="0" xfId="0" applyFont="1" applyFill="1" applyBorder="1" applyAlignment="1">
      <alignment horizontal="center"/>
    </xf>
    <xf numFmtId="37" fontId="2" fillId="0" borderId="0" xfId="1" applyFont="1" applyFill="1">
      <alignment horizontal="center"/>
    </xf>
    <xf numFmtId="37" fontId="0" fillId="0" borderId="0" xfId="0" applyNumberFormat="1" applyAlignment="1">
      <alignment horizontal="center"/>
    </xf>
    <xf numFmtId="166" fontId="0" fillId="0" borderId="0" xfId="0" applyNumberFormat="1" applyAlignment="1">
      <alignment horizontal="center"/>
    </xf>
    <xf numFmtId="39" fontId="0" fillId="0" borderId="0" xfId="0" applyNumberFormat="1"/>
    <xf numFmtId="0" fontId="0" fillId="2" borderId="0" xfId="0" applyFill="1"/>
    <xf numFmtId="0" fontId="0" fillId="3" borderId="0" xfId="0" applyFill="1"/>
    <xf numFmtId="2" fontId="0" fillId="0" borderId="0" xfId="0" applyNumberFormat="1" applyBorder="1" applyAlignment="1">
      <alignment horizontal="centerContinuous"/>
    </xf>
    <xf numFmtId="0" fontId="6" fillId="0" borderId="0" xfId="18" applyFont="1" applyAlignment="1" applyProtection="1"/>
    <xf numFmtId="37" fontId="0" fillId="0" borderId="0" xfId="1" applyFont="1" applyFill="1" applyBorder="1">
      <alignment horizontal="center"/>
    </xf>
    <xf numFmtId="37" fontId="0" fillId="4" borderId="0" xfId="1" applyFont="1" applyFill="1" applyBorder="1">
      <alignment horizontal="center"/>
    </xf>
    <xf numFmtId="37" fontId="2" fillId="0" borderId="0" xfId="1" applyFont="1" applyFill="1" applyBorder="1">
      <alignment horizontal="center"/>
    </xf>
    <xf numFmtId="37" fontId="0" fillId="0" borderId="0" xfId="1" quotePrefix="1" applyFont="1">
      <alignment horizontal="center"/>
    </xf>
    <xf numFmtId="4" fontId="0" fillId="0" borderId="0" xfId="0" applyNumberFormat="1" applyFill="1" applyBorder="1" applyAlignment="1">
      <alignment horizontal="center"/>
    </xf>
    <xf numFmtId="2" fontId="0" fillId="0" borderId="0" xfId="0" applyNumberFormat="1" applyFill="1" applyBorder="1" applyAlignment="1">
      <alignment horizontal="center"/>
    </xf>
    <xf numFmtId="0" fontId="0" fillId="0" borderId="0" xfId="0" applyFill="1" applyBorder="1" applyAlignment="1">
      <alignment horizontal="center"/>
    </xf>
    <xf numFmtId="37" fontId="0" fillId="4" borderId="0" xfId="1" applyFont="1" applyFill="1">
      <alignment horizontal="center"/>
    </xf>
    <xf numFmtId="0" fontId="5" fillId="0" borderId="3" xfId="0" applyFont="1" applyBorder="1"/>
    <xf numFmtId="3" fontId="0" fillId="0" borderId="0" xfId="0" applyNumberFormat="1"/>
    <xf numFmtId="4" fontId="0" fillId="0" borderId="0" xfId="0" applyNumberFormat="1" applyAlignment="1">
      <alignment horizontal="center"/>
    </xf>
    <xf numFmtId="1" fontId="0" fillId="0" borderId="1" xfId="0" applyNumberFormat="1" applyBorder="1" applyAlignment="1">
      <alignment horizontal="center"/>
    </xf>
    <xf numFmtId="0" fontId="0" fillId="0" borderId="4" xfId="0" applyBorder="1" applyAlignment="1">
      <alignment horizontal="right"/>
    </xf>
    <xf numFmtId="0" fontId="0" fillId="0" borderId="4" xfId="0" applyBorder="1" applyAlignment="1">
      <alignment horizontal="center"/>
    </xf>
    <xf numFmtId="0" fontId="0" fillId="0" borderId="4" xfId="0" applyBorder="1"/>
    <xf numFmtId="37" fontId="0" fillId="0" borderId="1" xfId="1" applyFont="1" applyBorder="1">
      <alignment horizontal="center"/>
    </xf>
    <xf numFmtId="37" fontId="5" fillId="0" borderId="0" xfId="1" applyFont="1" applyBorder="1" applyAlignment="1">
      <alignment horizontal="left"/>
    </xf>
    <xf numFmtId="37" fontId="1" fillId="0" borderId="0" xfId="1">
      <alignment horizontal="center"/>
    </xf>
    <xf numFmtId="37" fontId="1" fillId="0" borderId="1" xfId="1" applyBorder="1">
      <alignment horizontal="center"/>
    </xf>
    <xf numFmtId="0" fontId="5" fillId="0" borderId="0" xfId="0" applyFont="1" applyAlignment="1">
      <alignment horizontal="left"/>
    </xf>
    <xf numFmtId="37" fontId="5" fillId="0" borderId="0" xfId="1" applyFont="1" applyAlignment="1">
      <alignment horizontal="left"/>
    </xf>
    <xf numFmtId="0" fontId="2" fillId="0" borderId="0" xfId="0" applyFont="1" applyFill="1"/>
    <xf numFmtId="0" fontId="6" fillId="0" borderId="0" xfId="18" applyFill="1" applyAlignment="1" applyProtection="1"/>
    <xf numFmtId="39" fontId="0" fillId="0" borderId="0" xfId="1" applyNumberFormat="1" applyFont="1">
      <alignment horizontal="center"/>
    </xf>
    <xf numFmtId="39" fontId="0" fillId="0" borderId="0" xfId="1" applyNumberFormat="1" applyFont="1" applyFill="1">
      <alignment horizontal="center"/>
    </xf>
    <xf numFmtId="0" fontId="0" fillId="5" borderId="0" xfId="0" applyFill="1"/>
    <xf numFmtId="0" fontId="5" fillId="4" borderId="0" xfId="0" applyFont="1" applyFill="1"/>
    <xf numFmtId="0" fontId="0" fillId="4" borderId="0" xfId="0" applyFill="1"/>
    <xf numFmtId="0" fontId="0" fillId="6" borderId="3" xfId="0" applyFill="1" applyBorder="1"/>
    <xf numFmtId="39" fontId="0" fillId="0" borderId="0" xfId="0" applyNumberFormat="1" applyAlignment="1">
      <alignment horizontal="center"/>
    </xf>
    <xf numFmtId="0" fontId="5" fillId="2" borderId="0" xfId="0" applyFont="1" applyFill="1"/>
    <xf numFmtId="0" fontId="0" fillId="2" borderId="0" xfId="0" applyFill="1" applyBorder="1"/>
    <xf numFmtId="11" fontId="0" fillId="0" borderId="0" xfId="0" applyNumberFormat="1"/>
    <xf numFmtId="11" fontId="0" fillId="0" borderId="0" xfId="0" applyNumberFormat="1" applyAlignment="1">
      <alignment horizontal="center"/>
    </xf>
    <xf numFmtId="37" fontId="1" fillId="0" borderId="0" xfId="1" applyFill="1">
      <alignment horizontal="center"/>
    </xf>
    <xf numFmtId="9" fontId="0" fillId="0" borderId="0" xfId="145" applyFont="1"/>
    <xf numFmtId="37" fontId="0" fillId="0" borderId="0" xfId="1" applyFont="1" applyBorder="1">
      <alignment horizontal="center"/>
    </xf>
    <xf numFmtId="39" fontId="0" fillId="0" borderId="0" xfId="1" applyNumberFormat="1" applyFont="1" applyBorder="1">
      <alignment horizontal="center"/>
    </xf>
    <xf numFmtId="37" fontId="5" fillId="0" borderId="0" xfId="1" applyFont="1">
      <alignment horizontal="center"/>
    </xf>
    <xf numFmtId="0" fontId="0" fillId="0" borderId="0" xfId="0" applyAlignment="1">
      <alignment horizontal="left"/>
    </xf>
    <xf numFmtId="0" fontId="7" fillId="0" borderId="4" xfId="0" applyFont="1" applyBorder="1" applyAlignment="1">
      <alignment horizontal="centerContinuous"/>
    </xf>
    <xf numFmtId="0" fontId="0" fillId="0" borderId="1" xfId="0" applyBorder="1" applyAlignment="1">
      <alignment horizontal="centerContinuous"/>
    </xf>
    <xf numFmtId="0" fontId="7" fillId="0" borderId="1" xfId="0" applyFont="1" applyBorder="1" applyAlignment="1">
      <alignment horizontal="centerContinuous"/>
    </xf>
    <xf numFmtId="0" fontId="0" fillId="0" borderId="4" xfId="0" applyBorder="1" applyAlignment="1">
      <alignment horizontal="centerContinuous"/>
    </xf>
    <xf numFmtId="0" fontId="10" fillId="0" borderId="1" xfId="0" applyFont="1" applyBorder="1" applyAlignment="1">
      <alignment horizontal="centerContinuous"/>
    </xf>
    <xf numFmtId="0" fontId="2" fillId="0" borderId="2" xfId="0" applyFont="1" applyBorder="1" applyAlignment="1">
      <alignment horizontal="centerContinuous"/>
    </xf>
    <xf numFmtId="0" fontId="11" fillId="0" borderId="2" xfId="0" applyFont="1" applyBorder="1" applyAlignment="1">
      <alignment horizontal="center"/>
    </xf>
    <xf numFmtId="0" fontId="0" fillId="0" borderId="0" xfId="0" applyBorder="1" applyAlignment="1">
      <alignment horizontal="centerContinuous"/>
    </xf>
    <xf numFmtId="0" fontId="11" fillId="0" borderId="0" xfId="0" applyFont="1"/>
    <xf numFmtId="0" fontId="11" fillId="0" borderId="0" xfId="0" applyFont="1" applyBorder="1" applyAlignment="1">
      <alignment horizontal="right"/>
    </xf>
    <xf numFmtId="3" fontId="0" fillId="0" borderId="1" xfId="0" applyNumberFormat="1" applyBorder="1" applyAlignment="1">
      <alignment horizontal="center"/>
    </xf>
    <xf numFmtId="0" fontId="11" fillId="0" borderId="1" xfId="0" applyFont="1" applyBorder="1"/>
    <xf numFmtId="4" fontId="0" fillId="0" borderId="1" xfId="0" applyNumberFormat="1" applyBorder="1" applyAlignment="1">
      <alignment horizontal="center"/>
    </xf>
    <xf numFmtId="0" fontId="0" fillId="0" borderId="1" xfId="0" applyBorder="1" applyAlignment="1">
      <alignment horizontal="left"/>
    </xf>
    <xf numFmtId="0" fontId="0" fillId="0" borderId="2" xfId="0" applyBorder="1" applyAlignment="1">
      <alignment horizontal="left"/>
    </xf>
    <xf numFmtId="3" fontId="0" fillId="0" borderId="2" xfId="0" applyNumberFormat="1" applyBorder="1" applyAlignment="1">
      <alignment horizontal="center"/>
    </xf>
    <xf numFmtId="4" fontId="0" fillId="0" borderId="0" xfId="0" applyNumberFormat="1" applyBorder="1" applyAlignment="1">
      <alignment horizontal="center"/>
    </xf>
    <xf numFmtId="0" fontId="0" fillId="0" borderId="0" xfId="0" applyBorder="1" applyAlignment="1">
      <alignment horizontal="left"/>
    </xf>
    <xf numFmtId="0" fontId="0" fillId="7" borderId="0" xfId="0" applyFill="1"/>
    <xf numFmtId="0" fontId="0" fillId="7" borderId="0" xfId="0" applyFill="1" applyAlignment="1">
      <alignment horizontal="center"/>
    </xf>
    <xf numFmtId="0" fontId="0" fillId="7" borderId="1" xfId="0" applyFill="1" applyBorder="1" applyAlignment="1">
      <alignment horizontal="center"/>
    </xf>
    <xf numFmtId="3" fontId="0" fillId="7" borderId="0" xfId="0" applyNumberFormat="1" applyFill="1" applyAlignment="1">
      <alignment horizontal="center"/>
    </xf>
    <xf numFmtId="3" fontId="0" fillId="7" borderId="1" xfId="0" applyNumberFormat="1" applyFill="1" applyBorder="1" applyAlignment="1">
      <alignment horizontal="center"/>
    </xf>
    <xf numFmtId="3" fontId="11" fillId="7" borderId="1" xfId="0" applyNumberFormat="1" applyFont="1" applyFill="1" applyBorder="1" applyAlignment="1">
      <alignment horizontal="center"/>
    </xf>
    <xf numFmtId="2" fontId="0" fillId="7" borderId="0" xfId="0" applyNumberFormat="1" applyFill="1" applyAlignment="1">
      <alignment horizontal="center"/>
    </xf>
    <xf numFmtId="2" fontId="0" fillId="7" borderId="1" xfId="0" applyNumberFormat="1" applyFill="1" applyBorder="1" applyAlignment="1">
      <alignment horizontal="center"/>
    </xf>
    <xf numFmtId="0" fontId="5" fillId="7" borderId="1" xfId="0" applyFont="1" applyFill="1" applyBorder="1"/>
    <xf numFmtId="0" fontId="6" fillId="0" borderId="0" xfId="18" applyAlignment="1" applyProtection="1">
      <alignment horizontal="left"/>
    </xf>
    <xf numFmtId="0" fontId="6" fillId="0" borderId="0" xfId="18" applyFill="1" applyAlignment="1" applyProtection="1">
      <alignment horizontal="left"/>
    </xf>
    <xf numFmtId="0" fontId="6" fillId="0" borderId="0" xfId="18" applyFont="1" applyAlignment="1" applyProtection="1">
      <alignment horizontal="left"/>
    </xf>
    <xf numFmtId="0" fontId="5" fillId="4" borderId="1" xfId="0" applyFont="1" applyFill="1" applyBorder="1"/>
    <xf numFmtId="0" fontId="0" fillId="4" borderId="1" xfId="0" applyFill="1" applyBorder="1"/>
    <xf numFmtId="0" fontId="2" fillId="0" borderId="0" xfId="18" applyFont="1" applyAlignment="1" applyProtection="1">
      <alignment horizontal="left"/>
    </xf>
    <xf numFmtId="0" fontId="6" fillId="0" borderId="0" xfId="18" applyAlignment="1" applyProtection="1">
      <alignment horizontal="center"/>
    </xf>
    <xf numFmtId="3" fontId="2" fillId="0" borderId="0" xfId="0" applyNumberFormat="1" applyFont="1" applyBorder="1" applyAlignment="1">
      <alignment horizontal="center"/>
    </xf>
    <xf numFmtId="0" fontId="12" fillId="0" borderId="0" xfId="0" applyFont="1" applyFill="1" applyAlignment="1">
      <alignment horizontal="center"/>
    </xf>
    <xf numFmtId="37" fontId="0" fillId="0" borderId="0" xfId="0" applyNumberFormat="1" applyBorder="1"/>
    <xf numFmtId="0" fontId="13" fillId="0" borderId="0" xfId="0" applyFont="1" applyAlignment="1">
      <alignment horizontal="center"/>
    </xf>
    <xf numFmtId="0" fontId="13" fillId="0" borderId="0" xfId="0" applyFont="1" applyAlignment="1">
      <alignment horizontal="left"/>
    </xf>
    <xf numFmtId="0" fontId="13" fillId="0" borderId="0" xfId="0" applyFont="1"/>
    <xf numFmtId="0" fontId="13" fillId="0" borderId="0" xfId="0" applyFont="1" applyBorder="1" applyAlignment="1">
      <alignment horizontal="center"/>
    </xf>
    <xf numFmtId="0" fontId="13" fillId="0" borderId="0" xfId="0" applyFont="1" applyBorder="1"/>
    <xf numFmtId="0" fontId="13" fillId="0" borderId="1" xfId="0" applyFont="1" applyBorder="1" applyAlignment="1">
      <alignment horizontal="center"/>
    </xf>
    <xf numFmtId="0" fontId="14" fillId="0" borderId="1" xfId="0" applyFont="1" applyBorder="1" applyAlignment="1">
      <alignment horizontal="center"/>
    </xf>
    <xf numFmtId="0" fontId="13" fillId="0" borderId="1" xfId="0" applyFont="1" applyBorder="1"/>
    <xf numFmtId="0" fontId="15" fillId="0" borderId="1" xfId="0" applyFont="1" applyBorder="1" applyAlignment="1">
      <alignment horizontal="centerContinuous"/>
    </xf>
    <xf numFmtId="0" fontId="13" fillId="0" borderId="1" xfId="0" applyFont="1" applyBorder="1" applyAlignment="1">
      <alignment horizontal="centerContinuous"/>
    </xf>
    <xf numFmtId="0" fontId="16" fillId="0" borderId="1" xfId="0" applyFont="1" applyBorder="1" applyAlignment="1">
      <alignment horizontal="centerContinuous"/>
    </xf>
    <xf numFmtId="0" fontId="13" fillId="0" borderId="4" xfId="0" applyFont="1" applyBorder="1" applyAlignment="1">
      <alignment horizontal="centerContinuous"/>
    </xf>
    <xf numFmtId="0" fontId="13" fillId="0" borderId="2" xfId="0" applyFont="1" applyBorder="1" applyAlignment="1">
      <alignment horizontal="centerContinuous"/>
    </xf>
    <xf numFmtId="0" fontId="17" fillId="0" borderId="2" xfId="0" applyFont="1" applyBorder="1" applyAlignment="1">
      <alignment horizontal="left"/>
    </xf>
    <xf numFmtId="0" fontId="17" fillId="0" borderId="0" xfId="0" applyFont="1"/>
    <xf numFmtId="3" fontId="13" fillId="0" borderId="0" xfId="0" applyNumberFormat="1" applyFont="1" applyAlignment="1">
      <alignment horizontal="center"/>
    </xf>
    <xf numFmtId="0" fontId="17" fillId="0" borderId="0" xfId="0" applyFont="1" applyBorder="1" applyAlignment="1">
      <alignment horizontal="left"/>
    </xf>
    <xf numFmtId="4" fontId="13" fillId="0" borderId="0" xfId="0" applyNumberFormat="1" applyFont="1" applyAlignment="1">
      <alignment horizontal="center"/>
    </xf>
    <xf numFmtId="3" fontId="13" fillId="0" borderId="0" xfId="0" applyNumberFormat="1" applyFont="1" applyBorder="1" applyAlignment="1">
      <alignment horizontal="center"/>
    </xf>
    <xf numFmtId="0" fontId="17" fillId="0" borderId="1" xfId="0" applyFont="1" applyBorder="1"/>
    <xf numFmtId="3" fontId="13" fillId="0" borderId="1" xfId="0" applyNumberFormat="1" applyFont="1" applyBorder="1" applyAlignment="1">
      <alignment horizontal="center"/>
    </xf>
    <xf numFmtId="4" fontId="13" fillId="0" borderId="1" xfId="0" applyNumberFormat="1" applyFont="1" applyBorder="1" applyAlignment="1">
      <alignment horizontal="center"/>
    </xf>
    <xf numFmtId="0" fontId="18" fillId="0" borderId="1" xfId="0" applyFont="1" applyBorder="1" applyAlignment="1">
      <alignment horizontal="left"/>
    </xf>
    <xf numFmtId="0" fontId="18" fillId="0" borderId="1" xfId="0" applyFont="1" applyBorder="1" applyAlignment="1">
      <alignment horizontal="center"/>
    </xf>
    <xf numFmtId="3" fontId="18" fillId="0" borderId="1" xfId="0" applyNumberFormat="1" applyFont="1" applyBorder="1" applyAlignment="1">
      <alignment horizontal="center"/>
    </xf>
    <xf numFmtId="0" fontId="13" fillId="0" borderId="2" xfId="0" applyFont="1" applyBorder="1" applyAlignment="1">
      <alignment horizontal="left"/>
    </xf>
    <xf numFmtId="3" fontId="13" fillId="0" borderId="2" xfId="0" applyNumberFormat="1" applyFont="1" applyBorder="1" applyAlignment="1">
      <alignment horizontal="center"/>
    </xf>
    <xf numFmtId="4" fontId="13" fillId="0" borderId="0" xfId="0" applyNumberFormat="1" applyFont="1" applyBorder="1" applyAlignment="1">
      <alignment horizontal="center"/>
    </xf>
    <xf numFmtId="0" fontId="13" fillId="0" borderId="1" xfId="0" applyFont="1" applyBorder="1" applyAlignment="1">
      <alignment horizontal="left"/>
    </xf>
    <xf numFmtId="0" fontId="17" fillId="0" borderId="0" xfId="0" applyFont="1" applyBorder="1" applyAlignment="1">
      <alignment horizontal="right"/>
    </xf>
    <xf numFmtId="0" fontId="13" fillId="0" borderId="0" xfId="0" applyFont="1" applyBorder="1" applyAlignment="1">
      <alignment horizontal="left"/>
    </xf>
    <xf numFmtId="0" fontId="13" fillId="0" borderId="0" xfId="0" applyFont="1" applyBorder="1" applyAlignment="1">
      <alignment horizontal="centerContinuous"/>
    </xf>
    <xf numFmtId="0" fontId="16" fillId="0" borderId="1" xfId="0" applyFont="1" applyBorder="1" applyAlignment="1">
      <alignment horizontal="left"/>
    </xf>
    <xf numFmtId="0" fontId="17" fillId="0" borderId="1" xfId="0" applyFont="1" applyBorder="1" applyAlignment="1">
      <alignment horizontal="left"/>
    </xf>
    <xf numFmtId="0" fontId="0" fillId="0" borderId="1" xfId="0" quotePrefix="1" applyBorder="1"/>
    <xf numFmtId="37" fontId="0" fillId="0" borderId="1" xfId="0" applyNumberFormat="1" applyBorder="1"/>
    <xf numFmtId="2" fontId="0" fillId="0" borderId="0" xfId="0" applyNumberFormat="1" applyBorder="1" applyAlignment="1">
      <alignment horizontal="center"/>
    </xf>
    <xf numFmtId="0" fontId="19" fillId="0" borderId="7" xfId="0" applyFont="1" applyFill="1" applyBorder="1" applyAlignment="1">
      <alignment horizontal="center"/>
    </xf>
    <xf numFmtId="37" fontId="1" fillId="0" borderId="0" xfId="1" applyFill="1" applyBorder="1">
      <alignment horizontal="center"/>
    </xf>
    <xf numFmtId="0" fontId="0" fillId="0" borderId="0" xfId="0" applyFill="1" applyBorder="1" applyAlignment="1"/>
    <xf numFmtId="0" fontId="0" fillId="0" borderId="8" xfId="0" applyFill="1" applyBorder="1" applyAlignment="1"/>
    <xf numFmtId="0" fontId="0" fillId="0" borderId="0" xfId="0" applyBorder="1" applyAlignment="1">
      <alignment horizontal="center" wrapText="1"/>
    </xf>
    <xf numFmtId="0" fontId="20" fillId="0" borderId="0" xfId="0" applyFont="1"/>
    <xf numFmtId="169" fontId="0" fillId="0" borderId="0" xfId="145" applyNumberFormat="1" applyFont="1"/>
    <xf numFmtId="0" fontId="19" fillId="0" borderId="7" xfId="0" applyFont="1" applyFill="1" applyBorder="1" applyAlignment="1">
      <alignment horizontal="centerContinuous"/>
    </xf>
    <xf numFmtId="37" fontId="1" fillId="0" borderId="0" xfId="1" applyBorder="1">
      <alignment horizontal="center"/>
    </xf>
    <xf numFmtId="171" fontId="0" fillId="0" borderId="0" xfId="0" applyNumberFormat="1" applyBorder="1"/>
    <xf numFmtId="39" fontId="1" fillId="0" borderId="0" xfId="1" applyNumberFormat="1" applyBorder="1">
      <alignment horizontal="center"/>
    </xf>
    <xf numFmtId="39" fontId="0" fillId="0" borderId="0" xfId="0" applyNumberFormat="1" applyBorder="1" applyAlignment="1">
      <alignment horizontal="center"/>
    </xf>
    <xf numFmtId="39" fontId="1" fillId="0" borderId="0" xfId="1" applyNumberFormat="1" applyFill="1" applyBorder="1">
      <alignment horizontal="center"/>
    </xf>
    <xf numFmtId="37" fontId="0" fillId="0" borderId="0" xfId="0" applyNumberFormat="1" applyFill="1" applyBorder="1"/>
    <xf numFmtId="0" fontId="5" fillId="0" borderId="0" xfId="0" applyFont="1" applyFill="1" applyBorder="1"/>
    <xf numFmtId="37" fontId="5" fillId="0" borderId="0" xfId="1" applyFont="1" applyFill="1" applyBorder="1" applyAlignment="1">
      <alignment horizontal="left"/>
    </xf>
    <xf numFmtId="37" fontId="5" fillId="0" borderId="0" xfId="0" applyNumberFormat="1" applyFont="1" applyFill="1" applyBorder="1"/>
    <xf numFmtId="37" fontId="1" fillId="0" borderId="0" xfId="1" applyFont="1" applyFill="1" applyBorder="1">
      <alignment horizontal="center"/>
    </xf>
    <xf numFmtId="171" fontId="0" fillId="0" borderId="0" xfId="0" applyNumberFormat="1" applyFill="1" applyBorder="1"/>
    <xf numFmtId="0" fontId="2" fillId="8" borderId="0" xfId="0" applyFont="1" applyFill="1" applyBorder="1"/>
    <xf numFmtId="0" fontId="5" fillId="8" borderId="0" xfId="0" applyFont="1" applyFill="1" applyBorder="1"/>
    <xf numFmtId="172" fontId="0" fillId="0" borderId="0" xfId="0" applyNumberFormat="1" applyBorder="1"/>
    <xf numFmtId="0" fontId="0" fillId="0" borderId="3" xfId="0" applyFill="1" applyBorder="1"/>
    <xf numFmtId="0" fontId="0" fillId="0" borderId="3" xfId="0" applyFill="1" applyBorder="1" applyAlignment="1">
      <alignment horizontal="center"/>
    </xf>
    <xf numFmtId="0" fontId="5" fillId="0" borderId="3" xfId="0" applyFont="1" applyFill="1" applyBorder="1"/>
    <xf numFmtId="0" fontId="2" fillId="0" borderId="1" xfId="0" applyFont="1" applyFill="1" applyBorder="1"/>
    <xf numFmtId="0" fontId="0" fillId="0" borderId="9" xfId="0" applyBorder="1"/>
    <xf numFmtId="0" fontId="0" fillId="0" borderId="9" xfId="0" applyFill="1" applyBorder="1"/>
    <xf numFmtId="0" fontId="5" fillId="0" borderId="9" xfId="0" applyFont="1" applyFill="1" applyBorder="1"/>
    <xf numFmtId="0" fontId="5" fillId="0" borderId="9" xfId="0" applyFont="1" applyBorder="1"/>
    <xf numFmtId="0" fontId="0" fillId="0" borderId="10" xfId="0" applyBorder="1"/>
    <xf numFmtId="0" fontId="0" fillId="0" borderId="2" xfId="0" applyBorder="1"/>
    <xf numFmtId="0" fontId="2" fillId="4" borderId="0" xfId="0" applyFont="1" applyFill="1" applyBorder="1"/>
    <xf numFmtId="0" fontId="0" fillId="4" borderId="0" xfId="0" applyFill="1" applyBorder="1"/>
    <xf numFmtId="37" fontId="0" fillId="0" borderId="8" xfId="1" applyFont="1" applyFill="1" applyBorder="1">
      <alignment horizontal="center"/>
    </xf>
    <xf numFmtId="0" fontId="19" fillId="0" borderId="0" xfId="0" applyFont="1" applyFill="1" applyBorder="1" applyAlignment="1">
      <alignment horizontal="center"/>
    </xf>
    <xf numFmtId="0" fontId="22" fillId="0" borderId="0" xfId="0" applyFont="1" applyAlignment="1">
      <alignment horizontal="center"/>
    </xf>
    <xf numFmtId="167" fontId="0" fillId="0" borderId="0" xfId="0" applyNumberFormat="1" applyAlignment="1">
      <alignment horizontal="center"/>
    </xf>
    <xf numFmtId="9" fontId="0" fillId="0" borderId="0" xfId="0" applyNumberFormat="1"/>
    <xf numFmtId="37" fontId="0" fillId="0" borderId="0" xfId="1" applyFont="1" applyAlignment="1">
      <alignment horizontal="left"/>
    </xf>
    <xf numFmtId="37" fontId="0" fillId="0" borderId="11" xfId="1" applyFont="1" applyBorder="1">
      <alignment horizontal="center"/>
    </xf>
    <xf numFmtId="37" fontId="0" fillId="0" borderId="12" xfId="1" applyFont="1" applyBorder="1">
      <alignment horizontal="center"/>
    </xf>
    <xf numFmtId="37" fontId="0" fillId="0" borderId="13" xfId="1" applyFont="1" applyBorder="1">
      <alignment horizontal="center"/>
    </xf>
    <xf numFmtId="37" fontId="1" fillId="0" borderId="14" xfId="1" applyBorder="1">
      <alignment horizontal="center"/>
    </xf>
    <xf numFmtId="37" fontId="1" fillId="0" borderId="0" xfId="1" applyFont="1" applyBorder="1">
      <alignment horizontal="center"/>
    </xf>
    <xf numFmtId="37" fontId="1" fillId="0" borderId="15" xfId="1" applyBorder="1">
      <alignment horizontal="center"/>
    </xf>
    <xf numFmtId="0" fontId="0" fillId="0" borderId="14" xfId="0" applyBorder="1"/>
    <xf numFmtId="0" fontId="0" fillId="0" borderId="15" xfId="0" applyBorder="1"/>
    <xf numFmtId="37" fontId="0" fillId="0" borderId="14" xfId="0" applyNumberFormat="1" applyBorder="1"/>
    <xf numFmtId="0" fontId="0" fillId="0" borderId="0" xfId="0" quotePrefix="1" applyBorder="1"/>
    <xf numFmtId="0" fontId="0" fillId="0" borderId="16" xfId="0" applyBorder="1"/>
    <xf numFmtId="0" fontId="0" fillId="0" borderId="8" xfId="0" applyBorder="1"/>
    <xf numFmtId="0" fontId="0" fillId="0" borderId="17" xfId="0" applyBorder="1"/>
    <xf numFmtId="0" fontId="0" fillId="0" borderId="10" xfId="0" applyFill="1" applyBorder="1"/>
    <xf numFmtId="0" fontId="0" fillId="0" borderId="2" xfId="0" applyFill="1" applyBorder="1"/>
    <xf numFmtId="0" fontId="0" fillId="0" borderId="1" xfId="0" applyFill="1" applyBorder="1" applyAlignment="1">
      <alignment horizontal="center"/>
    </xf>
    <xf numFmtId="37" fontId="2" fillId="0" borderId="0" xfId="0" applyNumberFormat="1" applyFont="1" applyFill="1" applyBorder="1"/>
    <xf numFmtId="11" fontId="2" fillId="0" borderId="0" xfId="0" applyNumberFormat="1" applyFont="1" applyFill="1" applyBorder="1"/>
    <xf numFmtId="37" fontId="2" fillId="4" borderId="0" xfId="1" applyFont="1" applyFill="1" applyBorder="1">
      <alignment horizontal="center"/>
    </xf>
    <xf numFmtId="39" fontId="1" fillId="0" borderId="0" xfId="1" applyNumberFormat="1" applyFont="1" applyBorder="1">
      <alignment horizontal="center"/>
    </xf>
    <xf numFmtId="9" fontId="0" fillId="0" borderId="14" xfId="145" applyFont="1" applyBorder="1"/>
    <xf numFmtId="39" fontId="0" fillId="0" borderId="1" xfId="1" applyNumberFormat="1" applyFont="1" applyBorder="1">
      <alignment horizontal="center"/>
    </xf>
    <xf numFmtId="37" fontId="0" fillId="0" borderId="1" xfId="1" quotePrefix="1" applyFont="1" applyBorder="1" applyAlignment="1">
      <alignment horizontal="left"/>
    </xf>
    <xf numFmtId="2" fontId="0" fillId="4" borderId="0" xfId="0" applyNumberFormat="1" applyFill="1" applyAlignment="1">
      <alignment horizontal="center"/>
    </xf>
    <xf numFmtId="173" fontId="2" fillId="0" borderId="0" xfId="0" applyNumberFormat="1" applyFont="1" applyFill="1"/>
    <xf numFmtId="0" fontId="7" fillId="0" borderId="0" xfId="0" applyFont="1"/>
    <xf numFmtId="0" fontId="0" fillId="0" borderId="18" xfId="0" applyBorder="1"/>
    <xf numFmtId="0" fontId="0" fillId="0" borderId="19" xfId="0" applyBorder="1"/>
    <xf numFmtId="37" fontId="25" fillId="0" borderId="0" xfId="1" applyFont="1">
      <alignment horizontal="center"/>
    </xf>
    <xf numFmtId="0" fontId="0" fillId="0" borderId="20" xfId="0" applyBorder="1"/>
    <xf numFmtId="0" fontId="0" fillId="0" borderId="6" xfId="0" applyBorder="1"/>
    <xf numFmtId="0" fontId="8" fillId="0" borderId="0" xfId="0" applyFont="1"/>
    <xf numFmtId="174" fontId="0" fillId="0" borderId="0" xfId="0" applyNumberFormat="1" applyFill="1" applyBorder="1" applyAlignment="1">
      <alignment horizontal="center"/>
    </xf>
    <xf numFmtId="167" fontId="0" fillId="0" borderId="0" xfId="0" applyNumberFormat="1"/>
    <xf numFmtId="0" fontId="9" fillId="0" borderId="0" xfId="0" applyFont="1" applyBorder="1" applyAlignment="1">
      <alignment horizontal="center"/>
    </xf>
    <xf numFmtId="37" fontId="13" fillId="0" borderId="0" xfId="1" applyFont="1" applyBorder="1">
      <alignment horizontal="center"/>
    </xf>
    <xf numFmtId="0" fontId="17" fillId="0" borderId="0" xfId="0" applyFont="1" applyBorder="1"/>
    <xf numFmtId="0" fontId="10" fillId="0" borderId="0" xfId="0" applyFont="1" applyBorder="1" applyAlignment="1">
      <alignment horizontal="centerContinuous"/>
    </xf>
    <xf numFmtId="0" fontId="11" fillId="0" borderId="0" xfId="0" applyFont="1" applyBorder="1" applyAlignment="1">
      <alignment horizontal="center"/>
    </xf>
    <xf numFmtId="0" fontId="11" fillId="0" borderId="0" xfId="0" applyFont="1" applyBorder="1"/>
    <xf numFmtId="3" fontId="0" fillId="0" borderId="0" xfId="0" applyNumberFormat="1" applyBorder="1" applyAlignment="1">
      <alignment horizontal="center"/>
    </xf>
    <xf numFmtId="0" fontId="18" fillId="7" borderId="1" xfId="0" applyFont="1" applyFill="1" applyBorder="1"/>
    <xf numFmtId="0" fontId="13" fillId="7" borderId="1" xfId="0" applyFont="1" applyFill="1" applyBorder="1"/>
    <xf numFmtId="0" fontId="13" fillId="7" borderId="1" xfId="0" applyFont="1" applyFill="1" applyBorder="1" applyAlignment="1">
      <alignment horizontal="center"/>
    </xf>
    <xf numFmtId="3" fontId="13" fillId="7" borderId="0" xfId="0" applyNumberFormat="1" applyFont="1" applyFill="1" applyAlignment="1">
      <alignment horizontal="center"/>
    </xf>
    <xf numFmtId="4" fontId="13" fillId="7" borderId="0" xfId="0" applyNumberFormat="1" applyFont="1" applyFill="1" applyAlignment="1">
      <alignment horizontal="center"/>
    </xf>
    <xf numFmtId="3" fontId="13" fillId="7" borderId="1" xfId="0" applyNumberFormat="1" applyFont="1" applyFill="1" applyBorder="1" applyAlignment="1">
      <alignment horizontal="center"/>
    </xf>
    <xf numFmtId="4" fontId="13" fillId="7" borderId="1" xfId="0" applyNumberFormat="1" applyFont="1" applyFill="1" applyBorder="1" applyAlignment="1">
      <alignment horizontal="center"/>
    </xf>
    <xf numFmtId="3" fontId="18" fillId="7" borderId="1" xfId="0" applyNumberFormat="1" applyFont="1" applyFill="1" applyBorder="1" applyAlignment="1">
      <alignment horizontal="center"/>
    </xf>
    <xf numFmtId="3" fontId="13" fillId="7" borderId="2" xfId="0" applyNumberFormat="1" applyFont="1" applyFill="1" applyBorder="1" applyAlignment="1">
      <alignment horizontal="center"/>
    </xf>
    <xf numFmtId="4" fontId="13" fillId="7" borderId="0" xfId="0" applyNumberFormat="1" applyFont="1" applyFill="1" applyBorder="1" applyAlignment="1">
      <alignment horizontal="center"/>
    </xf>
    <xf numFmtId="0" fontId="2" fillId="0" borderId="1" xfId="0" applyFont="1" applyBorder="1"/>
    <xf numFmtId="0" fontId="0" fillId="0" borderId="21" xfId="0" applyBorder="1"/>
    <xf numFmtId="1" fontId="0" fillId="0" borderId="0" xfId="0" applyNumberFormat="1" applyBorder="1" applyAlignment="1">
      <alignment horizontal="center"/>
    </xf>
    <xf numFmtId="37" fontId="0" fillId="2" borderId="0" xfId="1" applyFont="1" applyFill="1">
      <alignment horizontal="center"/>
    </xf>
    <xf numFmtId="0" fontId="0" fillId="0" borderId="5" xfId="0" applyBorder="1"/>
    <xf numFmtId="168" fontId="0" fillId="0" borderId="0" xfId="0" applyNumberFormat="1" applyAlignment="1">
      <alignment horizontal="center"/>
    </xf>
    <xf numFmtId="49" fontId="0" fillId="0" borderId="1" xfId="0" applyNumberFormat="1" applyBorder="1" applyAlignment="1">
      <alignment horizontal="center"/>
    </xf>
    <xf numFmtId="0" fontId="7" fillId="0" borderId="0" xfId="0" applyFont="1" applyBorder="1"/>
    <xf numFmtId="39" fontId="0" fillId="0" borderId="0" xfId="0" applyNumberFormat="1" applyBorder="1"/>
    <xf numFmtId="0" fontId="5" fillId="0" borderId="0" xfId="0" applyFont="1" applyBorder="1" applyAlignment="1">
      <alignment horizontal="center"/>
    </xf>
    <xf numFmtId="37" fontId="0" fillId="0" borderId="0" xfId="0" applyNumberFormat="1" applyBorder="1" applyAlignment="1">
      <alignment horizontal="center"/>
    </xf>
    <xf numFmtId="37" fontId="1" fillId="4" borderId="0" xfId="1" applyFill="1">
      <alignment horizontal="center"/>
    </xf>
    <xf numFmtId="37" fontId="1" fillId="0" borderId="0" xfId="1" applyFont="1" applyFill="1">
      <alignment horizontal="center"/>
    </xf>
    <xf numFmtId="0" fontId="5" fillId="0" borderId="0" xfId="0" applyFont="1" applyFill="1"/>
    <xf numFmtId="39" fontId="0" fillId="0" borderId="1" xfId="0" applyNumberFormat="1" applyBorder="1" applyAlignment="1">
      <alignment horizontal="center"/>
    </xf>
    <xf numFmtId="0" fontId="18" fillId="0" borderId="0" xfId="0" applyFont="1" applyBorder="1" applyAlignment="1">
      <alignment horizontal="left"/>
    </xf>
    <xf numFmtId="0" fontId="13" fillId="0" borderId="0" xfId="0" applyFont="1" applyFill="1" applyBorder="1" applyAlignment="1">
      <alignment horizontal="center"/>
    </xf>
    <xf numFmtId="0" fontId="13" fillId="0" borderId="0" xfId="0" applyFont="1" applyFill="1" applyBorder="1" applyAlignment="1">
      <alignment horizontal="left"/>
    </xf>
    <xf numFmtId="0" fontId="13" fillId="0" borderId="0" xfId="0" applyFont="1" applyFill="1" applyBorder="1"/>
    <xf numFmtId="0" fontId="13" fillId="0" borderId="0" xfId="0" applyFont="1" applyFill="1" applyBorder="1" applyAlignment="1">
      <alignment horizontal="centerContinuous"/>
    </xf>
    <xf numFmtId="0" fontId="16" fillId="0" borderId="0" xfId="0" applyFont="1" applyFill="1" applyBorder="1" applyAlignment="1">
      <alignment horizontal="centerContinuous"/>
    </xf>
    <xf numFmtId="0" fontId="17" fillId="0" borderId="0" xfId="0" applyFont="1" applyFill="1" applyBorder="1" applyAlignment="1">
      <alignment horizontal="left"/>
    </xf>
    <xf numFmtId="0" fontId="17" fillId="0" borderId="0" xfId="0" applyFont="1" applyFill="1" applyBorder="1"/>
    <xf numFmtId="0" fontId="16" fillId="0" borderId="0" xfId="0" applyFont="1" applyFill="1" applyBorder="1" applyAlignment="1">
      <alignment horizontal="center"/>
    </xf>
    <xf numFmtId="0" fontId="18" fillId="0" borderId="0" xfId="0" applyFont="1" applyFill="1" applyBorder="1"/>
    <xf numFmtId="3" fontId="13" fillId="0" borderId="0" xfId="0" applyNumberFormat="1" applyFont="1" applyFill="1" applyBorder="1" applyAlignment="1">
      <alignment horizontal="center"/>
    </xf>
    <xf numFmtId="37" fontId="13" fillId="0" borderId="0" xfId="1" applyFont="1" applyFill="1" applyBorder="1">
      <alignment horizontal="center"/>
    </xf>
    <xf numFmtId="4" fontId="13" fillId="0" borderId="0" xfId="0" applyNumberFormat="1" applyFont="1" applyFill="1" applyBorder="1" applyAlignment="1">
      <alignment horizontal="center"/>
    </xf>
    <xf numFmtId="0" fontId="17" fillId="0" borderId="0" xfId="0" applyFont="1" applyFill="1" applyBorder="1" applyAlignment="1">
      <alignment horizontal="right"/>
    </xf>
    <xf numFmtId="3" fontId="0" fillId="0" borderId="0" xfId="0" applyNumberFormat="1" applyFill="1" applyBorder="1"/>
    <xf numFmtId="3" fontId="13" fillId="0" borderId="0" xfId="0" applyNumberFormat="1" applyFont="1" applyFill="1" applyBorder="1"/>
    <xf numFmtId="0" fontId="13" fillId="0" borderId="0" xfId="0" quotePrefix="1" applyFont="1" applyFill="1" applyBorder="1"/>
    <xf numFmtId="167" fontId="0" fillId="0" borderId="0" xfId="0" applyNumberFormat="1" applyFill="1" applyAlignment="1">
      <alignment horizontal="center"/>
    </xf>
    <xf numFmtId="170" fontId="13" fillId="0" borderId="0" xfId="0" applyNumberFormat="1" applyFont="1" applyAlignment="1">
      <alignment horizontal="center"/>
    </xf>
    <xf numFmtId="170" fontId="13" fillId="0" borderId="0" xfId="0" applyNumberFormat="1" applyFont="1" applyBorder="1" applyAlignment="1">
      <alignment horizontal="center"/>
    </xf>
    <xf numFmtId="37" fontId="13" fillId="0" borderId="0" xfId="0" applyNumberFormat="1" applyFont="1" applyFill="1" applyBorder="1" applyAlignment="1">
      <alignment horizontal="center"/>
    </xf>
    <xf numFmtId="2" fontId="13" fillId="0" borderId="0" xfId="0" applyNumberFormat="1" applyFont="1" applyFill="1" applyBorder="1" applyAlignment="1">
      <alignment horizontal="center"/>
    </xf>
    <xf numFmtId="3" fontId="13" fillId="0" borderId="1" xfId="0" applyNumberFormat="1" applyFont="1" applyFill="1" applyBorder="1" applyAlignment="1">
      <alignment horizontal="center"/>
    </xf>
    <xf numFmtId="0" fontId="13" fillId="0" borderId="1" xfId="0" applyFont="1" applyFill="1" applyBorder="1"/>
    <xf numFmtId="37" fontId="13" fillId="0" borderId="1" xfId="1" applyFont="1" applyFill="1" applyBorder="1">
      <alignment horizontal="center"/>
    </xf>
    <xf numFmtId="170" fontId="13" fillId="0" borderId="1" xfId="0" applyNumberFormat="1" applyFont="1" applyBorder="1" applyAlignment="1">
      <alignment horizontal="center"/>
    </xf>
    <xf numFmtId="37" fontId="13" fillId="0" borderId="1" xfId="0" applyNumberFormat="1" applyFont="1" applyFill="1" applyBorder="1" applyAlignment="1">
      <alignment horizontal="center"/>
    </xf>
    <xf numFmtId="2" fontId="13" fillId="0" borderId="1" xfId="0" applyNumberFormat="1" applyFont="1" applyFill="1" applyBorder="1" applyAlignment="1">
      <alignment horizontal="center"/>
    </xf>
    <xf numFmtId="0" fontId="16" fillId="0" borderId="0" xfId="0" applyFont="1" applyBorder="1" applyAlignment="1">
      <alignment horizontal="centerContinuous"/>
    </xf>
    <xf numFmtId="0" fontId="14" fillId="0" borderId="0" xfId="0" applyFont="1" applyBorder="1" applyAlignment="1">
      <alignment horizontal="center"/>
    </xf>
    <xf numFmtId="0" fontId="15" fillId="0" borderId="0" xfId="0" applyFont="1" applyBorder="1" applyAlignment="1">
      <alignment horizontal="centerContinuous"/>
    </xf>
    <xf numFmtId="0" fontId="16" fillId="0" borderId="0" xfId="0" applyFont="1" applyBorder="1" applyAlignment="1">
      <alignment horizontal="left"/>
    </xf>
    <xf numFmtId="0" fontId="18" fillId="0" borderId="0" xfId="0" applyFont="1" applyBorder="1" applyAlignment="1">
      <alignment horizontal="center"/>
    </xf>
    <xf numFmtId="3" fontId="18" fillId="0" borderId="0" xfId="0" applyNumberFormat="1" applyFont="1" applyBorder="1" applyAlignment="1">
      <alignment horizontal="center"/>
    </xf>
    <xf numFmtId="0" fontId="12" fillId="0" borderId="0" xfId="0" applyFont="1" applyFill="1" applyBorder="1" applyAlignment="1">
      <alignment horizontal="center"/>
    </xf>
    <xf numFmtId="0" fontId="5" fillId="0" borderId="0" xfId="0" applyFont="1" applyFill="1" applyBorder="1" applyAlignment="1">
      <alignment horizontal="left"/>
    </xf>
    <xf numFmtId="37" fontId="0" fillId="0" borderId="1" xfId="0" applyNumberFormat="1" applyBorder="1" applyAlignment="1">
      <alignment horizontal="center"/>
    </xf>
    <xf numFmtId="3" fontId="13" fillId="0" borderId="0" xfId="0" applyNumberFormat="1" applyFont="1" applyFill="1" applyBorder="1" applyAlignment="1">
      <alignment horizontal="left"/>
    </xf>
    <xf numFmtId="37" fontId="13" fillId="0" borderId="0" xfId="1" applyFont="1">
      <alignment horizontal="center"/>
    </xf>
    <xf numFmtId="2" fontId="13" fillId="0" borderId="0" xfId="0" applyNumberFormat="1" applyFont="1" applyAlignment="1">
      <alignment horizontal="center"/>
    </xf>
    <xf numFmtId="2" fontId="13" fillId="0" borderId="1" xfId="0" applyNumberFormat="1" applyFont="1" applyBorder="1" applyAlignment="1">
      <alignment horizontal="center"/>
    </xf>
    <xf numFmtId="37" fontId="13" fillId="0" borderId="1" xfId="1" applyFont="1" applyBorder="1">
      <alignment horizontal="center"/>
    </xf>
    <xf numFmtId="0" fontId="13" fillId="0" borderId="1" xfId="0" applyFont="1" applyFill="1" applyBorder="1" applyAlignment="1">
      <alignment horizontal="center"/>
    </xf>
    <xf numFmtId="0" fontId="31" fillId="0" borderId="1" xfId="0" applyFont="1" applyBorder="1"/>
    <xf numFmtId="0" fontId="18" fillId="0" borderId="1" xfId="0" applyFont="1" applyBorder="1"/>
    <xf numFmtId="37" fontId="13" fillId="0" borderId="0" xfId="1" applyFont="1" applyAlignment="1">
      <alignment horizontal="center"/>
    </xf>
    <xf numFmtId="37" fontId="13" fillId="0" borderId="0" xfId="0" applyNumberFormat="1" applyFont="1" applyAlignment="1">
      <alignment horizontal="center"/>
    </xf>
    <xf numFmtId="0" fontId="18" fillId="0" borderId="0" xfId="0" applyFont="1" applyBorder="1"/>
    <xf numFmtId="0" fontId="18" fillId="0" borderId="0" xfId="0" applyFont="1"/>
    <xf numFmtId="37" fontId="13" fillId="0" borderId="0" xfId="0" applyNumberFormat="1" applyFont="1"/>
    <xf numFmtId="37" fontId="13" fillId="0" borderId="1" xfId="0" applyNumberFormat="1" applyFont="1" applyBorder="1"/>
    <xf numFmtId="0" fontId="32" fillId="0" borderId="1" xfId="0" applyFont="1" applyFill="1" applyBorder="1" applyAlignment="1">
      <alignment horizontal="center"/>
    </xf>
    <xf numFmtId="0" fontId="32" fillId="0" borderId="0" xfId="0" applyFont="1" applyFill="1" applyBorder="1" applyAlignment="1">
      <alignment horizontal="center"/>
    </xf>
    <xf numFmtId="0" fontId="13" fillId="0" borderId="4" xfId="0" applyFont="1" applyBorder="1"/>
    <xf numFmtId="37" fontId="13" fillId="0" borderId="1" xfId="1" applyFont="1" applyBorder="1" applyAlignment="1">
      <alignment horizontal="center"/>
    </xf>
    <xf numFmtId="37" fontId="18" fillId="0" borderId="0" xfId="0" applyNumberFormat="1" applyFont="1" applyAlignment="1">
      <alignment horizontal="center"/>
    </xf>
    <xf numFmtId="37" fontId="18" fillId="0" borderId="1" xfId="1" applyFont="1" applyBorder="1">
      <alignment horizontal="center"/>
    </xf>
    <xf numFmtId="37" fontId="18" fillId="0" borderId="1" xfId="1" applyFont="1" applyBorder="1" applyAlignment="1">
      <alignment horizontal="center"/>
    </xf>
    <xf numFmtId="37" fontId="18" fillId="0" borderId="0" xfId="1" applyFont="1" applyBorder="1">
      <alignment horizontal="center"/>
    </xf>
    <xf numFmtId="37" fontId="18" fillId="0" borderId="0" xfId="1" applyFont="1" applyBorder="1" applyAlignment="1">
      <alignment horizontal="center"/>
    </xf>
    <xf numFmtId="0" fontId="13" fillId="0" borderId="0" xfId="0" applyFont="1" applyAlignment="1">
      <alignment horizontal="right"/>
    </xf>
    <xf numFmtId="2" fontId="2" fillId="0" borderId="0" xfId="0" applyNumberFormat="1" applyFont="1" applyFill="1" applyBorder="1" applyAlignment="1">
      <alignment horizontal="center"/>
    </xf>
    <xf numFmtId="0" fontId="0" fillId="0" borderId="8" xfId="0" applyBorder="1" applyAlignment="1">
      <alignment horizontal="center"/>
    </xf>
    <xf numFmtId="37" fontId="0" fillId="0" borderId="0" xfId="0" quotePrefix="1" applyNumberFormat="1"/>
    <xf numFmtId="39" fontId="13" fillId="0" borderId="0" xfId="1" applyNumberFormat="1" applyFont="1" applyFill="1" applyBorder="1">
      <alignment horizontal="center"/>
    </xf>
    <xf numFmtId="39" fontId="13" fillId="0" borderId="1" xfId="1" applyNumberFormat="1" applyFont="1" applyFill="1" applyBorder="1">
      <alignment horizontal="center"/>
    </xf>
    <xf numFmtId="0" fontId="13" fillId="0" borderId="0" xfId="0" applyFont="1" applyFill="1"/>
    <xf numFmtId="0" fontId="31" fillId="0" borderId="1" xfId="0" applyFont="1" applyFill="1" applyBorder="1"/>
    <xf numFmtId="0" fontId="18" fillId="0" borderId="1" xfId="0" applyFont="1" applyFill="1" applyBorder="1"/>
    <xf numFmtId="37" fontId="13" fillId="0" borderId="0" xfId="1" applyFont="1" applyFill="1" applyAlignment="1">
      <alignment horizontal="center"/>
    </xf>
    <xf numFmtId="37" fontId="13" fillId="0" borderId="0" xfId="0" applyNumberFormat="1" applyFont="1" applyFill="1" applyAlignment="1">
      <alignment horizontal="center"/>
    </xf>
    <xf numFmtId="0" fontId="13" fillId="0" borderId="0" xfId="0" applyFont="1" applyFill="1" applyAlignment="1">
      <alignment horizontal="center"/>
    </xf>
    <xf numFmtId="37" fontId="13" fillId="0" borderId="0" xfId="1" applyFont="1" applyFill="1">
      <alignment horizontal="center"/>
    </xf>
    <xf numFmtId="0" fontId="18" fillId="0" borderId="0" xfId="0" applyFont="1" applyFill="1"/>
    <xf numFmtId="0" fontId="13" fillId="0" borderId="0" xfId="0" applyFont="1" applyFill="1" applyAlignment="1">
      <alignment horizontal="right"/>
    </xf>
    <xf numFmtId="37" fontId="13" fillId="0" borderId="0" xfId="0" applyNumberFormat="1" applyFont="1" applyFill="1"/>
    <xf numFmtId="37" fontId="13" fillId="0" borderId="1" xfId="0" applyNumberFormat="1" applyFont="1" applyFill="1" applyBorder="1"/>
    <xf numFmtId="37" fontId="0" fillId="0" borderId="1" xfId="1" applyFont="1" applyFill="1" applyBorder="1">
      <alignment horizontal="center"/>
    </xf>
    <xf numFmtId="37" fontId="0" fillId="0" borderId="4" xfId="1" applyFont="1" applyFill="1" applyBorder="1">
      <alignment horizontal="center"/>
    </xf>
    <xf numFmtId="39" fontId="0" fillId="2" borderId="0" xfId="1" applyNumberFormat="1" applyFont="1" applyFill="1">
      <alignment horizontal="center"/>
    </xf>
    <xf numFmtId="37" fontId="0" fillId="0" borderId="12" xfId="1" applyFont="1" applyFill="1" applyBorder="1">
      <alignment horizontal="center"/>
    </xf>
    <xf numFmtId="0" fontId="0" fillId="0" borderId="22" xfId="0" applyBorder="1"/>
    <xf numFmtId="9" fontId="13" fillId="0" borderId="0" xfId="0" applyNumberFormat="1" applyFont="1" applyFill="1" applyBorder="1" applyAlignment="1">
      <alignment horizontal="center"/>
    </xf>
    <xf numFmtId="9" fontId="13" fillId="0" borderId="0" xfId="145" applyFont="1" applyFill="1" applyBorder="1" applyAlignment="1">
      <alignment horizontal="center"/>
    </xf>
    <xf numFmtId="39" fontId="0" fillId="0" borderId="0" xfId="1" applyNumberFormat="1" applyFont="1" applyFill="1" applyBorder="1">
      <alignment horizontal="center"/>
    </xf>
    <xf numFmtId="37" fontId="0" fillId="9" borderId="0" xfId="0" applyNumberFormat="1" applyFill="1"/>
    <xf numFmtId="39" fontId="0" fillId="0" borderId="0" xfId="0" applyNumberFormat="1" applyFill="1" applyBorder="1" applyAlignment="1">
      <alignment horizontal="center"/>
    </xf>
    <xf numFmtId="37" fontId="0" fillId="0" borderId="1" xfId="0" quotePrefix="1" applyNumberFormat="1" applyBorder="1"/>
    <xf numFmtId="37" fontId="18" fillId="0" borderId="0" xfId="1" applyFont="1" applyFill="1">
      <alignment horizontal="center"/>
    </xf>
    <xf numFmtId="37" fontId="18" fillId="0" borderId="0" xfId="0" applyNumberFormat="1" applyFont="1" applyFill="1" applyAlignment="1">
      <alignment horizontal="center"/>
    </xf>
    <xf numFmtId="37" fontId="1" fillId="5" borderId="0" xfId="1" applyFill="1">
      <alignment horizontal="center"/>
    </xf>
    <xf numFmtId="3" fontId="2" fillId="0" borderId="0" xfId="0" applyNumberFormat="1" applyFont="1" applyFill="1" applyBorder="1" applyAlignment="1">
      <alignment horizontal="center"/>
    </xf>
    <xf numFmtId="37" fontId="0" fillId="0" borderId="0" xfId="0" applyNumberFormat="1" applyFill="1" applyAlignment="1">
      <alignment horizontal="center"/>
    </xf>
    <xf numFmtId="3" fontId="2" fillId="0" borderId="0" xfId="0" applyNumberFormat="1" applyFont="1" applyFill="1" applyAlignment="1">
      <alignment horizontal="center"/>
    </xf>
    <xf numFmtId="37" fontId="0" fillId="0" borderId="0" xfId="1" applyFont="1" applyFill="1" applyAlignment="1">
      <alignment horizontal="center"/>
    </xf>
    <xf numFmtId="37" fontId="13" fillId="0" borderId="0" xfId="1" applyFont="1" applyFill="1" applyProtection="1">
      <alignment horizontal="center"/>
    </xf>
    <xf numFmtId="166" fontId="0" fillId="0" borderId="0" xfId="0" applyNumberFormat="1"/>
    <xf numFmtId="37" fontId="0" fillId="0" borderId="21" xfId="0" applyNumberFormat="1" applyBorder="1"/>
    <xf numFmtId="0" fontId="0" fillId="0" borderId="18" xfId="0" quotePrefix="1" applyBorder="1"/>
    <xf numFmtId="0" fontId="0" fillId="0" borderId="20" xfId="0" quotePrefix="1" applyBorder="1"/>
    <xf numFmtId="37" fontId="0" fillId="0" borderId="13" xfId="1" applyFont="1" applyFill="1" applyBorder="1">
      <alignment horizontal="center"/>
    </xf>
    <xf numFmtId="37" fontId="0" fillId="0" borderId="15" xfId="1" applyFont="1" applyFill="1" applyBorder="1">
      <alignment horizontal="center"/>
    </xf>
    <xf numFmtId="0" fontId="5" fillId="0" borderId="5" xfId="0" applyFont="1" applyBorder="1"/>
    <xf numFmtId="37" fontId="5" fillId="0" borderId="0" xfId="0" applyNumberFormat="1" applyFont="1" applyBorder="1"/>
    <xf numFmtId="0" fontId="13" fillId="0" borderId="0" xfId="0" applyFont="1" applyFill="1" applyBorder="1" applyAlignment="1">
      <alignment horizontal="right"/>
    </xf>
    <xf numFmtId="0" fontId="13" fillId="0" borderId="0" xfId="0" applyFont="1" applyFill="1" applyAlignment="1">
      <alignment horizontal="left"/>
    </xf>
    <xf numFmtId="164" fontId="0" fillId="0" borderId="0" xfId="1" applyNumberFormat="1" applyFont="1">
      <alignment horizontal="center"/>
    </xf>
    <xf numFmtId="164" fontId="0" fillId="0" borderId="1" xfId="1" applyNumberFormat="1" applyFont="1" applyBorder="1">
      <alignment horizontal="center"/>
    </xf>
    <xf numFmtId="164" fontId="0" fillId="0" borderId="0" xfId="1" applyNumberFormat="1" applyFont="1" applyBorder="1">
      <alignment horizontal="center"/>
    </xf>
    <xf numFmtId="37" fontId="5" fillId="0" borderId="0" xfId="0" applyNumberFormat="1" applyFont="1" applyBorder="1" applyAlignment="1">
      <alignment horizontal="center"/>
    </xf>
    <xf numFmtId="37" fontId="0" fillId="0" borderId="0" xfId="1" quotePrefix="1" applyFont="1" applyFill="1">
      <alignment horizontal="center"/>
    </xf>
    <xf numFmtId="0" fontId="0" fillId="9" borderId="0" xfId="0" applyFill="1"/>
    <xf numFmtId="170" fontId="13" fillId="0" borderId="0" xfId="0" applyNumberFormat="1" applyFont="1" applyFill="1" applyBorder="1" applyAlignment="1">
      <alignment horizontal="center"/>
    </xf>
    <xf numFmtId="170" fontId="13" fillId="0" borderId="0" xfId="0" applyNumberFormat="1" applyFont="1" applyFill="1" applyAlignment="1">
      <alignment horizontal="center"/>
    </xf>
    <xf numFmtId="37" fontId="0" fillId="0" borderId="0" xfId="0" applyNumberFormat="1" applyFill="1" applyBorder="1" applyAlignment="1">
      <alignment horizontal="center"/>
    </xf>
    <xf numFmtId="0" fontId="33" fillId="0" borderId="0" xfId="0" applyFont="1"/>
    <xf numFmtId="0" fontId="13" fillId="0" borderId="4" xfId="0" applyFont="1" applyFill="1" applyBorder="1"/>
    <xf numFmtId="0" fontId="18" fillId="0" borderId="4" xfId="0" applyFont="1" applyFill="1" applyBorder="1"/>
    <xf numFmtId="37" fontId="13" fillId="0" borderId="0" xfId="1" applyFont="1" applyFill="1" applyAlignment="1">
      <alignment horizontal="left"/>
    </xf>
    <xf numFmtId="0" fontId="0" fillId="0" borderId="0" xfId="0" quotePrefix="1" applyFill="1"/>
    <xf numFmtId="37" fontId="13" fillId="0" borderId="0" xfId="1" applyNumberFormat="1" applyFont="1" applyFill="1">
      <alignment horizontal="center"/>
    </xf>
    <xf numFmtId="164" fontId="0" fillId="0" borderId="1" xfId="1" quotePrefix="1" applyNumberFormat="1" applyFont="1" applyBorder="1" applyAlignment="1">
      <alignment horizontal="left"/>
    </xf>
    <xf numFmtId="0" fontId="0" fillId="9" borderId="0" xfId="0" quotePrefix="1" applyFill="1"/>
    <xf numFmtId="3" fontId="27" fillId="0" borderId="0" xfId="0" applyNumberFormat="1" applyFont="1" applyAlignment="1">
      <alignment horizontal="center" wrapText="1"/>
    </xf>
    <xf numFmtId="164" fontId="0" fillId="0" borderId="1" xfId="1" applyNumberFormat="1" applyFont="1" applyBorder="1" applyAlignment="1">
      <alignment horizontal="left"/>
    </xf>
    <xf numFmtId="164" fontId="0" fillId="0" borderId="0" xfId="1" applyNumberFormat="1" applyFont="1" applyBorder="1" applyAlignment="1">
      <alignment horizontal="left"/>
    </xf>
    <xf numFmtId="37" fontId="0" fillId="0" borderId="0" xfId="0" applyNumberFormat="1" applyBorder="1" applyAlignment="1">
      <alignment horizontal="left"/>
    </xf>
    <xf numFmtId="37" fontId="2" fillId="0" borderId="0" xfId="1" applyNumberFormat="1" applyFont="1" applyFill="1" applyBorder="1">
      <alignment horizontal="center"/>
    </xf>
    <xf numFmtId="37" fontId="1" fillId="10" borderId="0" xfId="1" applyFill="1">
      <alignment horizontal="center"/>
    </xf>
    <xf numFmtId="37" fontId="2" fillId="0" borderId="0" xfId="0" applyNumberFormat="1" applyFont="1" applyBorder="1" applyAlignment="1">
      <alignment horizontal="center"/>
    </xf>
    <xf numFmtId="168" fontId="0" fillId="0" borderId="0" xfId="0" applyNumberFormat="1" applyFill="1" applyAlignment="1">
      <alignment horizontal="center"/>
    </xf>
    <xf numFmtId="0" fontId="2" fillId="0" borderId="0" xfId="0" quotePrefix="1" applyFont="1"/>
    <xf numFmtId="0" fontId="2" fillId="0" borderId="0" xfId="0" applyFont="1"/>
    <xf numFmtId="37" fontId="34" fillId="0" borderId="0" xfId="1" applyFont="1" applyFill="1">
      <alignment horizontal="center"/>
    </xf>
    <xf numFmtId="37" fontId="34" fillId="0" borderId="0" xfId="1" quotePrefix="1" applyFont="1" applyFill="1">
      <alignment horizontal="center"/>
    </xf>
    <xf numFmtId="165" fontId="0" fillId="0" borderId="0" xfId="0" applyNumberFormat="1"/>
    <xf numFmtId="0" fontId="2" fillId="0" borderId="18" xfId="0" quotePrefix="1" applyFont="1" applyBorder="1" applyAlignment="1">
      <alignment horizontal="left"/>
    </xf>
    <xf numFmtId="0" fontId="0" fillId="0" borderId="0" xfId="0" quotePrefix="1" applyAlignment="1">
      <alignment horizontal="left"/>
    </xf>
    <xf numFmtId="0" fontId="2" fillId="0" borderId="0" xfId="0" quotePrefix="1" applyFont="1" applyAlignment="1">
      <alignment horizontal="left"/>
    </xf>
    <xf numFmtId="0" fontId="2" fillId="0" borderId="0" xfId="0" quotePrefix="1" applyFont="1" applyBorder="1" applyAlignment="1">
      <alignment horizontal="left"/>
    </xf>
    <xf numFmtId="37" fontId="2" fillId="0" borderId="0" xfId="0" quotePrefix="1" applyNumberFormat="1" applyFont="1" applyAlignment="1">
      <alignment horizontal="left"/>
    </xf>
    <xf numFmtId="175" fontId="0" fillId="0" borderId="0" xfId="0" applyNumberFormat="1"/>
    <xf numFmtId="175" fontId="0" fillId="0" borderId="0" xfId="0" applyNumberFormat="1" applyBorder="1"/>
    <xf numFmtId="0" fontId="2" fillId="0" borderId="0" xfId="0" quotePrefix="1" applyFont="1" applyFill="1" applyAlignment="1">
      <alignment horizontal="left"/>
    </xf>
    <xf numFmtId="37" fontId="36" fillId="0" borderId="0" xfId="1" applyFont="1" applyFill="1">
      <alignment horizontal="center"/>
    </xf>
    <xf numFmtId="2" fontId="2" fillId="0" borderId="0" xfId="19" applyNumberFormat="1" applyFont="1" applyFill="1" applyBorder="1" applyAlignment="1">
      <alignment horizontal="center"/>
    </xf>
    <xf numFmtId="37" fontId="2" fillId="0" borderId="0" xfId="1" applyFont="1" applyFill="1" applyProtection="1">
      <alignment horizontal="center"/>
    </xf>
    <xf numFmtId="37" fontId="2" fillId="0" borderId="0" xfId="1" quotePrefix="1" applyFont="1" applyFill="1">
      <alignment horizontal="center"/>
    </xf>
    <xf numFmtId="166" fontId="0" fillId="0" borderId="0" xfId="0" applyNumberFormat="1" applyFill="1" applyBorder="1" applyAlignment="1">
      <alignment horizontal="center"/>
    </xf>
    <xf numFmtId="37" fontId="35" fillId="0" borderId="0" xfId="1" applyFont="1" applyFill="1" applyBorder="1">
      <alignment horizontal="center"/>
    </xf>
    <xf numFmtId="0" fontId="0" fillId="0" borderId="11" xfId="0" applyBorder="1" applyAlignment="1">
      <alignment horizontal="center"/>
    </xf>
    <xf numFmtId="166" fontId="0" fillId="0" borderId="12" xfId="0" applyNumberFormat="1" applyFill="1"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37" fontId="35" fillId="0" borderId="8" xfId="1" applyFont="1" applyFill="1" applyBorder="1">
      <alignment horizontal="center"/>
    </xf>
    <xf numFmtId="39" fontId="0" fillId="0" borderId="8" xfId="0" applyNumberFormat="1" applyFill="1" applyBorder="1" applyAlignment="1">
      <alignment horizontal="center"/>
    </xf>
    <xf numFmtId="37" fontId="0" fillId="0" borderId="17" xfId="1" applyFont="1" applyFill="1" applyBorder="1">
      <alignment horizontal="center"/>
    </xf>
    <xf numFmtId="37" fontId="37" fillId="0" borderId="0" xfId="1" applyFont="1" applyFill="1">
      <alignment horizontal="center"/>
    </xf>
    <xf numFmtId="37" fontId="38" fillId="0" borderId="0" xfId="1" applyFont="1" applyFill="1">
      <alignment horizontal="center"/>
    </xf>
    <xf numFmtId="1" fontId="0" fillId="0" borderId="0" xfId="0" applyNumberFormat="1" applyFill="1" applyBorder="1" applyAlignment="1">
      <alignment horizontal="center"/>
    </xf>
    <xf numFmtId="37" fontId="38" fillId="0" borderId="0" xfId="1" applyFont="1" applyFill="1" applyBorder="1">
      <alignment horizontal="center"/>
    </xf>
    <xf numFmtId="0" fontId="5" fillId="11" borderId="21" xfId="0" applyFont="1" applyFill="1" applyBorder="1"/>
    <xf numFmtId="168" fontId="0" fillId="0" borderId="0" xfId="0" applyNumberFormat="1"/>
    <xf numFmtId="0" fontId="33" fillId="0" borderId="0" xfId="0" applyFont="1" applyBorder="1"/>
    <xf numFmtId="0" fontId="33" fillId="0" borderId="0" xfId="0" applyFont="1" applyFill="1" applyBorder="1"/>
    <xf numFmtId="0" fontId="1" fillId="0" borderId="0" xfId="0" applyFont="1" applyFill="1" applyBorder="1"/>
    <xf numFmtId="37" fontId="1" fillId="0" borderId="0" xfId="0" applyNumberFormat="1" applyFont="1" applyBorder="1" applyAlignment="1">
      <alignment horizontal="center"/>
    </xf>
    <xf numFmtId="37" fontId="5" fillId="0" borderId="0" xfId="0" applyNumberFormat="1" applyFont="1" applyBorder="1" applyAlignment="1">
      <alignment horizontal="right"/>
    </xf>
    <xf numFmtId="0" fontId="0" fillId="0" borderId="23" xfId="0" applyBorder="1" applyAlignment="1">
      <alignment horizontal="center"/>
    </xf>
    <xf numFmtId="37" fontId="0" fillId="0" borderId="22" xfId="1" applyFont="1" applyFill="1" applyBorder="1">
      <alignment horizontal="center"/>
    </xf>
    <xf numFmtId="2" fontId="1" fillId="0" borderId="0" xfId="0" applyNumberFormat="1" applyFont="1" applyFill="1" applyAlignment="1">
      <alignment horizontal="left"/>
    </xf>
    <xf numFmtId="0" fontId="1" fillId="0" borderId="0" xfId="0" applyFont="1"/>
    <xf numFmtId="37" fontId="35" fillId="0" borderId="22" xfId="1" applyFont="1" applyFill="1" applyBorder="1">
      <alignment horizontal="center"/>
    </xf>
    <xf numFmtId="39" fontId="0" fillId="0" borderId="22" xfId="0" applyNumberFormat="1" applyFill="1" applyBorder="1" applyAlignment="1">
      <alignment horizontal="center"/>
    </xf>
    <xf numFmtId="37" fontId="0" fillId="0" borderId="24" xfId="1" applyFont="1" applyFill="1" applyBorder="1">
      <alignment horizontal="center"/>
    </xf>
    <xf numFmtId="37" fontId="0" fillId="0" borderId="0" xfId="0" applyNumberFormat="1" applyFill="1"/>
    <xf numFmtId="37" fontId="1" fillId="0" borderId="0" xfId="0" applyNumberFormat="1" applyFont="1" applyFill="1" applyBorder="1" applyAlignment="1">
      <alignment horizontal="center"/>
    </xf>
    <xf numFmtId="0" fontId="0" fillId="12" borderId="0" xfId="0" applyFill="1"/>
    <xf numFmtId="37" fontId="0" fillId="12" borderId="0" xfId="0" applyNumberFormat="1" applyFill="1" applyBorder="1" applyAlignment="1">
      <alignment horizontal="center"/>
    </xf>
    <xf numFmtId="3" fontId="2" fillId="12" borderId="0" xfId="0" applyNumberFormat="1" applyFont="1" applyFill="1"/>
    <xf numFmtId="173" fontId="2" fillId="12" borderId="0" xfId="0" applyNumberFormat="1" applyFont="1" applyFill="1"/>
    <xf numFmtId="0" fontId="0" fillId="12" borderId="0" xfId="0" applyFill="1" applyAlignment="1">
      <alignment horizontal="center"/>
    </xf>
    <xf numFmtId="37" fontId="0" fillId="12" borderId="0" xfId="1" applyFont="1" applyFill="1">
      <alignment horizontal="center"/>
    </xf>
    <xf numFmtId="0" fontId="0" fillId="12" borderId="0" xfId="0" applyFill="1" applyBorder="1"/>
    <xf numFmtId="168" fontId="0" fillId="12" borderId="0" xfId="0" applyNumberFormat="1" applyFill="1" applyAlignment="1">
      <alignment horizontal="center"/>
    </xf>
    <xf numFmtId="1" fontId="0" fillId="12" borderId="0" xfId="0" applyNumberFormat="1" applyFill="1" applyBorder="1" applyAlignment="1">
      <alignment horizontal="center"/>
    </xf>
    <xf numFmtId="37" fontId="38" fillId="12" borderId="0" xfId="1" applyFont="1" applyFill="1">
      <alignment horizontal="center"/>
    </xf>
    <xf numFmtId="0" fontId="2" fillId="12" borderId="0" xfId="0" applyFont="1" applyFill="1" applyBorder="1"/>
    <xf numFmtId="2" fontId="0" fillId="12" borderId="0" xfId="0" applyNumberFormat="1" applyFill="1" applyAlignment="1">
      <alignment horizontal="center"/>
    </xf>
    <xf numFmtId="37" fontId="34" fillId="12" borderId="0" xfId="1" applyFont="1" applyFill="1">
      <alignment horizontal="center"/>
    </xf>
    <xf numFmtId="37" fontId="0" fillId="12" borderId="0" xfId="0" applyNumberFormat="1" applyFill="1"/>
    <xf numFmtId="37" fontId="34" fillId="12" borderId="0" xfId="1" quotePrefix="1" applyFont="1" applyFill="1">
      <alignment horizontal="center"/>
    </xf>
    <xf numFmtId="37" fontId="13" fillId="12" borderId="0" xfId="1" applyFont="1" applyFill="1" applyProtection="1">
      <alignment horizontal="center"/>
    </xf>
    <xf numFmtId="37" fontId="1" fillId="12" borderId="0" xfId="1" applyFill="1">
      <alignment horizontal="center"/>
    </xf>
    <xf numFmtId="167" fontId="0" fillId="12" borderId="0" xfId="0" applyNumberFormat="1" applyFill="1" applyAlignment="1">
      <alignment horizontal="center"/>
    </xf>
    <xf numFmtId="2" fontId="0" fillId="12" borderId="0" xfId="0" applyNumberFormat="1" applyFill="1" applyBorder="1" applyAlignment="1">
      <alignment horizontal="center"/>
    </xf>
    <xf numFmtId="4" fontId="0" fillId="12" borderId="0" xfId="0" applyNumberFormat="1" applyFill="1" applyBorder="1" applyAlignment="1">
      <alignment horizontal="center"/>
    </xf>
    <xf numFmtId="37" fontId="0" fillId="12" borderId="0" xfId="0" applyNumberFormat="1" applyFill="1" applyAlignment="1">
      <alignment horizontal="center"/>
    </xf>
    <xf numFmtId="0" fontId="5" fillId="12" borderId="0" xfId="0" applyFont="1" applyFill="1" applyBorder="1"/>
    <xf numFmtId="37" fontId="1" fillId="12" borderId="0" xfId="0" applyNumberFormat="1" applyFont="1" applyFill="1" applyBorder="1" applyAlignment="1">
      <alignment horizontal="center"/>
    </xf>
    <xf numFmtId="39" fontId="0" fillId="12" borderId="0" xfId="1" applyNumberFormat="1" applyFont="1" applyFill="1" applyBorder="1">
      <alignment horizontal="center"/>
    </xf>
    <xf numFmtId="0" fontId="2" fillId="12" borderId="0" xfId="0" applyFont="1" applyFill="1" applyBorder="1" applyAlignment="1">
      <alignment horizontal="center"/>
    </xf>
    <xf numFmtId="37" fontId="38" fillId="0" borderId="0" xfId="1" applyFont="1" applyFill="1" applyBorder="1" applyAlignment="1">
      <alignment horizontal="center"/>
    </xf>
    <xf numFmtId="0" fontId="1" fillId="12" borderId="0" xfId="0" applyFont="1" applyFill="1"/>
  </cellXfs>
  <cellStyles count="151">
    <cellStyle name="Comma" xfId="1" builtinId="3"/>
    <cellStyle name="Comma [0] 2" xfId="2"/>
    <cellStyle name="Comma 10" xfId="3"/>
    <cellStyle name="Comma 11" xfId="4"/>
    <cellStyle name="Comma 12" xfId="5"/>
    <cellStyle name="Comma 2" xfId="6"/>
    <cellStyle name="Comma 2 2" xfId="7"/>
    <cellStyle name="Comma 2 3" xfId="8"/>
    <cellStyle name="Comma 2 4" xfId="9"/>
    <cellStyle name="Comma 3" xfId="10"/>
    <cellStyle name="Comma 3 2" xfId="11"/>
    <cellStyle name="Comma 4" xfId="12"/>
    <cellStyle name="Comma 5" xfId="13"/>
    <cellStyle name="Comma 6" xfId="14"/>
    <cellStyle name="Comma 7" xfId="15"/>
    <cellStyle name="Comma 8" xfId="16"/>
    <cellStyle name="Comma 9" xfId="17"/>
    <cellStyle name="Hyperlink" xfId="18" builtinId="8"/>
    <cellStyle name="Normal" xfId="0" builtinId="0"/>
    <cellStyle name="Normal 10" xfId="19"/>
    <cellStyle name="Normal 10 2" xfId="20"/>
    <cellStyle name="Normal 2" xfId="21"/>
    <cellStyle name="Normal 2 10" xfId="22"/>
    <cellStyle name="Normal 2 10 2" xfId="23"/>
    <cellStyle name="Normal 2 11" xfId="24"/>
    <cellStyle name="Normal 2 12" xfId="25"/>
    <cellStyle name="Normal 2 13" xfId="26"/>
    <cellStyle name="Normal 2 2" xfId="27"/>
    <cellStyle name="Normal 2 2 10" xfId="28"/>
    <cellStyle name="Normal 2 2 10 2" xfId="29"/>
    <cellStyle name="Normal 2 2 11" xfId="30"/>
    <cellStyle name="Normal 2 2 2" xfId="31"/>
    <cellStyle name="Normal 2 2 2 2" xfId="32"/>
    <cellStyle name="Normal 2 2 3" xfId="33"/>
    <cellStyle name="Normal 2 2 3 2" xfId="34"/>
    <cellStyle name="Normal 2 2 4" xfId="35"/>
    <cellStyle name="Normal 2 2 4 2" xfId="36"/>
    <cellStyle name="Normal 2 2 5" xfId="37"/>
    <cellStyle name="Normal 2 2 5 2" xfId="38"/>
    <cellStyle name="Normal 2 2 6" xfId="39"/>
    <cellStyle name="Normal 2 2 6 2" xfId="40"/>
    <cellStyle name="Normal 2 2 7" xfId="41"/>
    <cellStyle name="Normal 2 2 7 2" xfId="42"/>
    <cellStyle name="Normal 2 2 8" xfId="43"/>
    <cellStyle name="Normal 2 2 8 2" xfId="44"/>
    <cellStyle name="Normal 2 2 9" xfId="45"/>
    <cellStyle name="Normal 2 2 9 2" xfId="46"/>
    <cellStyle name="Normal 2 3" xfId="47"/>
    <cellStyle name="Normal 2 3 2" xfId="48"/>
    <cellStyle name="Normal 2 4" xfId="49"/>
    <cellStyle name="Normal 2 4 2" xfId="50"/>
    <cellStyle name="Normal 2 5" xfId="51"/>
    <cellStyle name="Normal 2 5 2" xfId="52"/>
    <cellStyle name="Normal 2 6" xfId="53"/>
    <cellStyle name="Normal 2 6 2" xfId="54"/>
    <cellStyle name="Normal 2 7" xfId="55"/>
    <cellStyle name="Normal 2 7 2" xfId="56"/>
    <cellStyle name="Normal 2 8" xfId="57"/>
    <cellStyle name="Normal 2 8 2" xfId="58"/>
    <cellStyle name="Normal 2 9" xfId="59"/>
    <cellStyle name="Normal 2 9 2" xfId="60"/>
    <cellStyle name="Normal 3" xfId="61"/>
    <cellStyle name="Normal 3 10" xfId="62"/>
    <cellStyle name="Normal 3 10 2" xfId="63"/>
    <cellStyle name="Normal 3 11" xfId="64"/>
    <cellStyle name="Normal 3 2" xfId="65"/>
    <cellStyle name="Normal 3 2 2" xfId="66"/>
    <cellStyle name="Normal 3 3" xfId="67"/>
    <cellStyle name="Normal 3 3 2" xfId="68"/>
    <cellStyle name="Normal 3 4" xfId="69"/>
    <cellStyle name="Normal 3 4 2" xfId="70"/>
    <cellStyle name="Normal 3 5" xfId="71"/>
    <cellStyle name="Normal 3 5 2" xfId="72"/>
    <cellStyle name="Normal 3 6" xfId="73"/>
    <cellStyle name="Normal 3 6 2" xfId="74"/>
    <cellStyle name="Normal 3 7" xfId="75"/>
    <cellStyle name="Normal 3 7 2" xfId="76"/>
    <cellStyle name="Normal 3 8" xfId="77"/>
    <cellStyle name="Normal 3 8 2" xfId="78"/>
    <cellStyle name="Normal 3 9" xfId="79"/>
    <cellStyle name="Normal 3 9 2" xfId="80"/>
    <cellStyle name="Normal 4" xfId="81"/>
    <cellStyle name="Normal 4 10" xfId="82"/>
    <cellStyle name="Normal 4 10 2" xfId="83"/>
    <cellStyle name="Normal 4 11" xfId="84"/>
    <cellStyle name="Normal 4 2" xfId="85"/>
    <cellStyle name="Normal 4 2 2" xfId="86"/>
    <cellStyle name="Normal 4 3" xfId="87"/>
    <cellStyle name="Normal 4 3 2" xfId="88"/>
    <cellStyle name="Normal 4 4" xfId="89"/>
    <cellStyle name="Normal 4 4 2" xfId="90"/>
    <cellStyle name="Normal 4 5" xfId="91"/>
    <cellStyle name="Normal 4 5 2" xfId="92"/>
    <cellStyle name="Normal 4 6" xfId="93"/>
    <cellStyle name="Normal 4 6 2" xfId="94"/>
    <cellStyle name="Normal 4 7" xfId="95"/>
    <cellStyle name="Normal 4 7 2" xfId="96"/>
    <cellStyle name="Normal 4 8" xfId="97"/>
    <cellStyle name="Normal 4 8 2" xfId="98"/>
    <cellStyle name="Normal 4 9" xfId="99"/>
    <cellStyle name="Normal 4 9 2" xfId="100"/>
    <cellStyle name="Normal 5" xfId="101"/>
    <cellStyle name="Normal 5 10" xfId="102"/>
    <cellStyle name="Normal 5 10 2" xfId="103"/>
    <cellStyle name="Normal 5 11" xfId="104"/>
    <cellStyle name="Normal 5 2" xfId="105"/>
    <cellStyle name="Normal 5 2 2" xfId="106"/>
    <cellStyle name="Normal 5 3" xfId="107"/>
    <cellStyle name="Normal 5 3 2" xfId="108"/>
    <cellStyle name="Normal 5 4" xfId="109"/>
    <cellStyle name="Normal 5 4 2" xfId="110"/>
    <cellStyle name="Normal 5 5" xfId="111"/>
    <cellStyle name="Normal 5 5 2" xfId="112"/>
    <cellStyle name="Normal 5 6" xfId="113"/>
    <cellStyle name="Normal 5 6 2" xfId="114"/>
    <cellStyle name="Normal 5 7" xfId="115"/>
    <cellStyle name="Normal 5 7 2" xfId="116"/>
    <cellStyle name="Normal 5 8" xfId="117"/>
    <cellStyle name="Normal 5 8 2" xfId="118"/>
    <cellStyle name="Normal 5 9" xfId="119"/>
    <cellStyle name="Normal 5 9 2" xfId="120"/>
    <cellStyle name="Normal 6" xfId="121"/>
    <cellStyle name="Normal 6 10" xfId="122"/>
    <cellStyle name="Normal 6 10 2" xfId="123"/>
    <cellStyle name="Normal 6 11" xfId="124"/>
    <cellStyle name="Normal 6 2" xfId="125"/>
    <cellStyle name="Normal 6 2 2" xfId="126"/>
    <cellStyle name="Normal 6 3" xfId="127"/>
    <cellStyle name="Normal 6 3 2" xfId="128"/>
    <cellStyle name="Normal 6 4" xfId="129"/>
    <cellStyle name="Normal 6 4 2" xfId="130"/>
    <cellStyle name="Normal 6 5" xfId="131"/>
    <cellStyle name="Normal 6 5 2" xfId="132"/>
    <cellStyle name="Normal 6 6" xfId="133"/>
    <cellStyle name="Normal 6 6 2" xfId="134"/>
    <cellStyle name="Normal 6 7" xfId="135"/>
    <cellStyle name="Normal 6 7 2" xfId="136"/>
    <cellStyle name="Normal 6 8" xfId="137"/>
    <cellStyle name="Normal 6 8 2" xfId="138"/>
    <cellStyle name="Normal 6 9" xfId="139"/>
    <cellStyle name="Normal 6 9 2" xfId="140"/>
    <cellStyle name="Normal 7" xfId="141"/>
    <cellStyle name="Normal 8" xfId="142"/>
    <cellStyle name="Normal 8 2" xfId="143"/>
    <cellStyle name="Normal 9" xfId="144"/>
    <cellStyle name="Percent" xfId="145" builtinId="5"/>
    <cellStyle name="Percent 2" xfId="146"/>
    <cellStyle name="Percent 2 2" xfId="147"/>
    <cellStyle name="Percent 2 3" xfId="148"/>
    <cellStyle name="Percent 2 4" xfId="149"/>
    <cellStyle name="Percent 3" xfId="150"/>
  </cellStyles>
  <dxfs count="0"/>
  <tableStyles count="2" defaultTableStyle="TableStyleMedium9" defaultPivotStyle="PivotStyleLight16">
    <tableStyle name="PivotTable Style 1" table="0" count="0"/>
    <tableStyle name="PivotTable Style 2" table="0"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61927644357087"/>
          <c:y val="5.2434552819509338E-2"/>
          <c:w val="0.82698540889355299"/>
          <c:h val="0.72846575167104044"/>
        </c:manualLayout>
      </c:layout>
      <c:lineChart>
        <c:grouping val="standard"/>
        <c:varyColors val="0"/>
        <c:ser>
          <c:idx val="0"/>
          <c:order val="0"/>
          <c:tx>
            <c:v>Age 6 / Age 5</c:v>
          </c:tx>
          <c:spPr>
            <a:ln w="25400">
              <a:solidFill>
                <a:srgbClr val="000080"/>
              </a:solidFill>
              <a:prstDash val="lgDash"/>
            </a:ln>
          </c:spPr>
          <c:marker>
            <c:symbol val="none"/>
          </c:marker>
          <c:cat>
            <c:numRef>
              <c:f>runsiblings!$B$17:$B$37</c:f>
              <c:numCache>
                <c:formatCode>General</c:formatCode>
                <c:ptCount val="21"/>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numCache>
            </c:numRef>
          </c:cat>
          <c:val>
            <c:numRef>
              <c:f>runsiblings!$Q$17:$Q$37</c:f>
              <c:numCache>
                <c:formatCode>0.00</c:formatCode>
                <c:ptCount val="21"/>
                <c:pt idx="6">
                  <c:v>0.4002749075280328</c:v>
                </c:pt>
                <c:pt idx="7">
                  <c:v>0.43757855082350694</c:v>
                </c:pt>
                <c:pt idx="8">
                  <c:v>1.2130925170891891</c:v>
                </c:pt>
                <c:pt idx="9">
                  <c:v>0.84957795945959602</c:v>
                </c:pt>
                <c:pt idx="10">
                  <c:v>0.71754411346333069</c:v>
                </c:pt>
                <c:pt idx="11">
                  <c:v>0.95706542577555809</c:v>
                </c:pt>
                <c:pt idx="12">
                  <c:v>0.75118499636902292</c:v>
                </c:pt>
                <c:pt idx="13">
                  <c:v>0.54796904622600062</c:v>
                </c:pt>
                <c:pt idx="14">
                  <c:v>1.2908006669251111</c:v>
                </c:pt>
                <c:pt idx="15">
                  <c:v>1.1771618959588723</c:v>
                </c:pt>
                <c:pt idx="16">
                  <c:v>2.2768881930507483</c:v>
                </c:pt>
                <c:pt idx="17">
                  <c:v>0.71199974307601144</c:v>
                </c:pt>
                <c:pt idx="18">
                  <c:v>0.95532313413358039</c:v>
                </c:pt>
                <c:pt idx="19">
                  <c:v>0.82296103968216949</c:v>
                </c:pt>
                <c:pt idx="20">
                  <c:v>0.41520540804819533</c:v>
                </c:pt>
              </c:numCache>
            </c:numRef>
          </c:val>
          <c:smooth val="0"/>
        </c:ser>
        <c:ser>
          <c:idx val="1"/>
          <c:order val="1"/>
          <c:tx>
            <c:v>Age 5 / Age 4</c:v>
          </c:tx>
          <c:spPr>
            <a:ln w="25400">
              <a:solidFill>
                <a:srgbClr val="000000"/>
              </a:solidFill>
              <a:prstDash val="solid"/>
            </a:ln>
          </c:spPr>
          <c:marker>
            <c:symbol val="none"/>
          </c:marker>
          <c:val>
            <c:numRef>
              <c:f>runsiblings!$R$17:$R$37</c:f>
              <c:numCache>
                <c:formatCode>0.00</c:formatCode>
                <c:ptCount val="21"/>
                <c:pt idx="5">
                  <c:v>5.2798361435966195</c:v>
                </c:pt>
                <c:pt idx="6">
                  <c:v>4.4865978645999283</c:v>
                </c:pt>
                <c:pt idx="7">
                  <c:v>3.8546692340725284</c:v>
                </c:pt>
                <c:pt idx="8">
                  <c:v>7.2362379217064428</c:v>
                </c:pt>
                <c:pt idx="9">
                  <c:v>4.0819065262272893</c:v>
                </c:pt>
                <c:pt idx="10">
                  <c:v>2.0457834626701397</c:v>
                </c:pt>
                <c:pt idx="11">
                  <c:v>2.745892004126099</c:v>
                </c:pt>
                <c:pt idx="12">
                  <c:v>3.2779760774182138</c:v>
                </c:pt>
                <c:pt idx="13">
                  <c:v>1.2693642053183118</c:v>
                </c:pt>
                <c:pt idx="14">
                  <c:v>1.8459379226946011</c:v>
                </c:pt>
                <c:pt idx="15">
                  <c:v>1.3674552104923889</c:v>
                </c:pt>
                <c:pt idx="16">
                  <c:v>2.6577191108058789</c:v>
                </c:pt>
                <c:pt idx="17">
                  <c:v>1.261528158526056</c:v>
                </c:pt>
                <c:pt idx="18">
                  <c:v>1.8246547703008082</c:v>
                </c:pt>
                <c:pt idx="19">
                  <c:v>1.7730706565830388</c:v>
                </c:pt>
                <c:pt idx="20">
                  <c:v>0.97293609705452733</c:v>
                </c:pt>
              </c:numCache>
            </c:numRef>
          </c:val>
          <c:smooth val="0"/>
        </c:ser>
        <c:dLbls>
          <c:showLegendKey val="0"/>
          <c:showVal val="0"/>
          <c:showCatName val="0"/>
          <c:showSerName val="0"/>
          <c:showPercent val="0"/>
          <c:showBubbleSize val="0"/>
        </c:dLbls>
        <c:marker val="1"/>
        <c:smooth val="0"/>
        <c:axId val="152674688"/>
        <c:axId val="152676608"/>
      </c:lineChart>
      <c:catAx>
        <c:axId val="152674688"/>
        <c:scaling>
          <c:orientation val="minMax"/>
        </c:scaling>
        <c:delete val="0"/>
        <c:axPos val="b"/>
        <c:title>
          <c:tx>
            <c:rich>
              <a:bodyPr/>
              <a:lstStyle/>
              <a:p>
                <a:pPr>
                  <a:defRPr sz="1200" b="1" i="0" u="none" strike="noStrike" baseline="0">
                    <a:solidFill>
                      <a:srgbClr val="000000"/>
                    </a:solidFill>
                    <a:latin typeface="Arial"/>
                    <a:ea typeface="Arial"/>
                    <a:cs typeface="Arial"/>
                  </a:defRPr>
                </a:pPr>
                <a:r>
                  <a:t>Brood Year</a:t>
                </a:r>
              </a:p>
            </c:rich>
          </c:tx>
          <c:layout>
            <c:manualLayout>
              <c:xMode val="edge"/>
              <c:yMode val="edge"/>
              <c:x val="0.487302420530767"/>
              <c:y val="0.885769363099275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152676608"/>
        <c:crosses val="autoZero"/>
        <c:auto val="1"/>
        <c:lblAlgn val="ctr"/>
        <c:lblOffset val="100"/>
        <c:tickLblSkip val="2"/>
        <c:tickMarkSkip val="1"/>
        <c:noMultiLvlLbl val="0"/>
      </c:catAx>
      <c:valAx>
        <c:axId val="152676608"/>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t>Ratio of ages</a:t>
                </a:r>
              </a:p>
            </c:rich>
          </c:tx>
          <c:layout>
            <c:manualLayout>
              <c:xMode val="edge"/>
              <c:yMode val="edge"/>
              <c:x val="2.6984126984126985E-2"/>
              <c:y val="0.3164799905629773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52674688"/>
        <c:crosses val="autoZero"/>
        <c:crossBetween val="between"/>
      </c:valAx>
      <c:spPr>
        <a:noFill/>
        <a:ln w="12700">
          <a:solidFill>
            <a:srgbClr val="808080"/>
          </a:solidFill>
          <a:prstDash val="solid"/>
        </a:ln>
      </c:spPr>
    </c:plotArea>
    <c:legend>
      <c:legendPos val="r"/>
      <c:layout>
        <c:manualLayout>
          <c:xMode val="edge"/>
          <c:yMode val="edge"/>
          <c:wMode val="edge"/>
          <c:hMode val="edge"/>
          <c:x val="0.38412765071032784"/>
          <c:y val="0.18352099246021211"/>
          <c:w val="0.58888988876390447"/>
          <c:h val="0.26404553363413841"/>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3677696982172"/>
          <c:y val="6.1757791342450248E-2"/>
          <c:w val="0.7290021489034556"/>
          <c:h val="0.65320740842976222"/>
        </c:manualLayout>
      </c:layout>
      <c:lineChart>
        <c:grouping val="standard"/>
        <c:varyColors val="0"/>
        <c:ser>
          <c:idx val="0"/>
          <c:order val="0"/>
          <c:tx>
            <c:v>Age 5</c:v>
          </c:tx>
          <c:spPr>
            <a:ln w="12700">
              <a:solidFill>
                <a:srgbClr val="000080"/>
              </a:solidFill>
              <a:prstDash val="solid"/>
            </a:ln>
          </c:spPr>
          <c:marker>
            <c:symbol val="none"/>
          </c:marker>
          <c:cat>
            <c:numRef>
              <c:f>runsiblings!$U$22:$U$43</c:f>
              <c:numCache>
                <c:formatCode>General</c:formatCode>
                <c:ptCount val="2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numCache>
            </c:numRef>
          </c:cat>
          <c:val>
            <c:numRef>
              <c:f>runsiblings!$AJ$22:$AJ$43</c:f>
              <c:numCache>
                <c:formatCode>0.00</c:formatCode>
                <c:ptCount val="22"/>
                <c:pt idx="0">
                  <c:v>0.48607332859550612</c:v>
                </c:pt>
                <c:pt idx="1">
                  <c:v>0.39521020231178888</c:v>
                </c:pt>
                <c:pt idx="2">
                  <c:v>0.29606187974449305</c:v>
                </c:pt>
                <c:pt idx="3">
                  <c:v>0.62501943078733557</c:v>
                </c:pt>
                <c:pt idx="4">
                  <c:v>0.33524969339568372</c:v>
                </c:pt>
                <c:pt idx="5">
                  <c:v>-0.32636159415336141</c:v>
                </c:pt>
                <c:pt idx="6">
                  <c:v>1.18152459155706E-2</c:v>
                </c:pt>
                <c:pt idx="7">
                  <c:v>0.17221829850054732</c:v>
                </c:pt>
                <c:pt idx="8">
                  <c:v>-1.1376438720038691</c:v>
                </c:pt>
                <c:pt idx="9">
                  <c:v>-0.46995659034882581</c:v>
                </c:pt>
                <c:pt idx="10">
                  <c:v>-0.98430529498856489</c:v>
                </c:pt>
                <c:pt idx="11">
                  <c:v>-2.0968921737170777E-2</c:v>
                </c:pt>
                <c:pt idx="12">
                  <c:v>-1.1509219564389972</c:v>
                </c:pt>
                <c:pt idx="13">
                  <c:v>-0.4871024694673709</c:v>
                </c:pt>
                <c:pt idx="14">
                  <c:v>-0.53036688344329974</c:v>
                </c:pt>
                <c:pt idx="15">
                  <c:v>-1.788927888537039</c:v>
                </c:pt>
                <c:pt idx="16">
                  <c:v>-0.51531537653385973</c:v>
                </c:pt>
                <c:pt idx="17">
                  <c:v>-0.97703624852483617</c:v>
                </c:pt>
                <c:pt idx="18">
                  <c:v>0.18716014410865098</c:v>
                </c:pt>
                <c:pt idx="19">
                  <c:v>-5.5187187083186963E-2</c:v>
                </c:pt>
                <c:pt idx="20">
                  <c:v>-1.0186008840473022</c:v>
                </c:pt>
                <c:pt idx="21">
                  <c:v>0.15743828920449285</c:v>
                </c:pt>
              </c:numCache>
            </c:numRef>
          </c:val>
          <c:smooth val="0"/>
        </c:ser>
        <c:ser>
          <c:idx val="1"/>
          <c:order val="1"/>
          <c:tx>
            <c:v>Age 6</c:v>
          </c:tx>
          <c:spPr>
            <a:ln w="12700">
              <a:solidFill>
                <a:srgbClr val="FF00FF"/>
              </a:solidFill>
              <a:prstDash val="solid"/>
            </a:ln>
          </c:spPr>
          <c:marker>
            <c:symbol val="none"/>
          </c:marker>
          <c:val>
            <c:numRef>
              <c:f>runsiblings!$AK$22:$AK$43</c:f>
              <c:numCache>
                <c:formatCode>0.00</c:formatCode>
                <c:ptCount val="22"/>
                <c:pt idx="0">
                  <c:v>1</c:v>
                </c:pt>
                <c:pt idx="1">
                  <c:v>-1.2525564877619759</c:v>
                </c:pt>
                <c:pt idx="2">
                  <c:v>-1.0605256773754972</c:v>
                </c:pt>
                <c:pt idx="3">
                  <c:v>0.25674107527752188</c:v>
                </c:pt>
                <c:pt idx="4">
                  <c:v>-6.1282051636692737E-2</c:v>
                </c:pt>
                <c:pt idx="5">
                  <c:v>-0.25656642277878916</c:v>
                </c:pt>
                <c:pt idx="6">
                  <c:v>5.7909923859228808E-2</c:v>
                </c:pt>
                <c:pt idx="7">
                  <c:v>-0.20029266319059907</c:v>
                </c:pt>
                <c:pt idx="8">
                  <c:v>-0.64542476632654178</c:v>
                </c:pt>
                <c:pt idx="9">
                  <c:v>0.30148638519962434</c:v>
                </c:pt>
                <c:pt idx="10">
                  <c:v>0.23405451456092957</c:v>
                </c:pt>
                <c:pt idx="11">
                  <c:v>0.60400258449559319</c:v>
                </c:pt>
                <c:pt idx="12">
                  <c:v>-0.26635135561325318</c:v>
                </c:pt>
                <c:pt idx="13">
                  <c:v>5.6191766298709957E-2</c:v>
                </c:pt>
                <c:pt idx="14">
                  <c:v>-9.5606956301129919E-2</c:v>
                </c:pt>
                <c:pt idx="15">
                  <c:v>-1.171556107804685</c:v>
                </c:pt>
                <c:pt idx="16">
                  <c:v>-0.25764133280759693</c:v>
                </c:pt>
                <c:pt idx="17">
                  <c:v>-0.3874676918606027</c:v>
                </c:pt>
                <c:pt idx="18">
                  <c:v>0.17818762248148529</c:v>
                </c:pt>
                <c:pt idx="19">
                  <c:v>-1.0485903702141617</c:v>
                </c:pt>
                <c:pt idx="20">
                  <c:v>-0.68288326397504806</c:v>
                </c:pt>
                <c:pt idx="21">
                  <c:v>-1.9821978506180407</c:v>
                </c:pt>
              </c:numCache>
            </c:numRef>
          </c:val>
          <c:smooth val="0"/>
        </c:ser>
        <c:dLbls>
          <c:showLegendKey val="0"/>
          <c:showVal val="0"/>
          <c:showCatName val="0"/>
          <c:showSerName val="0"/>
          <c:showPercent val="0"/>
          <c:showBubbleSize val="0"/>
        </c:dLbls>
        <c:marker val="1"/>
        <c:smooth val="0"/>
        <c:axId val="153956352"/>
        <c:axId val="153958272"/>
      </c:lineChart>
      <c:catAx>
        <c:axId val="153956352"/>
        <c:scaling>
          <c:orientation val="minMax"/>
        </c:scaling>
        <c:delete val="0"/>
        <c:axPos val="b"/>
        <c:title>
          <c:tx>
            <c:rich>
              <a:bodyPr/>
              <a:lstStyle/>
              <a:p>
                <a:pPr>
                  <a:defRPr sz="975" b="1" i="0" u="none" strike="noStrike" baseline="0">
                    <a:solidFill>
                      <a:srgbClr val="000000"/>
                    </a:solidFill>
                    <a:latin typeface="Arial"/>
                    <a:ea typeface="Arial"/>
                    <a:cs typeface="Arial"/>
                  </a:defRPr>
                </a:pPr>
                <a:r>
                  <a:t>Return Year</a:t>
                </a:r>
              </a:p>
            </c:rich>
          </c:tx>
          <c:layout>
            <c:manualLayout>
              <c:xMode val="edge"/>
              <c:yMode val="edge"/>
              <c:x val="0.43106213941957727"/>
              <c:y val="0.8242290260035785"/>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2700000" vert="horz"/>
          <a:lstStyle/>
          <a:p>
            <a:pPr>
              <a:defRPr sz="975" b="0" i="0" u="none" strike="noStrike" baseline="0">
                <a:solidFill>
                  <a:srgbClr val="000000"/>
                </a:solidFill>
                <a:latin typeface="Arial"/>
                <a:ea typeface="Arial"/>
                <a:cs typeface="Arial"/>
              </a:defRPr>
            </a:pPr>
            <a:endParaRPr lang="en-US"/>
          </a:p>
        </c:txPr>
        <c:crossAx val="153958272"/>
        <c:crosses val="autoZero"/>
        <c:auto val="1"/>
        <c:lblAlgn val="ctr"/>
        <c:lblOffset val="100"/>
        <c:tickLblSkip val="2"/>
        <c:tickMarkSkip val="1"/>
        <c:noMultiLvlLbl val="0"/>
      </c:catAx>
      <c:valAx>
        <c:axId val="153958272"/>
        <c:scaling>
          <c:orientation val="minMax"/>
        </c:scaling>
        <c:delete val="0"/>
        <c:axPos val="l"/>
        <c:majorGridlines>
          <c:spPr>
            <a:ln w="3175">
              <a:solidFill>
                <a:srgbClr val="000000"/>
              </a:solidFill>
              <a:prstDash val="sysDash"/>
            </a:ln>
          </c:spPr>
        </c:majorGridlines>
        <c:title>
          <c:tx>
            <c:rich>
              <a:bodyPr/>
              <a:lstStyle/>
              <a:p>
                <a:pPr>
                  <a:defRPr sz="975" b="1" i="0" u="none" strike="noStrike" baseline="0">
                    <a:solidFill>
                      <a:srgbClr val="000000"/>
                    </a:solidFill>
                    <a:latin typeface="Arial"/>
                    <a:ea typeface="Arial"/>
                    <a:cs typeface="Arial"/>
                  </a:defRPr>
                </a:pPr>
                <a:r>
                  <a:t>Observed / Predicted</a:t>
                </a:r>
              </a:p>
            </c:rich>
          </c:tx>
          <c:layout>
            <c:manualLayout>
              <c:xMode val="edge"/>
              <c:yMode val="edge"/>
              <c:x val="2.694136291600634E-2"/>
              <c:y val="0.2232781591137212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53956352"/>
        <c:crosses val="autoZero"/>
        <c:crossBetween val="between"/>
      </c:valAx>
      <c:spPr>
        <a:noFill/>
        <a:ln w="12700">
          <a:solidFill>
            <a:srgbClr val="808080"/>
          </a:solidFill>
          <a:prstDash val="solid"/>
        </a:ln>
      </c:spPr>
    </c:plotArea>
    <c:legend>
      <c:legendPos val="r"/>
      <c:layout>
        <c:manualLayout>
          <c:xMode val="edge"/>
          <c:yMode val="edge"/>
          <c:wMode val="edge"/>
          <c:hMode val="edge"/>
          <c:x val="0.87638735332409912"/>
          <c:y val="0.36104562939133794"/>
          <c:w val="0.98732254347762782"/>
          <c:h val="0.46318339661224056"/>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44205060189249"/>
          <c:y val="7.763986928600132E-2"/>
          <c:w val="0.76744273192534063"/>
          <c:h val="0.72670917651697231"/>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xVal>
            <c:numRef>
              <c:f>runsiblings!$AJ$22:$AJ$43</c:f>
              <c:numCache>
                <c:formatCode>0.00</c:formatCode>
                <c:ptCount val="22"/>
                <c:pt idx="0">
                  <c:v>0.48607332859550612</c:v>
                </c:pt>
                <c:pt idx="1">
                  <c:v>0.39521020231178888</c:v>
                </c:pt>
                <c:pt idx="2">
                  <c:v>0.29606187974449305</c:v>
                </c:pt>
                <c:pt idx="3">
                  <c:v>0.62501943078733557</c:v>
                </c:pt>
                <c:pt idx="4">
                  <c:v>0.33524969339568372</c:v>
                </c:pt>
                <c:pt idx="5">
                  <c:v>-0.32636159415336141</c:v>
                </c:pt>
                <c:pt idx="6">
                  <c:v>1.18152459155706E-2</c:v>
                </c:pt>
                <c:pt idx="7">
                  <c:v>0.17221829850054732</c:v>
                </c:pt>
                <c:pt idx="8">
                  <c:v>-1.1376438720038691</c:v>
                </c:pt>
                <c:pt idx="9">
                  <c:v>-0.46995659034882581</c:v>
                </c:pt>
                <c:pt idx="10">
                  <c:v>-0.98430529498856489</c:v>
                </c:pt>
                <c:pt idx="11">
                  <c:v>-2.0968921737170777E-2</c:v>
                </c:pt>
                <c:pt idx="12">
                  <c:v>-1.1509219564389972</c:v>
                </c:pt>
                <c:pt idx="13">
                  <c:v>-0.4871024694673709</c:v>
                </c:pt>
                <c:pt idx="14">
                  <c:v>-0.53036688344329974</c:v>
                </c:pt>
                <c:pt idx="15">
                  <c:v>-1.788927888537039</c:v>
                </c:pt>
                <c:pt idx="16">
                  <c:v>-0.51531537653385973</c:v>
                </c:pt>
                <c:pt idx="17">
                  <c:v>-0.97703624852483617</c:v>
                </c:pt>
                <c:pt idx="18">
                  <c:v>0.18716014410865098</c:v>
                </c:pt>
                <c:pt idx="19">
                  <c:v>-5.5187187083186963E-2</c:v>
                </c:pt>
                <c:pt idx="20">
                  <c:v>-1.0186008840473022</c:v>
                </c:pt>
                <c:pt idx="21">
                  <c:v>0.15743828920449285</c:v>
                </c:pt>
              </c:numCache>
            </c:numRef>
          </c:xVal>
          <c:yVal>
            <c:numRef>
              <c:f>runsiblings!$AK$22:$AK$43</c:f>
              <c:numCache>
                <c:formatCode>0.00</c:formatCode>
                <c:ptCount val="22"/>
                <c:pt idx="0">
                  <c:v>1</c:v>
                </c:pt>
                <c:pt idx="1">
                  <c:v>-1.2525564877619759</c:v>
                </c:pt>
                <c:pt idx="2">
                  <c:v>-1.0605256773754972</c:v>
                </c:pt>
                <c:pt idx="3">
                  <c:v>0.25674107527752188</c:v>
                </c:pt>
                <c:pt idx="4">
                  <c:v>-6.1282051636692737E-2</c:v>
                </c:pt>
                <c:pt idx="5">
                  <c:v>-0.25656642277878916</c:v>
                </c:pt>
                <c:pt idx="6">
                  <c:v>5.7909923859228808E-2</c:v>
                </c:pt>
                <c:pt idx="7">
                  <c:v>-0.20029266319059907</c:v>
                </c:pt>
                <c:pt idx="8">
                  <c:v>-0.64542476632654178</c:v>
                </c:pt>
                <c:pt idx="9">
                  <c:v>0.30148638519962434</c:v>
                </c:pt>
                <c:pt idx="10">
                  <c:v>0.23405451456092957</c:v>
                </c:pt>
                <c:pt idx="11">
                  <c:v>0.60400258449559319</c:v>
                </c:pt>
                <c:pt idx="12">
                  <c:v>-0.26635135561325318</c:v>
                </c:pt>
                <c:pt idx="13">
                  <c:v>5.6191766298709957E-2</c:v>
                </c:pt>
                <c:pt idx="14">
                  <c:v>-9.5606956301129919E-2</c:v>
                </c:pt>
                <c:pt idx="15">
                  <c:v>-1.171556107804685</c:v>
                </c:pt>
                <c:pt idx="16">
                  <c:v>-0.25764133280759693</c:v>
                </c:pt>
                <c:pt idx="17">
                  <c:v>-0.3874676918606027</c:v>
                </c:pt>
                <c:pt idx="18">
                  <c:v>0.17818762248148529</c:v>
                </c:pt>
                <c:pt idx="19">
                  <c:v>-1.0485903702141617</c:v>
                </c:pt>
                <c:pt idx="20">
                  <c:v>-0.68288326397504806</c:v>
                </c:pt>
                <c:pt idx="21">
                  <c:v>-1.9821978506180407</c:v>
                </c:pt>
              </c:numCache>
            </c:numRef>
          </c:yVal>
          <c:smooth val="0"/>
        </c:ser>
        <c:dLbls>
          <c:showLegendKey val="0"/>
          <c:showVal val="0"/>
          <c:showCatName val="0"/>
          <c:showSerName val="0"/>
          <c:showPercent val="0"/>
          <c:showBubbleSize val="0"/>
        </c:dLbls>
        <c:axId val="153982464"/>
        <c:axId val="153985024"/>
      </c:scatterChart>
      <c:valAx>
        <c:axId val="153982464"/>
        <c:scaling>
          <c:orientation val="minMax"/>
        </c:scaling>
        <c:delete val="0"/>
        <c:axPos val="b"/>
        <c:title>
          <c:tx>
            <c:rich>
              <a:bodyPr/>
              <a:lstStyle/>
              <a:p>
                <a:pPr>
                  <a:defRPr sz="800" b="1" i="0" u="none" strike="noStrike" baseline="0">
                    <a:solidFill>
                      <a:srgbClr val="000000"/>
                    </a:solidFill>
                    <a:latin typeface="Arial"/>
                    <a:ea typeface="Arial"/>
                    <a:cs typeface="Arial"/>
                  </a:defRPr>
                </a:pPr>
                <a:r>
                  <a:t>Age 5 error</a:t>
                </a:r>
              </a:p>
            </c:rich>
          </c:tx>
          <c:layout>
            <c:manualLayout>
              <c:xMode val="edge"/>
              <c:yMode val="edge"/>
              <c:x val="0.4744190929622169"/>
              <c:y val="0.8882000619487781"/>
            </c:manualLayout>
          </c:layout>
          <c:overlay val="0"/>
          <c:spPr>
            <a:noFill/>
            <a:ln w="25400">
              <a:noFill/>
            </a:ln>
          </c:spPr>
        </c:title>
        <c:numFmt formatCode="0.00"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985024"/>
        <c:crosses val="autoZero"/>
        <c:crossBetween val="midCat"/>
      </c:valAx>
      <c:valAx>
        <c:axId val="153985024"/>
        <c:scaling>
          <c:orientation val="minMax"/>
        </c:scaling>
        <c:delete val="0"/>
        <c:axPos val="l"/>
        <c:title>
          <c:tx>
            <c:rich>
              <a:bodyPr/>
              <a:lstStyle/>
              <a:p>
                <a:pPr>
                  <a:defRPr sz="800" b="1" i="0" u="none" strike="noStrike" baseline="0">
                    <a:solidFill>
                      <a:srgbClr val="000000"/>
                    </a:solidFill>
                    <a:latin typeface="Arial"/>
                    <a:ea typeface="Arial"/>
                    <a:cs typeface="Arial"/>
                  </a:defRPr>
                </a:pPr>
                <a:r>
                  <a:t>Age 6 error</a:t>
                </a:r>
              </a:p>
            </c:rich>
          </c:tx>
          <c:layout>
            <c:manualLayout>
              <c:xMode val="edge"/>
              <c:yMode val="edge"/>
              <c:x val="3.7209302325581395E-2"/>
              <c:y val="0.33540437880047602"/>
            </c:manualLayout>
          </c:layout>
          <c:overlay val="0"/>
          <c:spPr>
            <a:noFill/>
            <a:ln w="25400">
              <a:noFill/>
            </a:ln>
          </c:spPr>
        </c:title>
        <c:numFmt formatCode="0.00"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982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00000000000001"/>
          <c:y val="8.3573487031700283E-2"/>
          <c:w val="0.82750000000000001"/>
          <c:h val="0.62824207492795392"/>
        </c:manualLayout>
      </c:layout>
      <c:scatterChart>
        <c:scatterStyle val="lineMarker"/>
        <c:varyColors val="0"/>
        <c:ser>
          <c:idx val="0"/>
          <c:order val="0"/>
          <c:tx>
            <c:strRef>
              <c:f>Master!$CZ$17</c:f>
              <c:strCache>
                <c:ptCount val="1"/>
                <c:pt idx="0">
                  <c:v>Return</c:v>
                </c:pt>
              </c:strCache>
            </c:strRef>
          </c:tx>
          <c:spPr>
            <a:ln w="12700">
              <a:solidFill>
                <a:srgbClr val="000080"/>
              </a:solidFill>
              <a:prstDash val="solid"/>
            </a:ln>
          </c:spPr>
          <c:marker>
            <c:symbol val="circle"/>
            <c:size val="7"/>
            <c:spPr>
              <a:solidFill>
                <a:srgbClr val="000080"/>
              </a:solidFill>
              <a:ln>
                <a:solidFill>
                  <a:srgbClr val="000080"/>
                </a:solidFill>
                <a:prstDash val="solid"/>
              </a:ln>
            </c:spPr>
          </c:marker>
          <c:xVal>
            <c:numRef>
              <c:f>Master!$CX$18:$CX$54</c:f>
              <c:numCache>
                <c:formatCode>General</c:formatCode>
                <c:ptCount val="3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numCache>
            </c:numRef>
          </c:xVal>
          <c:yVal>
            <c:numRef>
              <c:f>Master!$CZ$18:$CZ$54</c:f>
              <c:numCache>
                <c:formatCode>#,##0_);\(#,##0\)</c:formatCode>
                <c:ptCount val="37"/>
                <c:pt idx="0">
                  <c:v>61364.184823207586</c:v>
                </c:pt>
                <c:pt idx="1">
                  <c:v>33550.596972953426</c:v>
                </c:pt>
                <c:pt idx="2">
                  <c:v>37759.572141281358</c:v>
                </c:pt>
                <c:pt idx="3">
                  <c:v>38538.248934301315</c:v>
                </c:pt>
                <c:pt idx="4">
                  <c:v>44892.291626911421</c:v>
                </c:pt>
                <c:pt idx="5">
                  <c:v>52489.933605789156</c:v>
                </c:pt>
                <c:pt idx="6">
                  <c:v>45016.174014117321</c:v>
                </c:pt>
                <c:pt idx="7">
                  <c:v>44942.766181022416</c:v>
                </c:pt>
                <c:pt idx="8">
                  <c:v>75424.532250373843</c:v>
                </c:pt>
                <c:pt idx="9">
                  <c:v>36280.814351483343</c:v>
                </c:pt>
                <c:pt idx="10">
                  <c:v>35177.25963070451</c:v>
                </c:pt>
                <c:pt idx="11">
                  <c:v>47157.710847069931</c:v>
                </c:pt>
                <c:pt idx="12">
                  <c:v>30916.708535772581</c:v>
                </c:pt>
                <c:pt idx="13">
                  <c:v>21801.061492497007</c:v>
                </c:pt>
                <c:pt idx="14">
                  <c:v>20690.339147892366</c:v>
                </c:pt>
                <c:pt idx="15">
                  <c:v>15622.567761339649</c:v>
                </c:pt>
                <c:pt idx="16">
                  <c:v>6846.1434121709262</c:v>
                </c:pt>
                <c:pt idx="17">
                  <c:v>15866.785031431093</c:v>
                </c:pt>
                <c:pt idx="18">
                  <c:v>41461.761841692001</c:v>
                </c:pt>
                <c:pt idx="19">
                  <c:v>30376.836594372682</c:v>
                </c:pt>
                <c:pt idx="20">
                  <c:v>29970.553620766128</c:v>
                </c:pt>
                <c:pt idx="21">
                  <c:v>52975.195124062637</c:v>
                </c:pt>
                <c:pt idx="22">
                  <c:v>25497.456739664787</c:v>
                </c:pt>
                <c:pt idx="23">
                  <c:v>33618.813093330748</c:v>
                </c:pt>
                <c:pt idx="24">
                  <c:v>42141.251799985723</c:v>
                </c:pt>
                <c:pt idx="25">
                  <c:v>66904.865485984672</c:v>
                </c:pt>
                <c:pt idx="26">
                  <c:v>46862.123819928282</c:v>
                </c:pt>
                <c:pt idx="27">
                  <c:v>39667.556178009167</c:v>
                </c:pt>
                <c:pt idx="28">
                  <c:v>30862.37046016812</c:v>
                </c:pt>
                <c:pt idx="29">
                  <c:v>6997.0358994574171</c:v>
                </c:pt>
                <c:pt idx="30">
                  <c:v>6511.354332983703</c:v>
                </c:pt>
                <c:pt idx="31">
                  <c:v>25664.952522830117</c:v>
                </c:pt>
                <c:pt idx="32">
                  <c:v>21582.71030979235</c:v>
                </c:pt>
                <c:pt idx="33">
                  <c:v>13694.332664623576</c:v>
                </c:pt>
                <c:pt idx="34">
                  <c:v>23207.623371671012</c:v>
                </c:pt>
                <c:pt idx="35">
                  <c:v>15386.611572402911</c:v>
                </c:pt>
                <c:pt idx="36">
                  <c:v>22381.816326937525</c:v>
                </c:pt>
              </c:numCache>
            </c:numRef>
          </c:yVal>
          <c:smooth val="0"/>
        </c:ser>
        <c:ser>
          <c:idx val="1"/>
          <c:order val="1"/>
          <c:tx>
            <c:strRef>
              <c:f>Master!$CY$17</c:f>
              <c:strCache>
                <c:ptCount val="1"/>
                <c:pt idx="0">
                  <c:v>Spawners</c:v>
                </c:pt>
              </c:strCache>
            </c:strRef>
          </c:tx>
          <c:spPr>
            <a:ln w="3175">
              <a:solidFill>
                <a:srgbClr val="000000"/>
              </a:solidFill>
              <a:prstDash val="solid"/>
            </a:ln>
          </c:spPr>
          <c:marker>
            <c:symbol val="circle"/>
            <c:size val="7"/>
            <c:spPr>
              <a:noFill/>
              <a:ln>
                <a:solidFill>
                  <a:srgbClr val="000000"/>
                </a:solidFill>
                <a:prstDash val="solid"/>
              </a:ln>
            </c:spPr>
          </c:marker>
          <c:xVal>
            <c:numRef>
              <c:f>Master!$CX$18:$CX$54</c:f>
              <c:numCache>
                <c:formatCode>General</c:formatCode>
                <c:ptCount val="3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numCache>
            </c:numRef>
          </c:xVal>
          <c:yVal>
            <c:numRef>
              <c:f>Master!$CY$18:$CY$54</c:f>
              <c:numCache>
                <c:formatCode>#,##0_);\(#,##0\)</c:formatCode>
                <c:ptCount val="37"/>
                <c:pt idx="0">
                  <c:v>15200.808429049157</c:v>
                </c:pt>
                <c:pt idx="1">
                  <c:v>14087.516841715718</c:v>
                </c:pt>
                <c:pt idx="2">
                  <c:v>48915.878750988399</c:v>
                </c:pt>
                <c:pt idx="3">
                  <c:v>85783.90587469301</c:v>
                </c:pt>
                <c:pt idx="4">
                  <c:v>54967.090958155022</c:v>
                </c:pt>
                <c:pt idx="5">
                  <c:v>60607.494461508577</c:v>
                </c:pt>
                <c:pt idx="6">
                  <c:v>35096.273954716482</c:v>
                </c:pt>
                <c:pt idx="7">
                  <c:v>23162.28110894659</c:v>
                </c:pt>
                <c:pt idx="8">
                  <c:v>37222.208996949157</c:v>
                </c:pt>
                <c:pt idx="9">
                  <c:v>43871.147868163811</c:v>
                </c:pt>
                <c:pt idx="10">
                  <c:v>39054.415815955479</c:v>
                </c:pt>
                <c:pt idx="11">
                  <c:v>41640.4566064588</c:v>
                </c:pt>
                <c:pt idx="12">
                  <c:v>47656.750073801319</c:v>
                </c:pt>
                <c:pt idx="13">
                  <c:v>35225.678696417599</c:v>
                </c:pt>
                <c:pt idx="14">
                  <c:v>43795.14825795839</c:v>
                </c:pt>
                <c:pt idx="15">
                  <c:v>23246.496893228272</c:v>
                </c:pt>
                <c:pt idx="16">
                  <c:v>41671.267259244785</c:v>
                </c:pt>
                <c:pt idx="17">
                  <c:v>21019.913718561394</c:v>
                </c:pt>
                <c:pt idx="18">
                  <c:v>20247.593355392808</c:v>
                </c:pt>
                <c:pt idx="19">
                  <c:v>16207.289753391196</c:v>
                </c:pt>
                <c:pt idx="20">
                  <c:v>9831.5386702122378</c:v>
                </c:pt>
                <c:pt idx="21">
                  <c:v>10048</c:v>
                </c:pt>
                <c:pt idx="22">
                  <c:v>14349</c:v>
                </c:pt>
                <c:pt idx="23">
                  <c:v>35587</c:v>
                </c:pt>
                <c:pt idx="24">
                  <c:v>36310.213674484126</c:v>
                </c:pt>
                <c:pt idx="25">
                  <c:v>29088</c:v>
                </c:pt>
                <c:pt idx="26">
                  <c:v>33965</c:v>
                </c:pt>
                <c:pt idx="27">
                  <c:v>27966</c:v>
                </c:pt>
                <c:pt idx="28">
                  <c:v>28535</c:v>
                </c:pt>
                <c:pt idx="29">
                  <c:v>39257</c:v>
                </c:pt>
                <c:pt idx="30">
                  <c:v>56659</c:v>
                </c:pt>
                <c:pt idx="31">
                  <c:v>36433</c:v>
                </c:pt>
                <c:pt idx="32">
                  <c:v>29922</c:v>
                </c:pt>
                <c:pt idx="33">
                  <c:v>17594</c:v>
                </c:pt>
                <c:pt idx="34">
                  <c:v>7284</c:v>
                </c:pt>
                <c:pt idx="35">
                  <c:v>11641</c:v>
                </c:pt>
                <c:pt idx="36">
                  <c:v>18223</c:v>
                </c:pt>
              </c:numCache>
            </c:numRef>
          </c:yVal>
          <c:smooth val="0"/>
        </c:ser>
        <c:dLbls>
          <c:showLegendKey val="0"/>
          <c:showVal val="0"/>
          <c:showCatName val="0"/>
          <c:showSerName val="0"/>
          <c:showPercent val="0"/>
          <c:showBubbleSize val="0"/>
        </c:dLbls>
        <c:axId val="158438144"/>
        <c:axId val="158440064"/>
      </c:scatterChart>
      <c:valAx>
        <c:axId val="158438144"/>
        <c:scaling>
          <c:orientation val="minMax"/>
        </c:scaling>
        <c:delete val="0"/>
        <c:axPos val="b"/>
        <c:title>
          <c:tx>
            <c:rich>
              <a:bodyPr/>
              <a:lstStyle/>
              <a:p>
                <a:pPr>
                  <a:defRPr sz="1200" b="0" i="0" u="none" strike="noStrike" baseline="0">
                    <a:solidFill>
                      <a:srgbClr val="000000"/>
                    </a:solidFill>
                    <a:latin typeface="Times New Roman"/>
                    <a:ea typeface="Times New Roman"/>
                    <a:cs typeface="Times New Roman"/>
                  </a:defRPr>
                </a:pPr>
                <a:r>
                  <a:rPr lang="en-US"/>
                  <a:t>Brood Year</a:t>
                </a:r>
              </a:p>
            </c:rich>
          </c:tx>
          <c:layout>
            <c:manualLayout>
              <c:xMode val="edge"/>
              <c:yMode val="edge"/>
              <c:x val="0.50124999999999997"/>
              <c:y val="0.7999999999999999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imes New Roman"/>
                <a:ea typeface="Times New Roman"/>
                <a:cs typeface="Times New Roman"/>
              </a:defRPr>
            </a:pPr>
            <a:endParaRPr lang="en-US"/>
          </a:p>
        </c:txPr>
        <c:crossAx val="158440064"/>
        <c:crosses val="autoZero"/>
        <c:crossBetween val="midCat"/>
      </c:valAx>
      <c:valAx>
        <c:axId val="158440064"/>
        <c:scaling>
          <c:orientation val="minMax"/>
        </c:scaling>
        <c:delete val="0"/>
        <c:axPos val="l"/>
        <c:majorGridlines>
          <c:spPr>
            <a:ln w="3175">
              <a:solidFill>
                <a:srgbClr val="C0C0C0"/>
              </a:solidFill>
              <a:prstDash val="sysDash"/>
            </a:ln>
          </c:spPr>
        </c:majorGridlines>
        <c:title>
          <c:tx>
            <c:rich>
              <a:bodyPr/>
              <a:lstStyle/>
              <a:p>
                <a:pPr>
                  <a:defRPr sz="1200" b="0" i="0" u="none" strike="noStrike" baseline="0">
                    <a:solidFill>
                      <a:srgbClr val="000000"/>
                    </a:solidFill>
                    <a:latin typeface="Times New Roman"/>
                    <a:ea typeface="Times New Roman"/>
                    <a:cs typeface="Times New Roman"/>
                  </a:defRPr>
                </a:pPr>
                <a:r>
                  <a:rPr lang="en-US"/>
                  <a:t>Abundance</a:t>
                </a:r>
              </a:p>
            </c:rich>
          </c:tx>
          <c:layout>
            <c:manualLayout>
              <c:xMode val="edge"/>
              <c:yMode val="edge"/>
              <c:x val="0.02"/>
              <c:y val="0.21951212870725453"/>
            </c:manualLayout>
          </c:layout>
          <c:overlay val="0"/>
          <c:spPr>
            <a:noFill/>
            <a:ln w="25400">
              <a:noFill/>
            </a:ln>
          </c:spPr>
        </c:title>
        <c:numFmt formatCode="#,##0_);\(#,##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imes New Roman"/>
                <a:ea typeface="Times New Roman"/>
                <a:cs typeface="Times New Roman"/>
              </a:defRPr>
            </a:pPr>
            <a:endParaRPr lang="en-US"/>
          </a:p>
        </c:txPr>
        <c:crossAx val="158438144"/>
        <c:crosses val="autoZero"/>
        <c:crossBetween val="midCat"/>
      </c:valAx>
      <c:spPr>
        <a:noFill/>
        <a:ln w="12700">
          <a:solidFill>
            <a:srgbClr val="808080"/>
          </a:solidFill>
          <a:prstDash val="solid"/>
        </a:ln>
      </c:spPr>
    </c:plotArea>
    <c:legend>
      <c:legendPos val="r"/>
      <c:layout>
        <c:manualLayout>
          <c:xMode val="edge"/>
          <c:yMode val="edge"/>
          <c:x val="0.53541666666666665"/>
          <c:y val="0.87512098451670484"/>
          <c:w val="0.36833333333333335"/>
          <c:h val="9.1257800267761924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8629596449356"/>
          <c:y val="6.4367960596175902E-2"/>
          <c:w val="0.78151367394530424"/>
          <c:h val="0.75862239274064458"/>
        </c:manualLayout>
      </c:layout>
      <c:scatterChart>
        <c:scatterStyle val="lineMarker"/>
        <c:varyColors val="0"/>
        <c:ser>
          <c:idx val="0"/>
          <c:order val="0"/>
          <c:spPr>
            <a:ln w="28575">
              <a:noFill/>
            </a:ln>
          </c:spPr>
          <c:marker>
            <c:symbol val="circle"/>
            <c:size val="7"/>
            <c:spPr>
              <a:solidFill>
                <a:srgbClr val="000080"/>
              </a:solidFill>
              <a:ln>
                <a:solidFill>
                  <a:srgbClr val="000080"/>
                </a:solidFill>
                <a:prstDash val="solid"/>
              </a:ln>
            </c:spPr>
          </c:marker>
          <c:xVal>
            <c:numRef>
              <c:f>'siblings correlation'!$D$17:$D$38</c:f>
              <c:numCache>
                <c:formatCode>#,##0_);\(#,##0\)</c:formatCode>
                <c:ptCount val="22"/>
                <c:pt idx="0">
                  <c:v>7311.1594484174066</c:v>
                </c:pt>
                <c:pt idx="1">
                  <c:v>4503.5344558577508</c:v>
                </c:pt>
                <c:pt idx="2">
                  <c:v>3961.8721711379576</c:v>
                </c:pt>
                <c:pt idx="3">
                  <c:v>2679.2468013006346</c:v>
                </c:pt>
                <c:pt idx="4">
                  <c:v>5600.8816659415634</c:v>
                </c:pt>
                <c:pt idx="5">
                  <c:v>10468.965098592047</c:v>
                </c:pt>
                <c:pt idx="6">
                  <c:v>7746.659710414855</c:v>
                </c:pt>
                <c:pt idx="7">
                  <c:v>7231.5618756382864</c:v>
                </c:pt>
                <c:pt idx="8">
                  <c:v>19192.455588049419</c:v>
                </c:pt>
                <c:pt idx="9">
                  <c:v>7183.191347251166</c:v>
                </c:pt>
                <c:pt idx="10">
                  <c:v>6415.0947290311151</c:v>
                </c:pt>
                <c:pt idx="11">
                  <c:v>8405.053144055224</c:v>
                </c:pt>
                <c:pt idx="12">
                  <c:v>8767.5373197158842</c:v>
                </c:pt>
                <c:pt idx="13">
                  <c:v>4906.3184184722631</c:v>
                </c:pt>
                <c:pt idx="14">
                  <c:v>5848.313870963615</c:v>
                </c:pt>
                <c:pt idx="15">
                  <c:v>4711.3773275208714</c:v>
                </c:pt>
                <c:pt idx="16">
                  <c:v>1730.4936380593278</c:v>
                </c:pt>
                <c:pt idx="17">
                  <c:v>4059.8806994979118</c:v>
                </c:pt>
                <c:pt idx="18">
                  <c:v>7108.6371873742992</c:v>
                </c:pt>
                <c:pt idx="19">
                  <c:v>6135.3280389717856</c:v>
                </c:pt>
                <c:pt idx="20">
                  <c:v>10865.774069892588</c:v>
                </c:pt>
                <c:pt idx="21">
                  <c:v>10309.713446624437</c:v>
                </c:pt>
              </c:numCache>
            </c:numRef>
          </c:xVal>
          <c:yVal>
            <c:numRef>
              <c:f>'siblings correlation'!$E$17:$E$38</c:f>
              <c:numCache>
                <c:formatCode>#,##0_);\(#,##0\)</c:formatCode>
                <c:ptCount val="22"/>
                <c:pt idx="0">
                  <c:v>38601.723907352149</c:v>
                </c:pt>
                <c:pt idx="1">
                  <c:v>20205.548072803584</c:v>
                </c:pt>
                <c:pt idx="2">
                  <c:v>15271.706767413616</c:v>
                </c:pt>
                <c:pt idx="3">
                  <c:v>19387.667305182338</c:v>
                </c:pt>
                <c:pt idx="4">
                  <c:v>22862.275424833642</c:v>
                </c:pt>
                <c:pt idx="5">
                  <c:v>21417.23566997048</c:v>
                </c:pt>
                <c:pt idx="6">
                  <c:v>21271.490957513954</c:v>
                </c:pt>
                <c:pt idx="7">
                  <c:v>23704.88683071189</c:v>
                </c:pt>
                <c:pt idx="8">
                  <c:v>24362.216135631345</c:v>
                </c:pt>
                <c:pt idx="9">
                  <c:v>13259.725313862651</c:v>
                </c:pt>
                <c:pt idx="10">
                  <c:v>8772.3547130158586</c:v>
                </c:pt>
                <c:pt idx="11">
                  <c:v>22338.270368294605</c:v>
                </c:pt>
                <c:pt idx="12">
                  <c:v>11060.495209749653</c:v>
                </c:pt>
                <c:pt idx="13">
                  <c:v>8952.337306880132</c:v>
                </c:pt>
                <c:pt idx="14">
                  <c:v>10369.473715093151</c:v>
                </c:pt>
                <c:pt idx="15">
                  <c:v>4583.8690687893459</c:v>
                </c:pt>
                <c:pt idx="16">
                  <c:v>3098.7645462437235</c:v>
                </c:pt>
                <c:pt idx="17">
                  <c:v>5572.1171873742987</c:v>
                </c:pt>
                <c:pt idx="18">
                  <c:v>23730.285356550539</c:v>
                </c:pt>
                <c:pt idx="19">
                  <c:v>15777.198181257876</c:v>
                </c:pt>
                <c:pt idx="20">
                  <c:v>14606.017381700909</c:v>
                </c:pt>
                <c:pt idx="21">
                  <c:v>33202.17060982425</c:v>
                </c:pt>
              </c:numCache>
            </c:numRef>
          </c:yVal>
          <c:smooth val="0"/>
        </c:ser>
        <c:dLbls>
          <c:showLegendKey val="0"/>
          <c:showVal val="0"/>
          <c:showCatName val="0"/>
          <c:showSerName val="0"/>
          <c:showPercent val="0"/>
          <c:showBubbleSize val="0"/>
        </c:dLbls>
        <c:axId val="151848832"/>
        <c:axId val="151851392"/>
      </c:scatterChart>
      <c:valAx>
        <c:axId val="151848832"/>
        <c:scaling>
          <c:orientation val="minMax"/>
        </c:scaling>
        <c:delete val="0"/>
        <c:axPos val="b"/>
        <c:title>
          <c:tx>
            <c:rich>
              <a:bodyPr/>
              <a:lstStyle/>
              <a:p>
                <a:pPr>
                  <a:defRPr sz="1200" b="0" i="0" u="none" strike="noStrike" baseline="0">
                    <a:solidFill>
                      <a:srgbClr val="000000"/>
                    </a:solidFill>
                    <a:latin typeface="Arial"/>
                    <a:ea typeface="Arial"/>
                    <a:cs typeface="Arial"/>
                  </a:defRPr>
                </a:pPr>
                <a:r>
                  <a:t>Age 1.2 return</a:t>
                </a:r>
              </a:p>
            </c:rich>
          </c:tx>
          <c:layout>
            <c:manualLayout>
              <c:xMode val="edge"/>
              <c:yMode val="edge"/>
              <c:x val="0.47479050412816043"/>
              <c:y val="0.90574905722991517"/>
            </c:manualLayout>
          </c:layout>
          <c:overlay val="0"/>
          <c:spPr>
            <a:noFill/>
            <a:ln w="25400">
              <a:noFill/>
            </a:ln>
          </c:spPr>
        </c:title>
        <c:numFmt formatCode="#,##0_);\(#,##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51851392"/>
        <c:crosses val="autoZero"/>
        <c:crossBetween val="midCat"/>
      </c:valAx>
      <c:valAx>
        <c:axId val="151851392"/>
        <c:scaling>
          <c:orientation val="minMax"/>
        </c:scaling>
        <c:delete val="0"/>
        <c:axPos val="l"/>
        <c:majorGridlines>
          <c:spPr>
            <a:ln w="3175">
              <a:solidFill>
                <a:srgbClr val="C0C0C0"/>
              </a:solidFill>
              <a:prstDash val="sysDash"/>
            </a:ln>
          </c:spPr>
        </c:majorGridlines>
        <c:title>
          <c:tx>
            <c:rich>
              <a:bodyPr/>
              <a:lstStyle/>
              <a:p>
                <a:pPr>
                  <a:defRPr sz="1200" b="0" i="0" u="none" strike="noStrike" baseline="0">
                    <a:solidFill>
                      <a:srgbClr val="000000"/>
                    </a:solidFill>
                    <a:latin typeface="Arial"/>
                    <a:ea typeface="Arial"/>
                    <a:cs typeface="Arial"/>
                  </a:defRPr>
                </a:pPr>
                <a:r>
                  <a:t>Age 1.3 return</a:t>
                </a:r>
              </a:p>
            </c:rich>
          </c:tx>
          <c:layout>
            <c:manualLayout>
              <c:xMode val="edge"/>
              <c:yMode val="edge"/>
              <c:x val="2.2408963585434174E-2"/>
              <c:y val="0.32413865508190787"/>
            </c:manualLayout>
          </c:layout>
          <c:overlay val="0"/>
          <c:spPr>
            <a:noFill/>
            <a:ln w="25400">
              <a:noFill/>
            </a:ln>
          </c:spPr>
        </c:title>
        <c:numFmt formatCode="#,##0_);\(#,##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518488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17401399961655"/>
          <c:y val="6.4367960596175902E-2"/>
          <c:w val="0.78804400106944283"/>
          <c:h val="0.75862239274064458"/>
        </c:manualLayout>
      </c:layout>
      <c:scatterChart>
        <c:scatterStyle val="lineMarker"/>
        <c:varyColors val="0"/>
        <c:ser>
          <c:idx val="0"/>
          <c:order val="0"/>
          <c:spPr>
            <a:ln w="28575">
              <a:noFill/>
            </a:ln>
          </c:spPr>
          <c:marker>
            <c:symbol val="circle"/>
            <c:size val="7"/>
            <c:spPr>
              <a:solidFill>
                <a:srgbClr val="000080"/>
              </a:solidFill>
              <a:ln>
                <a:solidFill>
                  <a:srgbClr val="000080"/>
                </a:solidFill>
                <a:prstDash val="solid"/>
              </a:ln>
            </c:spPr>
          </c:marker>
          <c:xVal>
            <c:numRef>
              <c:f>'siblings correlation'!$E$17:$E$37</c:f>
              <c:numCache>
                <c:formatCode>#,##0_);\(#,##0\)</c:formatCode>
                <c:ptCount val="21"/>
                <c:pt idx="0">
                  <c:v>38601.723907352149</c:v>
                </c:pt>
                <c:pt idx="1">
                  <c:v>20205.548072803584</c:v>
                </c:pt>
                <c:pt idx="2">
                  <c:v>15271.706767413616</c:v>
                </c:pt>
                <c:pt idx="3">
                  <c:v>19387.667305182338</c:v>
                </c:pt>
                <c:pt idx="4">
                  <c:v>22862.275424833642</c:v>
                </c:pt>
                <c:pt idx="5">
                  <c:v>21417.23566997048</c:v>
                </c:pt>
                <c:pt idx="6">
                  <c:v>21271.490957513954</c:v>
                </c:pt>
                <c:pt idx="7">
                  <c:v>23704.88683071189</c:v>
                </c:pt>
                <c:pt idx="8">
                  <c:v>24362.216135631345</c:v>
                </c:pt>
                <c:pt idx="9">
                  <c:v>13259.725313862651</c:v>
                </c:pt>
                <c:pt idx="10">
                  <c:v>8772.3547130158586</c:v>
                </c:pt>
                <c:pt idx="11">
                  <c:v>22338.270368294605</c:v>
                </c:pt>
                <c:pt idx="12">
                  <c:v>11060.495209749653</c:v>
                </c:pt>
                <c:pt idx="13">
                  <c:v>8952.337306880132</c:v>
                </c:pt>
                <c:pt idx="14">
                  <c:v>10369.473715093151</c:v>
                </c:pt>
                <c:pt idx="15">
                  <c:v>4583.8690687893459</c:v>
                </c:pt>
                <c:pt idx="16">
                  <c:v>3098.7645462437235</c:v>
                </c:pt>
                <c:pt idx="17">
                  <c:v>5572.1171873742987</c:v>
                </c:pt>
                <c:pt idx="18">
                  <c:v>23730.285356550539</c:v>
                </c:pt>
                <c:pt idx="19">
                  <c:v>15777.198181257876</c:v>
                </c:pt>
                <c:pt idx="20">
                  <c:v>14606.017381700909</c:v>
                </c:pt>
              </c:numCache>
            </c:numRef>
          </c:xVal>
          <c:yVal>
            <c:numRef>
              <c:f>'siblings correlation'!$F$17:$F$37</c:f>
              <c:numCache>
                <c:formatCode>#,##0_);\(#,##0\)</c:formatCode>
                <c:ptCount val="21"/>
                <c:pt idx="0">
                  <c:v>15451.301467438034</c:v>
                </c:pt>
                <c:pt idx="1">
                  <c:v>8841.5144442920955</c:v>
                </c:pt>
                <c:pt idx="2">
                  <c:v>18525.993202729787</c:v>
                </c:pt>
                <c:pt idx="3">
                  <c:v>16471.334827818337</c:v>
                </c:pt>
                <c:pt idx="4">
                  <c:v>16404.691151466748</c:v>
                </c:pt>
                <c:pt idx="5">
                  <c:v>20497.695775415767</c:v>
                </c:pt>
                <c:pt idx="6">
                  <c:v>15978.824857683823</c:v>
                </c:pt>
                <c:pt idx="7">
                  <c:v>12989.544227520477</c:v>
                </c:pt>
                <c:pt idx="8">
                  <c:v>31446.764835646642</c:v>
                </c:pt>
                <c:pt idx="9">
                  <c:v>15608.843390360413</c:v>
                </c:pt>
                <c:pt idx="10">
                  <c:v>19973.670871318893</c:v>
                </c:pt>
                <c:pt idx="11">
                  <c:v>15904.842762988237</c:v>
                </c:pt>
                <c:pt idx="12">
                  <c:v>10566.346948847491</c:v>
                </c:pt>
                <c:pt idx="13">
                  <c:v>7367.4248176555466</c:v>
                </c:pt>
                <c:pt idx="14">
                  <c:v>4305.4615651202876</c:v>
                </c:pt>
                <c:pt idx="15">
                  <c:v>3286.3170388531744</c:v>
                </c:pt>
                <c:pt idx="16">
                  <c:v>2013.7231180938411</c:v>
                </c:pt>
                <c:pt idx="17">
                  <c:v>6113.3832126036305</c:v>
                </c:pt>
                <c:pt idx="18">
                  <c:v>10444.361381326702</c:v>
                </c:pt>
                <c:pt idx="19">
                  <c:v>8452.9820339873313</c:v>
                </c:pt>
                <c:pt idx="20">
                  <c:v>4416.0035800613459</c:v>
                </c:pt>
              </c:numCache>
            </c:numRef>
          </c:yVal>
          <c:smooth val="0"/>
        </c:ser>
        <c:dLbls>
          <c:showLegendKey val="0"/>
          <c:showVal val="0"/>
          <c:showCatName val="0"/>
          <c:showSerName val="0"/>
          <c:showPercent val="0"/>
          <c:showBubbleSize val="0"/>
        </c:dLbls>
        <c:axId val="151869312"/>
        <c:axId val="161763712"/>
      </c:scatterChart>
      <c:valAx>
        <c:axId val="151869312"/>
        <c:scaling>
          <c:orientation val="minMax"/>
        </c:scaling>
        <c:delete val="0"/>
        <c:axPos val="b"/>
        <c:title>
          <c:tx>
            <c:rich>
              <a:bodyPr/>
              <a:lstStyle/>
              <a:p>
                <a:pPr>
                  <a:defRPr sz="1200" b="0" i="0" u="none" strike="noStrike" baseline="0">
                    <a:solidFill>
                      <a:srgbClr val="000000"/>
                    </a:solidFill>
                    <a:latin typeface="Arial"/>
                    <a:ea typeface="Arial"/>
                    <a:cs typeface="Arial"/>
                  </a:defRPr>
                </a:pPr>
                <a:r>
                  <a:t>Age 1.3 return</a:t>
                </a:r>
              </a:p>
            </c:rich>
          </c:tx>
          <c:layout>
            <c:manualLayout>
              <c:xMode val="edge"/>
              <c:yMode val="edge"/>
              <c:x val="0.47554376355129518"/>
              <c:y val="0.90574905722991517"/>
            </c:manualLayout>
          </c:layout>
          <c:overlay val="0"/>
          <c:spPr>
            <a:noFill/>
            <a:ln w="25400">
              <a:noFill/>
            </a:ln>
          </c:spPr>
        </c:title>
        <c:numFmt formatCode="#,##0_);\(#,##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61763712"/>
        <c:crosses val="autoZero"/>
        <c:crossBetween val="midCat"/>
      </c:valAx>
      <c:valAx>
        <c:axId val="161763712"/>
        <c:scaling>
          <c:orientation val="minMax"/>
        </c:scaling>
        <c:delete val="0"/>
        <c:axPos val="l"/>
        <c:majorGridlines>
          <c:spPr>
            <a:ln w="3175">
              <a:solidFill>
                <a:srgbClr val="C0C0C0"/>
              </a:solidFill>
              <a:prstDash val="sysDash"/>
            </a:ln>
          </c:spPr>
        </c:majorGridlines>
        <c:title>
          <c:tx>
            <c:rich>
              <a:bodyPr/>
              <a:lstStyle/>
              <a:p>
                <a:pPr>
                  <a:defRPr sz="1200" b="0" i="0" u="none" strike="noStrike" baseline="0">
                    <a:solidFill>
                      <a:srgbClr val="000000"/>
                    </a:solidFill>
                    <a:latin typeface="Arial"/>
                    <a:ea typeface="Arial"/>
                    <a:cs typeface="Arial"/>
                  </a:defRPr>
                </a:pPr>
                <a:r>
                  <a:t>Age 1.4 return</a:t>
                </a:r>
              </a:p>
            </c:rich>
          </c:tx>
          <c:layout>
            <c:manualLayout>
              <c:xMode val="edge"/>
              <c:yMode val="edge"/>
              <c:x val="2.1739130434782608E-2"/>
              <c:y val="0.32413865508190787"/>
            </c:manualLayout>
          </c:layout>
          <c:overlay val="0"/>
          <c:spPr>
            <a:noFill/>
            <a:ln w="25400">
              <a:noFill/>
            </a:ln>
          </c:spPr>
        </c:title>
        <c:numFmt formatCode="#,##0_);\(#,##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518693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66467065868262"/>
          <c:y val="6.8292682926829273E-2"/>
          <c:w val="0.76646706586826352"/>
          <c:h val="0.74390243902439024"/>
        </c:manualLayout>
      </c:layout>
      <c:scatterChart>
        <c:scatterStyle val="lineMarker"/>
        <c:varyColors val="0"/>
        <c:ser>
          <c:idx val="0"/>
          <c:order val="0"/>
          <c:spPr>
            <a:ln w="28575">
              <a:noFill/>
            </a:ln>
          </c:spPr>
          <c:marker>
            <c:symbol val="circle"/>
            <c:size val="7"/>
            <c:spPr>
              <a:solidFill>
                <a:srgbClr val="000080"/>
              </a:solidFill>
              <a:ln>
                <a:solidFill>
                  <a:srgbClr val="000080"/>
                </a:solidFill>
                <a:prstDash val="solid"/>
              </a:ln>
            </c:spPr>
          </c:marker>
          <c:xVal>
            <c:numRef>
              <c:f>'siblings correlation'!$D$146:$D$151</c:f>
              <c:numCache>
                <c:formatCode>#,##0_);\(#,##0\)</c:formatCode>
                <c:ptCount val="6"/>
                <c:pt idx="0">
                  <c:v>4059.8806994979118</c:v>
                </c:pt>
                <c:pt idx="1">
                  <c:v>7108.6371873742992</c:v>
                </c:pt>
                <c:pt idx="2">
                  <c:v>6135.3280389717856</c:v>
                </c:pt>
                <c:pt idx="3">
                  <c:v>10865.774069892588</c:v>
                </c:pt>
                <c:pt idx="4">
                  <c:v>10309.713446624437</c:v>
                </c:pt>
                <c:pt idx="5">
                  <c:v>4654.2777213619256</c:v>
                </c:pt>
              </c:numCache>
            </c:numRef>
          </c:xVal>
          <c:yVal>
            <c:numRef>
              <c:f>'siblings correlation'!$E$146:$E$151</c:f>
              <c:numCache>
                <c:formatCode>#,##0_);\(#,##0\)</c:formatCode>
                <c:ptCount val="6"/>
                <c:pt idx="0">
                  <c:v>5572.1171873742987</c:v>
                </c:pt>
                <c:pt idx="1">
                  <c:v>23730.285356550539</c:v>
                </c:pt>
                <c:pt idx="2">
                  <c:v>15777.198181257876</c:v>
                </c:pt>
                <c:pt idx="3">
                  <c:v>14606.017381700909</c:v>
                </c:pt>
                <c:pt idx="4">
                  <c:v>33202.17060982425</c:v>
                </c:pt>
                <c:pt idx="5">
                  <c:v>15580.03386399629</c:v>
                </c:pt>
              </c:numCache>
            </c:numRef>
          </c:yVal>
          <c:smooth val="0"/>
        </c:ser>
        <c:dLbls>
          <c:showLegendKey val="0"/>
          <c:showVal val="0"/>
          <c:showCatName val="0"/>
          <c:showSerName val="0"/>
          <c:showPercent val="0"/>
          <c:showBubbleSize val="0"/>
        </c:dLbls>
        <c:axId val="159262976"/>
        <c:axId val="159277824"/>
      </c:scatterChart>
      <c:valAx>
        <c:axId val="159262976"/>
        <c:scaling>
          <c:orientation val="minMax"/>
          <c:min val="3000"/>
        </c:scaling>
        <c:delete val="0"/>
        <c:axPos val="b"/>
        <c:title>
          <c:tx>
            <c:rich>
              <a:bodyPr/>
              <a:lstStyle/>
              <a:p>
                <a:pPr>
                  <a:defRPr sz="1200" b="0" i="0" u="none" strike="noStrike" baseline="0">
                    <a:solidFill>
                      <a:srgbClr val="000000"/>
                    </a:solidFill>
                    <a:latin typeface="Arial"/>
                    <a:ea typeface="Arial"/>
                    <a:cs typeface="Arial"/>
                  </a:defRPr>
                </a:pPr>
                <a:r>
                  <a:t>Age 1.2 return</a:t>
                </a:r>
              </a:p>
            </c:rich>
          </c:tx>
          <c:layout>
            <c:manualLayout>
              <c:xMode val="edge"/>
              <c:yMode val="edge"/>
              <c:x val="0.47305389221556887"/>
              <c:y val="0.9"/>
            </c:manualLayout>
          </c:layout>
          <c:overlay val="0"/>
          <c:spPr>
            <a:noFill/>
            <a:ln w="25400">
              <a:noFill/>
            </a:ln>
          </c:spPr>
        </c:title>
        <c:numFmt formatCode="#,##0_);\(#,##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59277824"/>
        <c:crosses val="autoZero"/>
        <c:crossBetween val="midCat"/>
      </c:valAx>
      <c:valAx>
        <c:axId val="159277824"/>
        <c:scaling>
          <c:orientation val="minMax"/>
        </c:scaling>
        <c:delete val="0"/>
        <c:axPos val="l"/>
        <c:majorGridlines>
          <c:spPr>
            <a:ln w="3175">
              <a:solidFill>
                <a:srgbClr val="C0C0C0"/>
              </a:solidFill>
              <a:prstDash val="sysDash"/>
            </a:ln>
          </c:spPr>
        </c:majorGridlines>
        <c:title>
          <c:tx>
            <c:rich>
              <a:bodyPr/>
              <a:lstStyle/>
              <a:p>
                <a:pPr>
                  <a:defRPr sz="1200" b="0" i="0" u="none" strike="noStrike" baseline="0">
                    <a:solidFill>
                      <a:srgbClr val="000000"/>
                    </a:solidFill>
                    <a:latin typeface="Arial"/>
                    <a:ea typeface="Arial"/>
                    <a:cs typeface="Arial"/>
                  </a:defRPr>
                </a:pPr>
                <a:r>
                  <a:t>Age 1.3 return</a:t>
                </a:r>
              </a:p>
            </c:rich>
          </c:tx>
          <c:layout>
            <c:manualLayout>
              <c:xMode val="edge"/>
              <c:yMode val="edge"/>
              <c:x val="2.3952095808383235E-2"/>
              <c:y val="0.31219512195121951"/>
            </c:manualLayout>
          </c:layout>
          <c:overlay val="0"/>
          <c:spPr>
            <a:noFill/>
            <a:ln w="25400">
              <a:noFill/>
            </a:ln>
          </c:spPr>
        </c:title>
        <c:numFmt formatCode="#,##0_);\(#,##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592629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972854615999086"/>
          <c:y val="3.1476997578692496E-2"/>
        </c:manualLayout>
      </c:layout>
      <c:overlay val="0"/>
      <c:spPr>
        <a:noFill/>
        <a:ln w="25400">
          <a:noFill/>
        </a:ln>
      </c:spPr>
      <c:txPr>
        <a:bodyPr/>
        <a:lstStyle/>
        <a:p>
          <a:pPr>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4945662089248052"/>
          <c:y val="0.15496368038740921"/>
          <c:w val="0.78125051830160275"/>
          <c:h val="0.66343825665859568"/>
        </c:manualLayout>
      </c:layout>
      <c:scatterChart>
        <c:scatterStyle val="lineMarker"/>
        <c:varyColors val="0"/>
        <c:ser>
          <c:idx val="0"/>
          <c:order val="0"/>
          <c:tx>
            <c:v>Observed</c:v>
          </c:tx>
          <c:spPr>
            <a:ln w="28575">
              <a:noFill/>
            </a:ln>
          </c:spPr>
          <c:marker>
            <c:symbol val="circle"/>
            <c:size val="7"/>
            <c:spPr>
              <a:solidFill>
                <a:srgbClr val="000080"/>
              </a:solidFill>
              <a:ln>
                <a:solidFill>
                  <a:srgbClr val="000080"/>
                </a:solidFill>
                <a:prstDash val="solid"/>
              </a:ln>
            </c:spPr>
          </c:marker>
          <c:xVal>
            <c:numRef>
              <c:f>'siblings correlation'!$E$145:$E$150</c:f>
              <c:numCache>
                <c:formatCode>#,##0_);\(#,##0\)</c:formatCode>
                <c:ptCount val="6"/>
                <c:pt idx="0">
                  <c:v>3098.7645462437235</c:v>
                </c:pt>
                <c:pt idx="1">
                  <c:v>5572.1171873742987</c:v>
                </c:pt>
                <c:pt idx="2">
                  <c:v>23730.285356550539</c:v>
                </c:pt>
                <c:pt idx="3">
                  <c:v>15777.198181257876</c:v>
                </c:pt>
                <c:pt idx="4">
                  <c:v>14606.017381700909</c:v>
                </c:pt>
                <c:pt idx="5">
                  <c:v>33202.17060982425</c:v>
                </c:pt>
              </c:numCache>
            </c:numRef>
          </c:xVal>
          <c:yVal>
            <c:numRef>
              <c:f>'siblings correlation'!$F$145:$F$150</c:f>
              <c:numCache>
                <c:formatCode>#,##0_);\(#,##0\)</c:formatCode>
                <c:ptCount val="6"/>
                <c:pt idx="0">
                  <c:v>2013.7231180938411</c:v>
                </c:pt>
                <c:pt idx="1">
                  <c:v>6113.3832126036305</c:v>
                </c:pt>
                <c:pt idx="2">
                  <c:v>10444.361381326702</c:v>
                </c:pt>
                <c:pt idx="3">
                  <c:v>8452.9820339873313</c:v>
                </c:pt>
                <c:pt idx="4">
                  <c:v>4416.0035800613459</c:v>
                </c:pt>
                <c:pt idx="5">
                  <c:v>9463.3110676139477</c:v>
                </c:pt>
              </c:numCache>
            </c:numRef>
          </c:yVal>
          <c:smooth val="0"/>
        </c:ser>
        <c:dLbls>
          <c:showLegendKey val="0"/>
          <c:showVal val="0"/>
          <c:showCatName val="0"/>
          <c:showSerName val="0"/>
          <c:showPercent val="0"/>
          <c:showBubbleSize val="0"/>
        </c:dLbls>
        <c:axId val="159305728"/>
        <c:axId val="159308032"/>
      </c:scatterChart>
      <c:valAx>
        <c:axId val="159305728"/>
        <c:scaling>
          <c:orientation val="minMax"/>
        </c:scaling>
        <c:delete val="0"/>
        <c:axPos val="b"/>
        <c:title>
          <c:tx>
            <c:rich>
              <a:bodyPr/>
              <a:lstStyle/>
              <a:p>
                <a:pPr>
                  <a:defRPr sz="1200" b="0" i="0" u="none" strike="noStrike" baseline="0">
                    <a:solidFill>
                      <a:srgbClr val="000000"/>
                    </a:solidFill>
                    <a:latin typeface="Arial"/>
                    <a:ea typeface="Arial"/>
                    <a:cs typeface="Arial"/>
                  </a:defRPr>
                </a:pPr>
                <a:r>
                  <a:t>Age 1.3 return</a:t>
                </a:r>
              </a:p>
            </c:rich>
          </c:tx>
          <c:layout>
            <c:manualLayout>
              <c:xMode val="edge"/>
              <c:yMode val="edge"/>
              <c:x val="0.46875028529042562"/>
              <c:y val="0.90556900726392253"/>
            </c:manualLayout>
          </c:layout>
          <c:overlay val="0"/>
          <c:spPr>
            <a:noFill/>
            <a:ln w="25400">
              <a:noFill/>
            </a:ln>
          </c:spPr>
        </c:title>
        <c:numFmt formatCode="#,##0_);\(#,##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59308032"/>
        <c:crosses val="autoZero"/>
        <c:crossBetween val="midCat"/>
      </c:valAx>
      <c:valAx>
        <c:axId val="159308032"/>
        <c:scaling>
          <c:orientation val="minMax"/>
        </c:scaling>
        <c:delete val="0"/>
        <c:axPos val="l"/>
        <c:majorGridlines>
          <c:spPr>
            <a:ln w="3175">
              <a:solidFill>
                <a:srgbClr val="C0C0C0"/>
              </a:solidFill>
              <a:prstDash val="sysDash"/>
            </a:ln>
          </c:spPr>
        </c:majorGridlines>
        <c:title>
          <c:tx>
            <c:rich>
              <a:bodyPr/>
              <a:lstStyle/>
              <a:p>
                <a:pPr>
                  <a:defRPr sz="1200" b="0" i="0" u="none" strike="noStrike" baseline="0">
                    <a:solidFill>
                      <a:srgbClr val="000000"/>
                    </a:solidFill>
                    <a:latin typeface="Arial"/>
                    <a:ea typeface="Arial"/>
                    <a:cs typeface="Arial"/>
                  </a:defRPr>
                </a:pPr>
                <a:r>
                  <a:t>Age 1.4 return</a:t>
                </a:r>
              </a:p>
            </c:rich>
          </c:tx>
          <c:layout>
            <c:manualLayout>
              <c:xMode val="edge"/>
              <c:yMode val="edge"/>
              <c:x val="1.9021739130434784E-2"/>
              <c:y val="0.36077481840193704"/>
            </c:manualLayout>
          </c:layout>
          <c:overlay val="0"/>
          <c:spPr>
            <a:noFill/>
            <a:ln w="25400">
              <a:noFill/>
            </a:ln>
          </c:spPr>
        </c:title>
        <c:numFmt formatCode="#,##0_);\(#,##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593057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571500</xdr:colOff>
      <xdr:row>54</xdr:row>
      <xdr:rowOff>19050</xdr:rowOff>
    </xdr:from>
    <xdr:to>
      <xdr:col>17</xdr:col>
      <xdr:colOff>695325</xdr:colOff>
      <xdr:row>85</xdr:row>
      <xdr:rowOff>85725</xdr:rowOff>
    </xdr:to>
    <xdr:graphicFrame macro="">
      <xdr:nvGraphicFramePr>
        <xdr:cNvPr id="3019300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314325</xdr:colOff>
      <xdr:row>44</xdr:row>
      <xdr:rowOff>85725</xdr:rowOff>
    </xdr:from>
    <xdr:to>
      <xdr:col>36</xdr:col>
      <xdr:colOff>438150</xdr:colOff>
      <xdr:row>69</xdr:row>
      <xdr:rowOff>47625</xdr:rowOff>
    </xdr:to>
    <xdr:graphicFrame macro="">
      <xdr:nvGraphicFramePr>
        <xdr:cNvPr id="3019300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219075</xdr:colOff>
      <xdr:row>48</xdr:row>
      <xdr:rowOff>0</xdr:rowOff>
    </xdr:from>
    <xdr:to>
      <xdr:col>44</xdr:col>
      <xdr:colOff>47625</xdr:colOff>
      <xdr:row>66</xdr:row>
      <xdr:rowOff>152400</xdr:rowOff>
    </xdr:to>
    <xdr:graphicFrame macro="">
      <xdr:nvGraphicFramePr>
        <xdr:cNvPr id="3019300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0.03651</cdr:x>
      <cdr:y>0.91935</cdr:y>
    </cdr:from>
    <cdr:to>
      <cdr:x>0.51669</cdr:x>
      <cdr:y>0.95598</cdr:y>
    </cdr:to>
    <cdr:sp macro="" textlink="">
      <cdr:nvSpPr>
        <cdr:cNvPr id="21505" name="Text Box 1"/>
        <cdr:cNvSpPr txBox="1">
          <a:spLocks xmlns:a="http://schemas.openxmlformats.org/drawingml/2006/main" noChangeArrowheads="1"/>
        </cdr:cNvSpPr>
      </cdr:nvSpPr>
      <cdr:spPr bwMode="auto">
        <a:xfrm xmlns:a="http://schemas.openxmlformats.org/drawingml/2006/main">
          <a:off x="219092" y="4676158"/>
          <a:ext cx="2881430" cy="1862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950" b="0" i="0" u="none" strike="noStrike" baseline="0">
              <a:solidFill>
                <a:srgbClr val="000000"/>
              </a:solidFill>
              <a:latin typeface="Arial"/>
              <a:cs typeface="Arial"/>
            </a:rPr>
            <a:t>Sibling relationhips for Deshka River chinook salmon</a:t>
          </a:r>
        </a:p>
      </cdr:txBody>
    </cdr:sp>
  </cdr:relSizeAnchor>
</c:userShapes>
</file>

<file path=xl/drawings/drawing3.xml><?xml version="1.0" encoding="utf-8"?>
<c:userShapes xmlns:c="http://schemas.openxmlformats.org/drawingml/2006/chart">
  <cdr:relSizeAnchor xmlns:cdr="http://schemas.openxmlformats.org/drawingml/2006/chartDrawing">
    <cdr:from>
      <cdr:x>0.08965</cdr:x>
      <cdr:y>0.87669</cdr:y>
    </cdr:from>
    <cdr:to>
      <cdr:x>0.87566</cdr:x>
      <cdr:y>0.92314</cdr:y>
    </cdr:to>
    <cdr:sp macro="" textlink="">
      <cdr:nvSpPr>
        <cdr:cNvPr id="22529" name="Text Box 1"/>
        <cdr:cNvSpPr txBox="1">
          <a:spLocks xmlns:a="http://schemas.openxmlformats.org/drawingml/2006/main" noChangeArrowheads="1"/>
        </cdr:cNvSpPr>
      </cdr:nvSpPr>
      <cdr:spPr bwMode="auto">
        <a:xfrm xmlns:a="http://schemas.openxmlformats.org/drawingml/2006/main">
          <a:off x="538801" y="3515547"/>
          <a:ext cx="4724178" cy="1862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950" b="0" i="0" u="none" strike="noStrike" baseline="0">
              <a:solidFill>
                <a:srgbClr val="000000"/>
              </a:solidFill>
              <a:latin typeface="Arial"/>
              <a:cs typeface="Arial"/>
            </a:rPr>
            <a:t>Percent error between observed and predicted age classes of Deshka chinook salmon.</a:t>
          </a:r>
        </a:p>
      </cdr:txBody>
    </cdr:sp>
  </cdr:relSizeAnchor>
</c:userShapes>
</file>

<file path=xl/drawings/drawing4.xml><?xml version="1.0" encoding="utf-8"?>
<xdr:wsDr xmlns:xdr="http://schemas.openxmlformats.org/drawingml/2006/spreadsheetDrawing" xmlns:a="http://schemas.openxmlformats.org/drawingml/2006/main">
  <xdr:twoCellAnchor>
    <xdr:from>
      <xdr:col>109</xdr:col>
      <xdr:colOff>238125</xdr:colOff>
      <xdr:row>17</xdr:row>
      <xdr:rowOff>0</xdr:rowOff>
    </xdr:from>
    <xdr:to>
      <xdr:col>121</xdr:col>
      <xdr:colOff>542925</xdr:colOff>
      <xdr:row>37</xdr:row>
      <xdr:rowOff>66675</xdr:rowOff>
    </xdr:to>
    <xdr:graphicFrame macro="">
      <xdr:nvGraphicFramePr>
        <xdr:cNvPr id="5876210" name="Chart 20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657225</xdr:colOff>
      <xdr:row>14</xdr:row>
      <xdr:rowOff>85725</xdr:rowOff>
    </xdr:from>
    <xdr:to>
      <xdr:col>26</xdr:col>
      <xdr:colOff>219075</xdr:colOff>
      <xdr:row>40</xdr:row>
      <xdr:rowOff>19050</xdr:rowOff>
    </xdr:to>
    <xdr:graphicFrame macro="">
      <xdr:nvGraphicFramePr>
        <xdr:cNvPr id="30271976"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85725</xdr:colOff>
      <xdr:row>14</xdr:row>
      <xdr:rowOff>114300</xdr:rowOff>
    </xdr:from>
    <xdr:to>
      <xdr:col>39</xdr:col>
      <xdr:colOff>85725</xdr:colOff>
      <xdr:row>40</xdr:row>
      <xdr:rowOff>47625</xdr:rowOff>
    </xdr:to>
    <xdr:graphicFrame macro="">
      <xdr:nvGraphicFramePr>
        <xdr:cNvPr id="30271977"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657225</xdr:colOff>
      <xdr:row>145</xdr:row>
      <xdr:rowOff>0</xdr:rowOff>
    </xdr:from>
    <xdr:to>
      <xdr:col>25</xdr:col>
      <xdr:colOff>390525</xdr:colOff>
      <xdr:row>169</xdr:row>
      <xdr:rowOff>19050</xdr:rowOff>
    </xdr:to>
    <xdr:graphicFrame macro="">
      <xdr:nvGraphicFramePr>
        <xdr:cNvPr id="30271978"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85725</xdr:colOff>
      <xdr:row>145</xdr:row>
      <xdr:rowOff>0</xdr:rowOff>
    </xdr:from>
    <xdr:to>
      <xdr:col>39</xdr:col>
      <xdr:colOff>85725</xdr:colOff>
      <xdr:row>169</xdr:row>
      <xdr:rowOff>47625</xdr:rowOff>
    </xdr:to>
    <xdr:graphicFrame macro="">
      <xdr:nvGraphicFramePr>
        <xdr:cNvPr id="30271979"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f-pal1\USER\RY-Documents\Palmer\projects\Beg\Willow\Willow%20rps%20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f-pal1\USER\RY-Documents\Palmer\projects\analyses\KS%20escapement%20correlation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f-pal1\USER\RY-Documents\Palmer\projects\BEG\Little%20Su\LittleSuBrood%20Tables%20r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Susie/2014/Deshka/status%20report/Deshka%20tables1-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tchery with alternate age com"/>
      <sheetName val="Deception RPS wild"/>
      <sheetName val="hatchery"/>
      <sheetName val="yield"/>
      <sheetName val="groundfish"/>
      <sheetName val="Willow RPS wild"/>
      <sheetName val="RTS analysis"/>
    </sheetNames>
    <sheetDataSet>
      <sheetData sheetId="0" refreshError="1"/>
      <sheetData sheetId="1" refreshError="1"/>
      <sheetData sheetId="2" refreshError="1"/>
      <sheetData sheetId="3" refreshError="1"/>
      <sheetData sheetId="4" refreshError="1"/>
      <sheetData sheetId="5">
        <row r="45">
          <cell r="AF45" t="str">
            <v>uses only SF age comps for both harvest and escapement</v>
          </cell>
        </row>
        <row r="46">
          <cell r="AF46" t="str">
            <v>WILLOW CREEK MAINSTEM WILD STOCK ONLY</v>
          </cell>
        </row>
        <row r="47">
          <cell r="J47" t="str">
            <v>Exploitation</v>
          </cell>
          <cell r="AF47" t="str">
            <v>Brood year</v>
          </cell>
          <cell r="AG47" t="str">
            <v>Aerial survey *2</v>
          </cell>
          <cell r="AH47" t="str">
            <v>brood year return</v>
          </cell>
        </row>
        <row r="48">
          <cell r="J48" t="str">
            <v>Rate</v>
          </cell>
        </row>
        <row r="49">
          <cell r="AF49">
            <v>1977</v>
          </cell>
          <cell r="AG49">
            <v>1820</v>
          </cell>
          <cell r="AH49">
            <v>1414.2502928246358</v>
          </cell>
        </row>
        <row r="50">
          <cell r="AF50">
            <v>1978</v>
          </cell>
          <cell r="AG50">
            <v>2332</v>
          </cell>
          <cell r="AH50">
            <v>3670.7897762626499</v>
          </cell>
        </row>
        <row r="51">
          <cell r="AF51">
            <v>1979</v>
          </cell>
          <cell r="AG51">
            <v>1696</v>
          </cell>
          <cell r="AH51">
            <v>5876.0426996162496</v>
          </cell>
        </row>
        <row r="52">
          <cell r="AF52">
            <v>1980</v>
          </cell>
          <cell r="AG52">
            <v>2000</v>
          </cell>
          <cell r="AH52">
            <v>4487.9981038983406</v>
          </cell>
        </row>
        <row r="53">
          <cell r="AF53">
            <v>1981</v>
          </cell>
          <cell r="AG53">
            <v>1982</v>
          </cell>
          <cell r="AH53">
            <v>6075.4473455802108</v>
          </cell>
        </row>
        <row r="54">
          <cell r="AF54">
            <v>1982</v>
          </cell>
          <cell r="AG54">
            <v>1184</v>
          </cell>
          <cell r="AH54">
            <v>5812.7703927902767</v>
          </cell>
        </row>
        <row r="55">
          <cell r="AF55">
            <v>1983</v>
          </cell>
          <cell r="AG55">
            <v>1554</v>
          </cell>
          <cell r="AH55">
            <v>15527.383888777067</v>
          </cell>
        </row>
        <row r="56">
          <cell r="AF56">
            <v>1984</v>
          </cell>
          <cell r="AG56">
            <v>5578</v>
          </cell>
          <cell r="AH56">
            <v>7134.559053760674</v>
          </cell>
        </row>
        <row r="57">
          <cell r="J57">
            <v>0.3169352776158077</v>
          </cell>
          <cell r="AF57">
            <v>1985</v>
          </cell>
          <cell r="AG57">
            <v>3712</v>
          </cell>
          <cell r="AH57">
            <v>5223.0809648766481</v>
          </cell>
        </row>
        <row r="58">
          <cell r="J58">
            <v>0.2125984251968504</v>
          </cell>
          <cell r="AF58">
            <v>1986</v>
          </cell>
          <cell r="AG58">
            <v>4118</v>
          </cell>
          <cell r="AH58">
            <v>7248.5641750434679</v>
          </cell>
        </row>
        <row r="59">
          <cell r="J59">
            <v>0.33793269913961566</v>
          </cell>
          <cell r="AF59">
            <v>1987</v>
          </cell>
          <cell r="AG59">
            <v>5536</v>
          </cell>
          <cell r="AH59">
            <v>6009.7047413855271</v>
          </cell>
        </row>
        <row r="60">
          <cell r="J60">
            <v>0.45976146872159801</v>
          </cell>
          <cell r="AF60">
            <v>1988</v>
          </cell>
          <cell r="AG60">
            <v>4992</v>
          </cell>
          <cell r="AH60">
            <v>9025.0870875869023</v>
          </cell>
        </row>
        <row r="61">
          <cell r="J61">
            <v>0.37977056609442122</v>
          </cell>
          <cell r="AF61">
            <v>1989</v>
          </cell>
          <cell r="AG61">
            <v>9571.1037587459996</v>
          </cell>
          <cell r="AH61">
            <v>7457.8413975967196</v>
          </cell>
        </row>
        <row r="62">
          <cell r="J62">
            <v>0.19723030168942404</v>
          </cell>
          <cell r="AF62">
            <v>1990</v>
          </cell>
          <cell r="AG62">
            <v>4625.1637636858459</v>
          </cell>
          <cell r="AH62">
            <v>3869.9976566025362</v>
          </cell>
        </row>
        <row r="63">
          <cell r="J63">
            <v>0.28575742734227544</v>
          </cell>
          <cell r="AF63">
            <v>1991</v>
          </cell>
          <cell r="AG63">
            <v>4012</v>
          </cell>
          <cell r="AH63">
            <v>5871.6500700552397</v>
          </cell>
        </row>
        <row r="64">
          <cell r="J64">
            <v>0.42858887262962636</v>
          </cell>
          <cell r="AF64">
            <v>1992</v>
          </cell>
          <cell r="AG64">
            <v>3174.3269805675172</v>
          </cell>
          <cell r="AH64">
            <v>10452.01970768094</v>
          </cell>
        </row>
        <row r="65">
          <cell r="J65">
            <v>0.47586230953689607</v>
          </cell>
          <cell r="AF65">
            <v>1993</v>
          </cell>
          <cell r="AG65">
            <v>3867.0098302384804</v>
          </cell>
          <cell r="AH65">
            <v>7100.9820235663428</v>
          </cell>
        </row>
        <row r="66">
          <cell r="J66">
            <v>0.45215421357752544</v>
          </cell>
          <cell r="AF66">
            <v>1994</v>
          </cell>
          <cell r="AG66">
            <v>2860.7466604639749</v>
          </cell>
          <cell r="AH66">
            <v>6219.6686721359329</v>
          </cell>
        </row>
        <row r="67">
          <cell r="J67">
            <v>0.43581413157497689</v>
          </cell>
        </row>
        <row r="68">
          <cell r="J68">
            <v>0.48301923214813658</v>
          </cell>
        </row>
        <row r="69">
          <cell r="J69">
            <v>0.51549097359268392</v>
          </cell>
        </row>
        <row r="70">
          <cell r="J70">
            <v>0.69875370879156395</v>
          </cell>
        </row>
        <row r="71">
          <cell r="J71">
            <v>0.67601242381596205</v>
          </cell>
        </row>
        <row r="72">
          <cell r="J72">
            <v>0.66179528868211324</v>
          </cell>
        </row>
        <row r="73">
          <cell r="J73">
            <v>0.36089212165734058</v>
          </cell>
        </row>
        <row r="74">
          <cell r="J74">
            <v>0.41766804960209364</v>
          </cell>
        </row>
        <row r="75">
          <cell r="J75">
            <v>0.29132739508581429</v>
          </cell>
        </row>
        <row r="76">
          <cell r="J76">
            <v>0.35508041063551266</v>
          </cell>
        </row>
        <row r="77">
          <cell r="J77">
            <v>0.49476523987101345</v>
          </cell>
        </row>
        <row r="78">
          <cell r="J78">
            <v>0.48414425113087267</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nikarmdata"/>
      <sheetName val="westCIdata"/>
      <sheetName val="westdata"/>
      <sheetName val="eastdata"/>
      <sheetName val="ancdata"/>
      <sheetName val="deshka"/>
      <sheetName val="prairie"/>
      <sheetName val="tyonek"/>
      <sheetName val="deception"/>
      <sheetName val="ship"/>
      <sheetName val="summary"/>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ansion factor"/>
      <sheetName val="S-R analysis 01"/>
      <sheetName val="brood table 01"/>
      <sheetName val="Escapement Data"/>
      <sheetName val="Harvest and Total Run"/>
      <sheetName val="S-R analysis age 3 and 4."/>
      <sheetName val="age 3 and 4_stats"/>
      <sheetName val="MSY range"/>
      <sheetName val="age 3 and 4 _Yield"/>
      <sheetName val="S-R analysis 50 50 "/>
      <sheetName val="50 50 Stats"/>
      <sheetName val="50 50 Yield"/>
      <sheetName val="S-R analysis age 4 only return"/>
      <sheetName val="age 4 only_stats"/>
      <sheetName val="age 4 only_Yield"/>
      <sheetName val="S-R analysis 3 and 4 lo"/>
      <sheetName val="age 3 and 4 lo_Stats"/>
      <sheetName val="age 3 and 4 lo_Yield"/>
      <sheetName val="S-R analysis 3 and 4 hi"/>
      <sheetName val="age 3 and 4 hi_stats"/>
      <sheetName val="age 3 and 4 hi_Yield"/>
      <sheetName val="S-R model summary"/>
      <sheetName val="Sheet1"/>
      <sheetName val="Regression Statistics"/>
    </sheetNames>
    <sheetDataSet>
      <sheetData sheetId="0"/>
      <sheetData sheetId="1"/>
      <sheetData sheetId="2"/>
      <sheetData sheetId="3">
        <row r="6">
          <cell r="A6" t="str">
            <v xml:space="preserve">Table 21.  </v>
          </cell>
          <cell r="B6" t="str">
            <v>Little Susitna River coho salmon escapement survey and weir counts, 1978-1998.</v>
          </cell>
        </row>
        <row r="9">
          <cell r="B9" t="str">
            <v>Foot, boat and aerial surveys</v>
          </cell>
          <cell r="N9" t="str">
            <v>Weir-based escapement counts</v>
          </cell>
        </row>
        <row r="10">
          <cell r="D10" t="str">
            <v>Survey</v>
          </cell>
          <cell r="F10" t="str">
            <v>Conditons</v>
          </cell>
          <cell r="J10" t="str">
            <v>Survey</v>
          </cell>
          <cell r="N10" t="str">
            <v>hatchery</v>
          </cell>
          <cell r="R10" t="str">
            <v>non-hatchery</v>
          </cell>
        </row>
        <row r="11">
          <cell r="B11" t="str">
            <v>date</v>
          </cell>
          <cell r="D11" t="str">
            <v>method</v>
          </cell>
          <cell r="F11" t="str">
            <v>weather</v>
          </cell>
          <cell r="G11" t="str">
            <v>stream</v>
          </cell>
          <cell r="H11" t="str">
            <v>visibility</v>
          </cell>
          <cell r="J11" t="str">
            <v>Count</v>
          </cell>
          <cell r="L11" t="str">
            <v>Survey Location</v>
          </cell>
          <cell r="N11" t="str">
            <v>number</v>
          </cell>
          <cell r="P11" t="str">
            <v>proportion</v>
          </cell>
          <cell r="R11" t="str">
            <v>number</v>
          </cell>
          <cell r="T11" t="str">
            <v>proportion</v>
          </cell>
          <cell r="V11" t="str">
            <v>Total</v>
          </cell>
        </row>
        <row r="12">
          <cell r="A12">
            <v>1978</v>
          </cell>
          <cell r="B12">
            <v>36063</v>
          </cell>
          <cell r="D12" t="str">
            <v>foot</v>
          </cell>
          <cell r="F12" t="str">
            <v>clear</v>
          </cell>
          <cell r="G12" t="str">
            <v>low</v>
          </cell>
          <cell r="H12" t="str">
            <v>excellent</v>
          </cell>
          <cell r="J12">
            <v>6156</v>
          </cell>
          <cell r="K12" t="str">
            <v>a</v>
          </cell>
          <cell r="L12" t="str">
            <v>Edgerton Park Rd. to Nancy Lake Creek</v>
          </cell>
        </row>
        <row r="13">
          <cell r="A13">
            <v>1979</v>
          </cell>
        </row>
        <row r="14">
          <cell r="A14">
            <v>1980</v>
          </cell>
          <cell r="B14">
            <v>36063</v>
          </cell>
          <cell r="D14" t="str">
            <v>foot</v>
          </cell>
          <cell r="F14" t="str">
            <v>overcast</v>
          </cell>
          <cell r="G14" t="str">
            <v>normal</v>
          </cell>
          <cell r="H14" t="str">
            <v>normal</v>
          </cell>
          <cell r="J14">
            <v>1599</v>
          </cell>
          <cell r="L14" t="str">
            <v>Shrock Road to Burnt Cabin (Index Area #4 only)</v>
          </cell>
        </row>
        <row r="15">
          <cell r="A15">
            <v>1980</v>
          </cell>
          <cell r="B15">
            <v>36067</v>
          </cell>
          <cell r="D15" t="str">
            <v>foot</v>
          </cell>
          <cell r="F15" t="str">
            <v>overcast</v>
          </cell>
          <cell r="G15" t="str">
            <v>normal</v>
          </cell>
          <cell r="H15" t="str">
            <v>normal</v>
          </cell>
          <cell r="J15">
            <v>93</v>
          </cell>
          <cell r="L15" t="str">
            <v>Burnt cabin to Parks Highway Br (Index Area #5 only)</v>
          </cell>
        </row>
        <row r="16">
          <cell r="A16">
            <v>1981</v>
          </cell>
          <cell r="B16">
            <v>36067</v>
          </cell>
          <cell r="D16" t="str">
            <v>foot/boat</v>
          </cell>
          <cell r="F16" t="str">
            <v>clear</v>
          </cell>
          <cell r="G16" t="str">
            <v>low</v>
          </cell>
          <cell r="H16" t="str">
            <v>excellent</v>
          </cell>
          <cell r="J16">
            <v>6750</v>
          </cell>
          <cell r="K16" t="str">
            <v>a</v>
          </cell>
          <cell r="L16" t="str">
            <v>Edgerton Park Rd. to Nancy Lk Creek</v>
          </cell>
        </row>
        <row r="17">
          <cell r="A17">
            <v>1982</v>
          </cell>
          <cell r="B17">
            <v>36076</v>
          </cell>
          <cell r="D17" t="str">
            <v>helicopter</v>
          </cell>
          <cell r="F17" t="str">
            <v>overcast</v>
          </cell>
          <cell r="G17" t="str">
            <v>low</v>
          </cell>
          <cell r="H17" t="str">
            <v>normal</v>
          </cell>
          <cell r="J17">
            <v>6800</v>
          </cell>
          <cell r="K17" t="str">
            <v>a</v>
          </cell>
          <cell r="L17" t="str">
            <v>Edgerton Park Rd. to 10 mi below Schrock Rd. bridge</v>
          </cell>
        </row>
        <row r="18">
          <cell r="A18">
            <v>1983</v>
          </cell>
          <cell r="B18">
            <v>36066</v>
          </cell>
          <cell r="D18" t="str">
            <v>foot</v>
          </cell>
          <cell r="F18" t="str">
            <v>overcast</v>
          </cell>
          <cell r="G18" t="str">
            <v>normal/clear</v>
          </cell>
          <cell r="H18" t="str">
            <v>poor/normal</v>
          </cell>
          <cell r="J18">
            <v>2666</v>
          </cell>
          <cell r="K18" t="str">
            <v>a</v>
          </cell>
          <cell r="L18" t="str">
            <v>Edgerton Park Rd. to Burnt Cabin</v>
          </cell>
        </row>
        <row r="19">
          <cell r="A19">
            <v>1983</v>
          </cell>
          <cell r="B19">
            <v>36071</v>
          </cell>
          <cell r="D19" t="str">
            <v>helicopter</v>
          </cell>
          <cell r="F19" t="str">
            <v>overcast</v>
          </cell>
          <cell r="G19" t="str">
            <v>high</v>
          </cell>
          <cell r="H19" t="str">
            <v>normal/poor</v>
          </cell>
          <cell r="J19">
            <v>959</v>
          </cell>
          <cell r="L19" t="str">
            <v>Rock pinnacle to Parks Highway</v>
          </cell>
        </row>
        <row r="20">
          <cell r="A20">
            <v>1984</v>
          </cell>
          <cell r="B20">
            <v>36064</v>
          </cell>
          <cell r="D20" t="str">
            <v>heicopter/foot</v>
          </cell>
          <cell r="F20" t="str">
            <v>clear</v>
          </cell>
          <cell r="G20" t="str">
            <v>low/normal</v>
          </cell>
          <cell r="H20" t="str">
            <v>normal/excellent</v>
          </cell>
          <cell r="J20">
            <v>22208</v>
          </cell>
          <cell r="L20" t="str">
            <v>L.Sw. Roadhouse to Nancy Lake Creek</v>
          </cell>
        </row>
        <row r="21">
          <cell r="A21">
            <v>1985</v>
          </cell>
          <cell r="B21">
            <v>36069</v>
          </cell>
          <cell r="D21" t="str">
            <v>heicopter/foot</v>
          </cell>
          <cell r="F21" t="str">
            <v>overcast</v>
          </cell>
          <cell r="G21" t="str">
            <v>high</v>
          </cell>
          <cell r="H21" t="str">
            <v>normal/poor</v>
          </cell>
          <cell r="J21">
            <v>3889</v>
          </cell>
          <cell r="K21" t="str">
            <v>a</v>
          </cell>
          <cell r="L21" t="str">
            <v xml:space="preserve">Archangel Cr. to Nancy Lk </v>
          </cell>
        </row>
        <row r="22">
          <cell r="A22">
            <v>1986</v>
          </cell>
          <cell r="B22">
            <v>36068</v>
          </cell>
          <cell r="D22" t="str">
            <v>helicopter</v>
          </cell>
          <cell r="F22" t="str">
            <v>overcast</v>
          </cell>
          <cell r="G22" t="str">
            <v>high</v>
          </cell>
          <cell r="H22" t="str">
            <v>poor</v>
          </cell>
          <cell r="J22">
            <v>1308</v>
          </cell>
          <cell r="L22" t="str">
            <v>Edgerton Parks Rd. to Shrock Rd. bridge.</v>
          </cell>
          <cell r="R22">
            <v>6999</v>
          </cell>
          <cell r="V22">
            <v>6999</v>
          </cell>
        </row>
        <row r="23">
          <cell r="A23">
            <v>1987</v>
          </cell>
          <cell r="B23">
            <v>32049</v>
          </cell>
          <cell r="D23" t="str">
            <v>helicopter</v>
          </cell>
          <cell r="F23" t="str">
            <v>clear/overcast</v>
          </cell>
          <cell r="G23" t="str">
            <v>normal/clear</v>
          </cell>
          <cell r="H23" t="str">
            <v>excellent</v>
          </cell>
          <cell r="J23">
            <v>4865</v>
          </cell>
          <cell r="K23" t="str">
            <v>a</v>
          </cell>
          <cell r="L23" t="str">
            <v>Edgerton Parks Rd. to 1 mile below Nancy Lk. Cr.</v>
          </cell>
          <cell r="R23">
            <v>1184</v>
          </cell>
          <cell r="V23">
            <v>1184</v>
          </cell>
        </row>
        <row r="24">
          <cell r="A24">
            <v>1988</v>
          </cell>
          <cell r="N24">
            <v>4428</v>
          </cell>
          <cell r="P24">
            <v>0.21609487091894003</v>
          </cell>
          <cell r="R24">
            <v>16063</v>
          </cell>
          <cell r="S24" t="str">
            <v>a</v>
          </cell>
          <cell r="T24">
            <v>0.78390512908106003</v>
          </cell>
          <cell r="V24">
            <v>20491</v>
          </cell>
        </row>
        <row r="25">
          <cell r="A25">
            <v>1989</v>
          </cell>
          <cell r="B25">
            <v>32784</v>
          </cell>
          <cell r="D25" t="str">
            <v>foot</v>
          </cell>
          <cell r="F25" t="str">
            <v>part cloudy</v>
          </cell>
          <cell r="G25" t="str">
            <v>normal</v>
          </cell>
          <cell r="H25" t="str">
            <v>good</v>
          </cell>
          <cell r="J25">
            <v>814</v>
          </cell>
          <cell r="L25" t="str">
            <v>N. Sushana bridge to Shrock Rd. bridge</v>
          </cell>
          <cell r="N25">
            <v>6862</v>
          </cell>
          <cell r="P25">
            <v>0.45049894957983194</v>
          </cell>
          <cell r="R25">
            <v>8370</v>
          </cell>
          <cell r="S25" t="str">
            <v>a</v>
          </cell>
          <cell r="T25">
            <v>0.54950105042016806</v>
          </cell>
          <cell r="V25">
            <v>15232</v>
          </cell>
        </row>
        <row r="26">
          <cell r="A26">
            <v>1990</v>
          </cell>
          <cell r="N26">
            <v>3370</v>
          </cell>
          <cell r="P26">
            <v>0.23549965059399022</v>
          </cell>
          <cell r="R26">
            <v>10940</v>
          </cell>
          <cell r="S26" t="str">
            <v>a</v>
          </cell>
          <cell r="T26">
            <v>0.76450034940600975</v>
          </cell>
          <cell r="V26">
            <v>14310</v>
          </cell>
        </row>
        <row r="27">
          <cell r="A27">
            <v>1991</v>
          </cell>
          <cell r="B27">
            <v>33515</v>
          </cell>
          <cell r="D27" t="str">
            <v>helicopter</v>
          </cell>
          <cell r="F27" t="str">
            <v>clear</v>
          </cell>
          <cell r="G27" t="str">
            <v>normal</v>
          </cell>
          <cell r="H27" t="str">
            <v>excellent</v>
          </cell>
          <cell r="J27">
            <v>5254</v>
          </cell>
          <cell r="L27" t="str">
            <v>Edgerton Parks Rd. to 1 mile below Nancy Lk. Cr.</v>
          </cell>
          <cell r="N27">
            <v>8322</v>
          </cell>
          <cell r="P27">
            <v>0.22132390096008084</v>
          </cell>
          <cell r="R27">
            <v>29279</v>
          </cell>
          <cell r="T27">
            <v>0.77867609903991919</v>
          </cell>
          <cell r="V27">
            <v>37601</v>
          </cell>
        </row>
        <row r="28">
          <cell r="A28">
            <v>1992</v>
          </cell>
          <cell r="N28">
            <v>2324</v>
          </cell>
          <cell r="P28">
            <v>0.11396067277987544</v>
          </cell>
          <cell r="R28">
            <v>18069</v>
          </cell>
          <cell r="T28">
            <v>0.88603932722012457</v>
          </cell>
          <cell r="V28">
            <v>20393</v>
          </cell>
        </row>
        <row r="29">
          <cell r="A29">
            <v>1993</v>
          </cell>
          <cell r="N29">
            <v>9615</v>
          </cell>
          <cell r="P29">
            <v>0.28806399424770807</v>
          </cell>
          <cell r="R29">
            <v>23763</v>
          </cell>
          <cell r="T29">
            <v>0.71193600575229188</v>
          </cell>
          <cell r="V29">
            <v>33378</v>
          </cell>
        </row>
        <row r="30">
          <cell r="A30">
            <v>1994</v>
          </cell>
          <cell r="B30">
            <v>34608</v>
          </cell>
          <cell r="D30" t="str">
            <v>helicopter</v>
          </cell>
          <cell r="F30" t="str">
            <v>overcast</v>
          </cell>
          <cell r="G30" t="str">
            <v>normal</v>
          </cell>
          <cell r="H30" t="str">
            <v>excellent</v>
          </cell>
          <cell r="J30">
            <v>6979</v>
          </cell>
          <cell r="L30" t="str">
            <v>Edgerton Park Rd. to Nancy Lk Creek</v>
          </cell>
          <cell r="N30">
            <v>5124</v>
          </cell>
          <cell r="P30">
            <v>0.18418404025880661</v>
          </cell>
          <cell r="R30">
            <v>22696</v>
          </cell>
          <cell r="T30">
            <v>0.81581595974119336</v>
          </cell>
          <cell r="V30">
            <v>27820</v>
          </cell>
        </row>
        <row r="31">
          <cell r="A31">
            <v>1995</v>
          </cell>
          <cell r="N31">
            <v>1069</v>
          </cell>
          <cell r="P31">
            <v>9.0462892443090456E-2</v>
          </cell>
          <cell r="R31">
            <v>10748</v>
          </cell>
          <cell r="T31">
            <v>0.90953710755690953</v>
          </cell>
          <cell r="V31">
            <v>11817</v>
          </cell>
        </row>
        <row r="32">
          <cell r="A32">
            <v>1996</v>
          </cell>
          <cell r="N32">
            <v>444</v>
          </cell>
          <cell r="P32">
            <v>2.6588418468171747E-2</v>
          </cell>
          <cell r="R32">
            <v>16255</v>
          </cell>
          <cell r="T32">
            <v>0.97341158153182827</v>
          </cell>
          <cell r="V32">
            <v>16699</v>
          </cell>
        </row>
        <row r="33">
          <cell r="A33">
            <v>1997</v>
          </cell>
          <cell r="R33">
            <v>9894</v>
          </cell>
          <cell r="T33">
            <v>1</v>
          </cell>
          <cell r="V33">
            <v>9894</v>
          </cell>
        </row>
        <row r="34">
          <cell r="A34">
            <v>1998</v>
          </cell>
          <cell r="R34">
            <v>15159</v>
          </cell>
          <cell r="T34">
            <v>1</v>
          </cell>
          <cell r="V34">
            <v>15159</v>
          </cell>
        </row>
        <row r="35">
          <cell r="A35">
            <v>1999</v>
          </cell>
          <cell r="R35">
            <v>3017</v>
          </cell>
          <cell r="T35">
            <v>1</v>
          </cell>
          <cell r="V35">
            <v>3017</v>
          </cell>
        </row>
        <row r="36">
          <cell r="A36">
            <v>2000</v>
          </cell>
          <cell r="R36">
            <v>15436</v>
          </cell>
          <cell r="T36">
            <v>1</v>
          </cell>
          <cell r="V36">
            <v>15436</v>
          </cell>
        </row>
        <row r="38">
          <cell r="A38" t="str">
            <v>Mean</v>
          </cell>
          <cell r="J38">
            <v>7388.7777777777774</v>
          </cell>
          <cell r="N38">
            <v>4617.5555555555557</v>
          </cell>
          <cell r="R38">
            <v>15360.692307692309</v>
          </cell>
          <cell r="V38">
            <v>18557.461538461539</v>
          </cell>
        </row>
        <row r="39">
          <cell r="A39" t="str">
            <v>Median</v>
          </cell>
          <cell r="J39">
            <v>6750</v>
          </cell>
          <cell r="N39">
            <v>4428</v>
          </cell>
          <cell r="R39">
            <v>15436</v>
          </cell>
          <cell r="V39">
            <v>15436</v>
          </cell>
        </row>
        <row r="41">
          <cell r="A41" t="str">
            <v>a</v>
          </cell>
          <cell r="B41" t="str">
            <v>Escapement used in the development of the BEG.  Average of these counts equal</v>
          </cell>
          <cell r="L41">
            <v>6979.7777777777774</v>
          </cell>
        </row>
      </sheetData>
      <sheetData sheetId="4">
        <row r="6">
          <cell r="A6" t="str">
            <v>Table 22.</v>
          </cell>
          <cell r="D6" t="str">
            <v>Recreational harvest of hatchery and non-hatchery coho salmon and commercial harvest estimates of hatchery coho salmon, Little Susitna River coho salmon stock, 1978-1998.</v>
          </cell>
        </row>
        <row r="7">
          <cell r="C7" t="str">
            <v>Bartlett (96)</v>
          </cell>
          <cell r="Z7">
            <v>0</v>
          </cell>
          <cell r="AJ7" t="str">
            <v>Table 23</v>
          </cell>
          <cell r="AK7" t="str">
            <v>Estimated total brood year return of wild Little Su coho salmon by age</v>
          </cell>
          <cell r="AT7" t="str">
            <v>Table.24</v>
          </cell>
          <cell r="AU7" t="str">
            <v>Estimated total brood year return of wild Little Su coho salmon by age</v>
          </cell>
          <cell r="BB7" t="str">
            <v>Table 25.</v>
          </cell>
          <cell r="BC7" t="str">
            <v>Estimated total brood year return of wild Little Su coho salmon by age</v>
          </cell>
        </row>
        <row r="8">
          <cell r="C8" t="str">
            <v xml:space="preserve">Proportion </v>
          </cell>
          <cell r="D8" t="str">
            <v>Hatchery-origin coho salmon</v>
          </cell>
          <cell r="R8" t="str">
            <v>Wild-origin coho salmon</v>
          </cell>
          <cell r="AK8" t="str">
            <v>class, 1981-1993.  Return data are based on an assumed age class return</v>
          </cell>
          <cell r="AU8" t="str">
            <v>class, 1981-1993.  Return data are based on an assumed age class return</v>
          </cell>
          <cell r="BC8" t="str">
            <v>class, 1981-1993.  Return data are based on an assumed age class return</v>
          </cell>
        </row>
        <row r="9">
          <cell r="B9" t="str">
            <v>Total SWHS</v>
          </cell>
          <cell r="C9" t="str">
            <v xml:space="preserve">of hatchery </v>
          </cell>
          <cell r="D9" t="str">
            <v>Recreational harvest</v>
          </cell>
          <cell r="H9" t="str">
            <v>Commercial harvest</v>
          </cell>
          <cell r="K9" t="str">
            <v/>
          </cell>
          <cell r="P9" t="str">
            <v>Total</v>
          </cell>
          <cell r="R9" t="str">
            <v>Recreational harvest</v>
          </cell>
          <cell r="W9" t="str">
            <v>Commercial harvest</v>
          </cell>
          <cell r="AA9" t="str">
            <v/>
          </cell>
          <cell r="AB9" t="str">
            <v>Escapement Counts</v>
          </cell>
          <cell r="AG9" t="str">
            <v>Total</v>
          </cell>
          <cell r="AK9" t="str">
            <v>of 0.33:0.67 for age 3 and 4 salmon, respectively.  Commercial E = 0.54</v>
          </cell>
          <cell r="AU9" t="str">
            <v>of 0.00:1.00 for age 3 and 4 salmon, respectively.</v>
          </cell>
          <cell r="BC9" t="str">
            <v>of 0.50:0.50 for age 3 and 4 salmon, respectively</v>
          </cell>
        </row>
        <row r="10">
          <cell r="B10" t="str">
            <v xml:space="preserve">estimated </v>
          </cell>
          <cell r="C10" t="str">
            <v>salmon in</v>
          </cell>
          <cell r="F10" t="str">
            <v xml:space="preserve">Exploitation </v>
          </cell>
          <cell r="J10" t="str">
            <v xml:space="preserve">Exploitation </v>
          </cell>
          <cell r="L10" t="str">
            <v>Escapement</v>
          </cell>
          <cell r="N10" t="str">
            <v>Total Run</v>
          </cell>
          <cell r="P10" t="str">
            <v>Exploitation</v>
          </cell>
          <cell r="U10" t="str">
            <v xml:space="preserve">Exploitation </v>
          </cell>
          <cell r="Z10" t="str">
            <v xml:space="preserve">Exploitation </v>
          </cell>
          <cell r="AB10" t="str">
            <v>aerial /foot</v>
          </cell>
          <cell r="AC10" t="str">
            <v xml:space="preserve">weir </v>
          </cell>
          <cell r="AE10" t="str">
            <v>Total Run</v>
          </cell>
          <cell r="AG10" t="str">
            <v>Exploitation</v>
          </cell>
          <cell r="AJ10" t="str">
            <v>Brood</v>
          </cell>
          <cell r="AQ10" t="str">
            <v>Total</v>
          </cell>
          <cell r="AR10" t="str">
            <v>Return per</v>
          </cell>
          <cell r="AT10" t="str">
            <v>Brood</v>
          </cell>
          <cell r="AY10" t="str">
            <v>Total</v>
          </cell>
          <cell r="AZ10" t="str">
            <v>Return per</v>
          </cell>
          <cell r="BB10" t="str">
            <v>Brood</v>
          </cell>
          <cell r="BG10" t="str">
            <v>Total</v>
          </cell>
          <cell r="BH10" t="str">
            <v>Return per</v>
          </cell>
        </row>
        <row r="11">
          <cell r="B11" t="str">
            <v>sport harvest</v>
          </cell>
          <cell r="C11" t="str">
            <v>the harvest</v>
          </cell>
          <cell r="D11" t="str">
            <v>number</v>
          </cell>
          <cell r="E11" t="str">
            <v>proportion</v>
          </cell>
          <cell r="F11" t="str">
            <v>Rate</v>
          </cell>
          <cell r="H11" t="str">
            <v>number</v>
          </cell>
          <cell r="I11" t="str">
            <v>proportion</v>
          </cell>
          <cell r="J11" t="str">
            <v>Rate</v>
          </cell>
          <cell r="L11" t="str">
            <v>number</v>
          </cell>
          <cell r="N11" t="str">
            <v>number</v>
          </cell>
          <cell r="P11" t="str">
            <v>Rate</v>
          </cell>
          <cell r="R11" t="str">
            <v>number</v>
          </cell>
          <cell r="S11" t="str">
            <v>proportion</v>
          </cell>
          <cell r="U11" t="str">
            <v>Rate</v>
          </cell>
          <cell r="W11" t="str">
            <v>number</v>
          </cell>
          <cell r="Y11" t="str">
            <v>proportion</v>
          </cell>
          <cell r="Z11" t="str">
            <v>Rate</v>
          </cell>
          <cell r="AB11" t="str">
            <v>survey cnts</v>
          </cell>
          <cell r="AC11" t="str">
            <v>counts</v>
          </cell>
          <cell r="AE11" t="str">
            <v>number</v>
          </cell>
          <cell r="AG11" t="str">
            <v>Rate</v>
          </cell>
          <cell r="AJ11" t="str">
            <v>Year</v>
          </cell>
          <cell r="AK11" t="str">
            <v>Escapement</v>
          </cell>
          <cell r="AM11" t="str">
            <v>Brood year return by age class</v>
          </cell>
          <cell r="AQ11" t="str">
            <v>Return</v>
          </cell>
          <cell r="AR11" t="str">
            <v>Spawner</v>
          </cell>
          <cell r="AT11" t="str">
            <v>Year</v>
          </cell>
          <cell r="AU11" t="str">
            <v>Escapement</v>
          </cell>
          <cell r="AW11" t="str">
            <v>Brood year return by age class</v>
          </cell>
          <cell r="AY11" t="str">
            <v>Return</v>
          </cell>
          <cell r="AZ11" t="str">
            <v>Spawner</v>
          </cell>
          <cell r="BB11" t="str">
            <v>Year</v>
          </cell>
          <cell r="BC11" t="str">
            <v>Escapement</v>
          </cell>
          <cell r="BE11" t="str">
            <v>Brood year return by age class</v>
          </cell>
          <cell r="BG11" t="str">
            <v>Return</v>
          </cell>
          <cell r="BH11" t="str">
            <v>Spawner</v>
          </cell>
        </row>
        <row r="12">
          <cell r="A12">
            <v>1977</v>
          </cell>
          <cell r="B12">
            <v>3415</v>
          </cell>
          <cell r="R12">
            <v>3415</v>
          </cell>
        </row>
        <row r="13">
          <cell r="A13">
            <v>1978</v>
          </cell>
          <cell r="B13">
            <v>4865</v>
          </cell>
          <cell r="R13">
            <v>4865</v>
          </cell>
          <cell r="AK13" t="str">
            <v>Counts</v>
          </cell>
          <cell r="AM13">
            <v>3</v>
          </cell>
          <cell r="AO13">
            <v>4</v>
          </cell>
          <cell r="AU13" t="str">
            <v>Counts</v>
          </cell>
          <cell r="AW13">
            <v>3</v>
          </cell>
          <cell r="AX13">
            <v>4</v>
          </cell>
          <cell r="BC13" t="str">
            <v>Counts</v>
          </cell>
          <cell r="BE13">
            <v>3</v>
          </cell>
          <cell r="BF13">
            <v>4</v>
          </cell>
        </row>
        <row r="14">
          <cell r="A14">
            <v>1979</v>
          </cell>
          <cell r="B14">
            <v>3382</v>
          </cell>
          <cell r="R14">
            <v>3382</v>
          </cell>
          <cell r="AM14">
            <v>0.33</v>
          </cell>
          <cell r="AO14">
            <v>0.67</v>
          </cell>
          <cell r="AW14">
            <v>0</v>
          </cell>
          <cell r="AX14">
            <v>1</v>
          </cell>
          <cell r="BE14">
            <v>0.5</v>
          </cell>
          <cell r="BF14">
            <v>0.5</v>
          </cell>
        </row>
        <row r="15">
          <cell r="A15">
            <v>1980</v>
          </cell>
          <cell r="B15">
            <v>6302</v>
          </cell>
          <cell r="R15">
            <v>6302</v>
          </cell>
        </row>
        <row r="16">
          <cell r="A16">
            <v>1981</v>
          </cell>
          <cell r="B16">
            <v>5940</v>
          </cell>
          <cell r="R16">
            <v>5940</v>
          </cell>
          <cell r="S16">
            <v>0.28551804424011812</v>
          </cell>
          <cell r="U16">
            <v>0.21557442218332626</v>
          </cell>
          <cell r="V16" t="str">
            <v>d</v>
          </cell>
          <cell r="W16">
            <v>14864.289325421803</v>
          </cell>
          <cell r="X16" t="str">
            <v>b</v>
          </cell>
          <cell r="Y16">
            <v>0.71448195575988183</v>
          </cell>
          <cell r="Z16">
            <v>0.53945464351743933</v>
          </cell>
          <cell r="AA16" t="str">
            <v>a</v>
          </cell>
          <cell r="AB16">
            <v>6750</v>
          </cell>
          <cell r="AE16">
            <v>27554.289325421803</v>
          </cell>
          <cell r="AF16" t="str">
            <v>e</v>
          </cell>
          <cell r="AG16">
            <v>0.75502906570076567</v>
          </cell>
          <cell r="AJ16">
            <v>1981</v>
          </cell>
          <cell r="AK16">
            <v>6750</v>
          </cell>
          <cell r="AL16" t="str">
            <v>aerial</v>
          </cell>
          <cell r="AM16">
            <v>26125.830671480493</v>
          </cell>
          <cell r="AN16">
            <v>0.60646916980348442</v>
          </cell>
          <cell r="AO16">
            <v>16952.749365730811</v>
          </cell>
          <cell r="AP16">
            <v>0.39353083019651569</v>
          </cell>
          <cell r="AQ16">
            <v>43078.580037211301</v>
          </cell>
          <cell r="AR16">
            <v>6.3820118573646374</v>
          </cell>
          <cell r="AT16">
            <v>1981</v>
          </cell>
          <cell r="AU16">
            <v>6750</v>
          </cell>
          <cell r="AV16" t="str">
            <v>aerial</v>
          </cell>
          <cell r="AW16">
            <v>0</v>
          </cell>
          <cell r="AX16">
            <v>25302.610993628074</v>
          </cell>
          <cell r="AY16">
            <v>25302.610993628074</v>
          </cell>
          <cell r="AZ16">
            <v>3.7485349620189741</v>
          </cell>
          <cell r="BB16">
            <v>1981</v>
          </cell>
          <cell r="BC16">
            <v>6750</v>
          </cell>
          <cell r="BD16" t="str">
            <v>aerial</v>
          </cell>
          <cell r="BE16">
            <v>39584.591926485591</v>
          </cell>
          <cell r="BF16">
            <v>12651.305496814037</v>
          </cell>
          <cell r="BG16">
            <v>52235.897423299626</v>
          </cell>
          <cell r="BH16">
            <v>7.7386514701184632</v>
          </cell>
        </row>
        <row r="17">
          <cell r="A17">
            <v>1982</v>
          </cell>
          <cell r="B17">
            <v>7116</v>
          </cell>
          <cell r="R17">
            <v>7116</v>
          </cell>
          <cell r="S17">
            <v>0.30389022159304446</v>
          </cell>
          <cell r="U17">
            <v>0.23550163529246204</v>
          </cell>
          <cell r="V17" t="str">
            <v>d</v>
          </cell>
          <cell r="W17">
            <v>16300.35068972181</v>
          </cell>
          <cell r="X17" t="str">
            <v>b</v>
          </cell>
          <cell r="Y17">
            <v>0.69610977840695554</v>
          </cell>
          <cell r="Z17">
            <v>0.53945464351743933</v>
          </cell>
          <cell r="AA17" t="str">
            <v>a</v>
          </cell>
          <cell r="AB17">
            <v>6800</v>
          </cell>
          <cell r="AE17">
            <v>30216.35068972181</v>
          </cell>
          <cell r="AF17" t="str">
            <v>e</v>
          </cell>
          <cell r="AG17">
            <v>0.77495627880990137</v>
          </cell>
          <cell r="AJ17">
            <v>1982</v>
          </cell>
          <cell r="AK17">
            <v>6800</v>
          </cell>
          <cell r="AL17" t="str">
            <v>aerial</v>
          </cell>
          <cell r="AM17">
            <v>8349.861627897264</v>
          </cell>
          <cell r="AN17">
            <v>0.30744440322611588</v>
          </cell>
          <cell r="AO17">
            <v>18809.070329488855</v>
          </cell>
          <cell r="AP17">
            <v>0.69255559677388401</v>
          </cell>
          <cell r="AQ17">
            <v>27158.931957386121</v>
          </cell>
          <cell r="AR17">
            <v>3.9939605819685471</v>
          </cell>
          <cell r="AT17">
            <v>1982</v>
          </cell>
          <cell r="AU17">
            <v>6800</v>
          </cell>
          <cell r="AV17" t="str">
            <v>aerial</v>
          </cell>
          <cell r="AW17">
            <v>0</v>
          </cell>
          <cell r="AX17">
            <v>28073.23929774456</v>
          </cell>
          <cell r="AY17">
            <v>28073.23929774456</v>
          </cell>
          <cell r="AZ17">
            <v>4.1284175437859645</v>
          </cell>
          <cell r="BB17">
            <v>1982</v>
          </cell>
          <cell r="BC17">
            <v>6800</v>
          </cell>
          <cell r="BD17" t="str">
            <v>aerial</v>
          </cell>
          <cell r="BE17">
            <v>12651.305496814037</v>
          </cell>
          <cell r="BF17">
            <v>14036.61964887228</v>
          </cell>
          <cell r="BG17">
            <v>26687.925145686317</v>
          </cell>
          <cell r="BH17">
            <v>3.9246948743656347</v>
          </cell>
        </row>
        <row r="18">
          <cell r="A18">
            <v>1983</v>
          </cell>
          <cell r="B18">
            <v>2835</v>
          </cell>
          <cell r="R18">
            <v>2835</v>
          </cell>
          <cell r="S18">
            <v>0.30554393403456281</v>
          </cell>
          <cell r="U18">
            <v>0.23734704337903281</v>
          </cell>
          <cell r="V18" t="str">
            <v>d</v>
          </cell>
          <cell r="W18">
            <v>6443.5347186087729</v>
          </cell>
          <cell r="X18" t="str">
            <v>b</v>
          </cell>
          <cell r="Y18">
            <v>0.69445606596543719</v>
          </cell>
          <cell r="Z18">
            <v>0.53945464351743933</v>
          </cell>
          <cell r="AA18" t="str">
            <v>a</v>
          </cell>
          <cell r="AB18">
            <v>2666</v>
          </cell>
          <cell r="AE18">
            <v>11944.534718608773</v>
          </cell>
          <cell r="AF18" t="str">
            <v>e</v>
          </cell>
          <cell r="AG18">
            <v>0.77680168689647211</v>
          </cell>
          <cell r="AJ18">
            <v>1983</v>
          </cell>
          <cell r="AK18">
            <v>2666</v>
          </cell>
          <cell r="AL18" t="str">
            <v>aerial</v>
          </cell>
          <cell r="AM18">
            <v>9264.1689682557044</v>
          </cell>
          <cell r="AN18">
            <v>0.14905873390718752</v>
          </cell>
          <cell r="AO18">
            <v>52886.962504685056</v>
          </cell>
          <cell r="AP18">
            <v>0.85094126609281251</v>
          </cell>
          <cell r="AQ18">
            <v>62151.13147294076</v>
          </cell>
          <cell r="AR18">
            <v>23.312502427959775</v>
          </cell>
          <cell r="AT18">
            <v>1983</v>
          </cell>
          <cell r="AU18">
            <v>2666</v>
          </cell>
          <cell r="AV18" t="str">
            <v>aerial</v>
          </cell>
          <cell r="AW18">
            <v>0</v>
          </cell>
          <cell r="AX18">
            <v>78935.764932365753</v>
          </cell>
          <cell r="AY18">
            <v>78935.764932365753</v>
          </cell>
          <cell r="AZ18">
            <v>29.608313928119188</v>
          </cell>
          <cell r="BB18">
            <v>1983</v>
          </cell>
          <cell r="BC18">
            <v>2666</v>
          </cell>
          <cell r="BD18" t="str">
            <v>aerial</v>
          </cell>
          <cell r="BE18">
            <v>14036.61964887228</v>
          </cell>
          <cell r="BF18">
            <v>39467.882466182877</v>
          </cell>
          <cell r="BG18">
            <v>53504.502115055155</v>
          </cell>
          <cell r="BH18">
            <v>20.069205594544318</v>
          </cell>
        </row>
        <row r="19">
          <cell r="A19">
            <v>1984</v>
          </cell>
          <cell r="B19">
            <v>14253</v>
          </cell>
          <cell r="R19">
            <v>14253</v>
          </cell>
          <cell r="S19">
            <v>0.25022302971774596</v>
          </cell>
          <cell r="U19">
            <v>0.18003217042719447</v>
          </cell>
          <cell r="V19" t="str">
            <v>d</v>
          </cell>
          <cell r="W19">
            <v>42708.183852971182</v>
          </cell>
          <cell r="X19" t="str">
            <v>b</v>
          </cell>
          <cell r="Y19">
            <v>0.74977697028225399</v>
          </cell>
          <cell r="Z19">
            <v>0.53945464351743933</v>
          </cell>
          <cell r="AA19" t="str">
            <v>a</v>
          </cell>
          <cell r="AB19">
            <v>22208</v>
          </cell>
          <cell r="AE19">
            <v>79169.183852971182</v>
          </cell>
          <cell r="AF19" t="str">
            <v>e</v>
          </cell>
          <cell r="AG19">
            <v>0.71948681394463376</v>
          </cell>
          <cell r="AJ19">
            <v>1984</v>
          </cell>
          <cell r="AK19">
            <v>22208</v>
          </cell>
          <cell r="AL19" t="str">
            <v>aerial</v>
          </cell>
          <cell r="AM19">
            <v>26048.802427680701</v>
          </cell>
          <cell r="AN19">
            <v>0.41314444612618156</v>
          </cell>
          <cell r="AO19">
            <v>37001.306733716418</v>
          </cell>
          <cell r="AP19">
            <v>0.58685555387381838</v>
          </cell>
          <cell r="AQ19">
            <v>63050.109161397122</v>
          </cell>
          <cell r="AR19">
            <v>2.8390719182905766</v>
          </cell>
          <cell r="AT19">
            <v>1984</v>
          </cell>
          <cell r="AU19">
            <v>22208</v>
          </cell>
          <cell r="AV19" t="str">
            <v>aerial</v>
          </cell>
          <cell r="AW19">
            <v>0</v>
          </cell>
          <cell r="AX19">
            <v>55225.830945845395</v>
          </cell>
          <cell r="AY19">
            <v>55225.830945845395</v>
          </cell>
          <cell r="AZ19">
            <v>2.4867539150686868</v>
          </cell>
          <cell r="BB19">
            <v>1984</v>
          </cell>
          <cell r="BC19">
            <v>22208</v>
          </cell>
          <cell r="BD19" t="str">
            <v>aerial</v>
          </cell>
          <cell r="BE19">
            <v>39467.882466182877</v>
          </cell>
          <cell r="BF19">
            <v>27612.915472922698</v>
          </cell>
          <cell r="BG19">
            <v>67080.797939105571</v>
          </cell>
          <cell r="BH19">
            <v>3.0205690714654887</v>
          </cell>
        </row>
        <row r="20">
          <cell r="A20">
            <v>1985</v>
          </cell>
          <cell r="B20">
            <v>7764</v>
          </cell>
          <cell r="R20">
            <v>7764</v>
          </cell>
          <cell r="S20">
            <v>0.36257313174832068</v>
          </cell>
          <cell r="U20">
            <v>0.30684580346096296</v>
          </cell>
          <cell r="V20" t="str">
            <v>d</v>
          </cell>
          <cell r="W20">
            <v>13649.610993628074</v>
          </cell>
          <cell r="X20" t="str">
            <v>b</v>
          </cell>
          <cell r="Y20">
            <v>0.63742686825167927</v>
          </cell>
          <cell r="Z20">
            <v>0.53945464351743933</v>
          </cell>
          <cell r="AA20" t="str">
            <v>a</v>
          </cell>
          <cell r="AB20">
            <v>3889</v>
          </cell>
          <cell r="AE20">
            <v>25302.610993628074</v>
          </cell>
          <cell r="AF20" t="str">
            <v>e</v>
          </cell>
          <cell r="AG20">
            <v>0.84630044697840223</v>
          </cell>
          <cell r="AJ20">
            <v>1985</v>
          </cell>
          <cell r="AK20">
            <v>3889</v>
          </cell>
          <cell r="AL20" t="str">
            <v>aerial</v>
          </cell>
          <cell r="AM20">
            <v>18224.524212128981</v>
          </cell>
          <cell r="AN20">
            <v>0.51279604290437908</v>
          </cell>
          <cell r="AO20">
            <v>17314.993817122468</v>
          </cell>
          <cell r="AP20">
            <v>0.48720395709562087</v>
          </cell>
          <cell r="AQ20">
            <v>35539.518029251449</v>
          </cell>
          <cell r="AR20">
            <v>9.138472108318707</v>
          </cell>
          <cell r="AT20">
            <v>1985</v>
          </cell>
          <cell r="AU20">
            <v>3889</v>
          </cell>
          <cell r="AV20" t="str">
            <v>aerial</v>
          </cell>
          <cell r="AW20">
            <v>0</v>
          </cell>
          <cell r="AX20">
            <v>25843.274353914127</v>
          </cell>
          <cell r="AY20">
            <v>25843.274353914127</v>
          </cell>
          <cell r="AZ20">
            <v>6.645223541762439</v>
          </cell>
          <cell r="BB20">
            <v>1985</v>
          </cell>
          <cell r="BC20">
            <v>3889</v>
          </cell>
          <cell r="BD20" t="str">
            <v>aerial</v>
          </cell>
          <cell r="BE20">
            <v>27612.915472922698</v>
          </cell>
          <cell r="BF20">
            <v>12921.637176957063</v>
          </cell>
          <cell r="BG20">
            <v>40534.552649879763</v>
          </cell>
          <cell r="BH20">
            <v>10.422872885029509</v>
          </cell>
        </row>
        <row r="21">
          <cell r="A21">
            <v>1986</v>
          </cell>
          <cell r="B21">
            <v>6039</v>
          </cell>
          <cell r="C21">
            <v>1.7999999999999999E-2</v>
          </cell>
          <cell r="D21">
            <v>109</v>
          </cell>
          <cell r="R21">
            <v>5930</v>
          </cell>
          <cell r="S21">
            <v>0.28138619459610337</v>
          </cell>
          <cell r="U21">
            <v>0.21123319390065626</v>
          </cell>
          <cell r="V21" t="str">
            <v>d</v>
          </cell>
          <cell r="W21">
            <v>15144.23929774456</v>
          </cell>
          <cell r="X21" t="str">
            <v>b</v>
          </cell>
          <cell r="Y21">
            <v>0.71861380540389663</v>
          </cell>
          <cell r="Z21">
            <v>0.53945464351743933</v>
          </cell>
          <cell r="AA21" t="str">
            <v>a</v>
          </cell>
          <cell r="AB21">
            <v>1308</v>
          </cell>
          <cell r="AC21">
            <v>6999</v>
          </cell>
          <cell r="AE21">
            <v>28073.23929774456</v>
          </cell>
          <cell r="AF21" t="str">
            <v>e</v>
          </cell>
          <cell r="AG21">
            <v>0.75068783741809553</v>
          </cell>
          <cell r="AJ21">
            <v>1986</v>
          </cell>
          <cell r="AK21">
            <v>6999</v>
          </cell>
          <cell r="AL21" t="str">
            <v>weir</v>
          </cell>
          <cell r="AM21">
            <v>8528.2805367916626</v>
          </cell>
          <cell r="AN21">
            <v>0.26577193197327703</v>
          </cell>
          <cell r="AO21">
            <v>23560.437310393074</v>
          </cell>
          <cell r="AP21">
            <v>0.73422806802672291</v>
          </cell>
          <cell r="AQ21">
            <v>32088.717847184736</v>
          </cell>
          <cell r="AR21">
            <v>4.5847575149570989</v>
          </cell>
          <cell r="AT21">
            <v>1986</v>
          </cell>
          <cell r="AU21">
            <v>6999</v>
          </cell>
          <cell r="AV21" t="str">
            <v>weir</v>
          </cell>
          <cell r="AW21">
            <v>0</v>
          </cell>
          <cell r="AX21">
            <v>35164.831806556824</v>
          </cell>
          <cell r="AY21">
            <v>35164.831806556824</v>
          </cell>
          <cell r="AZ21">
            <v>5.0242651531014175</v>
          </cell>
          <cell r="BB21">
            <v>1986</v>
          </cell>
          <cell r="BC21">
            <v>6999</v>
          </cell>
          <cell r="BD21" t="str">
            <v>weir</v>
          </cell>
          <cell r="BE21">
            <v>12921.637176957063</v>
          </cell>
          <cell r="BF21">
            <v>17582.415903278412</v>
          </cell>
          <cell r="BG21">
            <v>30504.053080235477</v>
          </cell>
          <cell r="BH21">
            <v>4.358344489246389</v>
          </cell>
        </row>
        <row r="22">
          <cell r="A22">
            <v>1987</v>
          </cell>
          <cell r="B22">
            <v>13003</v>
          </cell>
          <cell r="C22">
            <v>0.26200000000000001</v>
          </cell>
          <cell r="D22">
            <v>3407</v>
          </cell>
          <cell r="R22">
            <v>9596</v>
          </cell>
          <cell r="S22">
            <v>0.18390799334624253</v>
          </cell>
          <cell r="U22">
            <v>0.12156720097945596</v>
          </cell>
          <cell r="V22" t="str">
            <v>d</v>
          </cell>
          <cell r="W22">
            <v>42582.264932365753</v>
          </cell>
          <cell r="X22" t="str">
            <v>b</v>
          </cell>
          <cell r="Y22">
            <v>0.81609200665375747</v>
          </cell>
          <cell r="Z22">
            <v>0.53945464351743933</v>
          </cell>
          <cell r="AA22" t="str">
            <v>a</v>
          </cell>
          <cell r="AB22">
            <v>4865</v>
          </cell>
          <cell r="AC22">
            <v>26757.5</v>
          </cell>
          <cell r="AE22">
            <v>78935.764932365753</v>
          </cell>
          <cell r="AF22" t="str">
            <v>e</v>
          </cell>
          <cell r="AG22">
            <v>0.66102184449689527</v>
          </cell>
          <cell r="AJ22">
            <v>1987</v>
          </cell>
          <cell r="AK22">
            <v>26757.5</v>
          </cell>
          <cell r="AL22" t="str">
            <v>aerial * 5.5</v>
          </cell>
          <cell r="AM22">
            <v>11604.394496163752</v>
          </cell>
          <cell r="AN22">
            <v>0.17338022251816335</v>
          </cell>
          <cell r="AO22">
            <v>55325.92966435619</v>
          </cell>
          <cell r="AP22">
            <v>0.82661977748183668</v>
          </cell>
          <cell r="AQ22">
            <v>66930.324160519944</v>
          </cell>
          <cell r="AR22">
            <v>2.5013668751011844</v>
          </cell>
          <cell r="AT22">
            <v>1987</v>
          </cell>
          <cell r="AU22">
            <v>26757.5</v>
          </cell>
          <cell r="AV22" t="str">
            <v>aerial * 5.5</v>
          </cell>
          <cell r="AW22">
            <v>0</v>
          </cell>
          <cell r="AX22">
            <v>82576.01442441222</v>
          </cell>
          <cell r="AY22">
            <v>82576.01442441222</v>
          </cell>
          <cell r="AZ22">
            <v>3.0860885517859376</v>
          </cell>
          <cell r="BB22">
            <v>1987</v>
          </cell>
          <cell r="BC22">
            <v>26757.5</v>
          </cell>
          <cell r="BD22" t="str">
            <v>aerial * 5.5</v>
          </cell>
          <cell r="BE22">
            <v>17582.415903278412</v>
          </cell>
          <cell r="BF22">
            <v>41288.00721220611</v>
          </cell>
          <cell r="BG22">
            <v>58870.423115484518</v>
          </cell>
          <cell r="BH22">
            <v>2.2001466174150992</v>
          </cell>
        </row>
        <row r="23">
          <cell r="A23">
            <v>1988</v>
          </cell>
          <cell r="B23">
            <v>19009</v>
          </cell>
          <cell r="C23">
            <v>0.50700000000000001</v>
          </cell>
          <cell r="D23">
            <v>9638</v>
          </cell>
          <cell r="L23">
            <v>4428</v>
          </cell>
          <cell r="N23">
            <v>14066</v>
          </cell>
          <cell r="P23">
            <v>0.68519835063273138</v>
          </cell>
          <cell r="R23">
            <v>9371</v>
          </cell>
          <cell r="S23">
            <v>0.23928300824213339</v>
          </cell>
          <cell r="U23">
            <v>0.16968508829118803</v>
          </cell>
          <cell r="V23" t="str">
            <v>d</v>
          </cell>
          <cell r="W23">
            <v>29791.830945845395</v>
          </cell>
          <cell r="X23" t="str">
            <v>b</v>
          </cell>
          <cell r="Y23">
            <v>0.76071699175786667</v>
          </cell>
          <cell r="Z23">
            <v>0.53945464351743933</v>
          </cell>
          <cell r="AA23" t="str">
            <v>a</v>
          </cell>
          <cell r="AC23">
            <v>16063</v>
          </cell>
          <cell r="AE23">
            <v>55225.830945845395</v>
          </cell>
          <cell r="AF23" t="str">
            <v>e</v>
          </cell>
          <cell r="AG23">
            <v>0.70913973180862733</v>
          </cell>
          <cell r="AJ23">
            <v>1988</v>
          </cell>
          <cell r="AK23">
            <v>16063</v>
          </cell>
          <cell r="AL23" t="str">
            <v>weir</v>
          </cell>
          <cell r="AM23">
            <v>27250.084760056034</v>
          </cell>
          <cell r="AN23">
            <v>0.35059288382963338</v>
          </cell>
          <cell r="AO23">
            <v>50475.636487891206</v>
          </cell>
          <cell r="AP23">
            <v>0.64940711617036662</v>
          </cell>
          <cell r="AQ23">
            <v>77725.721247947236</v>
          </cell>
          <cell r="AR23">
            <v>4.838804784159076</v>
          </cell>
          <cell r="AT23">
            <v>1988</v>
          </cell>
          <cell r="AU23">
            <v>16063</v>
          </cell>
          <cell r="AV23" t="str">
            <v>weir</v>
          </cell>
          <cell r="AW23">
            <v>0</v>
          </cell>
          <cell r="AX23">
            <v>75336.770877449555</v>
          </cell>
          <cell r="AY23">
            <v>75336.770877449555</v>
          </cell>
          <cell r="AZ23">
            <v>4.6900809859583861</v>
          </cell>
          <cell r="BB23">
            <v>1988</v>
          </cell>
          <cell r="BC23">
            <v>16063</v>
          </cell>
          <cell r="BD23" t="str">
            <v>weir</v>
          </cell>
          <cell r="BE23">
            <v>41288.00721220611</v>
          </cell>
          <cell r="BF23">
            <v>37668.385438724777</v>
          </cell>
          <cell r="BG23">
            <v>78956.39265093088</v>
          </cell>
          <cell r="BH23">
            <v>4.9154200741412488</v>
          </cell>
        </row>
        <row r="24">
          <cell r="A24">
            <v>1989</v>
          </cell>
          <cell r="B24">
            <v>14129</v>
          </cell>
          <cell r="C24">
            <v>0.75</v>
          </cell>
          <cell r="D24">
            <v>10597</v>
          </cell>
          <cell r="L24">
            <v>6862</v>
          </cell>
          <cell r="N24">
            <v>17459</v>
          </cell>
          <cell r="P24">
            <v>0.60696488916891</v>
          </cell>
          <cell r="R24">
            <v>3532</v>
          </cell>
          <cell r="S24">
            <v>0.20213727138146886</v>
          </cell>
          <cell r="U24">
            <v>0.1366699881613514</v>
          </cell>
          <cell r="V24" t="str">
            <v>d</v>
          </cell>
          <cell r="W24">
            <v>13941.274353914127</v>
          </cell>
          <cell r="X24" t="str">
            <v>b</v>
          </cell>
          <cell r="Y24">
            <v>0.79786272861853114</v>
          </cell>
          <cell r="Z24">
            <v>0.53945464351743933</v>
          </cell>
          <cell r="AA24" t="str">
            <v>a</v>
          </cell>
          <cell r="AB24">
            <v>814</v>
          </cell>
          <cell r="AC24">
            <v>8370</v>
          </cell>
          <cell r="AE24">
            <v>25843.274353914127</v>
          </cell>
          <cell r="AF24" t="str">
            <v>e</v>
          </cell>
          <cell r="AG24">
            <v>0.67612463167879067</v>
          </cell>
          <cell r="AJ24">
            <v>1989</v>
          </cell>
          <cell r="AK24">
            <v>8370</v>
          </cell>
          <cell r="AL24" t="str">
            <v>weir</v>
          </cell>
          <cell r="AM24">
            <v>24861.134389558356</v>
          </cell>
          <cell r="AN24">
            <v>0.3431271830795945</v>
          </cell>
          <cell r="AO24">
            <v>47593.441101743854</v>
          </cell>
          <cell r="AP24">
            <v>0.65687281692040544</v>
          </cell>
          <cell r="AQ24">
            <v>72454.57549130221</v>
          </cell>
          <cell r="AR24">
            <v>8.6564606321746957</v>
          </cell>
          <cell r="AT24">
            <v>1989</v>
          </cell>
          <cell r="AU24">
            <v>8370</v>
          </cell>
          <cell r="AV24" t="str">
            <v>weir</v>
          </cell>
          <cell r="AW24">
            <v>0</v>
          </cell>
          <cell r="AX24">
            <v>71034.986719020671</v>
          </cell>
          <cell r="AY24">
            <v>71034.986719020671</v>
          </cell>
          <cell r="AZ24">
            <v>8.4868562388316207</v>
          </cell>
          <cell r="BB24">
            <v>1989</v>
          </cell>
          <cell r="BC24">
            <v>8370</v>
          </cell>
          <cell r="BD24" t="str">
            <v>weir</v>
          </cell>
          <cell r="BE24">
            <v>37668.385438724777</v>
          </cell>
          <cell r="BF24">
            <v>35517.493359510336</v>
          </cell>
          <cell r="BG24">
            <v>73185.87879823512</v>
          </cell>
          <cell r="BH24">
            <v>8.7438325923817342</v>
          </cell>
        </row>
        <row r="25">
          <cell r="A25">
            <v>1990</v>
          </cell>
          <cell r="B25">
            <v>7497</v>
          </cell>
          <cell r="C25">
            <v>0.29899999999999999</v>
          </cell>
          <cell r="D25">
            <v>2242</v>
          </cell>
          <cell r="L25">
            <v>3370</v>
          </cell>
          <cell r="N25">
            <v>5612</v>
          </cell>
          <cell r="P25">
            <v>0.39950106913756239</v>
          </cell>
          <cell r="R25">
            <v>5255</v>
          </cell>
          <cell r="S25">
            <v>0.21692617071453324</v>
          </cell>
          <cell r="U25">
            <v>0.1494390767715873</v>
          </cell>
          <cell r="V25" t="str">
            <v>d</v>
          </cell>
          <cell r="W25">
            <v>18969.831806556824</v>
          </cell>
          <cell r="X25" t="str">
            <v>b</v>
          </cell>
          <cell r="Y25">
            <v>0.78307382928546676</v>
          </cell>
          <cell r="Z25">
            <v>0.53945464351743933</v>
          </cell>
          <cell r="AA25" t="str">
            <v>a</v>
          </cell>
          <cell r="AC25">
            <v>10940</v>
          </cell>
          <cell r="AE25">
            <v>35164.831806556824</v>
          </cell>
          <cell r="AF25" t="str">
            <v>e</v>
          </cell>
          <cell r="AG25">
            <v>0.68889372028902662</v>
          </cell>
          <cell r="AJ25">
            <v>1990</v>
          </cell>
          <cell r="AK25">
            <v>10940</v>
          </cell>
          <cell r="AL25" t="str">
            <v>weir</v>
          </cell>
          <cell r="AM25">
            <v>23441.545617276824</v>
          </cell>
          <cell r="AN25">
            <v>0.26987048349603199</v>
          </cell>
          <cell r="AO25">
            <v>63420.660703339541</v>
          </cell>
          <cell r="AP25">
            <v>0.73012951650396807</v>
          </cell>
          <cell r="AQ25">
            <v>86862.206320616358</v>
          </cell>
          <cell r="AR25">
            <v>7.9398726070033234</v>
          </cell>
          <cell r="AT25">
            <v>1990</v>
          </cell>
          <cell r="AU25">
            <v>10940</v>
          </cell>
          <cell r="AV25" t="str">
            <v>weir</v>
          </cell>
          <cell r="AW25">
            <v>0</v>
          </cell>
          <cell r="AX25">
            <v>94657.702542297819</v>
          </cell>
          <cell r="AY25">
            <v>94657.702542297819</v>
          </cell>
          <cell r="AZ25">
            <v>8.6524408173946821</v>
          </cell>
          <cell r="BB25">
            <v>1990</v>
          </cell>
          <cell r="BC25">
            <v>10940</v>
          </cell>
          <cell r="BD25" t="str">
            <v>weir</v>
          </cell>
          <cell r="BE25">
            <v>35517.493359510336</v>
          </cell>
          <cell r="BF25">
            <v>47328.851271148909</v>
          </cell>
          <cell r="BG25">
            <v>82846.344630659238</v>
          </cell>
          <cell r="BH25">
            <v>7.5727920137714113</v>
          </cell>
        </row>
        <row r="26">
          <cell r="A26">
            <v>1991</v>
          </cell>
          <cell r="B26">
            <v>16450</v>
          </cell>
          <cell r="C26">
            <v>0.46800000000000003</v>
          </cell>
          <cell r="D26">
            <v>7699</v>
          </cell>
          <cell r="L26">
            <v>8322</v>
          </cell>
          <cell r="N26">
            <v>16021</v>
          </cell>
          <cell r="P26">
            <v>0.48055676924037199</v>
          </cell>
          <cell r="R26">
            <v>8751</v>
          </cell>
          <cell r="S26">
            <v>0.16419306211628401</v>
          </cell>
          <cell r="U26">
            <v>0.10597508321269757</v>
          </cell>
          <cell r="V26" t="str">
            <v>d</v>
          </cell>
          <cell r="W26">
            <v>44546.01442441222</v>
          </cell>
          <cell r="X26" t="str">
            <v>b</v>
          </cell>
          <cell r="Y26">
            <v>0.83580693788371596</v>
          </cell>
          <cell r="Z26">
            <v>0.53945464351743933</v>
          </cell>
          <cell r="AA26" t="str">
            <v>a</v>
          </cell>
          <cell r="AB26">
            <v>5254</v>
          </cell>
          <cell r="AC26">
            <v>29279</v>
          </cell>
          <cell r="AE26">
            <v>82576.01442441222</v>
          </cell>
          <cell r="AF26" t="str">
            <v>e</v>
          </cell>
          <cell r="AG26">
            <v>0.64542972673013688</v>
          </cell>
          <cell r="AJ26">
            <v>1991</v>
          </cell>
          <cell r="AK26">
            <v>29279</v>
          </cell>
          <cell r="AL26" t="str">
            <v>weir</v>
          </cell>
          <cell r="AM26">
            <v>31237.041838958281</v>
          </cell>
          <cell r="AN26">
            <v>0.46284020261600006</v>
          </cell>
          <cell r="AO26">
            <v>36252.864315270941</v>
          </cell>
          <cell r="AP26">
            <v>0.53715979738399999</v>
          </cell>
          <cell r="AQ26">
            <v>67489.906154229218</v>
          </cell>
          <cell r="AR26">
            <v>2.3050618584729401</v>
          </cell>
          <cell r="AT26">
            <v>1991</v>
          </cell>
          <cell r="AU26">
            <v>29279</v>
          </cell>
          <cell r="AV26" t="str">
            <v>weir</v>
          </cell>
          <cell r="AW26">
            <v>0</v>
          </cell>
          <cell r="AX26">
            <v>54108.752709359607</v>
          </cell>
          <cell r="AY26">
            <v>54108.752709359607</v>
          </cell>
          <cell r="AZ26">
            <v>1.8480396430670312</v>
          </cell>
          <cell r="BB26">
            <v>1991</v>
          </cell>
          <cell r="BC26">
            <v>29279</v>
          </cell>
          <cell r="BD26" t="str">
            <v>weir</v>
          </cell>
          <cell r="BE26">
            <v>47328.851271148909</v>
          </cell>
          <cell r="BF26">
            <v>27054.376354679804</v>
          </cell>
          <cell r="BG26">
            <v>74383.227625828717</v>
          </cell>
          <cell r="BH26">
            <v>2.5404975451971965</v>
          </cell>
        </row>
        <row r="27">
          <cell r="A27">
            <v>1992</v>
          </cell>
          <cell r="B27">
            <v>20033</v>
          </cell>
          <cell r="C27">
            <v>0.17</v>
          </cell>
          <cell r="D27">
            <v>3406</v>
          </cell>
          <cell r="L27">
            <v>2324</v>
          </cell>
          <cell r="N27">
            <v>5730</v>
          </cell>
          <cell r="P27">
            <v>0.59441535776614307</v>
          </cell>
          <cell r="R27">
            <v>16627</v>
          </cell>
          <cell r="S27">
            <v>0.29033782431624638</v>
          </cell>
          <cell r="U27">
            <v>0.22070231848730507</v>
          </cell>
          <cell r="V27" t="str">
            <v>d</v>
          </cell>
          <cell r="W27">
            <v>40640.770877449555</v>
          </cell>
          <cell r="X27" t="str">
            <v>b</v>
          </cell>
          <cell r="Y27">
            <v>0.70966217568375356</v>
          </cell>
          <cell r="Z27">
            <v>0.53945464351743933</v>
          </cell>
          <cell r="AA27" t="str">
            <v>a</v>
          </cell>
          <cell r="AC27">
            <v>18069</v>
          </cell>
          <cell r="AE27">
            <v>75336.770877449555</v>
          </cell>
          <cell r="AF27" t="str">
            <v>e</v>
          </cell>
          <cell r="AG27">
            <v>0.76015696200474436</v>
          </cell>
          <cell r="AJ27">
            <v>1992</v>
          </cell>
          <cell r="AK27">
            <v>18069</v>
          </cell>
          <cell r="AL27" t="str">
            <v>weir</v>
          </cell>
          <cell r="AM27">
            <v>17855.88839408867</v>
          </cell>
          <cell r="AN27">
            <v>0.29407203115050262</v>
          </cell>
          <cell r="AO27">
            <v>42863.549371654641</v>
          </cell>
          <cell r="AP27">
            <v>0.70592796884949749</v>
          </cell>
          <cell r="AQ27">
            <v>60719.437765743307</v>
          </cell>
          <cell r="AR27">
            <v>3.3604204862329574</v>
          </cell>
          <cell r="AT27">
            <v>1992</v>
          </cell>
          <cell r="AU27">
            <v>18069</v>
          </cell>
          <cell r="AV27" t="str">
            <v>weir</v>
          </cell>
          <cell r="AW27">
            <v>0</v>
          </cell>
          <cell r="AX27">
            <v>63975.446823365135</v>
          </cell>
          <cell r="AY27">
            <v>63975.446823365135</v>
          </cell>
          <cell r="AZ27">
            <v>3.5406191169054808</v>
          </cell>
          <cell r="BB27">
            <v>1992</v>
          </cell>
          <cell r="BC27">
            <v>18069</v>
          </cell>
          <cell r="BD27" t="str">
            <v>weir</v>
          </cell>
          <cell r="BE27">
            <v>27054.376354679804</v>
          </cell>
          <cell r="BF27">
            <v>31987.723411682568</v>
          </cell>
          <cell r="BG27">
            <v>59042.099766362371</v>
          </cell>
          <cell r="BH27">
            <v>3.2675908886137788</v>
          </cell>
        </row>
        <row r="28">
          <cell r="A28">
            <v>1993</v>
          </cell>
          <cell r="B28">
            <v>27610</v>
          </cell>
          <cell r="C28">
            <v>0.27900000000000003</v>
          </cell>
          <cell r="D28">
            <v>7703</v>
          </cell>
          <cell r="E28">
            <v>0.41514416599299381</v>
          </cell>
          <cell r="F28">
            <v>0.2734469293574725</v>
          </cell>
          <cell r="H28">
            <v>10852</v>
          </cell>
          <cell r="I28">
            <v>0.58485583400700625</v>
          </cell>
          <cell r="J28">
            <v>0.38523251686190985</v>
          </cell>
          <cell r="L28">
            <v>9615</v>
          </cell>
          <cell r="N28">
            <v>28170</v>
          </cell>
          <cell r="P28">
            <v>0.65867944621938235</v>
          </cell>
          <cell r="R28">
            <v>19907</v>
          </cell>
          <cell r="S28">
            <v>0.42111621240556169</v>
          </cell>
          <cell r="U28">
            <v>0.28024218655438426</v>
          </cell>
          <cell r="W28">
            <v>27364.986719020671</v>
          </cell>
          <cell r="Y28">
            <v>0.57888378759443837</v>
          </cell>
          <cell r="Z28">
            <v>0.38523251686190985</v>
          </cell>
          <cell r="AA28" t="str">
            <v>c</v>
          </cell>
          <cell r="AC28">
            <v>23763</v>
          </cell>
          <cell r="AE28">
            <v>71034.986719020671</v>
          </cell>
          <cell r="AG28">
            <v>0.66547470341629411</v>
          </cell>
          <cell r="AJ28">
            <v>1993</v>
          </cell>
          <cell r="AK28">
            <v>23763</v>
          </cell>
          <cell r="AL28" t="str">
            <v>weir</v>
          </cell>
          <cell r="AM28">
            <v>21111.897451710494</v>
          </cell>
          <cell r="AN28">
            <v>0.45121435378088026</v>
          </cell>
          <cell r="AO28">
            <v>25677.166935994919</v>
          </cell>
          <cell r="AP28">
            <v>0.54878564621911985</v>
          </cell>
          <cell r="AQ28">
            <v>46789.06438770541</v>
          </cell>
          <cell r="AR28">
            <v>1.9689881070447928</v>
          </cell>
          <cell r="AT28">
            <v>1993</v>
          </cell>
          <cell r="AU28">
            <v>23763</v>
          </cell>
          <cell r="AV28" t="str">
            <v>weir</v>
          </cell>
          <cell r="AW28">
            <v>0</v>
          </cell>
          <cell r="AX28">
            <v>38324.129755216294</v>
          </cell>
          <cell r="AY28">
            <v>38324.129755216294</v>
          </cell>
          <cell r="AZ28">
            <v>1.6127647921228925</v>
          </cell>
          <cell r="BB28">
            <v>1992</v>
          </cell>
          <cell r="BC28">
            <v>23763</v>
          </cell>
          <cell r="BD28" t="str">
            <v>weir</v>
          </cell>
          <cell r="BE28">
            <v>31987.723411682568</v>
          </cell>
          <cell r="BF28">
            <v>19162.064877608147</v>
          </cell>
          <cell r="BG28">
            <v>51149.788289290715</v>
          </cell>
          <cell r="BH28">
            <v>2.1524970874591052</v>
          </cell>
        </row>
        <row r="29">
          <cell r="A29">
            <v>1994</v>
          </cell>
          <cell r="B29">
            <v>17665</v>
          </cell>
          <cell r="C29">
            <v>0.34899999999999998</v>
          </cell>
          <cell r="D29">
            <v>6165</v>
          </cell>
          <cell r="E29">
            <v>0.23598086124401915</v>
          </cell>
          <cell r="F29">
            <v>0.19728631316202119</v>
          </cell>
          <cell r="H29">
            <v>19960</v>
          </cell>
          <cell r="I29">
            <v>0.76401913875598082</v>
          </cell>
          <cell r="J29">
            <v>0.63874043969407024</v>
          </cell>
          <cell r="L29">
            <v>5124</v>
          </cell>
          <cell r="N29">
            <v>31249</v>
          </cell>
          <cell r="P29">
            <v>0.8360267528560914</v>
          </cell>
          <cell r="R29">
            <v>11500</v>
          </cell>
          <cell r="S29">
            <v>0.15980722514507634</v>
          </cell>
          <cell r="U29">
            <v>0.12149037733998691</v>
          </cell>
          <cell r="W29">
            <v>60461.702542297819</v>
          </cell>
          <cell r="Y29">
            <v>0.84019277485492361</v>
          </cell>
          <cell r="Z29">
            <v>0.63874043969407024</v>
          </cell>
          <cell r="AA29" t="str">
            <v>c</v>
          </cell>
          <cell r="AB29">
            <v>6979</v>
          </cell>
          <cell r="AC29">
            <v>22696</v>
          </cell>
          <cell r="AE29">
            <v>94657.702542297819</v>
          </cell>
          <cell r="AG29">
            <v>0.76023081703405715</v>
          </cell>
          <cell r="AJ29">
            <v>1994</v>
          </cell>
          <cell r="AK29">
            <v>22696</v>
          </cell>
          <cell r="AL29" t="str">
            <v>weir</v>
          </cell>
          <cell r="AM29">
            <v>12646.962819221377</v>
          </cell>
          <cell r="AN29">
            <v>0.31752648607728051</v>
          </cell>
          <cell r="AO29">
            <v>27182.668325763872</v>
          </cell>
          <cell r="AP29">
            <v>0.68247351392271949</v>
          </cell>
          <cell r="AQ29">
            <v>39829.631144985251</v>
          </cell>
          <cell r="AR29">
            <v>1.7549185382880355</v>
          </cell>
          <cell r="AT29">
            <v>1994</v>
          </cell>
          <cell r="AU29">
            <v>22696</v>
          </cell>
          <cell r="AV29" t="str">
            <v>weir</v>
          </cell>
          <cell r="AW29">
            <v>0</v>
          </cell>
          <cell r="AX29">
            <v>40571.14675487145</v>
          </cell>
          <cell r="AY29">
            <v>40571.14675487145</v>
          </cell>
          <cell r="AZ29">
            <v>1.7875901813038177</v>
          </cell>
          <cell r="BB29">
            <v>1992</v>
          </cell>
          <cell r="BC29">
            <v>22696</v>
          </cell>
          <cell r="BD29" t="str">
            <v>weir</v>
          </cell>
          <cell r="BE29">
            <v>19162.064877608147</v>
          </cell>
          <cell r="BF29">
            <v>20285.573377435725</v>
          </cell>
          <cell r="BG29">
            <v>39447.638255043872</v>
          </cell>
          <cell r="BH29">
            <v>1.7380876918859656</v>
          </cell>
        </row>
        <row r="30">
          <cell r="A30">
            <v>1995</v>
          </cell>
          <cell r="B30">
            <v>14451</v>
          </cell>
          <cell r="C30">
            <v>0.20699999999999999</v>
          </cell>
          <cell r="D30">
            <v>2991</v>
          </cell>
          <cell r="E30">
            <v>0.33900034002040125</v>
          </cell>
          <cell r="F30">
            <v>0.30236554791750908</v>
          </cell>
          <cell r="H30">
            <v>5832</v>
          </cell>
          <cell r="I30">
            <v>0.66099965997959875</v>
          </cell>
          <cell r="J30">
            <v>0.58956732713303683</v>
          </cell>
          <cell r="L30">
            <v>1069</v>
          </cell>
          <cell r="N30">
            <v>9892</v>
          </cell>
          <cell r="P30">
            <v>0.89193287505054586</v>
          </cell>
          <cell r="R30">
            <v>11460</v>
          </cell>
          <cell r="S30">
            <v>0.26429430496316797</v>
          </cell>
          <cell r="U30">
            <v>0.21179567863181728</v>
          </cell>
          <cell r="W30">
            <v>31900.752709359607</v>
          </cell>
          <cell r="Y30">
            <v>0.73570569503683203</v>
          </cell>
          <cell r="Z30">
            <v>0.58956732713303683</v>
          </cell>
          <cell r="AA30" t="str">
            <v>c</v>
          </cell>
          <cell r="AC30">
            <v>10748</v>
          </cell>
          <cell r="AE30">
            <v>54108.752709359607</v>
          </cell>
          <cell r="AG30">
            <v>0.80136300576485409</v>
          </cell>
          <cell r="AJ30">
            <v>1995</v>
          </cell>
          <cell r="AK30">
            <v>10748</v>
          </cell>
          <cell r="AL30" t="str">
            <v>weir</v>
          </cell>
          <cell r="AM30">
            <v>13388.478429107579</v>
          </cell>
          <cell r="AN30">
            <v>0.43649179048756515</v>
          </cell>
          <cell r="AO30">
            <v>17284.443080258112</v>
          </cell>
          <cell r="AP30">
            <v>0.56350820951243485</v>
          </cell>
          <cell r="AQ30">
            <v>30672.921509365689</v>
          </cell>
          <cell r="AR30">
            <v>2.8538259684932723</v>
          </cell>
          <cell r="AT30">
            <v>1995</v>
          </cell>
          <cell r="AU30">
            <v>10748</v>
          </cell>
          <cell r="AV30" t="str">
            <v>weir</v>
          </cell>
          <cell r="AW30">
            <v>0</v>
          </cell>
          <cell r="AX30">
            <v>0</v>
          </cell>
          <cell r="AY30">
            <v>0</v>
          </cell>
          <cell r="AZ30">
            <v>0</v>
          </cell>
          <cell r="BB30">
            <v>1992</v>
          </cell>
          <cell r="BC30">
            <v>10748</v>
          </cell>
          <cell r="BD30" t="str">
            <v>weir</v>
          </cell>
          <cell r="BE30">
            <v>20285.573377435725</v>
          </cell>
          <cell r="BF30">
            <v>0</v>
          </cell>
          <cell r="BG30">
            <v>20285.573377435725</v>
          </cell>
          <cell r="BH30">
            <v>1.8873812223144515</v>
          </cell>
        </row>
        <row r="31">
          <cell r="A31">
            <v>1996</v>
          </cell>
          <cell r="B31">
            <v>16753</v>
          </cell>
          <cell r="C31">
            <v>0.23</v>
          </cell>
          <cell r="D31">
            <v>3853</v>
          </cell>
          <cell r="E31">
            <v>0.42882582081246523</v>
          </cell>
          <cell r="F31">
            <v>0.40863294092692759</v>
          </cell>
          <cell r="H31">
            <v>5132</v>
          </cell>
          <cell r="I31">
            <v>0.57117417918753477</v>
          </cell>
          <cell r="J31">
            <v>0.54427829038074027</v>
          </cell>
          <cell r="L31">
            <v>444</v>
          </cell>
          <cell r="N31">
            <v>9429</v>
          </cell>
          <cell r="P31">
            <v>0.95291123130766786</v>
          </cell>
          <cell r="R31">
            <v>12900</v>
          </cell>
          <cell r="S31">
            <v>0.27032437579113017</v>
          </cell>
          <cell r="U31">
            <v>0.2016398577975802</v>
          </cell>
          <cell r="W31">
            <v>34820.446823365135</v>
          </cell>
          <cell r="Y31">
            <v>0.72967562420886989</v>
          </cell>
          <cell r="Z31">
            <v>0.54427829038074027</v>
          </cell>
          <cell r="AA31" t="str">
            <v>c</v>
          </cell>
          <cell r="AC31">
            <v>16255</v>
          </cell>
          <cell r="AE31">
            <v>63975.446823365135</v>
          </cell>
          <cell r="AG31">
            <v>0.74591814817832047</v>
          </cell>
          <cell r="AJ31">
            <v>1996</v>
          </cell>
          <cell r="AK31">
            <v>16255</v>
          </cell>
          <cell r="AL31" t="str">
            <v>weir</v>
          </cell>
          <cell r="AT31">
            <v>1996</v>
          </cell>
          <cell r="AU31">
            <v>16255</v>
          </cell>
          <cell r="AV31" t="str">
            <v>weir</v>
          </cell>
          <cell r="AW31">
            <v>0</v>
          </cell>
          <cell r="AY31">
            <v>0</v>
          </cell>
          <cell r="AZ31">
            <v>0</v>
          </cell>
          <cell r="BB31">
            <v>1992</v>
          </cell>
          <cell r="BC31">
            <v>16255</v>
          </cell>
          <cell r="BD31" t="str">
            <v>weir</v>
          </cell>
          <cell r="BH31">
            <v>0</v>
          </cell>
        </row>
        <row r="32">
          <cell r="A32">
            <v>1997</v>
          </cell>
          <cell r="B32">
            <v>7756</v>
          </cell>
          <cell r="C32">
            <v>0</v>
          </cell>
          <cell r="D32">
            <v>0</v>
          </cell>
          <cell r="E32">
            <v>0</v>
          </cell>
          <cell r="F32">
            <v>0</v>
          </cell>
          <cell r="H32">
            <v>0</v>
          </cell>
          <cell r="I32">
            <v>0</v>
          </cell>
          <cell r="J32">
            <v>0</v>
          </cell>
          <cell r="L32">
            <v>0</v>
          </cell>
          <cell r="N32">
            <v>0</v>
          </cell>
          <cell r="P32">
            <v>0</v>
          </cell>
          <cell r="R32">
            <v>7756</v>
          </cell>
          <cell r="S32">
            <v>0.27280916642939157</v>
          </cell>
          <cell r="U32">
            <v>0.20237902463902213</v>
          </cell>
          <cell r="W32">
            <v>20674.129755216294</v>
          </cell>
          <cell r="X32" t="str">
            <v>b</v>
          </cell>
          <cell r="Y32">
            <v>0.72719083357060843</v>
          </cell>
          <cell r="Z32">
            <v>0.53945464351743933</v>
          </cell>
          <cell r="AA32" t="str">
            <v>a</v>
          </cell>
          <cell r="AC32">
            <v>9894</v>
          </cell>
          <cell r="AE32">
            <v>38324.129755216294</v>
          </cell>
          <cell r="AF32" t="str">
            <v>e</v>
          </cell>
          <cell r="AG32">
            <v>0.74183366815646146</v>
          </cell>
          <cell r="AJ32">
            <v>1997</v>
          </cell>
          <cell r="AK32">
            <v>9894</v>
          </cell>
          <cell r="AL32" t="str">
            <v>weir</v>
          </cell>
        </row>
        <row r="33">
          <cell r="A33">
            <v>1998</v>
          </cell>
          <cell r="B33">
            <v>14469</v>
          </cell>
          <cell r="C33">
            <v>0</v>
          </cell>
          <cell r="D33">
            <v>0</v>
          </cell>
          <cell r="E33">
            <v>0</v>
          </cell>
          <cell r="F33">
            <v>0</v>
          </cell>
          <cell r="H33">
            <v>0</v>
          </cell>
          <cell r="I33">
            <v>0</v>
          </cell>
          <cell r="J33">
            <v>0</v>
          </cell>
          <cell r="L33">
            <v>0</v>
          </cell>
          <cell r="N33">
            <v>0</v>
          </cell>
          <cell r="P33">
            <v>0</v>
          </cell>
          <cell r="R33">
            <v>14469</v>
          </cell>
          <cell r="S33">
            <v>0.56937338429412021</v>
          </cell>
          <cell r="U33">
            <v>0.35663275892645752</v>
          </cell>
          <cell r="W33">
            <v>10943.146754871446</v>
          </cell>
          <cell r="X33" t="str">
            <v>b</v>
          </cell>
          <cell r="Y33">
            <v>0.43062661570587979</v>
          </cell>
          <cell r="Z33">
            <v>0.26972732175871966</v>
          </cell>
          <cell r="AA33" t="str">
            <v>g</v>
          </cell>
          <cell r="AC33">
            <v>15159</v>
          </cell>
          <cell r="AE33">
            <v>40571.14675487145</v>
          </cell>
          <cell r="AF33" t="str">
            <v>g</v>
          </cell>
          <cell r="AG33">
            <v>0.62636008068517723</v>
          </cell>
          <cell r="AJ33">
            <v>1998</v>
          </cell>
          <cell r="AK33">
            <v>15159</v>
          </cell>
          <cell r="AL33" t="str">
            <v>weir</v>
          </cell>
        </row>
        <row r="34">
          <cell r="A34">
            <v>1999</v>
          </cell>
          <cell r="B34">
            <v>8864</v>
          </cell>
          <cell r="C34">
            <v>0</v>
          </cell>
          <cell r="D34">
            <v>0</v>
          </cell>
          <cell r="E34">
            <v>0</v>
          </cell>
          <cell r="F34">
            <v>0</v>
          </cell>
          <cell r="H34">
            <v>0</v>
          </cell>
          <cell r="I34">
            <v>0</v>
          </cell>
          <cell r="J34">
            <v>0</v>
          </cell>
          <cell r="L34">
            <v>0</v>
          </cell>
          <cell r="N34">
            <v>0</v>
          </cell>
          <cell r="P34">
            <v>0</v>
          </cell>
          <cell r="R34">
            <v>8864</v>
          </cell>
          <cell r="S34">
            <v>0.38910170650468373</v>
          </cell>
          <cell r="U34">
            <v>0.34359683863828111</v>
          </cell>
          <cell r="W34">
            <v>13916.676239191209</v>
          </cell>
          <cell r="Y34">
            <v>0.61089829349531632</v>
          </cell>
          <cell r="Z34">
            <v>0.53945464351743933</v>
          </cell>
          <cell r="AC34">
            <v>3017</v>
          </cell>
          <cell r="AE34">
            <v>25797.676239191209</v>
          </cell>
          <cell r="AG34">
            <v>0.88305148215572049</v>
          </cell>
          <cell r="AJ34">
            <v>1999</v>
          </cell>
          <cell r="AK34">
            <v>3017</v>
          </cell>
          <cell r="AL34" t="str">
            <v>weir</v>
          </cell>
        </row>
        <row r="35">
          <cell r="A35">
            <v>2000</v>
          </cell>
          <cell r="B35">
            <v>31517</v>
          </cell>
          <cell r="L35">
            <v>0</v>
          </cell>
          <cell r="W35">
            <v>18080.785660142705</v>
          </cell>
          <cell r="Z35">
            <v>0.53945464351743933</v>
          </cell>
          <cell r="AC35">
            <v>15436</v>
          </cell>
          <cell r="AE35">
            <v>33516.785660142705</v>
          </cell>
        </row>
        <row r="36">
          <cell r="A36" t="str">
            <v>1993-1999</v>
          </cell>
          <cell r="AT36" t="str">
            <v>1981-1994</v>
          </cell>
          <cell r="BB36" t="str">
            <v>1981-1994</v>
          </cell>
        </row>
        <row r="37">
          <cell r="A37" t="str">
            <v>mean</v>
          </cell>
          <cell r="B37">
            <v>19119.75</v>
          </cell>
          <cell r="C37">
            <v>0.26624999999999999</v>
          </cell>
          <cell r="D37">
            <v>5178</v>
          </cell>
          <cell r="E37">
            <v>0.35473779701746988</v>
          </cell>
          <cell r="F37">
            <v>0.2954329328409826</v>
          </cell>
          <cell r="H37">
            <v>10444</v>
          </cell>
          <cell r="I37">
            <v>0.64526220298253012</v>
          </cell>
          <cell r="J37">
            <v>0.53945464351743933</v>
          </cell>
          <cell r="L37">
            <v>4063</v>
          </cell>
          <cell r="N37">
            <v>19685</v>
          </cell>
          <cell r="P37">
            <v>0.83488757635842192</v>
          </cell>
          <cell r="R37">
            <v>12704.6</v>
          </cell>
          <cell r="S37">
            <v>0.27888552957623403</v>
          </cell>
          <cell r="U37">
            <v>0.20379202508094216</v>
          </cell>
          <cell r="W37">
            <v>38636.972198510812</v>
          </cell>
          <cell r="Y37">
            <v>0.72111447042376597</v>
          </cell>
          <cell r="Z37">
            <v>0.53945464351743933</v>
          </cell>
          <cell r="AB37">
            <v>6979</v>
          </cell>
          <cell r="AC37">
            <v>18365.5</v>
          </cell>
          <cell r="AE37">
            <v>70944.222198510804</v>
          </cell>
          <cell r="AG37">
            <v>0.7432466685983814</v>
          </cell>
          <cell r="AT37" t="str">
            <v>average</v>
          </cell>
          <cell r="AU37">
            <v>14660.678571428571</v>
          </cell>
          <cell r="AW37">
            <v>0</v>
          </cell>
          <cell r="AX37">
            <v>54937.893066860539</v>
          </cell>
          <cell r="AY37">
            <v>54937.893066860539</v>
          </cell>
          <cell r="AZ37">
            <v>6.0961420979447496</v>
          </cell>
          <cell r="BB37" t="str">
            <v>average</v>
          </cell>
          <cell r="BC37">
            <v>14660.678571428571</v>
          </cell>
          <cell r="BE37">
            <v>28847.4478583624</v>
          </cell>
          <cell r="BF37">
            <v>27468.946533430269</v>
          </cell>
          <cell r="BG37">
            <v>56316.394391792659</v>
          </cell>
          <cell r="BH37">
            <v>5.9046573496882404</v>
          </cell>
        </row>
        <row r="38">
          <cell r="A38" t="str">
            <v>median</v>
          </cell>
          <cell r="B38">
            <v>17209</v>
          </cell>
          <cell r="C38">
            <v>0.2545</v>
          </cell>
          <cell r="D38">
            <v>5009</v>
          </cell>
          <cell r="E38">
            <v>0.37707225300669756</v>
          </cell>
          <cell r="F38">
            <v>0.28790623863749076</v>
          </cell>
          <cell r="H38">
            <v>8342</v>
          </cell>
          <cell r="I38">
            <v>0.62292774699330256</v>
          </cell>
          <cell r="J38">
            <v>0.5669228087568885</v>
          </cell>
          <cell r="L38">
            <v>3096.5</v>
          </cell>
          <cell r="N38">
            <v>19031</v>
          </cell>
          <cell r="P38">
            <v>0.86397981395331858</v>
          </cell>
          <cell r="R38">
            <v>11500</v>
          </cell>
          <cell r="S38">
            <v>0.26730934037714904</v>
          </cell>
          <cell r="U38">
            <v>0.20671776821469873</v>
          </cell>
          <cell r="W38">
            <v>33360.599766362371</v>
          </cell>
          <cell r="Y38">
            <v>0.73269065962285096</v>
          </cell>
          <cell r="Z38">
            <v>0.5669228087568885</v>
          </cell>
          <cell r="AB38">
            <v>6979</v>
          </cell>
          <cell r="AC38">
            <v>19475.5</v>
          </cell>
          <cell r="AE38">
            <v>67505.216771192907</v>
          </cell>
          <cell r="AG38">
            <v>0.75307448260618881</v>
          </cell>
          <cell r="AT38" t="str">
            <v>median</v>
          </cell>
          <cell r="AU38">
            <v>13501.5</v>
          </cell>
          <cell r="AW38">
            <v>0</v>
          </cell>
          <cell r="AX38">
            <v>54667.291827602501</v>
          </cell>
          <cell r="AY38">
            <v>54667.291827602501</v>
          </cell>
          <cell r="AZ38">
            <v>3.9384762529024693</v>
          </cell>
          <cell r="BB38" t="str">
            <v>median</v>
          </cell>
          <cell r="BC38">
            <v>13501.5</v>
          </cell>
          <cell r="BE38">
            <v>29800.319442302633</v>
          </cell>
          <cell r="BF38">
            <v>27333.645913801251</v>
          </cell>
          <cell r="BG38">
            <v>56187.462615269833</v>
          </cell>
          <cell r="BH38">
            <v>4.1415196818060114</v>
          </cell>
        </row>
        <row r="39">
          <cell r="A39" t="str">
            <v>a</v>
          </cell>
          <cell r="D39" t="str">
            <v>Assumed commercial exploitation rate based on average commercial exploitation rate on hatchery-origin coho salmon returning to the Little Susitna River during 1993-1996</v>
          </cell>
        </row>
        <row r="40">
          <cell r="A40" t="str">
            <v>b</v>
          </cell>
          <cell r="D40" t="str">
            <v>Based on the assumed commercial exploitation rate in footnote "a".</v>
          </cell>
        </row>
        <row r="41">
          <cell r="A41" t="str">
            <v>c</v>
          </cell>
          <cell r="D41" t="str">
            <v>Based on estimated commercial exploitation rate of hatchery-origin salmon.</v>
          </cell>
        </row>
        <row r="42">
          <cell r="A42" t="str">
            <v>d</v>
          </cell>
          <cell r="D42" t="str">
            <v>Based on the assumed total run size.  See footnote "e".</v>
          </cell>
        </row>
        <row r="43">
          <cell r="A43" t="str">
            <v>e</v>
          </cell>
          <cell r="D43" t="str">
            <v>Based on the recreational harvest, escapement count, and the average commercial exploitation rate on hatchery coho salmon returning to the Little Susitna River during 1993-1996.</v>
          </cell>
        </row>
        <row r="44">
          <cell r="A44" t="str">
            <v>f</v>
          </cell>
          <cell r="D44" t="str">
            <v>Assumed recreational harvest based on median catch during 1993-1996.</v>
          </cell>
        </row>
        <row r="52">
          <cell r="A52" t="str">
            <v>Table 26.</v>
          </cell>
          <cell r="D52" t="str">
            <v>Recreational harvest of hatchery and non-hatchery coho salmon and commercial harvest estimates of hatchery coho salmon, Little Susitna River coho salmon stock, 1978-1998.</v>
          </cell>
        </row>
        <row r="53">
          <cell r="C53" t="str">
            <v>Bartlett 98</v>
          </cell>
          <cell r="Z53">
            <v>0.2</v>
          </cell>
          <cell r="AJ53" t="str">
            <v>Table 27</v>
          </cell>
          <cell r="AK53" t="str">
            <v>Estimated total brood year return of wild Little Su coho salmon by age</v>
          </cell>
          <cell r="AT53" t="str">
            <v>Table.28</v>
          </cell>
          <cell r="AU53" t="str">
            <v>Estimated total brood year return of wild Little Su coho salmon by age</v>
          </cell>
          <cell r="BB53" t="str">
            <v>Table 29.</v>
          </cell>
          <cell r="BC53" t="str">
            <v>Estimated total brood year return of wild Little Su coho salmon by age</v>
          </cell>
        </row>
        <row r="54">
          <cell r="C54" t="str">
            <v xml:space="preserve">Proportion </v>
          </cell>
          <cell r="D54" t="str">
            <v>Hatchery-origin coho salmon</v>
          </cell>
          <cell r="R54" t="str">
            <v>Wild-origin coho salmon</v>
          </cell>
          <cell r="AK54" t="str">
            <v>class, 1981-1993.  Return data are based on an assumed age class return</v>
          </cell>
          <cell r="AU54" t="str">
            <v>class, 1981-1993.  Return data are based on an assumed age class return</v>
          </cell>
          <cell r="BC54" t="str">
            <v>class, 1981-1993.  Return data are based on an assumed age class return</v>
          </cell>
        </row>
        <row r="55">
          <cell r="B55" t="str">
            <v>Total SWHS</v>
          </cell>
          <cell r="C55" t="str">
            <v xml:space="preserve">of hatchery </v>
          </cell>
          <cell r="D55" t="str">
            <v>Recreational harvest</v>
          </cell>
          <cell r="H55" t="str">
            <v>Commercial harvest</v>
          </cell>
          <cell r="K55" t="str">
            <v/>
          </cell>
          <cell r="P55" t="str">
            <v>Total</v>
          </cell>
          <cell r="R55" t="str">
            <v>Recreational harvest</v>
          </cell>
          <cell r="W55" t="str">
            <v>Commercial harvest</v>
          </cell>
          <cell r="AA55" t="str">
            <v/>
          </cell>
          <cell r="AB55" t="str">
            <v>Escapement Counts</v>
          </cell>
          <cell r="AG55" t="str">
            <v>Total</v>
          </cell>
          <cell r="AK55" t="str">
            <v>of 0.33:0.67 for age 3 and 4 salmon, respectively.</v>
          </cell>
          <cell r="AU55" t="str">
            <v>of 0.00:1.00 for age 3 and 4 salmon, respectively.</v>
          </cell>
          <cell r="BC55" t="str">
            <v>of 0.50:0.50 for age 3 and 4 salmon, respectively</v>
          </cell>
        </row>
        <row r="56">
          <cell r="B56" t="str">
            <v xml:space="preserve">estimated </v>
          </cell>
          <cell r="C56" t="str">
            <v>salmon in</v>
          </cell>
          <cell r="F56" t="str">
            <v xml:space="preserve">Exploitation </v>
          </cell>
          <cell r="J56" t="str">
            <v xml:space="preserve">Exploitation </v>
          </cell>
          <cell r="L56" t="str">
            <v>Escapement</v>
          </cell>
          <cell r="N56" t="str">
            <v>Total Run</v>
          </cell>
          <cell r="P56" t="str">
            <v>Exploitation</v>
          </cell>
          <cell r="U56" t="str">
            <v xml:space="preserve">Exploitation </v>
          </cell>
          <cell r="Z56" t="str">
            <v xml:space="preserve">Exploitation </v>
          </cell>
          <cell r="AB56" t="str">
            <v>aerial /foot</v>
          </cell>
          <cell r="AC56" t="str">
            <v xml:space="preserve">weir </v>
          </cell>
          <cell r="AE56" t="str">
            <v>Total Run</v>
          </cell>
          <cell r="AG56" t="str">
            <v>Exploitation</v>
          </cell>
          <cell r="AJ56" t="str">
            <v>Brood</v>
          </cell>
          <cell r="AQ56" t="str">
            <v>Total</v>
          </cell>
          <cell r="AR56" t="str">
            <v>Return per</v>
          </cell>
          <cell r="AT56" t="str">
            <v>Brood</v>
          </cell>
          <cell r="AY56" t="str">
            <v>Total</v>
          </cell>
          <cell r="AZ56" t="str">
            <v>Return per</v>
          </cell>
          <cell r="BB56" t="str">
            <v>Brood</v>
          </cell>
          <cell r="BG56" t="str">
            <v>Total</v>
          </cell>
          <cell r="BH56" t="str">
            <v>Return per</v>
          </cell>
        </row>
        <row r="57">
          <cell r="B57" t="str">
            <v>sport harvest</v>
          </cell>
          <cell r="C57" t="str">
            <v>the harvest</v>
          </cell>
          <cell r="D57" t="str">
            <v>number</v>
          </cell>
          <cell r="E57" t="str">
            <v>proportion</v>
          </cell>
          <cell r="F57" t="str">
            <v>Rate</v>
          </cell>
          <cell r="H57" t="str">
            <v>number</v>
          </cell>
          <cell r="I57" t="str">
            <v>proportion</v>
          </cell>
          <cell r="J57" t="str">
            <v>Rate</v>
          </cell>
          <cell r="L57" t="str">
            <v>number</v>
          </cell>
          <cell r="N57" t="str">
            <v>number</v>
          </cell>
          <cell r="P57" t="str">
            <v>Rate</v>
          </cell>
          <cell r="R57" t="str">
            <v>number</v>
          </cell>
          <cell r="S57" t="str">
            <v>proportion</v>
          </cell>
          <cell r="U57" t="str">
            <v>Rate</v>
          </cell>
          <cell r="W57" t="str">
            <v>number</v>
          </cell>
          <cell r="Y57" t="str">
            <v>proportion</v>
          </cell>
          <cell r="Z57" t="str">
            <v>Rate</v>
          </cell>
          <cell r="AB57" t="str">
            <v>survey cnts</v>
          </cell>
          <cell r="AC57" t="str">
            <v>counts</v>
          </cell>
          <cell r="AE57" t="str">
            <v>number</v>
          </cell>
          <cell r="AG57" t="str">
            <v>Rate</v>
          </cell>
          <cell r="AJ57" t="str">
            <v>Year</v>
          </cell>
          <cell r="AK57" t="str">
            <v>Escapement</v>
          </cell>
          <cell r="AM57" t="str">
            <v>Brood year return by age class</v>
          </cell>
          <cell r="AQ57" t="str">
            <v>Return</v>
          </cell>
          <cell r="AR57" t="str">
            <v>Spawner</v>
          </cell>
          <cell r="AT57" t="str">
            <v>Year</v>
          </cell>
          <cell r="AU57" t="str">
            <v>Escapement</v>
          </cell>
          <cell r="AW57" t="str">
            <v>Brood year return by age class</v>
          </cell>
          <cell r="AY57" t="str">
            <v>Return</v>
          </cell>
          <cell r="AZ57" t="str">
            <v>Spawner</v>
          </cell>
          <cell r="BB57" t="str">
            <v>Year</v>
          </cell>
          <cell r="BC57" t="str">
            <v>Escapement</v>
          </cell>
          <cell r="BE57" t="str">
            <v>Brood year return by age class</v>
          </cell>
          <cell r="BG57" t="str">
            <v>Return</v>
          </cell>
          <cell r="BH57" t="str">
            <v>Spawner</v>
          </cell>
        </row>
        <row r="58">
          <cell r="A58">
            <v>1977</v>
          </cell>
        </row>
        <row r="59">
          <cell r="A59">
            <v>1978</v>
          </cell>
          <cell r="B59">
            <v>4865</v>
          </cell>
          <cell r="R59">
            <v>4865</v>
          </cell>
          <cell r="AK59" t="str">
            <v>Counts</v>
          </cell>
          <cell r="AM59">
            <v>3</v>
          </cell>
          <cell r="AO59">
            <v>4</v>
          </cell>
          <cell r="AU59" t="str">
            <v>Counts</v>
          </cell>
          <cell r="AW59">
            <v>3</v>
          </cell>
          <cell r="AX59">
            <v>4</v>
          </cell>
          <cell r="BC59" t="str">
            <v>Counts</v>
          </cell>
          <cell r="BE59">
            <v>3</v>
          </cell>
          <cell r="BF59">
            <v>4</v>
          </cell>
        </row>
        <row r="60">
          <cell r="A60">
            <v>1979</v>
          </cell>
          <cell r="B60">
            <v>3382</v>
          </cell>
          <cell r="R60">
            <v>3382</v>
          </cell>
          <cell r="AM60">
            <v>0.33</v>
          </cell>
          <cell r="AO60">
            <v>0.67</v>
          </cell>
          <cell r="AW60">
            <v>0</v>
          </cell>
          <cell r="AX60">
            <v>1</v>
          </cell>
          <cell r="BE60">
            <v>0.5</v>
          </cell>
          <cell r="BF60">
            <v>0.5</v>
          </cell>
        </row>
        <row r="61">
          <cell r="A61">
            <v>1980</v>
          </cell>
          <cell r="B61">
            <v>6302</v>
          </cell>
          <cell r="R61">
            <v>6302</v>
          </cell>
        </row>
        <row r="62">
          <cell r="A62">
            <v>1981</v>
          </cell>
          <cell r="B62">
            <v>5940</v>
          </cell>
          <cell r="R62">
            <v>5940</v>
          </cell>
          <cell r="S62">
            <v>0.66051373290336923</v>
          </cell>
          <cell r="U62">
            <v>0.66051373290336923</v>
          </cell>
          <cell r="V62" t="str">
            <v>d</v>
          </cell>
          <cell r="W62">
            <v>3053</v>
          </cell>
          <cell r="X62" t="str">
            <v>b</v>
          </cell>
          <cell r="Y62">
            <v>0.33948626709663071</v>
          </cell>
          <cell r="Z62">
            <v>0.33945464351743931</v>
          </cell>
          <cell r="AA62" t="str">
            <v>a</v>
          </cell>
          <cell r="AB62">
            <v>6750</v>
          </cell>
          <cell r="AE62">
            <v>8993</v>
          </cell>
          <cell r="AF62" t="str">
            <v>e</v>
          </cell>
          <cell r="AG62">
            <v>1</v>
          </cell>
          <cell r="AJ62">
            <v>1981</v>
          </cell>
          <cell r="AK62">
            <v>6750</v>
          </cell>
          <cell r="AM62">
            <v>7120.7400000000007</v>
          </cell>
          <cell r="AO62">
            <v>7875.18</v>
          </cell>
          <cell r="AQ62">
            <v>14995.920000000002</v>
          </cell>
          <cell r="AR62">
            <v>2.2216177777777779</v>
          </cell>
          <cell r="AT62">
            <v>1981</v>
          </cell>
          <cell r="AU62">
            <v>6750</v>
          </cell>
          <cell r="AW62">
            <v>0</v>
          </cell>
          <cell r="AX62">
            <v>11754</v>
          </cell>
          <cell r="AY62">
            <v>11754</v>
          </cell>
          <cell r="AZ62">
            <v>1.7413333333333334</v>
          </cell>
          <cell r="BB62">
            <v>1981</v>
          </cell>
          <cell r="BC62">
            <v>6750</v>
          </cell>
          <cell r="BE62">
            <v>10789</v>
          </cell>
          <cell r="BF62">
            <v>5877</v>
          </cell>
          <cell r="BG62">
            <v>16666</v>
          </cell>
          <cell r="BH62">
            <v>2.4690370370370371</v>
          </cell>
        </row>
        <row r="63">
          <cell r="A63">
            <v>1982</v>
          </cell>
          <cell r="B63">
            <v>7116</v>
          </cell>
          <cell r="R63">
            <v>7116</v>
          </cell>
          <cell r="S63">
            <v>0.66054023948760787</v>
          </cell>
          <cell r="U63">
            <v>0.66054023948760787</v>
          </cell>
          <cell r="V63" t="str">
            <v>d</v>
          </cell>
          <cell r="W63">
            <v>3657</v>
          </cell>
          <cell r="X63" t="str">
            <v>b</v>
          </cell>
          <cell r="Y63">
            <v>0.33945976051239207</v>
          </cell>
          <cell r="Z63">
            <v>0.33945464351743931</v>
          </cell>
          <cell r="AA63" t="str">
            <v>a</v>
          </cell>
          <cell r="AB63">
            <v>6800</v>
          </cell>
          <cell r="AE63">
            <v>10773</v>
          </cell>
          <cell r="AF63" t="str">
            <v>e</v>
          </cell>
          <cell r="AG63">
            <v>1</v>
          </cell>
          <cell r="AJ63">
            <v>1982</v>
          </cell>
          <cell r="AK63">
            <v>6800</v>
          </cell>
          <cell r="AM63">
            <v>3878.82</v>
          </cell>
          <cell r="AO63">
            <v>13113.910000000002</v>
          </cell>
          <cell r="AQ63">
            <v>16992.730000000003</v>
          </cell>
          <cell r="AR63">
            <v>2.4989308823529415</v>
          </cell>
          <cell r="AT63">
            <v>1982</v>
          </cell>
          <cell r="AU63">
            <v>6800</v>
          </cell>
          <cell r="AW63">
            <v>0</v>
          </cell>
          <cell r="AX63">
            <v>19573</v>
          </cell>
          <cell r="AY63">
            <v>19573</v>
          </cell>
          <cell r="AZ63">
            <v>2.8783823529411765</v>
          </cell>
          <cell r="BB63">
            <v>1982</v>
          </cell>
          <cell r="BC63">
            <v>6800</v>
          </cell>
          <cell r="BE63">
            <v>5877</v>
          </cell>
          <cell r="BF63">
            <v>9786.5</v>
          </cell>
          <cell r="BG63">
            <v>15663.5</v>
          </cell>
          <cell r="BH63">
            <v>2.303455882352941</v>
          </cell>
        </row>
        <row r="64">
          <cell r="A64">
            <v>1983</v>
          </cell>
          <cell r="B64">
            <v>2835</v>
          </cell>
          <cell r="R64">
            <v>2835</v>
          </cell>
          <cell r="S64">
            <v>0.66053122087604843</v>
          </cell>
          <cell r="U64">
            <v>0.66053122087604843</v>
          </cell>
          <cell r="V64" t="str">
            <v>d</v>
          </cell>
          <cell r="W64">
            <v>1457</v>
          </cell>
          <cell r="X64" t="str">
            <v>b</v>
          </cell>
          <cell r="Y64">
            <v>0.33946877912395151</v>
          </cell>
          <cell r="Z64">
            <v>0.33945464351743931</v>
          </cell>
          <cell r="AA64" t="str">
            <v>a</v>
          </cell>
          <cell r="AB64">
            <v>2666</v>
          </cell>
          <cell r="AE64">
            <v>4292</v>
          </cell>
          <cell r="AF64" t="str">
            <v>e</v>
          </cell>
          <cell r="AG64">
            <v>1</v>
          </cell>
          <cell r="AJ64">
            <v>1983</v>
          </cell>
          <cell r="AK64">
            <v>2666</v>
          </cell>
          <cell r="AM64">
            <v>6459.09</v>
          </cell>
          <cell r="AO64">
            <v>36874.120000000003</v>
          </cell>
          <cell r="AQ64">
            <v>43333.210000000006</v>
          </cell>
          <cell r="AR64">
            <v>16.254017254313581</v>
          </cell>
          <cell r="AT64">
            <v>1983</v>
          </cell>
          <cell r="AU64">
            <v>2666</v>
          </cell>
          <cell r="AW64">
            <v>0</v>
          </cell>
          <cell r="AX64">
            <v>55036</v>
          </cell>
          <cell r="AY64">
            <v>55036</v>
          </cell>
          <cell r="AZ64">
            <v>20.643660915228807</v>
          </cell>
          <cell r="BB64">
            <v>1983</v>
          </cell>
          <cell r="BC64">
            <v>2666</v>
          </cell>
          <cell r="BE64">
            <v>9786.5</v>
          </cell>
          <cell r="BF64">
            <v>27518</v>
          </cell>
          <cell r="BG64">
            <v>37304.5</v>
          </cell>
          <cell r="BH64">
            <v>13.992685671417854</v>
          </cell>
        </row>
        <row r="65">
          <cell r="A65">
            <v>1984</v>
          </cell>
          <cell r="B65">
            <v>14253</v>
          </cell>
          <cell r="R65">
            <v>14253</v>
          </cell>
          <cell r="S65">
            <v>0.66053387709704325</v>
          </cell>
          <cell r="U65">
            <v>0.66053387709704325</v>
          </cell>
          <cell r="V65" t="str">
            <v>d</v>
          </cell>
          <cell r="W65">
            <v>7325</v>
          </cell>
          <cell r="X65" t="str">
            <v>b</v>
          </cell>
          <cell r="Y65">
            <v>0.33946612290295669</v>
          </cell>
          <cell r="Z65">
            <v>0.33945464351743931</v>
          </cell>
          <cell r="AA65" t="str">
            <v>a</v>
          </cell>
          <cell r="AB65">
            <v>22208</v>
          </cell>
          <cell r="AE65">
            <v>21578</v>
          </cell>
          <cell r="AF65" t="str">
            <v>e</v>
          </cell>
          <cell r="AG65">
            <v>1</v>
          </cell>
          <cell r="AJ65">
            <v>1984</v>
          </cell>
          <cell r="AK65">
            <v>22208</v>
          </cell>
          <cell r="AM65">
            <v>18161.88</v>
          </cell>
          <cell r="AO65">
            <v>25798.350000000002</v>
          </cell>
          <cell r="AQ65">
            <v>43960.23</v>
          </cell>
          <cell r="AR65">
            <v>1.9794772154178675</v>
          </cell>
          <cell r="AT65">
            <v>1984</v>
          </cell>
          <cell r="AU65">
            <v>22208</v>
          </cell>
          <cell r="AW65">
            <v>0</v>
          </cell>
          <cell r="AX65">
            <v>38505</v>
          </cell>
          <cell r="AY65">
            <v>38505</v>
          </cell>
          <cell r="AZ65">
            <v>1.7338346541786744</v>
          </cell>
          <cell r="BB65">
            <v>1984</v>
          </cell>
          <cell r="BC65">
            <v>22208</v>
          </cell>
          <cell r="BE65">
            <v>27518</v>
          </cell>
          <cell r="BF65">
            <v>19252.5</v>
          </cell>
          <cell r="BG65">
            <v>46770.5</v>
          </cell>
          <cell r="BH65">
            <v>2.1060203530259365</v>
          </cell>
        </row>
        <row r="66">
          <cell r="A66">
            <v>1985</v>
          </cell>
          <cell r="B66">
            <v>7764</v>
          </cell>
          <cell r="R66">
            <v>7764</v>
          </cell>
          <cell r="S66">
            <v>0.66054109239407865</v>
          </cell>
          <cell r="U66">
            <v>0.66054109239407865</v>
          </cell>
          <cell r="V66" t="str">
            <v>d</v>
          </cell>
          <cell r="W66">
            <v>3990</v>
          </cell>
          <cell r="X66" t="str">
            <v>b</v>
          </cell>
          <cell r="Y66">
            <v>0.3394589076059214</v>
          </cell>
          <cell r="Z66">
            <v>0.33945464351743931</v>
          </cell>
          <cell r="AA66" t="str">
            <v>a</v>
          </cell>
          <cell r="AB66">
            <v>3889</v>
          </cell>
          <cell r="AE66">
            <v>11754</v>
          </cell>
          <cell r="AF66" t="str">
            <v>e</v>
          </cell>
          <cell r="AG66">
            <v>1</v>
          </cell>
          <cell r="AJ66">
            <v>1985</v>
          </cell>
          <cell r="AK66">
            <v>3889</v>
          </cell>
          <cell r="AM66">
            <v>12706.650000000001</v>
          </cell>
          <cell r="AO66">
            <v>12072.060000000001</v>
          </cell>
          <cell r="AQ66">
            <v>24778.710000000003</v>
          </cell>
          <cell r="AR66">
            <v>6.3714862432501933</v>
          </cell>
          <cell r="AT66">
            <v>1985</v>
          </cell>
          <cell r="AU66">
            <v>3889</v>
          </cell>
          <cell r="AW66">
            <v>0</v>
          </cell>
          <cell r="AX66">
            <v>18018</v>
          </cell>
          <cell r="AY66">
            <v>18018</v>
          </cell>
          <cell r="AZ66">
            <v>4.6330676266392388</v>
          </cell>
          <cell r="BB66">
            <v>1985</v>
          </cell>
          <cell r="BC66">
            <v>3889</v>
          </cell>
          <cell r="BE66">
            <v>19252.5</v>
          </cell>
          <cell r="BF66">
            <v>9009</v>
          </cell>
          <cell r="BG66">
            <v>28261.5</v>
          </cell>
          <cell r="BH66">
            <v>7.2670352275649268</v>
          </cell>
        </row>
        <row r="67">
          <cell r="A67">
            <v>1986</v>
          </cell>
          <cell r="B67">
            <v>6039</v>
          </cell>
          <cell r="C67">
            <v>1.7999999999999999E-2</v>
          </cell>
          <cell r="D67">
            <v>109</v>
          </cell>
          <cell r="R67">
            <v>5930</v>
          </cell>
          <cell r="S67">
            <v>0.47160808016542072</v>
          </cell>
          <cell r="U67">
            <v>0.30296837480202321</v>
          </cell>
          <cell r="V67" t="str">
            <v>d</v>
          </cell>
          <cell r="W67">
            <v>6644</v>
          </cell>
          <cell r="X67" t="str">
            <v>b</v>
          </cell>
          <cell r="Y67">
            <v>0.52839191983457934</v>
          </cell>
          <cell r="Z67">
            <v>0.33945464351743931</v>
          </cell>
          <cell r="AA67" t="str">
            <v>a</v>
          </cell>
          <cell r="AB67">
            <v>1308</v>
          </cell>
          <cell r="AC67">
            <v>6999</v>
          </cell>
          <cell r="AE67">
            <v>19573</v>
          </cell>
          <cell r="AF67" t="str">
            <v>e</v>
          </cell>
          <cell r="AG67">
            <v>0.6424155724722832</v>
          </cell>
          <cell r="AJ67">
            <v>1986</v>
          </cell>
          <cell r="AK67">
            <v>6999</v>
          </cell>
          <cell r="AM67">
            <v>5945.9400000000005</v>
          </cell>
          <cell r="AO67">
            <v>16427.060000000001</v>
          </cell>
          <cell r="AQ67">
            <v>22373</v>
          </cell>
          <cell r="AR67">
            <v>3.1965995142163166</v>
          </cell>
          <cell r="AT67">
            <v>1986</v>
          </cell>
          <cell r="AU67">
            <v>6999</v>
          </cell>
          <cell r="AW67">
            <v>0</v>
          </cell>
          <cell r="AX67">
            <v>24518</v>
          </cell>
          <cell r="AY67">
            <v>24518</v>
          </cell>
          <cell r="AZ67">
            <v>3.5030718674096302</v>
          </cell>
          <cell r="BB67">
            <v>1986</v>
          </cell>
          <cell r="BC67">
            <v>6999</v>
          </cell>
          <cell r="BE67">
            <v>9009</v>
          </cell>
          <cell r="BF67">
            <v>12259</v>
          </cell>
          <cell r="BG67">
            <v>21268</v>
          </cell>
          <cell r="BH67">
            <v>3.0387198171167311</v>
          </cell>
        </row>
        <row r="68">
          <cell r="A68">
            <v>1987</v>
          </cell>
          <cell r="B68">
            <v>13003</v>
          </cell>
          <cell r="C68">
            <v>0.26200000000000001</v>
          </cell>
          <cell r="D68">
            <v>3407</v>
          </cell>
          <cell r="R68">
            <v>9596</v>
          </cell>
          <cell r="S68">
            <v>0.33934507390904589</v>
          </cell>
          <cell r="U68">
            <v>0.17435860164256123</v>
          </cell>
          <cell r="V68" t="str">
            <v>d</v>
          </cell>
          <cell r="W68">
            <v>18682</v>
          </cell>
          <cell r="X68" t="str">
            <v>b</v>
          </cell>
          <cell r="Y68">
            <v>0.66065492609095411</v>
          </cell>
          <cell r="Z68">
            <v>0.33945464351743931</v>
          </cell>
          <cell r="AA68" t="str">
            <v>a</v>
          </cell>
          <cell r="AB68">
            <v>4865</v>
          </cell>
          <cell r="AC68">
            <v>26757.5</v>
          </cell>
          <cell r="AE68">
            <v>55036</v>
          </cell>
          <cell r="AF68" t="str">
            <v>e</v>
          </cell>
          <cell r="AG68">
            <v>0.51380914310633041</v>
          </cell>
          <cell r="AJ68">
            <v>1987</v>
          </cell>
          <cell r="AK68">
            <v>26757.5</v>
          </cell>
          <cell r="AM68">
            <v>8090.9400000000005</v>
          </cell>
          <cell r="AO68">
            <v>38574.58</v>
          </cell>
          <cell r="AQ68">
            <v>46665.520000000004</v>
          </cell>
          <cell r="AR68">
            <v>1.7440164439876671</v>
          </cell>
          <cell r="AT68">
            <v>1987</v>
          </cell>
          <cell r="AU68">
            <v>26757.5</v>
          </cell>
          <cell r="AW68">
            <v>0</v>
          </cell>
          <cell r="AX68">
            <v>57574</v>
          </cell>
          <cell r="AY68">
            <v>57574</v>
          </cell>
          <cell r="AZ68">
            <v>2.1516957862281605</v>
          </cell>
          <cell r="BB68">
            <v>1987</v>
          </cell>
          <cell r="BC68">
            <v>26757.5</v>
          </cell>
          <cell r="BE68">
            <v>12259</v>
          </cell>
          <cell r="BF68">
            <v>28787</v>
          </cell>
          <cell r="BG68">
            <v>41046</v>
          </cell>
          <cell r="BH68">
            <v>1.5339998131365038</v>
          </cell>
        </row>
        <row r="69">
          <cell r="A69">
            <v>1988</v>
          </cell>
          <cell r="B69">
            <v>19009</v>
          </cell>
          <cell r="C69">
            <v>0.50700000000000001</v>
          </cell>
          <cell r="D69">
            <v>9638</v>
          </cell>
          <cell r="L69">
            <v>4428</v>
          </cell>
          <cell r="N69">
            <v>14066</v>
          </cell>
          <cell r="P69">
            <v>0.68519835063273138</v>
          </cell>
          <cell r="R69">
            <v>9371</v>
          </cell>
          <cell r="S69">
            <v>0.41756527938686394</v>
          </cell>
          <cell r="U69">
            <v>0.24337099078041813</v>
          </cell>
          <cell r="V69" t="str">
            <v>d</v>
          </cell>
          <cell r="W69">
            <v>13071</v>
          </cell>
          <cell r="X69" t="str">
            <v>b</v>
          </cell>
          <cell r="Y69">
            <v>0.58243472061313606</v>
          </cell>
          <cell r="Z69">
            <v>0.33945464351743931</v>
          </cell>
          <cell r="AA69" t="str">
            <v>a</v>
          </cell>
          <cell r="AC69">
            <v>16063</v>
          </cell>
          <cell r="AE69">
            <v>38505</v>
          </cell>
          <cell r="AF69" t="str">
            <v>e</v>
          </cell>
          <cell r="AG69">
            <v>0.58283339825996627</v>
          </cell>
          <cell r="AJ69">
            <v>1988</v>
          </cell>
          <cell r="AK69">
            <v>16063</v>
          </cell>
          <cell r="AM69">
            <v>18999.420000000002</v>
          </cell>
          <cell r="AO69">
            <v>35192.420000000006</v>
          </cell>
          <cell r="AQ69">
            <v>54191.840000000011</v>
          </cell>
          <cell r="AR69">
            <v>3.3737060324970436</v>
          </cell>
          <cell r="AT69">
            <v>1988</v>
          </cell>
          <cell r="AU69">
            <v>16063</v>
          </cell>
          <cell r="AW69">
            <v>0</v>
          </cell>
          <cell r="AX69">
            <v>52526</v>
          </cell>
          <cell r="AY69">
            <v>52526</v>
          </cell>
          <cell r="AZ69">
            <v>3.2699993774512857</v>
          </cell>
          <cell r="BB69">
            <v>1988</v>
          </cell>
          <cell r="BC69">
            <v>16063</v>
          </cell>
          <cell r="BE69">
            <v>28787</v>
          </cell>
          <cell r="BF69">
            <v>26263</v>
          </cell>
          <cell r="BG69">
            <v>55050</v>
          </cell>
          <cell r="BH69">
            <v>3.4271306729751605</v>
          </cell>
        </row>
        <row r="70">
          <cell r="A70">
            <v>1989</v>
          </cell>
          <cell r="B70">
            <v>14129</v>
          </cell>
          <cell r="C70">
            <v>0.75</v>
          </cell>
          <cell r="D70">
            <v>10597</v>
          </cell>
          <cell r="L70">
            <v>6862</v>
          </cell>
          <cell r="N70">
            <v>17459</v>
          </cell>
          <cell r="P70">
            <v>0.60696488916891</v>
          </cell>
          <cell r="R70">
            <v>3532</v>
          </cell>
          <cell r="S70">
            <v>0.36608623548922059</v>
          </cell>
          <cell r="U70">
            <v>0.19602619602619603</v>
          </cell>
          <cell r="V70" t="str">
            <v>d</v>
          </cell>
          <cell r="W70">
            <v>6116</v>
          </cell>
          <cell r="X70" t="str">
            <v>b</v>
          </cell>
          <cell r="Y70">
            <v>0.63391376451077941</v>
          </cell>
          <cell r="Z70">
            <v>0.33945464351743931</v>
          </cell>
          <cell r="AA70" t="str">
            <v>a</v>
          </cell>
          <cell r="AB70">
            <v>814</v>
          </cell>
          <cell r="AC70">
            <v>8370</v>
          </cell>
          <cell r="AE70">
            <v>18018</v>
          </cell>
          <cell r="AF70" t="str">
            <v>e</v>
          </cell>
          <cell r="AG70">
            <v>0.53546453546453543</v>
          </cell>
          <cell r="AJ70">
            <v>1989</v>
          </cell>
          <cell r="AK70">
            <v>8370</v>
          </cell>
          <cell r="AM70">
            <v>17333.580000000002</v>
          </cell>
          <cell r="AO70">
            <v>47593.450000000004</v>
          </cell>
          <cell r="AQ70">
            <v>64927.030000000006</v>
          </cell>
          <cell r="AR70">
            <v>7.7571123058542417</v>
          </cell>
          <cell r="AT70">
            <v>1989</v>
          </cell>
          <cell r="AU70">
            <v>8370</v>
          </cell>
          <cell r="AW70">
            <v>0</v>
          </cell>
          <cell r="AX70">
            <v>71035</v>
          </cell>
          <cell r="AY70">
            <v>71035</v>
          </cell>
          <cell r="AZ70">
            <v>8.4868578255675029</v>
          </cell>
          <cell r="BB70">
            <v>1989</v>
          </cell>
          <cell r="BC70">
            <v>8370</v>
          </cell>
          <cell r="BE70">
            <v>26263</v>
          </cell>
          <cell r="BF70">
            <v>35517.5</v>
          </cell>
          <cell r="BG70">
            <v>61780.5</v>
          </cell>
          <cell r="BH70">
            <v>7.3811827956989244</v>
          </cell>
        </row>
        <row r="71">
          <cell r="A71">
            <v>1990</v>
          </cell>
          <cell r="B71">
            <v>7497</v>
          </cell>
          <cell r="C71">
            <v>0.29899999999999999</v>
          </cell>
          <cell r="D71">
            <v>2242</v>
          </cell>
          <cell r="L71">
            <v>3370</v>
          </cell>
          <cell r="N71">
            <v>5612</v>
          </cell>
          <cell r="P71">
            <v>0.39950106913756239</v>
          </cell>
          <cell r="R71">
            <v>5255</v>
          </cell>
          <cell r="S71">
            <v>0.38702312564442481</v>
          </cell>
          <cell r="U71">
            <v>0.21433232726976098</v>
          </cell>
          <cell r="V71" t="str">
            <v>d</v>
          </cell>
          <cell r="W71">
            <v>8323</v>
          </cell>
          <cell r="X71" t="str">
            <v>b</v>
          </cell>
          <cell r="Y71">
            <v>0.61297687435557524</v>
          </cell>
          <cell r="Z71">
            <v>0.33945464351743931</v>
          </cell>
          <cell r="AA71" t="str">
            <v>a</v>
          </cell>
          <cell r="AC71">
            <v>10940</v>
          </cell>
          <cell r="AE71">
            <v>24518</v>
          </cell>
          <cell r="AF71" t="str">
            <v>e</v>
          </cell>
          <cell r="AG71">
            <v>0.55379721021290484</v>
          </cell>
          <cell r="AJ71">
            <v>1990</v>
          </cell>
          <cell r="AK71">
            <v>10940</v>
          </cell>
          <cell r="AM71">
            <v>23441.550000000003</v>
          </cell>
          <cell r="AO71">
            <v>63420.86</v>
          </cell>
          <cell r="AQ71">
            <v>86862.41</v>
          </cell>
          <cell r="AR71">
            <v>7.9398912248628886</v>
          </cell>
          <cell r="AT71">
            <v>1990</v>
          </cell>
          <cell r="AU71">
            <v>10940</v>
          </cell>
          <cell r="AW71">
            <v>0</v>
          </cell>
          <cell r="AX71">
            <v>94658</v>
          </cell>
          <cell r="AY71">
            <v>94658</v>
          </cell>
          <cell r="AZ71">
            <v>8.6524680073126135</v>
          </cell>
          <cell r="BB71">
            <v>1990</v>
          </cell>
          <cell r="BC71">
            <v>10940</v>
          </cell>
          <cell r="BE71">
            <v>35517.5</v>
          </cell>
          <cell r="BF71">
            <v>47329</v>
          </cell>
          <cell r="BG71">
            <v>82846.5</v>
          </cell>
          <cell r="BH71">
            <v>7.572806215722121</v>
          </cell>
        </row>
        <row r="72">
          <cell r="A72">
            <v>1991</v>
          </cell>
          <cell r="B72">
            <v>16450</v>
          </cell>
          <cell r="C72">
            <v>0.46800000000000003</v>
          </cell>
          <cell r="D72">
            <v>7699</v>
          </cell>
          <cell r="L72">
            <v>8322</v>
          </cell>
          <cell r="N72">
            <v>16021</v>
          </cell>
          <cell r="P72">
            <v>0.48055676924037199</v>
          </cell>
          <cell r="R72">
            <v>8751</v>
          </cell>
          <cell r="S72">
            <v>0.30927725746598339</v>
          </cell>
          <cell r="U72">
            <v>0.15199569250008685</v>
          </cell>
          <cell r="V72" t="str">
            <v>d</v>
          </cell>
          <cell r="W72">
            <v>19544</v>
          </cell>
          <cell r="X72" t="str">
            <v>b</v>
          </cell>
          <cell r="Y72">
            <v>0.69072274253401666</v>
          </cell>
          <cell r="Z72">
            <v>0.33945464351743931</v>
          </cell>
          <cell r="AA72" t="str">
            <v>a</v>
          </cell>
          <cell r="AB72">
            <v>5254</v>
          </cell>
          <cell r="AC72">
            <v>29279</v>
          </cell>
          <cell r="AE72">
            <v>57574</v>
          </cell>
          <cell r="AF72" t="str">
            <v>e</v>
          </cell>
          <cell r="AG72">
            <v>0.49145447597874042</v>
          </cell>
          <cell r="AJ72">
            <v>1991</v>
          </cell>
          <cell r="AK72">
            <v>29279</v>
          </cell>
          <cell r="AM72">
            <v>31237.140000000003</v>
          </cell>
          <cell r="AO72">
            <v>36253.03</v>
          </cell>
          <cell r="AQ72">
            <v>67490.17</v>
          </cell>
          <cell r="AR72">
            <v>2.3050708699067592</v>
          </cell>
          <cell r="AT72">
            <v>1991</v>
          </cell>
          <cell r="AU72">
            <v>29279</v>
          </cell>
          <cell r="AW72">
            <v>0</v>
          </cell>
          <cell r="AX72">
            <v>54109</v>
          </cell>
          <cell r="AY72">
            <v>54109</v>
          </cell>
          <cell r="AZ72">
            <v>1.8480480890740805</v>
          </cell>
          <cell r="BB72">
            <v>1991</v>
          </cell>
          <cell r="BC72">
            <v>29279</v>
          </cell>
          <cell r="BE72">
            <v>47329</v>
          </cell>
          <cell r="BF72">
            <v>27054.5</v>
          </cell>
          <cell r="BG72">
            <v>74383.5</v>
          </cell>
          <cell r="BH72">
            <v>2.5405068479114723</v>
          </cell>
        </row>
        <row r="73">
          <cell r="A73">
            <v>1992</v>
          </cell>
          <cell r="B73">
            <v>20033</v>
          </cell>
          <cell r="C73">
            <v>0.17</v>
          </cell>
          <cell r="D73">
            <v>3406</v>
          </cell>
          <cell r="L73">
            <v>2324</v>
          </cell>
          <cell r="N73">
            <v>5730</v>
          </cell>
          <cell r="P73">
            <v>0.59441535776614307</v>
          </cell>
          <cell r="R73">
            <v>16627</v>
          </cell>
          <cell r="S73">
            <v>0.48254345996459352</v>
          </cell>
          <cell r="U73">
            <v>0.31654799527852873</v>
          </cell>
          <cell r="V73" t="str">
            <v>d</v>
          </cell>
          <cell r="W73">
            <v>17830</v>
          </cell>
          <cell r="X73" t="str">
            <v>b</v>
          </cell>
          <cell r="Y73">
            <v>0.51745654003540642</v>
          </cell>
          <cell r="Z73">
            <v>0.33945464351743931</v>
          </cell>
          <cell r="AA73" t="str">
            <v>a</v>
          </cell>
          <cell r="AC73">
            <v>18069</v>
          </cell>
          <cell r="AE73">
            <v>52526</v>
          </cell>
          <cell r="AF73" t="str">
            <v>e</v>
          </cell>
          <cell r="AG73">
            <v>0.65599893386132579</v>
          </cell>
          <cell r="AJ73">
            <v>1992</v>
          </cell>
          <cell r="AK73">
            <v>18069</v>
          </cell>
          <cell r="AM73">
            <v>17855.97</v>
          </cell>
          <cell r="AO73">
            <v>42863.25</v>
          </cell>
          <cell r="AQ73">
            <v>60719.22</v>
          </cell>
          <cell r="AR73">
            <v>3.3604084343350489</v>
          </cell>
          <cell r="AT73">
            <v>1992</v>
          </cell>
          <cell r="AU73">
            <v>18069</v>
          </cell>
          <cell r="AW73">
            <v>0</v>
          </cell>
          <cell r="AX73">
            <v>63975</v>
          </cell>
          <cell r="AY73">
            <v>63975</v>
          </cell>
          <cell r="AZ73">
            <v>3.5405943881786484</v>
          </cell>
          <cell r="BB73">
            <v>1992</v>
          </cell>
          <cell r="BC73">
            <v>18069</v>
          </cell>
          <cell r="BE73">
            <v>27054.5</v>
          </cell>
          <cell r="BF73">
            <v>31987.5</v>
          </cell>
          <cell r="BG73">
            <v>59042</v>
          </cell>
          <cell r="BH73">
            <v>3.2675853672034978</v>
          </cell>
        </row>
        <row r="74">
          <cell r="A74">
            <v>1993</v>
          </cell>
          <cell r="B74">
            <v>27610</v>
          </cell>
          <cell r="C74">
            <v>0.27900000000000003</v>
          </cell>
          <cell r="D74">
            <v>7703</v>
          </cell>
          <cell r="E74">
            <v>0.41514416599299381</v>
          </cell>
          <cell r="F74">
            <v>0.2734469293574725</v>
          </cell>
          <cell r="H74">
            <v>10852</v>
          </cell>
          <cell r="I74">
            <v>0.58485583400700625</v>
          </cell>
          <cell r="J74">
            <v>0.38523251686190985</v>
          </cell>
          <cell r="L74">
            <v>9615</v>
          </cell>
          <cell r="N74">
            <v>28170</v>
          </cell>
          <cell r="P74">
            <v>0.65867944621938235</v>
          </cell>
          <cell r="R74">
            <v>19907</v>
          </cell>
          <cell r="S74">
            <v>0.42111609409375528</v>
          </cell>
          <cell r="U74">
            <v>0.28024213415921728</v>
          </cell>
          <cell r="W74">
            <v>27365</v>
          </cell>
          <cell r="Y74">
            <v>0.57888390590624472</v>
          </cell>
          <cell r="Z74">
            <v>0.38523251686190985</v>
          </cell>
          <cell r="AA74" t="str">
            <v>c</v>
          </cell>
          <cell r="AC74">
            <v>23763</v>
          </cell>
          <cell r="AE74">
            <v>71035</v>
          </cell>
          <cell r="AG74">
            <v>0.66547476596044208</v>
          </cell>
          <cell r="AJ74">
            <v>1993</v>
          </cell>
          <cell r="AK74">
            <v>23763</v>
          </cell>
          <cell r="AM74">
            <v>21111.75</v>
          </cell>
          <cell r="AO74">
            <v>17902.400000000001</v>
          </cell>
          <cell r="AQ74">
            <v>39014.15</v>
          </cell>
          <cell r="AR74">
            <v>1.641802381854143</v>
          </cell>
          <cell r="AT74">
            <v>1993</v>
          </cell>
          <cell r="AU74">
            <v>23763</v>
          </cell>
          <cell r="AW74">
            <v>0</v>
          </cell>
          <cell r="AX74">
            <v>26720</v>
          </cell>
          <cell r="AY74">
            <v>26720</v>
          </cell>
          <cell r="AZ74">
            <v>1.1244371501914741</v>
          </cell>
          <cell r="BB74">
            <v>1992</v>
          </cell>
          <cell r="BC74">
            <v>23763</v>
          </cell>
          <cell r="BE74">
            <v>31987.5</v>
          </cell>
          <cell r="BF74">
            <v>13360</v>
          </cell>
          <cell r="BG74">
            <v>45347.5</v>
          </cell>
          <cell r="BH74">
            <v>1.9083238648318814</v>
          </cell>
        </row>
        <row r="75">
          <cell r="A75">
            <v>1994</v>
          </cell>
          <cell r="B75">
            <v>17665</v>
          </cell>
          <cell r="C75">
            <v>0.34899999999999998</v>
          </cell>
          <cell r="D75">
            <v>6165</v>
          </cell>
          <cell r="E75">
            <v>0.23598086124401915</v>
          </cell>
          <cell r="F75">
            <v>0.19728631316202119</v>
          </cell>
          <cell r="H75">
            <v>19960</v>
          </cell>
          <cell r="I75">
            <v>0.76401913875598082</v>
          </cell>
          <cell r="J75">
            <v>0.63874043969407024</v>
          </cell>
          <cell r="L75">
            <v>5124</v>
          </cell>
          <cell r="N75">
            <v>31249</v>
          </cell>
          <cell r="P75">
            <v>0.8360267528560914</v>
          </cell>
          <cell r="R75">
            <v>11500</v>
          </cell>
          <cell r="S75">
            <v>0.15980656457574832</v>
          </cell>
          <cell r="U75">
            <v>0.12148999556297407</v>
          </cell>
          <cell r="W75">
            <v>60462</v>
          </cell>
          <cell r="Y75">
            <v>0.84019343542425173</v>
          </cell>
          <cell r="Z75">
            <v>0.63874043969407024</v>
          </cell>
          <cell r="AA75" t="str">
            <v>c</v>
          </cell>
          <cell r="AB75">
            <v>6979</v>
          </cell>
          <cell r="AC75">
            <v>22696</v>
          </cell>
          <cell r="AE75">
            <v>94658</v>
          </cell>
          <cell r="AG75">
            <v>0.76023157049589052</v>
          </cell>
          <cell r="AJ75">
            <v>1994</v>
          </cell>
          <cell r="AK75">
            <v>22696</v>
          </cell>
          <cell r="AM75">
            <v>8817.6</v>
          </cell>
          <cell r="AO75">
            <v>23908.95</v>
          </cell>
          <cell r="AQ75">
            <v>32726.550000000003</v>
          </cell>
          <cell r="AR75">
            <v>1.441952326401128</v>
          </cell>
          <cell r="AT75">
            <v>1994</v>
          </cell>
          <cell r="AU75">
            <v>22696</v>
          </cell>
          <cell r="AW75">
            <v>0</v>
          </cell>
          <cell r="AX75">
            <v>35685</v>
          </cell>
          <cell r="AY75">
            <v>35685</v>
          </cell>
          <cell r="AZ75">
            <v>1.5723034896016919</v>
          </cell>
          <cell r="BB75">
            <v>1992</v>
          </cell>
          <cell r="BC75">
            <v>22696</v>
          </cell>
          <cell r="BE75">
            <v>13360</v>
          </cell>
          <cell r="BF75">
            <v>17842.5</v>
          </cell>
          <cell r="BG75">
            <v>31202.5</v>
          </cell>
          <cell r="BH75">
            <v>1.3748017271765951</v>
          </cell>
        </row>
        <row r="76">
          <cell r="A76">
            <v>1995</v>
          </cell>
          <cell r="B76">
            <v>14451</v>
          </cell>
          <cell r="C76">
            <v>0.20699999999999999</v>
          </cell>
          <cell r="D76">
            <v>2991</v>
          </cell>
          <cell r="E76">
            <v>0.33900034002040125</v>
          </cell>
          <cell r="F76">
            <v>0.30236554791750908</v>
          </cell>
          <cell r="H76">
            <v>5832</v>
          </cell>
          <cell r="I76">
            <v>0.66099965997959875</v>
          </cell>
          <cell r="J76">
            <v>0.58956732713303683</v>
          </cell>
          <cell r="L76">
            <v>1069</v>
          </cell>
          <cell r="N76">
            <v>9892</v>
          </cell>
          <cell r="P76">
            <v>0.89193287505054586</v>
          </cell>
          <cell r="R76">
            <v>11460</v>
          </cell>
          <cell r="S76">
            <v>0.26429279767533037</v>
          </cell>
          <cell r="U76">
            <v>0.21179471067659725</v>
          </cell>
          <cell r="W76">
            <v>31901</v>
          </cell>
          <cell r="Y76">
            <v>0.73570720232466968</v>
          </cell>
          <cell r="Z76">
            <v>0.58956732713303683</v>
          </cell>
          <cell r="AA76" t="str">
            <v>c</v>
          </cell>
          <cell r="AC76">
            <v>10748</v>
          </cell>
          <cell r="AE76">
            <v>54109</v>
          </cell>
          <cell r="AG76">
            <v>0.801363913581844</v>
          </cell>
          <cell r="AJ76">
            <v>1995</v>
          </cell>
          <cell r="AK76">
            <v>10748</v>
          </cell>
          <cell r="AM76">
            <v>11776.050000000001</v>
          </cell>
          <cell r="AO76">
            <v>0</v>
          </cell>
          <cell r="AQ76">
            <v>11776.050000000001</v>
          </cell>
          <cell r="AR76">
            <v>1.0956503535541497</v>
          </cell>
          <cell r="AT76">
            <v>1995</v>
          </cell>
          <cell r="AU76">
            <v>10748</v>
          </cell>
          <cell r="AW76">
            <v>0</v>
          </cell>
          <cell r="AX76">
            <v>0</v>
          </cell>
          <cell r="AY76">
            <v>0</v>
          </cell>
          <cell r="AZ76">
            <v>0</v>
          </cell>
          <cell r="BB76">
            <v>1992</v>
          </cell>
          <cell r="BC76">
            <v>10748</v>
          </cell>
          <cell r="BE76">
            <v>17842.5</v>
          </cell>
          <cell r="BF76">
            <v>0</v>
          </cell>
          <cell r="BG76">
            <v>17842.5</v>
          </cell>
          <cell r="BH76">
            <v>1.6600762932638631</v>
          </cell>
        </row>
        <row r="77">
          <cell r="A77">
            <v>1996</v>
          </cell>
          <cell r="B77">
            <v>16753</v>
          </cell>
          <cell r="C77">
            <v>0.23</v>
          </cell>
          <cell r="D77">
            <v>3853</v>
          </cell>
          <cell r="E77">
            <v>0.42882582081246523</v>
          </cell>
          <cell r="F77">
            <v>0.40863294092692759</v>
          </cell>
          <cell r="H77">
            <v>5132</v>
          </cell>
          <cell r="I77">
            <v>0.57117417918753477</v>
          </cell>
          <cell r="J77">
            <v>0.54427829038074027</v>
          </cell>
          <cell r="L77">
            <v>444</v>
          </cell>
          <cell r="N77">
            <v>9429</v>
          </cell>
          <cell r="P77">
            <v>0.95291123130766786</v>
          </cell>
          <cell r="R77">
            <v>12900</v>
          </cell>
          <cell r="S77">
            <v>0.27032690695725065</v>
          </cell>
          <cell r="U77">
            <v>0.20164126611957797</v>
          </cell>
          <cell r="W77">
            <v>34820</v>
          </cell>
          <cell r="Y77">
            <v>0.72967309304274941</v>
          </cell>
          <cell r="Z77">
            <v>0.54427829038074027</v>
          </cell>
          <cell r="AA77" t="str">
            <v>c</v>
          </cell>
          <cell r="AC77">
            <v>16255</v>
          </cell>
          <cell r="AE77">
            <v>63975</v>
          </cell>
          <cell r="AG77">
            <v>0.74591637358343099</v>
          </cell>
          <cell r="AJ77">
            <v>1996</v>
          </cell>
          <cell r="AK77">
            <v>16255</v>
          </cell>
          <cell r="AM77">
            <v>0</v>
          </cell>
          <cell r="AT77">
            <v>1996</v>
          </cell>
          <cell r="AU77">
            <v>16255</v>
          </cell>
          <cell r="AW77">
            <v>0</v>
          </cell>
          <cell r="AY77">
            <v>0</v>
          </cell>
          <cell r="AZ77">
            <v>0</v>
          </cell>
          <cell r="BB77">
            <v>1992</v>
          </cell>
          <cell r="BC77">
            <v>16255</v>
          </cell>
          <cell r="BH77">
            <v>0</v>
          </cell>
        </row>
        <row r="78">
          <cell r="A78">
            <v>1997</v>
          </cell>
          <cell r="B78">
            <v>7756</v>
          </cell>
          <cell r="C78">
            <v>0</v>
          </cell>
          <cell r="D78">
            <v>0</v>
          </cell>
          <cell r="E78">
            <v>0</v>
          </cell>
          <cell r="F78">
            <v>0</v>
          </cell>
          <cell r="H78">
            <v>0</v>
          </cell>
          <cell r="I78">
            <v>0</v>
          </cell>
          <cell r="J78">
            <v>0</v>
          </cell>
          <cell r="L78">
            <v>0</v>
          </cell>
          <cell r="N78">
            <v>0</v>
          </cell>
          <cell r="P78">
            <v>0</v>
          </cell>
          <cell r="R78">
            <v>7756</v>
          </cell>
          <cell r="S78">
            <v>0.46095328658029239</v>
          </cell>
          <cell r="U78">
            <v>0.29026946107784429</v>
          </cell>
          <cell r="W78">
            <v>9070</v>
          </cell>
          <cell r="X78" t="str">
            <v>b</v>
          </cell>
          <cell r="Y78">
            <v>0.53904671341970756</v>
          </cell>
          <cell r="Z78">
            <v>0.33945464351743931</v>
          </cell>
          <cell r="AA78" t="str">
            <v>a</v>
          </cell>
          <cell r="AC78">
            <v>9894</v>
          </cell>
          <cell r="AE78">
            <v>26720</v>
          </cell>
          <cell r="AF78" t="str">
            <v>e</v>
          </cell>
          <cell r="AG78">
            <v>0.62971556886227542</v>
          </cell>
        </row>
        <row r="79">
          <cell r="A79">
            <v>1998</v>
          </cell>
          <cell r="B79">
            <v>14469</v>
          </cell>
          <cell r="C79">
            <v>0</v>
          </cell>
          <cell r="D79">
            <v>0</v>
          </cell>
          <cell r="E79">
            <v>0</v>
          </cell>
          <cell r="F79">
            <v>0</v>
          </cell>
          <cell r="H79">
            <v>0</v>
          </cell>
          <cell r="I79">
            <v>0</v>
          </cell>
          <cell r="J79">
            <v>0</v>
          </cell>
          <cell r="L79">
            <v>0</v>
          </cell>
          <cell r="N79">
            <v>0</v>
          </cell>
          <cell r="P79">
            <v>0</v>
          </cell>
          <cell r="R79">
            <v>14469</v>
          </cell>
          <cell r="S79">
            <v>0.70491084478222743</v>
          </cell>
          <cell r="U79">
            <v>0.40546448087431691</v>
          </cell>
          <cell r="W79">
            <v>6057</v>
          </cell>
          <cell r="X79" t="str">
            <v>b</v>
          </cell>
          <cell r="Y79">
            <v>0.29508915521777257</v>
          </cell>
          <cell r="Z79">
            <v>0.16972732175871966</v>
          </cell>
          <cell r="AA79" t="str">
            <v>a</v>
          </cell>
          <cell r="AC79">
            <v>15159</v>
          </cell>
          <cell r="AE79">
            <v>35685</v>
          </cell>
          <cell r="AF79" t="str">
            <v>e</v>
          </cell>
          <cell r="AG79">
            <v>0.57519966372425391</v>
          </cell>
        </row>
        <row r="80">
          <cell r="A80">
            <v>1999</v>
          </cell>
          <cell r="AC80">
            <v>3017</v>
          </cell>
        </row>
        <row r="81">
          <cell r="A81" t="str">
            <v>1993-1997</v>
          </cell>
          <cell r="AJ81" t="str">
            <v>1981-1994</v>
          </cell>
          <cell r="AT81" t="str">
            <v>1981-1994</v>
          </cell>
          <cell r="BB81" t="str">
            <v>1981-1994</v>
          </cell>
        </row>
        <row r="82">
          <cell r="A82" t="str">
            <v>mean</v>
          </cell>
          <cell r="D82">
            <v>5178</v>
          </cell>
          <cell r="E82">
            <v>0.35473779701746988</v>
          </cell>
          <cell r="F82">
            <v>0.2954329328409826</v>
          </cell>
          <cell r="H82">
            <v>10444</v>
          </cell>
          <cell r="I82">
            <v>0.64526220298253012</v>
          </cell>
          <cell r="J82">
            <v>0.53945464351743933</v>
          </cell>
          <cell r="L82">
            <v>4063</v>
          </cell>
          <cell r="N82">
            <v>19685</v>
          </cell>
          <cell r="P82">
            <v>0.83488757635842192</v>
          </cell>
          <cell r="R82">
            <v>12704.6</v>
          </cell>
          <cell r="S82">
            <v>0.27888559082552117</v>
          </cell>
          <cell r="U82">
            <v>0.20379202662959164</v>
          </cell>
          <cell r="W82">
            <v>38637</v>
          </cell>
          <cell r="Y82">
            <v>0.72111440917447889</v>
          </cell>
          <cell r="Z82">
            <v>0.53945464351743933</v>
          </cell>
          <cell r="AC82">
            <v>18365.5</v>
          </cell>
          <cell r="AE82">
            <v>70944.25</v>
          </cell>
          <cell r="AG82">
            <v>0.74324665590540184</v>
          </cell>
          <cell r="AJ82" t="str">
            <v>average</v>
          </cell>
          <cell r="AK82">
            <v>14660.678571428571</v>
          </cell>
          <cell r="AM82">
            <v>14368.64785714286</v>
          </cell>
          <cell r="AO82">
            <v>29847.830000000005</v>
          </cell>
          <cell r="AQ82">
            <v>44216.477857142869</v>
          </cell>
          <cell r="AR82">
            <v>4.434720636216257</v>
          </cell>
          <cell r="AT82" t="str">
            <v>average</v>
          </cell>
          <cell r="AU82">
            <v>14660.678571428571</v>
          </cell>
          <cell r="AW82">
            <v>0</v>
          </cell>
          <cell r="AX82">
            <v>44549</v>
          </cell>
          <cell r="AY82">
            <v>44549</v>
          </cell>
          <cell r="AZ82">
            <v>4.6985539188097372</v>
          </cell>
          <cell r="BB82" t="str">
            <v>average</v>
          </cell>
          <cell r="BC82">
            <v>14660.678571428571</v>
          </cell>
          <cell r="BE82">
            <v>21770.678571428572</v>
          </cell>
          <cell r="BF82">
            <v>22274.5</v>
          </cell>
          <cell r="BG82">
            <v>44045.178571428572</v>
          </cell>
          <cell r="BH82">
            <v>4.2988065209408273</v>
          </cell>
        </row>
        <row r="83">
          <cell r="A83" t="str">
            <v>median</v>
          </cell>
          <cell r="D83">
            <v>5009</v>
          </cell>
          <cell r="E83">
            <v>0.37707225300669756</v>
          </cell>
          <cell r="F83">
            <v>0.28790623863749076</v>
          </cell>
          <cell r="H83">
            <v>8342</v>
          </cell>
          <cell r="I83">
            <v>0.62292774699330256</v>
          </cell>
          <cell r="J83">
            <v>0.5669228087568885</v>
          </cell>
          <cell r="L83">
            <v>3096.5</v>
          </cell>
          <cell r="N83">
            <v>19031</v>
          </cell>
          <cell r="P83">
            <v>0.86397981395331858</v>
          </cell>
          <cell r="R83">
            <v>11500</v>
          </cell>
          <cell r="S83">
            <v>0.26730985231629051</v>
          </cell>
          <cell r="U83">
            <v>0.20671798839808761</v>
          </cell>
          <cell r="W83">
            <v>33360.5</v>
          </cell>
          <cell r="Y83">
            <v>0.73269014768370955</v>
          </cell>
          <cell r="Z83">
            <v>0.5669228087568885</v>
          </cell>
          <cell r="AC83">
            <v>19475.5</v>
          </cell>
          <cell r="AE83">
            <v>67505</v>
          </cell>
          <cell r="AG83">
            <v>0.75307397203966076</v>
          </cell>
          <cell r="AJ83" t="str">
            <v>median</v>
          </cell>
          <cell r="AK83">
            <v>13501.5</v>
          </cell>
          <cell r="AM83">
            <v>15020.115000000002</v>
          </cell>
          <cell r="AO83">
            <v>30495.385000000002</v>
          </cell>
          <cell r="AQ83">
            <v>43646.720000000001</v>
          </cell>
          <cell r="AR83">
            <v>2.847765198284629</v>
          </cell>
          <cell r="AT83" t="str">
            <v>median</v>
          </cell>
          <cell r="AU83">
            <v>13501.5</v>
          </cell>
          <cell r="AW83">
            <v>0</v>
          </cell>
          <cell r="AX83">
            <v>45515.5</v>
          </cell>
          <cell r="AY83">
            <v>45515.5</v>
          </cell>
          <cell r="AZ83">
            <v>3.0741908651962309</v>
          </cell>
          <cell r="BB83" t="str">
            <v>median</v>
          </cell>
          <cell r="BC83">
            <v>13501.5</v>
          </cell>
          <cell r="BE83">
            <v>22757.75</v>
          </cell>
          <cell r="BF83">
            <v>22757.75</v>
          </cell>
          <cell r="BG83">
            <v>43196.75</v>
          </cell>
          <cell r="BH83">
            <v>2.7896133325141017</v>
          </cell>
        </row>
        <row r="84">
          <cell r="A84" t="str">
            <v>a</v>
          </cell>
          <cell r="D84" t="str">
            <v>Assumed commercial exploitation rate based on average commercial exploitation rate on hatchery-origin coho salmon returning to the Little Susitna River during 1993-1996</v>
          </cell>
        </row>
        <row r="85">
          <cell r="A85" t="str">
            <v>b</v>
          </cell>
          <cell r="D85" t="str">
            <v>Based on the assumed commercial exploitation rate in footnote "a".</v>
          </cell>
        </row>
        <row r="86">
          <cell r="A86" t="str">
            <v>c</v>
          </cell>
          <cell r="D86" t="str">
            <v>Based on estimated commercial exploitation rate of hatchery-origin salmon.</v>
          </cell>
        </row>
        <row r="87">
          <cell r="A87" t="str">
            <v>d</v>
          </cell>
          <cell r="D87" t="str">
            <v>Based on the assumed total run size.  See footnote "e".</v>
          </cell>
        </row>
        <row r="88">
          <cell r="A88" t="str">
            <v>e</v>
          </cell>
          <cell r="D88" t="str">
            <v>Based on the recreational harvest, weir-based escapement count, and the average commercial exploitation rate on hatchery coho salmon returning to the Little Susitna River during 1993-1996.</v>
          </cell>
        </row>
        <row r="89">
          <cell r="A89" t="str">
            <v>f</v>
          </cell>
          <cell r="D89" t="str">
            <v>Assumed recreational harvest based on median catch during 1993-1996.</v>
          </cell>
        </row>
        <row r="90">
          <cell r="A90" t="str">
            <v>g</v>
          </cell>
          <cell r="D90" t="str">
            <v>Commercial exploitation rate reduced by 50%</v>
          </cell>
        </row>
        <row r="96">
          <cell r="A96" t="str">
            <v>Table 30.</v>
          </cell>
          <cell r="D96" t="str">
            <v>Recreational harvest of hatchery and non-hatchery coho salmon and commercial harvest estimates of hatchery coho salmon, Little Susitna River coho salmon stock, 1978-1998.</v>
          </cell>
        </row>
        <row r="97">
          <cell r="C97" t="str">
            <v>Bartlett 98</v>
          </cell>
          <cell r="Z97">
            <v>-0.2</v>
          </cell>
          <cell r="AJ97" t="str">
            <v>Table 31.</v>
          </cell>
          <cell r="AK97" t="str">
            <v>Estimated total brood year return of wild Little Su coho salmon by age</v>
          </cell>
          <cell r="AT97" t="str">
            <v>Table.32</v>
          </cell>
          <cell r="AU97" t="str">
            <v>Estimated total brood year return of wild Little Su coho salmon by age</v>
          </cell>
          <cell r="BB97" t="str">
            <v>Table 33.</v>
          </cell>
          <cell r="BC97" t="str">
            <v>Estimated total brood year return of wild Little Su coho salmon by age</v>
          </cell>
        </row>
        <row r="98">
          <cell r="C98" t="str">
            <v xml:space="preserve">Proportion </v>
          </cell>
          <cell r="D98" t="str">
            <v>Hatchery-origin coho salmon</v>
          </cell>
          <cell r="R98" t="str">
            <v>Wild-origin coho salmon</v>
          </cell>
          <cell r="AK98" t="str">
            <v>class, 1981-1993.  Return data are based on an assumed age class return</v>
          </cell>
          <cell r="AU98" t="str">
            <v>class, 1981-1993.  Return data are based on an assumed age class return</v>
          </cell>
          <cell r="BC98" t="str">
            <v>class, 1981-1993.  Return data are based on an assumed age class return</v>
          </cell>
        </row>
        <row r="99">
          <cell r="B99" t="str">
            <v>Total SWHS</v>
          </cell>
          <cell r="C99" t="str">
            <v xml:space="preserve">of hatchery </v>
          </cell>
          <cell r="D99" t="str">
            <v>Recreational harvest</v>
          </cell>
          <cell r="H99" t="str">
            <v>Commercial harvest</v>
          </cell>
          <cell r="K99" t="str">
            <v/>
          </cell>
          <cell r="P99" t="str">
            <v>Total</v>
          </cell>
          <cell r="R99" t="str">
            <v>Recreational harvest</v>
          </cell>
          <cell r="W99" t="str">
            <v>Commercial harvest</v>
          </cell>
          <cell r="AA99" t="str">
            <v/>
          </cell>
          <cell r="AB99" t="str">
            <v>Escapement Counts</v>
          </cell>
          <cell r="AG99" t="str">
            <v>Total</v>
          </cell>
          <cell r="AK99" t="str">
            <v>of 0.33:0.67 for age 3 and 4 salmon, respectively.</v>
          </cell>
          <cell r="AU99" t="str">
            <v>of 0.00:1.00 for age 3 and 4 salmon, respectively.</v>
          </cell>
          <cell r="BC99" t="str">
            <v>of 0.50:0.50 for age 3 and 4 salmon, respectively</v>
          </cell>
        </row>
        <row r="100">
          <cell r="B100" t="str">
            <v xml:space="preserve">estimated </v>
          </cell>
          <cell r="C100" t="str">
            <v>salmon in</v>
          </cell>
          <cell r="F100" t="str">
            <v xml:space="preserve">Exploitation </v>
          </cell>
          <cell r="J100" t="str">
            <v xml:space="preserve">Exploitation </v>
          </cell>
          <cell r="L100" t="str">
            <v>Escapement</v>
          </cell>
          <cell r="N100" t="str">
            <v>Total Run</v>
          </cell>
          <cell r="P100" t="str">
            <v>Exploitation</v>
          </cell>
          <cell r="U100" t="str">
            <v xml:space="preserve">Exploitation </v>
          </cell>
          <cell r="Z100" t="str">
            <v xml:space="preserve">Exploitation </v>
          </cell>
          <cell r="AB100" t="str">
            <v>aerial /foot</v>
          </cell>
          <cell r="AC100" t="str">
            <v xml:space="preserve">weir </v>
          </cell>
          <cell r="AE100" t="str">
            <v>Total Run</v>
          </cell>
          <cell r="AG100" t="str">
            <v>Exploitation</v>
          </cell>
          <cell r="AJ100" t="str">
            <v>Brood</v>
          </cell>
          <cell r="AQ100" t="str">
            <v>Total</v>
          </cell>
          <cell r="AR100" t="str">
            <v>Return per</v>
          </cell>
          <cell r="AT100" t="str">
            <v>Brood</v>
          </cell>
          <cell r="AY100" t="str">
            <v>Total</v>
          </cell>
          <cell r="AZ100" t="str">
            <v>Return per</v>
          </cell>
          <cell r="BB100" t="str">
            <v>Brood</v>
          </cell>
          <cell r="BG100" t="str">
            <v>Total</v>
          </cell>
          <cell r="BH100" t="str">
            <v>Return per</v>
          </cell>
        </row>
        <row r="101">
          <cell r="B101" t="str">
            <v>sport harvest</v>
          </cell>
          <cell r="C101" t="str">
            <v>the harvest</v>
          </cell>
          <cell r="D101" t="str">
            <v>number</v>
          </cell>
          <cell r="E101" t="str">
            <v>proportion</v>
          </cell>
          <cell r="F101" t="str">
            <v>Rate</v>
          </cell>
          <cell r="H101" t="str">
            <v>number</v>
          </cell>
          <cell r="I101" t="str">
            <v>proportion</v>
          </cell>
          <cell r="J101" t="str">
            <v>Rate</v>
          </cell>
          <cell r="L101" t="str">
            <v>number</v>
          </cell>
          <cell r="N101" t="str">
            <v>number</v>
          </cell>
          <cell r="P101" t="str">
            <v>Rate</v>
          </cell>
          <cell r="R101" t="str">
            <v>number</v>
          </cell>
          <cell r="S101" t="str">
            <v>proportion</v>
          </cell>
          <cell r="U101" t="str">
            <v>Rate</v>
          </cell>
          <cell r="W101" t="str">
            <v>number</v>
          </cell>
          <cell r="Y101" t="str">
            <v>proportion</v>
          </cell>
          <cell r="Z101" t="str">
            <v>Rate</v>
          </cell>
          <cell r="AB101" t="str">
            <v>survey cnts</v>
          </cell>
          <cell r="AC101" t="str">
            <v>counts</v>
          </cell>
          <cell r="AE101" t="str">
            <v>number</v>
          </cell>
          <cell r="AG101" t="str">
            <v>Rate</v>
          </cell>
          <cell r="AJ101" t="str">
            <v>Year</v>
          </cell>
          <cell r="AK101" t="str">
            <v>Escapement</v>
          </cell>
          <cell r="AM101" t="str">
            <v>Brood year return by age class</v>
          </cell>
          <cell r="AQ101" t="str">
            <v>Return</v>
          </cell>
          <cell r="AR101" t="str">
            <v>Spawner</v>
          </cell>
          <cell r="AT101" t="str">
            <v>Year</v>
          </cell>
          <cell r="AU101" t="str">
            <v>Escapement</v>
          </cell>
          <cell r="AW101" t="str">
            <v>Brood year return by age class</v>
          </cell>
          <cell r="AY101" t="str">
            <v>Return</v>
          </cell>
          <cell r="AZ101" t="str">
            <v>Spawner</v>
          </cell>
          <cell r="BB101" t="str">
            <v>Year</v>
          </cell>
          <cell r="BC101" t="str">
            <v>Escapement</v>
          </cell>
          <cell r="BE101" t="str">
            <v>Brood year return by age class</v>
          </cell>
          <cell r="BG101" t="str">
            <v>Return</v>
          </cell>
          <cell r="BH101" t="str">
            <v>Spawner</v>
          </cell>
        </row>
        <row r="102">
          <cell r="A102">
            <v>1977</v>
          </cell>
        </row>
        <row r="103">
          <cell r="A103">
            <v>1978</v>
          </cell>
          <cell r="B103">
            <v>4865</v>
          </cell>
          <cell r="R103">
            <v>4865</v>
          </cell>
          <cell r="AK103" t="str">
            <v>Counts</v>
          </cell>
          <cell r="AM103">
            <v>3</v>
          </cell>
          <cell r="AO103">
            <v>4</v>
          </cell>
          <cell r="AU103" t="str">
            <v>Counts</v>
          </cell>
          <cell r="AW103">
            <v>3</v>
          </cell>
          <cell r="AX103">
            <v>4</v>
          </cell>
          <cell r="BC103" t="str">
            <v>Counts</v>
          </cell>
          <cell r="BE103">
            <v>3</v>
          </cell>
          <cell r="BF103">
            <v>4</v>
          </cell>
        </row>
        <row r="104">
          <cell r="A104">
            <v>1979</v>
          </cell>
          <cell r="B104">
            <v>3382</v>
          </cell>
          <cell r="R104">
            <v>3382</v>
          </cell>
          <cell r="AM104">
            <v>0.33</v>
          </cell>
          <cell r="AO104">
            <v>0.67</v>
          </cell>
          <cell r="AW104">
            <v>0</v>
          </cell>
          <cell r="AX104">
            <v>1</v>
          </cell>
          <cell r="BE104">
            <v>0.5</v>
          </cell>
          <cell r="BF104">
            <v>0.5</v>
          </cell>
        </row>
        <row r="105">
          <cell r="A105">
            <v>1980</v>
          </cell>
          <cell r="B105">
            <v>6302</v>
          </cell>
          <cell r="R105">
            <v>6302</v>
          </cell>
        </row>
        <row r="106">
          <cell r="A106">
            <v>1981</v>
          </cell>
          <cell r="B106">
            <v>5940</v>
          </cell>
          <cell r="R106">
            <v>5940</v>
          </cell>
          <cell r="S106">
            <v>0.26054535648256061</v>
          </cell>
          <cell r="U106">
            <v>0.26054535648256061</v>
          </cell>
          <cell r="V106" t="str">
            <v>d</v>
          </cell>
          <cell r="W106">
            <v>16858.333772636586</v>
          </cell>
          <cell r="X106" t="str">
            <v>b</v>
          </cell>
          <cell r="Y106">
            <v>0.73945464351743939</v>
          </cell>
          <cell r="Z106">
            <v>0.73945464351743939</v>
          </cell>
          <cell r="AA106" t="str">
            <v>a</v>
          </cell>
          <cell r="AB106">
            <v>6750</v>
          </cell>
          <cell r="AE106">
            <v>22798.333772636586</v>
          </cell>
          <cell r="AF106" t="str">
            <v>e</v>
          </cell>
          <cell r="AG106">
            <v>1</v>
          </cell>
          <cell r="AJ106">
            <v>1981</v>
          </cell>
          <cell r="AK106">
            <v>6750</v>
          </cell>
          <cell r="AM106">
            <v>18052.480625632736</v>
          </cell>
          <cell r="AO106">
            <v>19965.352943636834</v>
          </cell>
          <cell r="AQ106">
            <v>38017.833569269569</v>
          </cell>
          <cell r="AR106">
            <v>5.6322716398917878</v>
          </cell>
          <cell r="AT106">
            <v>1981</v>
          </cell>
          <cell r="AU106">
            <v>6750</v>
          </cell>
          <cell r="AW106">
            <v>0</v>
          </cell>
          <cell r="AX106">
            <v>29799.034244234081</v>
          </cell>
          <cell r="AY106">
            <v>29799.034244234081</v>
          </cell>
          <cell r="AZ106">
            <v>4.4146717398865301</v>
          </cell>
          <cell r="BB106">
            <v>1981</v>
          </cell>
          <cell r="BC106">
            <v>6750</v>
          </cell>
          <cell r="BE106">
            <v>27352.243372170811</v>
          </cell>
          <cell r="BF106">
            <v>14899.51712211704</v>
          </cell>
          <cell r="BG106">
            <v>42251.760494287853</v>
          </cell>
          <cell r="BH106">
            <v>6.2595200732278302</v>
          </cell>
        </row>
        <row r="107">
          <cell r="A107">
            <v>1982</v>
          </cell>
          <cell r="B107">
            <v>7116</v>
          </cell>
          <cell r="R107">
            <v>7116</v>
          </cell>
          <cell r="S107">
            <v>0.26054535648256061</v>
          </cell>
          <cell r="U107">
            <v>0.26054535648256061</v>
          </cell>
          <cell r="V107" t="str">
            <v>d</v>
          </cell>
          <cell r="W107">
            <v>20195.943287219183</v>
          </cell>
          <cell r="X107" t="str">
            <v>b</v>
          </cell>
          <cell r="Y107">
            <v>0.73945464351743939</v>
          </cell>
          <cell r="Z107">
            <v>0.73945464351743939</v>
          </cell>
          <cell r="AA107" t="str">
            <v>a</v>
          </cell>
          <cell r="AB107">
            <v>6800</v>
          </cell>
          <cell r="AE107">
            <v>27311.943287219183</v>
          </cell>
          <cell r="AF107" t="str">
            <v>e</v>
          </cell>
          <cell r="AG107">
            <v>1</v>
          </cell>
          <cell r="AJ107">
            <v>1982</v>
          </cell>
          <cell r="AK107">
            <v>6800</v>
          </cell>
          <cell r="AM107">
            <v>9833.6813005972472</v>
          </cell>
          <cell r="AO107">
            <v>33247.301417862014</v>
          </cell>
          <cell r="AQ107">
            <v>43080.982718459258</v>
          </cell>
          <cell r="AR107">
            <v>6.335438635067538</v>
          </cell>
          <cell r="AT107">
            <v>1982</v>
          </cell>
          <cell r="AU107">
            <v>6800</v>
          </cell>
          <cell r="AW107">
            <v>0</v>
          </cell>
          <cell r="AX107">
            <v>49622.837937107477</v>
          </cell>
          <cell r="AY107">
            <v>49622.837937107477</v>
          </cell>
          <cell r="AZ107">
            <v>7.2974761672216877</v>
          </cell>
          <cell r="BB107">
            <v>1982</v>
          </cell>
          <cell r="BC107">
            <v>6800</v>
          </cell>
          <cell r="BE107">
            <v>14899.51712211704</v>
          </cell>
          <cell r="BF107">
            <v>24811.418968553739</v>
          </cell>
          <cell r="BG107">
            <v>39710.936090670781</v>
          </cell>
          <cell r="BH107">
            <v>5.8398435427457027</v>
          </cell>
        </row>
        <row r="108">
          <cell r="A108">
            <v>1983</v>
          </cell>
          <cell r="B108">
            <v>2835</v>
          </cell>
          <cell r="R108">
            <v>2835</v>
          </cell>
          <cell r="S108">
            <v>0.26054535648256061</v>
          </cell>
          <cell r="U108">
            <v>0.26054535648256061</v>
          </cell>
          <cell r="V108" t="str">
            <v>d</v>
          </cell>
          <cell r="W108">
            <v>8046.0229369401877</v>
          </cell>
          <cell r="X108" t="str">
            <v>b</v>
          </cell>
          <cell r="Y108">
            <v>0.73945464351743939</v>
          </cell>
          <cell r="Z108">
            <v>0.73945464351743939</v>
          </cell>
          <cell r="AA108" t="str">
            <v>a</v>
          </cell>
          <cell r="AB108">
            <v>2666</v>
          </cell>
          <cell r="AE108">
            <v>10881.022936940188</v>
          </cell>
          <cell r="AF108" t="str">
            <v>e</v>
          </cell>
          <cell r="AG108">
            <v>1</v>
          </cell>
          <cell r="AJ108">
            <v>1983</v>
          </cell>
          <cell r="AK108">
            <v>2666</v>
          </cell>
          <cell r="AM108">
            <v>16375.536519245468</v>
          </cell>
          <cell r="AO108">
            <v>93484.087871780241</v>
          </cell>
          <cell r="AQ108">
            <v>109859.6243910257</v>
          </cell>
          <cell r="AR108">
            <v>41.207661061900112</v>
          </cell>
          <cell r="AT108">
            <v>1983</v>
          </cell>
          <cell r="AU108">
            <v>2666</v>
          </cell>
          <cell r="AW108">
            <v>0</v>
          </cell>
          <cell r="AX108">
            <v>139528.48936086602</v>
          </cell>
          <cell r="AY108">
            <v>139528.48936086602</v>
          </cell>
          <cell r="AZ108">
            <v>52.336267577219061</v>
          </cell>
          <cell r="BB108">
            <v>1983</v>
          </cell>
          <cell r="BC108">
            <v>2666</v>
          </cell>
          <cell r="BE108">
            <v>24811.418968553739</v>
          </cell>
          <cell r="BF108">
            <v>69764.24468043301</v>
          </cell>
          <cell r="BG108">
            <v>94575.663648986752</v>
          </cell>
          <cell r="BH108">
            <v>35.474742554008536</v>
          </cell>
        </row>
        <row r="109">
          <cell r="A109">
            <v>1984</v>
          </cell>
          <cell r="B109">
            <v>14253</v>
          </cell>
          <cell r="R109">
            <v>14253</v>
          </cell>
          <cell r="S109">
            <v>0.26054535648256061</v>
          </cell>
          <cell r="U109">
            <v>0.26054535648256061</v>
          </cell>
          <cell r="V109" t="str">
            <v>d</v>
          </cell>
          <cell r="W109">
            <v>40451.486744341622</v>
          </cell>
          <cell r="X109" t="str">
            <v>b</v>
          </cell>
          <cell r="Y109">
            <v>0.73945464351743939</v>
          </cell>
          <cell r="Z109">
            <v>0.73945464351743939</v>
          </cell>
          <cell r="AA109" t="str">
            <v>a</v>
          </cell>
          <cell r="AB109">
            <v>22208</v>
          </cell>
          <cell r="AE109">
            <v>54704.486744341622</v>
          </cell>
          <cell r="AF109" t="str">
            <v>e</v>
          </cell>
          <cell r="AG109">
            <v>1</v>
          </cell>
          <cell r="AJ109">
            <v>1984</v>
          </cell>
          <cell r="AK109">
            <v>22208</v>
          </cell>
          <cell r="AM109">
            <v>46044.401489085787</v>
          </cell>
          <cell r="AO109">
            <v>65404.27444209934</v>
          </cell>
          <cell r="AQ109">
            <v>111448.67593118513</v>
          </cell>
          <cell r="AR109">
            <v>5.0184021943076882</v>
          </cell>
          <cell r="AT109">
            <v>1984</v>
          </cell>
          <cell r="AU109">
            <v>22208</v>
          </cell>
          <cell r="AW109">
            <v>0</v>
          </cell>
          <cell r="AX109">
            <v>97618.320062834828</v>
          </cell>
          <cell r="AY109">
            <v>97618.320062834828</v>
          </cell>
          <cell r="AZ109">
            <v>4.3956376108985422</v>
          </cell>
          <cell r="BB109">
            <v>1984</v>
          </cell>
          <cell r="BC109">
            <v>22208</v>
          </cell>
          <cell r="BE109">
            <v>69764.24468043301</v>
          </cell>
          <cell r="BF109">
            <v>48809.160031417414</v>
          </cell>
          <cell r="BG109">
            <v>118573.40471185042</v>
          </cell>
          <cell r="BH109">
            <v>5.3392203130336107</v>
          </cell>
        </row>
        <row r="110">
          <cell r="A110">
            <v>1985</v>
          </cell>
          <cell r="B110">
            <v>7764</v>
          </cell>
          <cell r="R110">
            <v>7764</v>
          </cell>
          <cell r="S110">
            <v>0.26054535648256061</v>
          </cell>
          <cell r="U110">
            <v>0.26054535648256061</v>
          </cell>
          <cell r="V110" t="str">
            <v>d</v>
          </cell>
          <cell r="W110">
            <v>22035.034244234081</v>
          </cell>
          <cell r="X110" t="str">
            <v>b</v>
          </cell>
          <cell r="Y110">
            <v>0.73945464351743939</v>
          </cell>
          <cell r="Z110">
            <v>0.73945464351743939</v>
          </cell>
          <cell r="AA110" t="str">
            <v>a</v>
          </cell>
          <cell r="AB110">
            <v>3889</v>
          </cell>
          <cell r="AE110">
            <v>29799.034244234081</v>
          </cell>
          <cell r="AF110" t="str">
            <v>e</v>
          </cell>
          <cell r="AG110">
            <v>1</v>
          </cell>
          <cell r="AJ110">
            <v>1985</v>
          </cell>
          <cell r="AK110">
            <v>3889</v>
          </cell>
          <cell r="AM110">
            <v>32214.045620735495</v>
          </cell>
          <cell r="AO110">
            <v>30606.340898398459</v>
          </cell>
          <cell r="AQ110">
            <v>62820.386519133957</v>
          </cell>
          <cell r="AR110">
            <v>16.153352152001531</v>
          </cell>
          <cell r="AT110">
            <v>1985</v>
          </cell>
          <cell r="AU110">
            <v>3889</v>
          </cell>
          <cell r="AW110">
            <v>0</v>
          </cell>
          <cell r="AX110">
            <v>45681.105818505159</v>
          </cell>
          <cell r="AY110">
            <v>45681.105818505159</v>
          </cell>
          <cell r="AZ110">
            <v>11.746234460916728</v>
          </cell>
          <cell r="BB110">
            <v>1985</v>
          </cell>
          <cell r="BC110">
            <v>3889</v>
          </cell>
          <cell r="BE110">
            <v>48809.160031417414</v>
          </cell>
          <cell r="BF110">
            <v>22840.552909252579</v>
          </cell>
          <cell r="BG110">
            <v>71649.712940669997</v>
          </cell>
          <cell r="BH110">
            <v>18.423685508014913</v>
          </cell>
        </row>
        <row r="111">
          <cell r="A111">
            <v>1986</v>
          </cell>
          <cell r="B111">
            <v>6039</v>
          </cell>
          <cell r="C111">
            <v>1.7999999999999999E-2</v>
          </cell>
          <cell r="D111">
            <v>109</v>
          </cell>
          <cell r="R111">
            <v>5930</v>
          </cell>
          <cell r="S111">
            <v>0.13912402746908575</v>
          </cell>
          <cell r="U111">
            <v>0.11950142810283737</v>
          </cell>
          <cell r="V111" t="str">
            <v>d</v>
          </cell>
          <cell r="W111">
            <v>36693.837937107477</v>
          </cell>
          <cell r="X111" t="str">
            <v>b</v>
          </cell>
          <cell r="Y111">
            <v>0.8608759725309143</v>
          </cell>
          <cell r="Z111">
            <v>0.73945464351743939</v>
          </cell>
          <cell r="AA111" t="str">
            <v>a</v>
          </cell>
          <cell r="AB111">
            <v>1308</v>
          </cell>
          <cell r="AC111">
            <v>6999</v>
          </cell>
          <cell r="AE111">
            <v>49622.837937107477</v>
          </cell>
          <cell r="AF111" t="str">
            <v>e</v>
          </cell>
          <cell r="AG111">
            <v>0.85895607162027676</v>
          </cell>
          <cell r="AJ111">
            <v>1986</v>
          </cell>
          <cell r="AK111">
            <v>6999</v>
          </cell>
          <cell r="AM111">
            <v>15074.764920106703</v>
          </cell>
          <cell r="AO111">
            <v>41645.915883848349</v>
          </cell>
          <cell r="AQ111">
            <v>56720.680803955052</v>
          </cell>
          <cell r="AR111">
            <v>8.1041121308694173</v>
          </cell>
          <cell r="AT111">
            <v>1986</v>
          </cell>
          <cell r="AU111">
            <v>6999</v>
          </cell>
          <cell r="AW111">
            <v>0</v>
          </cell>
          <cell r="AX111">
            <v>62158.083408728875</v>
          </cell>
          <cell r="AY111">
            <v>62158.083408728875</v>
          </cell>
          <cell r="AZ111">
            <v>8.8809949148062408</v>
          </cell>
          <cell r="BB111">
            <v>1986</v>
          </cell>
          <cell r="BC111">
            <v>6999</v>
          </cell>
          <cell r="BE111">
            <v>22840.552909252579</v>
          </cell>
          <cell r="BF111">
            <v>31079.041704364437</v>
          </cell>
          <cell r="BG111">
            <v>53919.594613617017</v>
          </cell>
          <cell r="BH111">
            <v>7.7038997876292354</v>
          </cell>
        </row>
        <row r="112">
          <cell r="A112">
            <v>1987</v>
          </cell>
          <cell r="B112">
            <v>13003</v>
          </cell>
          <cell r="C112">
            <v>0.26200000000000001</v>
          </cell>
          <cell r="D112">
            <v>3407</v>
          </cell>
          <cell r="R112">
            <v>9596</v>
          </cell>
          <cell r="S112">
            <v>8.5092806708407048E-2</v>
          </cell>
          <cell r="U112">
            <v>6.8774485009879413E-2</v>
          </cell>
          <cell r="V112" t="str">
            <v>d</v>
          </cell>
          <cell r="W112">
            <v>103174.98936086602</v>
          </cell>
          <cell r="X112" t="str">
            <v>b</v>
          </cell>
          <cell r="Y112">
            <v>0.91490719329159298</v>
          </cell>
          <cell r="Z112">
            <v>0.73945464351743939</v>
          </cell>
          <cell r="AA112" t="str">
            <v>a</v>
          </cell>
          <cell r="AB112">
            <v>4865</v>
          </cell>
          <cell r="AC112">
            <v>26757.5</v>
          </cell>
          <cell r="AE112">
            <v>139528.48936086602</v>
          </cell>
          <cell r="AF112" t="str">
            <v>e</v>
          </cell>
          <cell r="AG112">
            <v>0.80822912852731887</v>
          </cell>
          <cell r="AJ112">
            <v>1987</v>
          </cell>
          <cell r="AK112">
            <v>26757.5</v>
          </cell>
          <cell r="AM112">
            <v>20512.16752488053</v>
          </cell>
          <cell r="AO112">
            <v>97795.256626289134</v>
          </cell>
          <cell r="AQ112">
            <v>118307.42415116966</v>
          </cell>
          <cell r="AR112">
            <v>4.4214677810396958</v>
          </cell>
          <cell r="AT112">
            <v>1987</v>
          </cell>
          <cell r="AU112">
            <v>26757.5</v>
          </cell>
          <cell r="AW112">
            <v>0</v>
          </cell>
          <cell r="AX112">
            <v>145963.06959147632</v>
          </cell>
          <cell r="AY112">
            <v>145963.06959147632</v>
          </cell>
          <cell r="AZ112">
            <v>5.4550339004569306</v>
          </cell>
          <cell r="BB112">
            <v>1987</v>
          </cell>
          <cell r="BC112">
            <v>26757.5</v>
          </cell>
          <cell r="BE112">
            <v>31079.041704364437</v>
          </cell>
          <cell r="BF112">
            <v>72981.53479573816</v>
          </cell>
          <cell r="BG112">
            <v>104060.5765001026</v>
          </cell>
          <cell r="BH112">
            <v>3.8890246286126358</v>
          </cell>
        </row>
        <row r="113">
          <cell r="A113">
            <v>1988</v>
          </cell>
          <cell r="B113">
            <v>19009</v>
          </cell>
          <cell r="C113">
            <v>0.50700000000000001</v>
          </cell>
          <cell r="D113">
            <v>9638</v>
          </cell>
          <cell r="L113">
            <v>4428</v>
          </cell>
          <cell r="R113">
            <v>9371</v>
          </cell>
          <cell r="S113">
            <v>0.11490360154040291</v>
          </cell>
          <cell r="U113">
            <v>9.5996325218136183E-2</v>
          </cell>
          <cell r="V113" t="str">
            <v>d</v>
          </cell>
          <cell r="W113">
            <v>72184.320062834828</v>
          </cell>
          <cell r="X113" t="str">
            <v>b</v>
          </cell>
          <cell r="Y113">
            <v>0.88509639845959709</v>
          </cell>
          <cell r="Z113">
            <v>0.73945464351743939</v>
          </cell>
          <cell r="AA113" t="str">
            <v>a</v>
          </cell>
          <cell r="AC113">
            <v>16063</v>
          </cell>
          <cell r="AE113">
            <v>97618.320062834828</v>
          </cell>
          <cell r="AF113" t="str">
            <v>e</v>
          </cell>
          <cell r="AG113">
            <v>0.83545096873557556</v>
          </cell>
          <cell r="AJ113">
            <v>1988</v>
          </cell>
          <cell r="AK113">
            <v>16063</v>
          </cell>
          <cell r="AM113">
            <v>48167.812965187186</v>
          </cell>
          <cell r="AO113">
            <v>89221.778172646023</v>
          </cell>
          <cell r="AQ113">
            <v>137389.59113783319</v>
          </cell>
          <cell r="AR113">
            <v>8.5531713339870006</v>
          </cell>
          <cell r="AT113">
            <v>1988</v>
          </cell>
          <cell r="AU113">
            <v>16063</v>
          </cell>
          <cell r="AW113">
            <v>0</v>
          </cell>
          <cell r="AX113">
            <v>133166.83309350151</v>
          </cell>
          <cell r="AY113">
            <v>133166.83309350151</v>
          </cell>
          <cell r="AZ113">
            <v>8.2902840747993221</v>
          </cell>
          <cell r="BB113">
            <v>1988</v>
          </cell>
          <cell r="BC113">
            <v>16063</v>
          </cell>
          <cell r="BE113">
            <v>72981.53479573816</v>
          </cell>
          <cell r="BF113">
            <v>66583.416546750756</v>
          </cell>
          <cell r="BG113">
            <v>139564.95134248893</v>
          </cell>
          <cell r="BH113">
            <v>8.6885981038715645</v>
          </cell>
        </row>
        <row r="114">
          <cell r="A114">
            <v>1989</v>
          </cell>
          <cell r="B114">
            <v>14129</v>
          </cell>
          <cell r="C114">
            <v>0.75</v>
          </cell>
          <cell r="D114">
            <v>10597</v>
          </cell>
          <cell r="L114">
            <v>6862</v>
          </cell>
          <cell r="R114">
            <v>3532</v>
          </cell>
          <cell r="S114">
            <v>9.4663503600802876E-2</v>
          </cell>
          <cell r="U114">
            <v>7.7318618643623258E-2</v>
          </cell>
          <cell r="V114" t="str">
            <v>d</v>
          </cell>
          <cell r="W114">
            <v>33779.105818505159</v>
          </cell>
          <cell r="X114" t="str">
            <v>b</v>
          </cell>
          <cell r="Y114">
            <v>0.90533649639919711</v>
          </cell>
          <cell r="Z114">
            <v>0.73945464351743939</v>
          </cell>
          <cell r="AA114" t="str">
            <v>a</v>
          </cell>
          <cell r="AB114">
            <v>814</v>
          </cell>
          <cell r="AC114">
            <v>8370</v>
          </cell>
          <cell r="AE114">
            <v>45681.105818505159</v>
          </cell>
          <cell r="AF114" t="str">
            <v>e</v>
          </cell>
          <cell r="AG114">
            <v>0.81677326216106261</v>
          </cell>
          <cell r="AJ114">
            <v>1989</v>
          </cell>
          <cell r="AK114">
            <v>8370</v>
          </cell>
          <cell r="AM114">
            <v>43945.054920855502</v>
          </cell>
          <cell r="AO114">
            <v>47593.441101743854</v>
          </cell>
          <cell r="AQ114">
            <v>91538.496022599356</v>
          </cell>
          <cell r="AR114">
            <v>10.936498927431225</v>
          </cell>
          <cell r="AT114">
            <v>1989</v>
          </cell>
          <cell r="AU114">
            <v>8370</v>
          </cell>
          <cell r="AW114">
            <v>0</v>
          </cell>
          <cell r="AX114">
            <v>71034.986719020671</v>
          </cell>
          <cell r="AY114">
            <v>71034.986719020671</v>
          </cell>
          <cell r="AZ114">
            <v>8.4868562388316207</v>
          </cell>
          <cell r="BB114">
            <v>1989</v>
          </cell>
          <cell r="BC114">
            <v>8370</v>
          </cell>
          <cell r="BE114">
            <v>66583.416546750756</v>
          </cell>
          <cell r="BF114">
            <v>35517.493359510336</v>
          </cell>
          <cell r="BG114">
            <v>102100.90990626109</v>
          </cell>
          <cell r="BH114">
            <v>12.198436070043142</v>
          </cell>
        </row>
        <row r="115">
          <cell r="A115">
            <v>1990</v>
          </cell>
          <cell r="B115">
            <v>7497</v>
          </cell>
          <cell r="C115">
            <v>0.29899999999999999</v>
          </cell>
          <cell r="D115">
            <v>2242</v>
          </cell>
          <cell r="L115">
            <v>3370</v>
          </cell>
          <cell r="R115">
            <v>5255</v>
          </cell>
          <cell r="S115">
            <v>0.10260048112429786</v>
          </cell>
          <cell r="U115">
            <v>8.4542503755224208E-2</v>
          </cell>
          <cell r="V115" t="str">
            <v>d</v>
          </cell>
          <cell r="W115">
            <v>45963.083408728875</v>
          </cell>
          <cell r="X115" t="str">
            <v>b</v>
          </cell>
          <cell r="Y115">
            <v>0.89739951887570213</v>
          </cell>
          <cell r="Z115">
            <v>0.73945464351743939</v>
          </cell>
          <cell r="AA115" t="str">
            <v>a</v>
          </cell>
          <cell r="AC115">
            <v>10940</v>
          </cell>
          <cell r="AE115">
            <v>62158.083408728875</v>
          </cell>
          <cell r="AF115" t="str">
            <v>e</v>
          </cell>
          <cell r="AG115">
            <v>0.8239971472726636</v>
          </cell>
          <cell r="AJ115">
            <v>1990</v>
          </cell>
          <cell r="AK115">
            <v>10940</v>
          </cell>
          <cell r="AM115">
            <v>23441.545617276824</v>
          </cell>
          <cell r="AO115">
            <v>63420.660703339541</v>
          </cell>
          <cell r="AQ115">
            <v>86862.206320616358</v>
          </cell>
          <cell r="AR115">
            <v>7.9398726070033234</v>
          </cell>
          <cell r="AT115">
            <v>1990</v>
          </cell>
          <cell r="AU115">
            <v>10940</v>
          </cell>
          <cell r="AW115">
            <v>0</v>
          </cell>
          <cell r="AX115">
            <v>94657.702542297819</v>
          </cell>
          <cell r="AY115">
            <v>94657.702542297819</v>
          </cell>
          <cell r="AZ115">
            <v>8.6524408173946821</v>
          </cell>
          <cell r="BB115">
            <v>1990</v>
          </cell>
          <cell r="BC115">
            <v>10940</v>
          </cell>
          <cell r="BE115">
            <v>35517.493359510336</v>
          </cell>
          <cell r="BF115">
            <v>47328.851271148909</v>
          </cell>
          <cell r="BG115">
            <v>82846.344630659238</v>
          </cell>
          <cell r="BH115">
            <v>7.5727920137714113</v>
          </cell>
        </row>
        <row r="116">
          <cell r="A116">
            <v>1991</v>
          </cell>
          <cell r="B116">
            <v>16450</v>
          </cell>
          <cell r="C116">
            <v>0.46800000000000003</v>
          </cell>
          <cell r="D116">
            <v>7699</v>
          </cell>
          <cell r="L116">
            <v>8322</v>
          </cell>
          <cell r="R116">
            <v>8751</v>
          </cell>
          <cell r="S116">
            <v>7.4997384224240779E-2</v>
          </cell>
          <cell r="U116">
            <v>5.9953521287901337E-2</v>
          </cell>
          <cell r="V116" t="str">
            <v>d</v>
          </cell>
          <cell r="W116">
            <v>107933.06959147632</v>
          </cell>
          <cell r="X116" t="str">
            <v>b</v>
          </cell>
          <cell r="Y116">
            <v>0.92500261577575926</v>
          </cell>
          <cell r="Z116">
            <v>0.73945464351743939</v>
          </cell>
          <cell r="AA116" t="str">
            <v>a</v>
          </cell>
          <cell r="AB116">
            <v>5254</v>
          </cell>
          <cell r="AC116">
            <v>29279</v>
          </cell>
          <cell r="AE116">
            <v>145963.06959147632</v>
          </cell>
          <cell r="AF116" t="str">
            <v>e</v>
          </cell>
          <cell r="AG116">
            <v>0.79940816480534072</v>
          </cell>
          <cell r="AJ116">
            <v>1991</v>
          </cell>
          <cell r="AK116">
            <v>29279</v>
          </cell>
          <cell r="AM116">
            <v>31237.041838958281</v>
          </cell>
          <cell r="AO116">
            <v>36252.864315270941</v>
          </cell>
          <cell r="AQ116">
            <v>67489.906154229218</v>
          </cell>
          <cell r="AR116">
            <v>2.3050618584729401</v>
          </cell>
          <cell r="AT116">
            <v>1991</v>
          </cell>
          <cell r="AU116">
            <v>29279</v>
          </cell>
          <cell r="AW116">
            <v>0</v>
          </cell>
          <cell r="AX116">
            <v>54108.752709359607</v>
          </cell>
          <cell r="AY116">
            <v>54108.752709359607</v>
          </cell>
          <cell r="AZ116">
            <v>1.8480396430670312</v>
          </cell>
          <cell r="BB116">
            <v>1991</v>
          </cell>
          <cell r="BC116">
            <v>29279</v>
          </cell>
          <cell r="BE116">
            <v>47328.851271148909</v>
          </cell>
          <cell r="BF116">
            <v>27054.376354679804</v>
          </cell>
          <cell r="BG116">
            <v>74383.227625828717</v>
          </cell>
          <cell r="BH116">
            <v>2.5404975451971965</v>
          </cell>
        </row>
        <row r="117">
          <cell r="A117">
            <v>1992</v>
          </cell>
          <cell r="B117">
            <v>20033</v>
          </cell>
          <cell r="C117">
            <v>0.17</v>
          </cell>
          <cell r="D117">
            <v>3406</v>
          </cell>
          <cell r="L117">
            <v>2324</v>
          </cell>
          <cell r="R117">
            <v>16627</v>
          </cell>
          <cell r="S117">
            <v>0.14445971355944467</v>
          </cell>
          <cell r="U117">
            <v>0.12485841717303249</v>
          </cell>
          <cell r="V117" t="str">
            <v>d</v>
          </cell>
          <cell r="W117">
            <v>98470.833093501511</v>
          </cell>
          <cell r="X117" t="str">
            <v>b</v>
          </cell>
          <cell r="Y117">
            <v>0.85554028644055535</v>
          </cell>
          <cell r="Z117">
            <v>0.73945464351743939</v>
          </cell>
          <cell r="AA117" t="str">
            <v>a</v>
          </cell>
          <cell r="AC117">
            <v>18069</v>
          </cell>
          <cell r="AE117">
            <v>133166.83309350151</v>
          </cell>
          <cell r="AF117" t="str">
            <v>e</v>
          </cell>
          <cell r="AG117">
            <v>0.86431306069047187</v>
          </cell>
          <cell r="AJ117">
            <v>1992</v>
          </cell>
          <cell r="AK117">
            <v>18069</v>
          </cell>
          <cell r="AM117">
            <v>17855.88839408867</v>
          </cell>
          <cell r="AO117">
            <v>42863.549371654641</v>
          </cell>
          <cell r="AQ117">
            <v>60719.437765743307</v>
          </cell>
          <cell r="AR117">
            <v>3.3604204862329574</v>
          </cell>
          <cell r="AT117">
            <v>1992</v>
          </cell>
          <cell r="AU117">
            <v>18069</v>
          </cell>
          <cell r="AW117">
            <v>0</v>
          </cell>
          <cell r="AX117">
            <v>63975.446823365135</v>
          </cell>
          <cell r="AY117">
            <v>63975.446823365135</v>
          </cell>
          <cell r="AZ117">
            <v>3.5406191169054808</v>
          </cell>
          <cell r="BB117">
            <v>1992</v>
          </cell>
          <cell r="BC117">
            <v>18069</v>
          </cell>
          <cell r="BE117">
            <v>27054.376354679804</v>
          </cell>
          <cell r="BF117">
            <v>31987.723411682568</v>
          </cell>
          <cell r="BG117">
            <v>59042.099766362371</v>
          </cell>
          <cell r="BH117">
            <v>3.2675908886137788</v>
          </cell>
        </row>
        <row r="118">
          <cell r="A118">
            <v>1993</v>
          </cell>
          <cell r="B118">
            <v>27610</v>
          </cell>
          <cell r="C118">
            <v>0.27900000000000003</v>
          </cell>
          <cell r="D118">
            <v>7703</v>
          </cell>
          <cell r="E118">
            <v>0.41514416599299381</v>
          </cell>
          <cell r="F118">
            <v>0.2734469293574725</v>
          </cell>
          <cell r="H118">
            <v>10852</v>
          </cell>
          <cell r="I118">
            <v>0.58485583400700625</v>
          </cell>
          <cell r="J118">
            <v>0.38523251686190985</v>
          </cell>
          <cell r="L118">
            <v>9615</v>
          </cell>
          <cell r="N118">
            <v>28170</v>
          </cell>
          <cell r="P118">
            <v>0.65867944621938235</v>
          </cell>
          <cell r="R118">
            <v>19907</v>
          </cell>
          <cell r="S118">
            <v>0.42111621240556169</v>
          </cell>
          <cell r="U118">
            <v>0.28024218655438426</v>
          </cell>
          <cell r="W118">
            <v>27364.986719020671</v>
          </cell>
          <cell r="Y118">
            <v>0.57888378759443837</v>
          </cell>
          <cell r="Z118">
            <v>0.38523251686190985</v>
          </cell>
          <cell r="AA118" t="str">
            <v>c</v>
          </cell>
          <cell r="AC118">
            <v>23763</v>
          </cell>
          <cell r="AE118">
            <v>71034.986719020671</v>
          </cell>
          <cell r="AG118">
            <v>0.66547470341629411</v>
          </cell>
          <cell r="AJ118">
            <v>1993</v>
          </cell>
          <cell r="AK118">
            <v>23763</v>
          </cell>
          <cell r="AM118">
            <v>21111.897451710494</v>
          </cell>
          <cell r="AO118">
            <v>45387.490913857568</v>
          </cell>
          <cell r="AQ118">
            <v>66499.388365568069</v>
          </cell>
          <cell r="AR118">
            <v>2.7984424679362063</v>
          </cell>
          <cell r="AT118">
            <v>1993</v>
          </cell>
          <cell r="AU118">
            <v>23763</v>
          </cell>
          <cell r="AW118">
            <v>0</v>
          </cell>
          <cell r="AX118">
            <v>67742.523752026216</v>
          </cell>
          <cell r="AY118">
            <v>67742.523752026216</v>
          </cell>
          <cell r="AZ118">
            <v>2.8507563755429119</v>
          </cell>
          <cell r="BB118">
            <v>1992</v>
          </cell>
          <cell r="BC118">
            <v>23763</v>
          </cell>
          <cell r="BE118">
            <v>31987.723411682568</v>
          </cell>
          <cell r="BF118">
            <v>33871.261876013108</v>
          </cell>
          <cell r="BG118">
            <v>65858.985287695672</v>
          </cell>
          <cell r="BH118">
            <v>2.7714928791691147</v>
          </cell>
        </row>
        <row r="119">
          <cell r="A119">
            <v>1994</v>
          </cell>
          <cell r="B119">
            <v>17665</v>
          </cell>
          <cell r="C119">
            <v>0.34899999999999998</v>
          </cell>
          <cell r="D119">
            <v>6165</v>
          </cell>
          <cell r="E119">
            <v>0.23598086124401915</v>
          </cell>
          <cell r="F119">
            <v>0.19728631316202119</v>
          </cell>
          <cell r="H119">
            <v>19960</v>
          </cell>
          <cell r="I119">
            <v>0.76401913875598082</v>
          </cell>
          <cell r="J119">
            <v>0.63874043969407024</v>
          </cell>
          <cell r="L119">
            <v>5124</v>
          </cell>
          <cell r="N119">
            <v>31249</v>
          </cell>
          <cell r="P119">
            <v>0.8360267528560914</v>
          </cell>
          <cell r="R119">
            <v>11500</v>
          </cell>
          <cell r="S119">
            <v>0.15980722514507634</v>
          </cell>
          <cell r="U119">
            <v>0.12149037733998691</v>
          </cell>
          <cell r="W119">
            <v>60461.702542297819</v>
          </cell>
          <cell r="Y119">
            <v>0.84019277485492361</v>
          </cell>
          <cell r="Z119">
            <v>0.63874043969407024</v>
          </cell>
          <cell r="AA119" t="str">
            <v>c</v>
          </cell>
          <cell r="AB119">
            <v>6979</v>
          </cell>
          <cell r="AC119">
            <v>22696</v>
          </cell>
          <cell r="AE119">
            <v>94657.702542297819</v>
          </cell>
          <cell r="AG119">
            <v>0.76023081703405715</v>
          </cell>
          <cell r="AJ119">
            <v>1994</v>
          </cell>
          <cell r="AK119">
            <v>22696</v>
          </cell>
          <cell r="AM119">
            <v>22355.032838168652</v>
          </cell>
          <cell r="AO119">
            <v>28339.369001113941</v>
          </cell>
          <cell r="AQ119">
            <v>50694.401839282596</v>
          </cell>
          <cell r="AR119">
            <v>2.2336271518894342</v>
          </cell>
          <cell r="AT119">
            <v>1994</v>
          </cell>
          <cell r="AU119">
            <v>22696</v>
          </cell>
          <cell r="AW119">
            <v>0</v>
          </cell>
          <cell r="AX119">
            <v>42297.565673304387</v>
          </cell>
          <cell r="AY119">
            <v>42297.565673304387</v>
          </cell>
          <cell r="AZ119">
            <v>1.8636572820454875</v>
          </cell>
          <cell r="BB119">
            <v>1992</v>
          </cell>
          <cell r="BC119">
            <v>22696</v>
          </cell>
          <cell r="BE119">
            <v>33871.261876013108</v>
          </cell>
          <cell r="BF119">
            <v>21148.782836652194</v>
          </cell>
          <cell r="BG119">
            <v>55020.044712665302</v>
          </cell>
          <cell r="BH119">
            <v>2.4242176908999515</v>
          </cell>
        </row>
        <row r="120">
          <cell r="A120">
            <v>1995</v>
          </cell>
          <cell r="B120">
            <v>14451</v>
          </cell>
          <cell r="C120">
            <v>0.20699999999999999</v>
          </cell>
          <cell r="D120">
            <v>2991</v>
          </cell>
          <cell r="E120">
            <v>0.33900034002040125</v>
          </cell>
          <cell r="F120">
            <v>0.30236554791750908</v>
          </cell>
          <cell r="H120">
            <v>5832</v>
          </cell>
          <cell r="I120">
            <v>0.66099965997959875</v>
          </cell>
          <cell r="J120">
            <v>0.58956732713303683</v>
          </cell>
          <cell r="L120">
            <v>1069</v>
          </cell>
          <cell r="N120">
            <v>9892</v>
          </cell>
          <cell r="P120">
            <v>0.89193287505054586</v>
          </cell>
          <cell r="R120">
            <v>11460</v>
          </cell>
          <cell r="S120">
            <v>0.26429430496316797</v>
          </cell>
          <cell r="U120">
            <v>0.21179567863181728</v>
          </cell>
          <cell r="W120">
            <v>31900.752709359607</v>
          </cell>
          <cell r="Y120">
            <v>0.73570569503683203</v>
          </cell>
          <cell r="Z120">
            <v>0.58956732713303683</v>
          </cell>
          <cell r="AA120" t="str">
            <v>c</v>
          </cell>
          <cell r="AC120">
            <v>10748</v>
          </cell>
          <cell r="AE120">
            <v>54108.752709359607</v>
          </cell>
          <cell r="AG120">
            <v>0.80136300576485409</v>
          </cell>
          <cell r="AJ120">
            <v>1995</v>
          </cell>
          <cell r="AK120">
            <v>10748</v>
          </cell>
          <cell r="AM120">
            <v>13958.196672190448</v>
          </cell>
          <cell r="AO120">
            <v>0</v>
          </cell>
          <cell r="AQ120">
            <v>13958.196672190448</v>
          </cell>
          <cell r="AR120">
            <v>1.2986785143459665</v>
          </cell>
          <cell r="AT120">
            <v>1995</v>
          </cell>
          <cell r="AU120">
            <v>10748</v>
          </cell>
          <cell r="AW120">
            <v>0</v>
          </cell>
          <cell r="AX120">
            <v>0</v>
          </cell>
          <cell r="AY120">
            <v>0</v>
          </cell>
          <cell r="AZ120">
            <v>0</v>
          </cell>
          <cell r="BB120">
            <v>1992</v>
          </cell>
          <cell r="BC120">
            <v>10748</v>
          </cell>
          <cell r="BE120">
            <v>21148.782836652194</v>
          </cell>
          <cell r="BF120">
            <v>0</v>
          </cell>
          <cell r="BG120">
            <v>21148.782836652194</v>
          </cell>
          <cell r="BH120">
            <v>1.9676947187060099</v>
          </cell>
        </row>
        <row r="121">
          <cell r="A121">
            <v>1996</v>
          </cell>
          <cell r="B121">
            <v>16753</v>
          </cell>
          <cell r="C121">
            <v>0.23</v>
          </cell>
          <cell r="D121">
            <v>3853</v>
          </cell>
          <cell r="E121">
            <v>0.42882582081246523</v>
          </cell>
          <cell r="F121">
            <v>0.40863294092692759</v>
          </cell>
          <cell r="H121">
            <v>5132</v>
          </cell>
          <cell r="I121">
            <v>0.57117417918753477</v>
          </cell>
          <cell r="J121">
            <v>0.54427829038074027</v>
          </cell>
          <cell r="L121">
            <v>444</v>
          </cell>
          <cell r="N121">
            <v>9429</v>
          </cell>
          <cell r="P121">
            <v>0.95291123130766786</v>
          </cell>
          <cell r="R121">
            <v>12900</v>
          </cell>
          <cell r="S121">
            <v>0.27032437579113017</v>
          </cell>
          <cell r="U121">
            <v>0.2016398577975802</v>
          </cell>
          <cell r="W121">
            <v>34820.446823365135</v>
          </cell>
          <cell r="Y121">
            <v>0.72967562420886989</v>
          </cell>
          <cell r="Z121">
            <v>0.54427829038074027</v>
          </cell>
          <cell r="AA121" t="str">
            <v>c</v>
          </cell>
          <cell r="AC121">
            <v>16255</v>
          </cell>
          <cell r="AE121">
            <v>63975.446823365135</v>
          </cell>
          <cell r="AG121">
            <v>0.74591814817832047</v>
          </cell>
          <cell r="AJ121">
            <v>1996</v>
          </cell>
          <cell r="AK121">
            <v>16255</v>
          </cell>
          <cell r="AM121">
            <v>0</v>
          </cell>
          <cell r="AT121">
            <v>1996</v>
          </cell>
          <cell r="AU121">
            <v>16255</v>
          </cell>
          <cell r="AW121">
            <v>0</v>
          </cell>
          <cell r="AY121">
            <v>0</v>
          </cell>
          <cell r="AZ121">
            <v>0</v>
          </cell>
          <cell r="BB121">
            <v>1992</v>
          </cell>
          <cell r="BC121">
            <v>16255</v>
          </cell>
          <cell r="BH121">
            <v>0</v>
          </cell>
        </row>
        <row r="122">
          <cell r="A122">
            <v>1997</v>
          </cell>
          <cell r="B122">
            <v>7756</v>
          </cell>
          <cell r="C122">
            <v>0</v>
          </cell>
          <cell r="D122">
            <v>0</v>
          </cell>
          <cell r="E122">
            <v>0</v>
          </cell>
          <cell r="F122">
            <v>0</v>
          </cell>
          <cell r="H122">
            <v>0</v>
          </cell>
          <cell r="I122">
            <v>0</v>
          </cell>
          <cell r="J122">
            <v>0</v>
          </cell>
          <cell r="L122">
            <v>0</v>
          </cell>
          <cell r="N122">
            <v>0</v>
          </cell>
          <cell r="P122">
            <v>0</v>
          </cell>
          <cell r="R122">
            <v>7756</v>
          </cell>
          <cell r="S122">
            <v>0.13407429432852791</v>
          </cell>
          <cell r="U122">
            <v>0.11449233908661417</v>
          </cell>
          <cell r="W122">
            <v>50092.523752026216</v>
          </cell>
          <cell r="X122" t="str">
            <v>b</v>
          </cell>
          <cell r="Y122">
            <v>0.86592570567147209</v>
          </cell>
          <cell r="Z122">
            <v>0.73945464351743939</v>
          </cell>
          <cell r="AA122" t="str">
            <v>a</v>
          </cell>
          <cell r="AC122">
            <v>9894</v>
          </cell>
          <cell r="AE122">
            <v>67742.523752026216</v>
          </cell>
          <cell r="AF122" t="str">
            <v>e</v>
          </cell>
          <cell r="AG122">
            <v>0.85394698260405355</v>
          </cell>
        </row>
        <row r="123">
          <cell r="A123">
            <v>1998</v>
          </cell>
          <cell r="D123">
            <v>0</v>
          </cell>
          <cell r="E123">
            <v>0</v>
          </cell>
          <cell r="F123">
            <v>0</v>
          </cell>
          <cell r="H123">
            <v>0</v>
          </cell>
          <cell r="I123">
            <v>0</v>
          </cell>
          <cell r="J123">
            <v>0</v>
          </cell>
          <cell r="L123">
            <v>0</v>
          </cell>
          <cell r="N123">
            <v>0</v>
          </cell>
          <cell r="P123">
            <v>0</v>
          </cell>
          <cell r="R123">
            <v>11500</v>
          </cell>
          <cell r="S123">
            <v>0.42375120846243908</v>
          </cell>
          <cell r="U123">
            <v>0.27188325892849408</v>
          </cell>
          <cell r="W123">
            <v>15638.565673304389</v>
          </cell>
          <cell r="X123" t="str">
            <v>b</v>
          </cell>
          <cell r="Y123">
            <v>0.57624879153756103</v>
          </cell>
          <cell r="Z123">
            <v>0.3697273217587197</v>
          </cell>
          <cell r="AA123" t="str">
            <v>a</v>
          </cell>
          <cell r="AC123">
            <v>15159</v>
          </cell>
          <cell r="AE123">
            <v>42297.565673304387</v>
          </cell>
          <cell r="AF123" t="str">
            <v>e</v>
          </cell>
          <cell r="AG123">
            <v>0.64161058068721377</v>
          </cell>
        </row>
        <row r="124">
          <cell r="AC124">
            <v>3017</v>
          </cell>
        </row>
        <row r="125">
          <cell r="A125" t="str">
            <v>1993-1997</v>
          </cell>
          <cell r="AJ125" t="str">
            <v>1981-1994</v>
          </cell>
          <cell r="AT125" t="str">
            <v>1981-1994</v>
          </cell>
          <cell r="BB125" t="str">
            <v>1981-1994</v>
          </cell>
        </row>
        <row r="126">
          <cell r="A126" t="str">
            <v>mean</v>
          </cell>
          <cell r="D126">
            <v>5178</v>
          </cell>
          <cell r="E126">
            <v>0.35473779701746988</v>
          </cell>
          <cell r="F126">
            <v>0.2954329328409826</v>
          </cell>
          <cell r="H126">
            <v>10444</v>
          </cell>
          <cell r="I126">
            <v>0.64526220298253012</v>
          </cell>
          <cell r="J126">
            <v>0.53945464351743933</v>
          </cell>
          <cell r="L126">
            <v>4063</v>
          </cell>
          <cell r="N126">
            <v>19685</v>
          </cell>
          <cell r="P126">
            <v>0.83488757635842192</v>
          </cell>
          <cell r="R126">
            <v>12704.6</v>
          </cell>
          <cell r="S126">
            <v>0.27888552957623403</v>
          </cell>
          <cell r="U126">
            <v>0.20379202508094216</v>
          </cell>
          <cell r="W126">
            <v>38636.972198510812</v>
          </cell>
          <cell r="Y126">
            <v>0.72111447042376597</v>
          </cell>
          <cell r="Z126">
            <v>0.53945464351743933</v>
          </cell>
          <cell r="AC126">
            <v>18365.5</v>
          </cell>
          <cell r="AE126">
            <v>70944.222198510804</v>
          </cell>
          <cell r="AG126">
            <v>0.7432466685983814</v>
          </cell>
          <cell r="AJ126" t="str">
            <v>average</v>
          </cell>
          <cell r="AK126">
            <v>14660.678571428571</v>
          </cell>
          <cell r="AM126">
            <v>26158.668001894966</v>
          </cell>
          <cell r="AO126">
            <v>52516.263118824347</v>
          </cell>
          <cell r="AQ126">
            <v>78674.93112071931</v>
          </cell>
          <cell r="AR126">
            <v>8.9285571734307769</v>
          </cell>
          <cell r="AT126" t="str">
            <v>average</v>
          </cell>
          <cell r="AU126">
            <v>14660.678571428571</v>
          </cell>
          <cell r="AW126">
            <v>0</v>
          </cell>
          <cell r="AX126">
            <v>78382.482266902007</v>
          </cell>
          <cell r="AY126">
            <v>78382.482266902007</v>
          </cell>
          <cell r="AZ126">
            <v>9.2899264228565865</v>
          </cell>
          <cell r="BB126" t="str">
            <v>average</v>
          </cell>
          <cell r="BC126">
            <v>14660.678571428571</v>
          </cell>
          <cell r="BE126">
            <v>39634.345457416617</v>
          </cell>
          <cell r="BF126">
            <v>39191.241133451003</v>
          </cell>
          <cell r="BG126">
            <v>78825.586590867621</v>
          </cell>
          <cell r="BH126">
            <v>8.7423972570599027</v>
          </cell>
        </row>
        <row r="127">
          <cell r="A127" t="str">
            <v>median</v>
          </cell>
          <cell r="D127">
            <v>5009</v>
          </cell>
          <cell r="E127">
            <v>0.37707225300669756</v>
          </cell>
          <cell r="F127">
            <v>0.28790623863749076</v>
          </cell>
          <cell r="H127">
            <v>8342</v>
          </cell>
          <cell r="I127">
            <v>0.62292774699330256</v>
          </cell>
          <cell r="J127">
            <v>0.5669228087568885</v>
          </cell>
          <cell r="L127">
            <v>3096.5</v>
          </cell>
          <cell r="N127">
            <v>19031</v>
          </cell>
          <cell r="P127">
            <v>0.86397981395331858</v>
          </cell>
          <cell r="R127">
            <v>11500</v>
          </cell>
          <cell r="S127">
            <v>0.26730934037714904</v>
          </cell>
          <cell r="U127">
            <v>0.20671776821469873</v>
          </cell>
          <cell r="W127">
            <v>33360.599766362371</v>
          </cell>
          <cell r="Y127">
            <v>0.73269065962285096</v>
          </cell>
          <cell r="Z127">
            <v>0.5669228087568885</v>
          </cell>
          <cell r="AC127">
            <v>19475.5</v>
          </cell>
          <cell r="AE127">
            <v>67505.216771192907</v>
          </cell>
          <cell r="AG127">
            <v>0.75307448260618881</v>
          </cell>
          <cell r="AJ127" t="str">
            <v>median</v>
          </cell>
          <cell r="AK127">
            <v>13501.5</v>
          </cell>
          <cell r="AM127">
            <v>21733.465144939575</v>
          </cell>
          <cell r="AO127">
            <v>44125.520142756104</v>
          </cell>
          <cell r="AQ127">
            <v>66994.647259898644</v>
          </cell>
          <cell r="AR127">
            <v>5.9838551374796634</v>
          </cell>
          <cell r="AT127" t="str">
            <v>median</v>
          </cell>
          <cell r="AU127">
            <v>13501.5</v>
          </cell>
          <cell r="AW127">
            <v>0</v>
          </cell>
          <cell r="AX127">
            <v>65858.985287695672</v>
          </cell>
          <cell r="AY127">
            <v>65858.985287695672</v>
          </cell>
          <cell r="AZ127">
            <v>6.3762550338393087</v>
          </cell>
          <cell r="BB127" t="str">
            <v>median</v>
          </cell>
          <cell r="BC127">
            <v>13501.5</v>
          </cell>
          <cell r="BE127">
            <v>32929.492643847836</v>
          </cell>
          <cell r="BF127">
            <v>32929.492643847836</v>
          </cell>
          <cell r="BG127">
            <v>73016.470283249364</v>
          </cell>
          <cell r="BH127">
            <v>6.0496818079867669</v>
          </cell>
        </row>
        <row r="128">
          <cell r="A128" t="str">
            <v>a</v>
          </cell>
          <cell r="D128" t="str">
            <v>Assumed commercial exploitation rate based on average commercial exploitation rate on hatchery-origin coho salmon returning to the Little Susitna River during 1993-1996</v>
          </cell>
        </row>
        <row r="129">
          <cell r="A129" t="str">
            <v>b</v>
          </cell>
          <cell r="D129" t="str">
            <v>Based on the assumed commercial exploitation rate in footnote "a".</v>
          </cell>
        </row>
        <row r="130">
          <cell r="A130" t="str">
            <v>c</v>
          </cell>
          <cell r="D130" t="str">
            <v>Based on estimated commercial exploitation rate of hatchery-origin salmon.</v>
          </cell>
        </row>
        <row r="131">
          <cell r="A131" t="str">
            <v>d</v>
          </cell>
          <cell r="D131" t="str">
            <v>Based on the assumed total run size.  See footnote "e".</v>
          </cell>
        </row>
        <row r="132">
          <cell r="A132" t="str">
            <v>e</v>
          </cell>
          <cell r="D132" t="str">
            <v>Based on the recreational harvest, weir-based escapement count, and the average commercial exploitation rate on hatchery coho salmon returning to the Little Susitna River during 1993-1996.</v>
          </cell>
        </row>
        <row r="133">
          <cell r="A133" t="str">
            <v>f</v>
          </cell>
          <cell r="D133" t="str">
            <v>Assumed recreational harvest based on median catch during 1993-1996.</v>
          </cell>
        </row>
        <row r="134">
          <cell r="A134" t="str">
            <v>g</v>
          </cell>
          <cell r="D134" t="str">
            <v>Commercial exploitation rate reduced by 50%</v>
          </cell>
        </row>
      </sheetData>
      <sheetData sheetId="5">
        <row r="6">
          <cell r="A6" t="str">
            <v>LittleSU34</v>
          </cell>
        </row>
        <row r="7">
          <cell r="A7" t="str">
            <v>Little Susitna River coho salmon 1986-1994.</v>
          </cell>
        </row>
        <row r="8">
          <cell r="A8" t="str">
            <v>assume that 67% of all fish return as 4-year old salmon and 33% return as 3 year old salmon.</v>
          </cell>
        </row>
        <row r="10">
          <cell r="A10" t="str">
            <v xml:space="preserve">Data file: </v>
          </cell>
          <cell r="B10" t="str">
            <v>H:\SALMON\BEG\COHO\LITTLESU\data files\Dec99\ls3367.txt</v>
          </cell>
        </row>
        <row r="11">
          <cell r="A11" t="str">
            <v>Output file:</v>
          </cell>
          <cell r="B11" t="str">
            <v>H:\SALMON\BEG\COHO\LITTLESU\data files\Dec99\ls3367.out</v>
          </cell>
        </row>
        <row r="12">
          <cell r="C12" t="str">
            <v>Ricker</v>
          </cell>
        </row>
        <row r="13">
          <cell r="C13" t="str">
            <v>linearized model fit</v>
          </cell>
          <cell r="F13" t="str">
            <v>non-linearized model fit</v>
          </cell>
          <cell r="H13" t="str">
            <v>sent below data to Bernard, he got</v>
          </cell>
        </row>
        <row r="14">
          <cell r="C14" t="str">
            <v>a-hat</v>
          </cell>
          <cell r="D14">
            <v>11.9711</v>
          </cell>
          <cell r="F14" t="str">
            <v>a-hat</v>
          </cell>
          <cell r="G14">
            <v>13.6831</v>
          </cell>
          <cell r="H14" t="str">
            <v>ln</v>
          </cell>
          <cell r="I14" t="str">
            <v>a</v>
          </cell>
        </row>
        <row r="15">
          <cell r="C15" t="str">
            <v>b-hat</v>
          </cell>
          <cell r="D15">
            <v>6.6235000000000005E-5</v>
          </cell>
          <cell r="F15" t="str">
            <v>b-hat</v>
          </cell>
          <cell r="G15">
            <v>7.2044600000000005E-5</v>
          </cell>
          <cell r="I15" t="str">
            <v>a</v>
          </cell>
        </row>
        <row r="16">
          <cell r="C16" t="str">
            <v>MSY</v>
          </cell>
          <cell r="D16">
            <v>52897</v>
          </cell>
          <cell r="F16" t="str">
            <v>MSY</v>
          </cell>
          <cell r="G16">
            <v>57218</v>
          </cell>
          <cell r="I16" t="str">
            <v>b</v>
          </cell>
        </row>
        <row r="17">
          <cell r="C17" t="str">
            <v xml:space="preserve">No of Spaw producing MSY </v>
          </cell>
          <cell r="D17">
            <v>12257</v>
          </cell>
          <cell r="F17" t="str">
            <v xml:space="preserve">No of Spaw producing MSY </v>
          </cell>
          <cell r="G17">
            <v>11549</v>
          </cell>
        </row>
        <row r="18">
          <cell r="C18" t="str">
            <v>Equilibrium No.</v>
          </cell>
          <cell r="D18">
            <v>37480</v>
          </cell>
          <cell r="F18" t="str">
            <v>Equilibrium No.</v>
          </cell>
          <cell r="G18">
            <v>36313</v>
          </cell>
          <cell r="H18" t="str">
            <v>except used 5.5 expansion for</v>
          </cell>
        </row>
        <row r="19">
          <cell r="H19" t="str">
            <v>1987 and got 26,758 spawners</v>
          </cell>
        </row>
        <row r="20">
          <cell r="C20" t="str">
            <v>Beverton-Holt</v>
          </cell>
        </row>
        <row r="21">
          <cell r="C21" t="str">
            <v>linearized model fit</v>
          </cell>
          <cell r="F21" t="str">
            <v>non-linearized model fit</v>
          </cell>
        </row>
        <row r="22">
          <cell r="C22" t="str">
            <v>a-hat</v>
          </cell>
          <cell r="D22">
            <v>1.8300000000000001E-5</v>
          </cell>
          <cell r="F22" t="str">
            <v>a-hat</v>
          </cell>
          <cell r="G22">
            <v>1.5780299999999999E-5</v>
          </cell>
        </row>
        <row r="23">
          <cell r="C23" t="str">
            <v>b-hat</v>
          </cell>
          <cell r="D23">
            <v>0</v>
          </cell>
          <cell r="F23" t="str">
            <v>b-hat</v>
          </cell>
          <cell r="G23">
            <v>4.7304499999999998E-3</v>
          </cell>
        </row>
        <row r="24">
          <cell r="C24" t="str">
            <v>MSY</v>
          </cell>
          <cell r="D24">
            <v>509959603</v>
          </cell>
          <cell r="F24" t="str">
            <v>MSY</v>
          </cell>
          <cell r="G24">
            <v>54953</v>
          </cell>
        </row>
        <row r="25">
          <cell r="C25" t="str">
            <v xml:space="preserve">No of Spaw producing MSY </v>
          </cell>
          <cell r="D25">
            <v>625</v>
          </cell>
          <cell r="F25" t="str">
            <v xml:space="preserve">No of Spaw producing MSY </v>
          </cell>
          <cell r="G25">
            <v>4059</v>
          </cell>
        </row>
        <row r="26">
          <cell r="C26" t="str">
            <v>Equilibrium No.</v>
          </cell>
          <cell r="D26">
            <v>55269</v>
          </cell>
          <cell r="F26" t="str">
            <v>Equilibrium No.</v>
          </cell>
          <cell r="G26">
            <v>63071</v>
          </cell>
        </row>
        <row r="31">
          <cell r="A31" t="str">
            <v>Brood  Year</v>
          </cell>
          <cell r="C31" t="str">
            <v>Escapement</v>
          </cell>
          <cell r="F31" t="str">
            <v>Ricker</v>
          </cell>
          <cell r="H31" t="str">
            <v>Beverton-Holt</v>
          </cell>
        </row>
        <row r="32">
          <cell r="A32" t="str">
            <v>aerial/foot</v>
          </cell>
          <cell r="B32" t="str">
            <v>weir</v>
          </cell>
          <cell r="D32" t="str">
            <v>Return</v>
          </cell>
          <cell r="E32" t="str">
            <v>R/S</v>
          </cell>
          <cell r="F32" t="str">
            <v>linearized</v>
          </cell>
          <cell r="G32" t="str">
            <v>non-linearized</v>
          </cell>
        </row>
        <row r="33">
          <cell r="A33">
            <v>81</v>
          </cell>
          <cell r="C33">
            <v>6750</v>
          </cell>
          <cell r="D33">
            <v>43078.580037211301</v>
          </cell>
          <cell r="E33">
            <v>6.3820118573646374</v>
          </cell>
          <cell r="F33">
            <v>51673.840481402658</v>
          </cell>
          <cell r="G33">
            <v>56792.424740842733</v>
          </cell>
          <cell r="H33">
            <v>54644.808743169393</v>
          </cell>
          <cell r="I33">
            <v>60675.534433478155</v>
          </cell>
        </row>
        <row r="34">
          <cell r="A34">
            <v>82</v>
          </cell>
          <cell r="C34">
            <v>6800</v>
          </cell>
          <cell r="D34">
            <v>27158.931957386121</v>
          </cell>
          <cell r="E34">
            <v>3.9939605819685471</v>
          </cell>
          <cell r="F34">
            <v>51884.496348532157</v>
          </cell>
          <cell r="G34">
            <v>57007.385344674498</v>
          </cell>
          <cell r="H34">
            <v>54644.808743169393</v>
          </cell>
          <cell r="I34">
            <v>60694.511225762253</v>
          </cell>
        </row>
        <row r="35">
          <cell r="A35">
            <v>83</v>
          </cell>
          <cell r="C35">
            <v>2666</v>
          </cell>
          <cell r="D35">
            <v>62151.13147294076</v>
          </cell>
          <cell r="E35">
            <v>23.312502427959775</v>
          </cell>
          <cell r="F35">
            <v>26748.867166031396</v>
          </cell>
          <cell r="G35">
            <v>30104.354012332209</v>
          </cell>
          <cell r="H35">
            <v>54644.808743169393</v>
          </cell>
          <cell r="I35">
            <v>56964.923653818754</v>
          </cell>
        </row>
        <row r="36">
          <cell r="A36">
            <v>84</v>
          </cell>
          <cell r="C36">
            <v>22208</v>
          </cell>
          <cell r="D36">
            <v>63050.109161397122</v>
          </cell>
          <cell r="E36">
            <v>2.8390719182905766</v>
          </cell>
          <cell r="F36">
            <v>61068.801137113522</v>
          </cell>
          <cell r="G36">
            <v>61353.216730917207</v>
          </cell>
          <cell r="H36">
            <v>54644.808743169393</v>
          </cell>
          <cell r="I36">
            <v>62526.157137055474</v>
          </cell>
        </row>
        <row r="37">
          <cell r="A37">
            <v>85</v>
          </cell>
          <cell r="C37">
            <v>3889</v>
          </cell>
          <cell r="D37">
            <v>35539.518029251449</v>
          </cell>
          <cell r="E37">
            <v>9.138472108318707</v>
          </cell>
          <cell r="F37">
            <v>35983.465883088713</v>
          </cell>
          <cell r="G37">
            <v>40210.658628072968</v>
          </cell>
          <cell r="H37">
            <v>54644.808743169393</v>
          </cell>
          <cell r="I37">
            <v>58835.06566948699</v>
          </cell>
        </row>
        <row r="38">
          <cell r="A38">
            <v>86</v>
          </cell>
          <cell r="C38">
            <v>6999</v>
          </cell>
          <cell r="D38">
            <v>32088.717847184736</v>
          </cell>
          <cell r="E38">
            <v>4.5847575149570989</v>
          </cell>
          <cell r="F38">
            <v>52703.608646189401</v>
          </cell>
          <cell r="G38">
            <v>57840.465218631412</v>
          </cell>
          <cell r="H38">
            <v>54644.808743169393</v>
          </cell>
          <cell r="I38">
            <v>60767.462208136589</v>
          </cell>
        </row>
        <row r="39">
          <cell r="A39">
            <v>87</v>
          </cell>
          <cell r="C39">
            <v>26757.5</v>
          </cell>
          <cell r="D39">
            <v>66930.324160519944</v>
          </cell>
          <cell r="E39">
            <v>2.5013668751011844</v>
          </cell>
          <cell r="F39">
            <v>54436.082058721317</v>
          </cell>
          <cell r="G39">
            <v>53263.053893473501</v>
          </cell>
          <cell r="H39">
            <v>54644.808743169393</v>
          </cell>
          <cell r="I39">
            <v>62668.069161230596</v>
          </cell>
        </row>
        <row r="40">
          <cell r="A40">
            <v>88</v>
          </cell>
          <cell r="C40">
            <v>16063</v>
          </cell>
          <cell r="D40">
            <v>77725.721247947236</v>
          </cell>
          <cell r="E40">
            <v>4.838804784159076</v>
          </cell>
          <cell r="F40">
            <v>66359.112906029113</v>
          </cell>
          <cell r="G40">
            <v>69091.214128181324</v>
          </cell>
          <cell r="H40">
            <v>54644.808743169393</v>
          </cell>
          <cell r="I40">
            <v>62209.197056103098</v>
          </cell>
        </row>
        <row r="41">
          <cell r="A41">
            <v>89</v>
          </cell>
          <cell r="C41">
            <v>8370</v>
          </cell>
          <cell r="D41">
            <v>72454.57549130221</v>
          </cell>
          <cell r="E41">
            <v>8.6564606321746957</v>
          </cell>
          <cell r="F41">
            <v>57556.227885119995</v>
          </cell>
          <cell r="G41">
            <v>62664.937281620761</v>
          </cell>
          <cell r="H41">
            <v>54644.808743169393</v>
          </cell>
          <cell r="I41">
            <v>61179.040271311584</v>
          </cell>
        </row>
        <row r="42">
          <cell r="A42">
            <v>90</v>
          </cell>
          <cell r="C42">
            <v>10940</v>
          </cell>
          <cell r="D42">
            <v>86862.206320616358</v>
          </cell>
          <cell r="E42">
            <v>7.9398726070033234</v>
          </cell>
          <cell r="F42">
            <v>63453.687477805805</v>
          </cell>
          <cell r="G42">
            <v>68062.021318831205</v>
          </cell>
          <cell r="H42">
            <v>54644.808743169393</v>
          </cell>
          <cell r="I42">
            <v>61680.043042070545</v>
          </cell>
        </row>
        <row r="43">
          <cell r="A43">
            <v>91</v>
          </cell>
          <cell r="C43">
            <v>29279</v>
          </cell>
          <cell r="D43">
            <v>67489.906154229218</v>
          </cell>
          <cell r="E43">
            <v>2.3050618584729401</v>
          </cell>
          <cell r="F43">
            <v>50404.042604116126</v>
          </cell>
          <cell r="G43">
            <v>48600.712282336332</v>
          </cell>
          <cell r="H43">
            <v>54644.808743169393</v>
          </cell>
          <cell r="I43">
            <v>62727.919533069595</v>
          </cell>
        </row>
        <row r="44">
          <cell r="A44">
            <v>92</v>
          </cell>
          <cell r="C44">
            <v>18069</v>
          </cell>
          <cell r="D44">
            <v>60719.437765743307</v>
          </cell>
          <cell r="E44">
            <v>3.3604204862329574</v>
          </cell>
          <cell r="F44">
            <v>65358.856793878316</v>
          </cell>
          <cell r="G44">
            <v>67261.323267918458</v>
          </cell>
          <cell r="H44">
            <v>54644.808743169393</v>
          </cell>
          <cell r="I44">
            <v>62335.981510424106</v>
          </cell>
        </row>
        <row r="45">
          <cell r="A45">
            <v>93</v>
          </cell>
          <cell r="C45">
            <v>23763</v>
          </cell>
          <cell r="D45">
            <v>46789.06438770541</v>
          </cell>
          <cell r="E45">
            <v>1.9689881070447928</v>
          </cell>
          <cell r="F45">
            <v>58949.600846316447</v>
          </cell>
          <cell r="G45">
            <v>58691.529451384107</v>
          </cell>
          <cell r="H45">
            <v>54644.808743169393</v>
          </cell>
          <cell r="I45">
            <v>62580.698285133418</v>
          </cell>
        </row>
        <row r="46">
          <cell r="A46">
            <v>94</v>
          </cell>
          <cell r="C46">
            <v>22696</v>
          </cell>
          <cell r="D46">
            <v>39829.631144985251</v>
          </cell>
          <cell r="E46">
            <v>1.7549185382880355</v>
          </cell>
          <cell r="F46">
            <v>60425.702304058359</v>
          </cell>
          <cell r="G46">
            <v>60535.256696586264</v>
          </cell>
          <cell r="H46">
            <v>54644.808743169393</v>
          </cell>
          <cell r="I46">
            <v>62544.067787928216</v>
          </cell>
        </row>
      </sheetData>
      <sheetData sheetId="6"/>
      <sheetData sheetId="7"/>
      <sheetData sheetId="8"/>
      <sheetData sheetId="9">
        <row r="6">
          <cell r="A6" t="str">
            <v>LittleSU5050</v>
          </cell>
        </row>
        <row r="7">
          <cell r="A7" t="str">
            <v>Little Susitna River coho salmon 1986-1994.</v>
          </cell>
        </row>
        <row r="8">
          <cell r="A8" t="str">
            <v>assume that 50% of all fish return as 4-year old salmon and 50% return as 3 year old salmon.</v>
          </cell>
        </row>
        <row r="10">
          <cell r="A10" t="str">
            <v xml:space="preserve">Data file: </v>
          </cell>
          <cell r="B10" t="str">
            <v>C:\SALMON\COHO\LITTLESU\LITTLESU5050.dat</v>
          </cell>
        </row>
        <row r="11">
          <cell r="A11" t="str">
            <v>Output file:</v>
          </cell>
          <cell r="B11" t="str">
            <v>C:\SALMON\COHO\LITTLESU\LITTLESU5050.out</v>
          </cell>
        </row>
        <row r="12">
          <cell r="C12" t="str">
            <v>Ricker</v>
          </cell>
        </row>
        <row r="13">
          <cell r="C13" t="str">
            <v>linearized model fit</v>
          </cell>
          <cell r="F13" t="str">
            <v>non-linearized model fit</v>
          </cell>
        </row>
        <row r="14">
          <cell r="C14" t="str">
            <v>a-hat</v>
          </cell>
          <cell r="D14">
            <v>10.696199999999999</v>
          </cell>
          <cell r="F14" t="str">
            <v>a-hat</v>
          </cell>
          <cell r="G14">
            <v>12.125999999999999</v>
          </cell>
        </row>
        <row r="15">
          <cell r="C15" t="str">
            <v>b-hat</v>
          </cell>
          <cell r="D15">
            <v>5.9732199999999997E-5</v>
          </cell>
          <cell r="F15" t="str">
            <v>b-hat</v>
          </cell>
          <cell r="G15">
            <v>6.4958500000000005E-5</v>
          </cell>
        </row>
        <row r="16">
          <cell r="C16" t="str">
            <v>MSY</v>
          </cell>
          <cell r="D16">
            <v>50978</v>
          </cell>
          <cell r="F16" t="str">
            <v>MSY</v>
          </cell>
          <cell r="G16">
            <v>54796</v>
          </cell>
        </row>
        <row r="17">
          <cell r="C17" t="str">
            <v xml:space="preserve">No of Spaw producing MSY </v>
          </cell>
          <cell r="D17">
            <v>13281</v>
          </cell>
          <cell r="F17" t="str">
            <v xml:space="preserve">No of Spaw producing MSY </v>
          </cell>
          <cell r="G17">
            <v>12530</v>
          </cell>
        </row>
        <row r="18">
          <cell r="C18" t="str">
            <v>Equilibrium No.</v>
          </cell>
          <cell r="D18">
            <v>39675</v>
          </cell>
          <cell r="F18" t="str">
            <v>Equilibrium No.</v>
          </cell>
          <cell r="G18">
            <v>38415</v>
          </cell>
        </row>
        <row r="20">
          <cell r="C20" t="str">
            <v>Beverton-Holt</v>
          </cell>
        </row>
        <row r="21">
          <cell r="C21" t="str">
            <v>linearized model fit</v>
          </cell>
          <cell r="F21" t="str">
            <v>non-linearized model fit</v>
          </cell>
        </row>
        <row r="22">
          <cell r="C22" t="str">
            <v>a-hat</v>
          </cell>
          <cell r="D22">
            <v>1.6255800000000001E-5</v>
          </cell>
          <cell r="F22" t="str">
            <v>a-hat</v>
          </cell>
          <cell r="G22">
            <v>1.48474E-5</v>
          </cell>
        </row>
        <row r="23">
          <cell r="C23" t="str">
            <v>b-hat</v>
          </cell>
          <cell r="D23">
            <v>1.8454999999999999E-2</v>
          </cell>
          <cell r="F23" t="str">
            <v>b-hat</v>
          </cell>
          <cell r="G23">
            <v>1.8270999999999999E-2</v>
          </cell>
        </row>
        <row r="24">
          <cell r="C24" t="str">
            <v>MSY</v>
          </cell>
          <cell r="D24">
            <v>45938</v>
          </cell>
          <cell r="F24" t="str">
            <v>MSY</v>
          </cell>
          <cell r="G24">
            <v>50374</v>
          </cell>
        </row>
        <row r="25">
          <cell r="C25" t="str">
            <v xml:space="preserve">No of Spaw producing MSY </v>
          </cell>
          <cell r="D25">
            <v>7222</v>
          </cell>
          <cell r="F25" t="str">
            <v xml:space="preserve">No of Spaw producing MSY </v>
          </cell>
          <cell r="G25">
            <v>7873</v>
          </cell>
        </row>
        <row r="26">
          <cell r="C26" t="str">
            <v>Equilibrium No.</v>
          </cell>
          <cell r="D26">
            <v>60381</v>
          </cell>
          <cell r="F26" t="str">
            <v>Equilibrium No.</v>
          </cell>
          <cell r="G26">
            <v>66121</v>
          </cell>
        </row>
        <row r="28">
          <cell r="C28" t="str">
            <v>observed weir</v>
          </cell>
          <cell r="D28" t="str">
            <v>observed aerial</v>
          </cell>
        </row>
        <row r="29">
          <cell r="A29" t="str">
            <v xml:space="preserve">Brood </v>
          </cell>
          <cell r="C29" t="str">
            <v>Escapement</v>
          </cell>
          <cell r="F29" t="str">
            <v>Ricker</v>
          </cell>
          <cell r="H29" t="str">
            <v>Beverton-Holt</v>
          </cell>
        </row>
        <row r="30">
          <cell r="A30" t="str">
            <v>Year</v>
          </cell>
          <cell r="D30" t="str">
            <v>Return</v>
          </cell>
          <cell r="E30" t="str">
            <v>R/S</v>
          </cell>
          <cell r="F30" t="str">
            <v>linearized</v>
          </cell>
          <cell r="G30" t="str">
            <v>non-linearized</v>
          </cell>
          <cell r="H30" t="str">
            <v>linearized</v>
          </cell>
          <cell r="I30" t="str">
            <v>non-linearized</v>
          </cell>
        </row>
        <row r="31">
          <cell r="A31">
            <v>81</v>
          </cell>
          <cell r="C31">
            <v>6750</v>
          </cell>
          <cell r="D31">
            <v>52235.897423299626</v>
          </cell>
          <cell r="E31">
            <v>7.7386514701184632</v>
          </cell>
          <cell r="F31">
            <v>48242.418846525034</v>
          </cell>
          <cell r="G31">
            <v>52795.424910414898</v>
          </cell>
          <cell r="H31">
            <v>52659.643560525234</v>
          </cell>
          <cell r="I31">
            <v>56966.375913097167</v>
          </cell>
        </row>
        <row r="32">
          <cell r="A32">
            <v>82</v>
          </cell>
          <cell r="C32">
            <v>6800</v>
          </cell>
          <cell r="D32">
            <v>26687.925145686317</v>
          </cell>
          <cell r="E32">
            <v>3.9246948743656347</v>
          </cell>
          <cell r="F32">
            <v>48454.838073316736</v>
          </cell>
          <cell r="G32">
            <v>53014.036591219068</v>
          </cell>
          <cell r="H32">
            <v>52715.450371349332</v>
          </cell>
          <cell r="I32">
            <v>57031.037968245793</v>
          </cell>
        </row>
        <row r="33">
          <cell r="A33">
            <v>83</v>
          </cell>
          <cell r="C33">
            <v>2666</v>
          </cell>
          <cell r="D33">
            <v>53504.502115055155</v>
          </cell>
          <cell r="E33">
            <v>20.069205594544318</v>
          </cell>
          <cell r="F33">
            <v>24318.119107084021</v>
          </cell>
          <cell r="G33">
            <v>27187.349369627376</v>
          </cell>
          <cell r="H33">
            <v>43144.071415200051</v>
          </cell>
          <cell r="I33">
            <v>46081.381406564302</v>
          </cell>
        </row>
        <row r="34">
          <cell r="A34">
            <v>84</v>
          </cell>
          <cell r="C34">
            <v>22208</v>
          </cell>
          <cell r="D34">
            <v>67080.797939105571</v>
          </cell>
          <cell r="E34">
            <v>3.0205690714654887</v>
          </cell>
          <cell r="F34">
            <v>63042.457307912744</v>
          </cell>
          <cell r="G34">
            <v>63637.703942317174</v>
          </cell>
          <cell r="H34">
            <v>58524.685689233091</v>
          </cell>
          <cell r="I34">
            <v>63815.714341037441</v>
          </cell>
        </row>
        <row r="35">
          <cell r="A35">
            <v>85</v>
          </cell>
          <cell r="C35">
            <v>3889</v>
          </cell>
          <cell r="D35">
            <v>40534.552649879763</v>
          </cell>
          <cell r="E35">
            <v>10.422872885029509</v>
          </cell>
          <cell r="F35">
            <v>32974.748367876622</v>
          </cell>
          <cell r="G35">
            <v>36630.468117263918</v>
          </cell>
          <cell r="H35">
            <v>47616.245415044708</v>
          </cell>
          <cell r="I35">
            <v>51162.611743110501</v>
          </cell>
        </row>
        <row r="36">
          <cell r="A36">
            <v>86</v>
          </cell>
          <cell r="C36">
            <v>6999</v>
          </cell>
          <cell r="D36">
            <v>30504.053080235477</v>
          </cell>
          <cell r="E36">
            <v>4.358344489246389</v>
          </cell>
          <cell r="F36">
            <v>49283.540051760319</v>
          </cell>
          <cell r="G36">
            <v>53864.662348886748</v>
          </cell>
          <cell r="H36">
            <v>52930.762398804967</v>
          </cell>
          <cell r="I36">
            <v>57280.60623875288</v>
          </cell>
        </row>
        <row r="37">
          <cell r="A37">
            <v>87</v>
          </cell>
          <cell r="C37">
            <v>26757.5</v>
          </cell>
          <cell r="D37">
            <v>58870.423115484518</v>
          </cell>
          <cell r="E37">
            <v>2.2001466174150992</v>
          </cell>
          <cell r="F37">
            <v>57882.726375248421</v>
          </cell>
          <cell r="G37">
            <v>57056.365735564075</v>
          </cell>
          <cell r="H37">
            <v>59012.671395103229</v>
          </cell>
          <cell r="I37">
            <v>64390.519380811769</v>
          </cell>
        </row>
        <row r="38">
          <cell r="A38">
            <v>88</v>
          </cell>
          <cell r="C38">
            <v>16063</v>
          </cell>
          <cell r="D38">
            <v>78956.39265093088</v>
          </cell>
          <cell r="E38">
            <v>4.9154200741412488</v>
          </cell>
          <cell r="F38">
            <v>65820.326248444166</v>
          </cell>
          <cell r="G38">
            <v>68610.254956768404</v>
          </cell>
          <cell r="H38">
            <v>57455.699643570129</v>
          </cell>
          <cell r="I38">
            <v>62559.201507827318</v>
          </cell>
        </row>
        <row r="39">
          <cell r="A39">
            <v>89</v>
          </cell>
          <cell r="C39">
            <v>8370</v>
          </cell>
          <cell r="D39">
            <v>73185.87879823512</v>
          </cell>
          <cell r="E39">
            <v>8.7438325923817342</v>
          </cell>
          <cell r="F39">
            <v>54303.240816559737</v>
          </cell>
          <cell r="G39">
            <v>58927.221415891865</v>
          </cell>
          <cell r="H39">
            <v>54169.131405291075</v>
          </cell>
          <cell r="I39">
            <v>58718.819342313029</v>
          </cell>
        </row>
        <row r="40">
          <cell r="A40">
            <v>90</v>
          </cell>
          <cell r="C40">
            <v>10940</v>
          </cell>
          <cell r="D40">
            <v>82846.344630659238</v>
          </cell>
          <cell r="E40">
            <v>7.5727920137714113</v>
          </cell>
          <cell r="F40">
            <v>60876.30796181062</v>
          </cell>
          <cell r="G40">
            <v>65178.633921945126</v>
          </cell>
          <cell r="H40">
            <v>55732.883030657591</v>
          </cell>
          <cell r="I40">
            <v>60541.814039498364</v>
          </cell>
        </row>
        <row r="41">
          <cell r="A41">
            <v>91</v>
          </cell>
          <cell r="C41">
            <v>29279</v>
          </cell>
          <cell r="D41">
            <v>74383.227625828717</v>
          </cell>
          <cell r="E41">
            <v>2.5404975451971965</v>
          </cell>
          <cell r="F41">
            <v>54481.434371966541</v>
          </cell>
          <cell r="G41">
            <v>53000.562232379409</v>
          </cell>
          <cell r="H41">
            <v>59220.252000478984</v>
          </cell>
          <cell r="I41">
            <v>64635.262766281972</v>
          </cell>
        </row>
        <row r="42">
          <cell r="A42">
            <v>92</v>
          </cell>
          <cell r="C42">
            <v>18069</v>
          </cell>
          <cell r="D42">
            <v>59042.099766362371</v>
          </cell>
          <cell r="E42">
            <v>3.2675908886137788</v>
          </cell>
          <cell r="F42">
            <v>65679.390097646043</v>
          </cell>
          <cell r="G42">
            <v>67749.327524928318</v>
          </cell>
          <cell r="H42">
            <v>57879.874478044148</v>
          </cell>
          <cell r="I42">
            <v>63057.350648898806</v>
          </cell>
        </row>
        <row r="43">
          <cell r="A43">
            <v>93</v>
          </cell>
          <cell r="C43">
            <v>23763</v>
          </cell>
          <cell r="D43">
            <v>51149.788289290715</v>
          </cell>
          <cell r="E43">
            <v>2.1524970874591052</v>
          </cell>
          <cell r="F43">
            <v>61473.243724403037</v>
          </cell>
          <cell r="G43">
            <v>61551.413737832947</v>
          </cell>
          <cell r="H43">
            <v>58711.537050562169</v>
          </cell>
          <cell r="I43">
            <v>64035.719021129938</v>
          </cell>
        </row>
        <row r="44">
          <cell r="A44">
            <v>94</v>
          </cell>
          <cell r="C44">
            <v>22696</v>
          </cell>
          <cell r="D44">
            <v>39447.638255043872</v>
          </cell>
          <cell r="E44">
            <v>1.7380876918859656</v>
          </cell>
          <cell r="F44">
            <v>62576.838930587699</v>
          </cell>
          <cell r="G44">
            <v>63006.789419983812</v>
          </cell>
          <cell r="H44">
            <v>58585.950016177318</v>
          </cell>
          <cell r="I44">
            <v>63887.836577427217</v>
          </cell>
        </row>
        <row r="58">
          <cell r="B58" t="str">
            <v>replacement line</v>
          </cell>
          <cell r="C58" t="str">
            <v>observed</v>
          </cell>
          <cell r="F58" t="str">
            <v>Ricker (linear)</v>
          </cell>
          <cell r="G58" t="str">
            <v>Ricker (non-linear)</v>
          </cell>
          <cell r="H58" t="str">
            <v>Beverton-Holt (linear)</v>
          </cell>
          <cell r="I58" t="str">
            <v>Beverton-Holt (non-linear)</v>
          </cell>
        </row>
      </sheetData>
      <sheetData sheetId="10"/>
      <sheetData sheetId="11"/>
      <sheetData sheetId="12">
        <row r="6">
          <cell r="A6" t="str">
            <v>LittleSu4</v>
          </cell>
        </row>
        <row r="7">
          <cell r="A7" t="str">
            <v>Little Susitna River coho salmon 1986-1994.</v>
          </cell>
        </row>
        <row r="8">
          <cell r="A8" t="str">
            <v>assume that 100% of all fish return as 4-year old salmon.</v>
          </cell>
        </row>
        <row r="10">
          <cell r="A10" t="str">
            <v xml:space="preserve">Data file: </v>
          </cell>
          <cell r="B10" t="str">
            <v>C:\SALMON\COHO\LITTLESU\LITTLESU4.dat</v>
          </cell>
        </row>
        <row r="11">
          <cell r="A11" t="str">
            <v>Output file:</v>
          </cell>
          <cell r="B11" t="str">
            <v>C:\SALMON\COHO\LITTLESU\LITTLESU4.out</v>
          </cell>
        </row>
        <row r="12">
          <cell r="C12" t="str">
            <v>Ricker</v>
          </cell>
        </row>
        <row r="13">
          <cell r="C13" t="str">
            <v>linearized model fit</v>
          </cell>
          <cell r="H13" t="str">
            <v>non-linearized model fit</v>
          </cell>
        </row>
        <row r="14">
          <cell r="C14" t="str">
            <v>a-hat</v>
          </cell>
          <cell r="E14">
            <v>14.8438</v>
          </cell>
          <cell r="H14" t="str">
            <v>a-hat</v>
          </cell>
          <cell r="I14">
            <v>16.939599999999999</v>
          </cell>
        </row>
        <row r="15">
          <cell r="C15" t="str">
            <v>b-hat</v>
          </cell>
          <cell r="E15">
            <v>7.9428499999999993E-5</v>
          </cell>
          <cell r="H15" t="str">
            <v>b-hat</v>
          </cell>
          <cell r="I15">
            <v>8.4483739999999995E-5</v>
          </cell>
        </row>
        <row r="16">
          <cell r="C16" t="str">
            <v>MSY</v>
          </cell>
          <cell r="E16">
            <v>57195</v>
          </cell>
          <cell r="H16" t="str">
            <v>MSY</v>
          </cell>
          <cell r="I16">
            <v>62527</v>
          </cell>
        </row>
        <row r="17">
          <cell r="C17" t="str">
            <v xml:space="preserve">No of Spaw producing MSY </v>
          </cell>
          <cell r="E17">
            <v>10619</v>
          </cell>
          <cell r="H17" t="str">
            <v xml:space="preserve">No of Spaw producing MSY </v>
          </cell>
          <cell r="I17">
            <v>10142</v>
          </cell>
        </row>
        <row r="18">
          <cell r="C18" t="str">
            <v>Equilibrium No.</v>
          </cell>
          <cell r="E18">
            <v>33962</v>
          </cell>
          <cell r="H18" t="str">
            <v>Equilibrium No.</v>
          </cell>
          <cell r="I18">
            <v>33354</v>
          </cell>
        </row>
        <row r="20">
          <cell r="C20" t="str">
            <v>Beverton-Holt</v>
          </cell>
        </row>
        <row r="21">
          <cell r="C21" t="str">
            <v>linearized model fit</v>
          </cell>
          <cell r="H21" t="str">
            <v>non-linearized model fit</v>
          </cell>
        </row>
        <row r="22">
          <cell r="C22" t="str">
            <v>a-hat</v>
          </cell>
          <cell r="E22">
            <v>2.32749E-5</v>
          </cell>
          <cell r="H22" t="str">
            <v>a-hat</v>
          </cell>
          <cell r="I22">
            <v>1.7274000000000001E-5</v>
          </cell>
        </row>
        <row r="23">
          <cell r="C23" t="str">
            <v>b-hat</v>
          </cell>
          <cell r="E23">
            <v>0</v>
          </cell>
          <cell r="H23" t="str">
            <v>b-hat</v>
          </cell>
          <cell r="I23">
            <v>0</v>
          </cell>
        </row>
        <row r="24">
          <cell r="C24" t="str">
            <v>MSY</v>
          </cell>
          <cell r="E24">
            <v>900981959</v>
          </cell>
          <cell r="H24" t="str">
            <v>MSY</v>
          </cell>
          <cell r="I24">
            <v>1273301206</v>
          </cell>
        </row>
        <row r="25">
          <cell r="C25" t="str">
            <v xml:space="preserve">No of Spaw producing MSY </v>
          </cell>
          <cell r="E25">
            <v>3328</v>
          </cell>
          <cell r="H25" t="str">
            <v xml:space="preserve">No of Spaw producing MSY </v>
          </cell>
          <cell r="I25">
            <v>964</v>
          </cell>
        </row>
        <row r="26">
          <cell r="C26" t="str">
            <v>Equilibrium No.</v>
          </cell>
          <cell r="E26">
            <v>46292</v>
          </cell>
          <cell r="H26" t="str">
            <v>Equilibrium No.</v>
          </cell>
          <cell r="I26">
            <v>58853</v>
          </cell>
        </row>
        <row r="30">
          <cell r="A30" t="str">
            <v xml:space="preserve">Brood </v>
          </cell>
          <cell r="C30" t="str">
            <v>Escapement</v>
          </cell>
          <cell r="H30" t="str">
            <v>Ricker</v>
          </cell>
          <cell r="J30" t="str">
            <v>Beverton-Holt</v>
          </cell>
        </row>
        <row r="31">
          <cell r="A31" t="str">
            <v>Year</v>
          </cell>
          <cell r="E31" t="str">
            <v>Return</v>
          </cell>
          <cell r="G31" t="str">
            <v>R/S</v>
          </cell>
          <cell r="H31" t="str">
            <v>linearized</v>
          </cell>
          <cell r="I31" t="str">
            <v>non-linearized</v>
          </cell>
          <cell r="J31" t="str">
            <v>linearized</v>
          </cell>
          <cell r="K31" t="str">
            <v>non-linearized</v>
          </cell>
        </row>
        <row r="32">
          <cell r="A32">
            <v>81</v>
          </cell>
          <cell r="C32">
            <v>6750</v>
          </cell>
          <cell r="E32">
            <v>25302.610993628074</v>
          </cell>
          <cell r="G32">
            <v>3.7485349620189741</v>
          </cell>
          <cell r="H32">
            <v>58614.517190874758</v>
          </cell>
          <cell r="I32">
            <v>64646.32997932427</v>
          </cell>
          <cell r="J32">
            <v>42964.738838834972</v>
          </cell>
          <cell r="K32">
            <v>57890.471228435796</v>
          </cell>
        </row>
        <row r="33">
          <cell r="A33">
            <v>82</v>
          </cell>
          <cell r="C33">
            <v>6800</v>
          </cell>
          <cell r="E33">
            <v>28073.23929774456</v>
          </cell>
          <cell r="G33">
            <v>4.1284175437859645</v>
          </cell>
          <cell r="H33">
            <v>58814.656369658238</v>
          </cell>
          <cell r="I33">
            <v>64850.670916528397</v>
          </cell>
          <cell r="J33">
            <v>42964.738838834972</v>
          </cell>
          <cell r="K33">
            <v>57890.471228435796</v>
          </cell>
        </row>
        <row r="34">
          <cell r="A34">
            <v>83</v>
          </cell>
          <cell r="C34">
            <v>2666</v>
          </cell>
          <cell r="E34">
            <v>78935.764932365753</v>
          </cell>
          <cell r="G34">
            <v>29.608313928119188</v>
          </cell>
          <cell r="H34">
            <v>32021.421810446504</v>
          </cell>
          <cell r="I34">
            <v>36053.344996019274</v>
          </cell>
          <cell r="J34">
            <v>42964.738838834972</v>
          </cell>
          <cell r="K34">
            <v>57890.471228435796</v>
          </cell>
        </row>
        <row r="35">
          <cell r="A35">
            <v>84</v>
          </cell>
          <cell r="C35">
            <v>22208</v>
          </cell>
          <cell r="E35">
            <v>55225.830945845395</v>
          </cell>
          <cell r="G35">
            <v>2.4867539150686868</v>
          </cell>
          <cell r="H35">
            <v>56491.304631138308</v>
          </cell>
          <cell r="I35">
            <v>57621.26955211832</v>
          </cell>
          <cell r="J35">
            <v>42964.738838834972</v>
          </cell>
          <cell r="K35">
            <v>57890.471228435796</v>
          </cell>
        </row>
        <row r="36">
          <cell r="A36">
            <v>85</v>
          </cell>
          <cell r="C36">
            <v>3889</v>
          </cell>
          <cell r="E36">
            <v>25843.274353914127</v>
          </cell>
          <cell r="G36">
            <v>6.645223541762439</v>
          </cell>
          <cell r="H36">
            <v>42386.795562571737</v>
          </cell>
          <cell r="I36">
            <v>47429.711940383444</v>
          </cell>
          <cell r="J36">
            <v>42964.738838834972</v>
          </cell>
          <cell r="K36">
            <v>57890.471228435796</v>
          </cell>
        </row>
        <row r="37">
          <cell r="A37">
            <v>86</v>
          </cell>
          <cell r="C37">
            <v>6999</v>
          </cell>
          <cell r="E37">
            <v>35164.831806556824</v>
          </cell>
          <cell r="G37">
            <v>5.0242651531014175</v>
          </cell>
          <cell r="H37">
            <v>59586.526308088294</v>
          </cell>
          <cell r="I37">
            <v>65635.6938566053</v>
          </cell>
          <cell r="J37">
            <v>42964.738838834972</v>
          </cell>
          <cell r="K37">
            <v>57890.471228435796</v>
          </cell>
        </row>
        <row r="38">
          <cell r="A38">
            <v>87</v>
          </cell>
          <cell r="C38">
            <v>26757.5</v>
          </cell>
          <cell r="E38">
            <v>82576.01442441222</v>
          </cell>
          <cell r="G38">
            <v>3.0860885517859376</v>
          </cell>
          <cell r="H38">
            <v>47422.129591789351</v>
          </cell>
          <cell r="I38">
            <v>47270.915449870408</v>
          </cell>
          <cell r="J38">
            <v>42964.738838834972</v>
          </cell>
          <cell r="K38">
            <v>57890.471228435796</v>
          </cell>
        </row>
        <row r="39">
          <cell r="A39">
            <v>88</v>
          </cell>
          <cell r="C39">
            <v>16063</v>
          </cell>
          <cell r="E39">
            <v>75336.770877449555</v>
          </cell>
          <cell r="G39">
            <v>4.6900809859583861</v>
          </cell>
          <cell r="H39">
            <v>66569.117228626303</v>
          </cell>
          <cell r="I39">
            <v>70043.063878016605</v>
          </cell>
          <cell r="J39">
            <v>42964.738838834972</v>
          </cell>
          <cell r="K39">
            <v>57890.471228435796</v>
          </cell>
        </row>
        <row r="40">
          <cell r="A40">
            <v>89</v>
          </cell>
          <cell r="C40">
            <v>8370</v>
          </cell>
          <cell r="E40">
            <v>71034.986719020671</v>
          </cell>
          <cell r="G40">
            <v>8.4868562388316207</v>
          </cell>
          <cell r="H40">
            <v>63906.406153483207</v>
          </cell>
          <cell r="I40">
            <v>69907.927644663694</v>
          </cell>
          <cell r="J40">
            <v>42964.738838834972</v>
          </cell>
          <cell r="K40">
            <v>57890.471228435796</v>
          </cell>
        </row>
        <row r="41">
          <cell r="A41">
            <v>90</v>
          </cell>
          <cell r="C41">
            <v>10940</v>
          </cell>
          <cell r="E41">
            <v>94657.702542297819</v>
          </cell>
          <cell r="G41">
            <v>8.6524408173946821</v>
          </cell>
          <cell r="H41">
            <v>68105.656858513874</v>
          </cell>
          <cell r="I41">
            <v>73539.873637425742</v>
          </cell>
          <cell r="J41">
            <v>42964.738838834972</v>
          </cell>
          <cell r="K41">
            <v>57890.471228435796</v>
          </cell>
        </row>
        <row r="42">
          <cell r="A42">
            <v>91</v>
          </cell>
          <cell r="C42">
            <v>29279</v>
          </cell>
          <cell r="E42">
            <v>54108.752709359607</v>
          </cell>
          <cell r="G42">
            <v>1.8480396430670312</v>
          </cell>
          <cell r="H42">
            <v>42472.879959868267</v>
          </cell>
          <cell r="I42">
            <v>41801.205893386286</v>
          </cell>
          <cell r="J42">
            <v>42964.738838834972</v>
          </cell>
          <cell r="K42">
            <v>57890.471228435796</v>
          </cell>
        </row>
        <row r="43">
          <cell r="A43">
            <v>92</v>
          </cell>
          <cell r="C43">
            <v>18069</v>
          </cell>
          <cell r="E43">
            <v>63975.446823365135</v>
          </cell>
          <cell r="G43">
            <v>3.5406191169054808</v>
          </cell>
          <cell r="H43">
            <v>63853.185134623927</v>
          </cell>
          <cell r="I43">
            <v>66507.527773979557</v>
          </cell>
          <cell r="J43">
            <v>42964.738838834972</v>
          </cell>
          <cell r="K43">
            <v>57890.471228435796</v>
          </cell>
        </row>
      </sheetData>
      <sheetData sheetId="13"/>
      <sheetData sheetId="14"/>
      <sheetData sheetId="15"/>
      <sheetData sheetId="16"/>
      <sheetData sheetId="17"/>
      <sheetData sheetId="18"/>
      <sheetData sheetId="19"/>
      <sheetData sheetId="20"/>
      <sheetData sheetId="21">
        <row r="6">
          <cell r="A6" t="str">
            <v>Table  26.</v>
          </cell>
          <cell r="B6" t="str">
            <v>Spawner-recruit analysis summary, Little Susitna River coho salmon, 1986-1994.</v>
          </cell>
        </row>
        <row r="9">
          <cell r="G9" t="str">
            <v>Average</v>
          </cell>
        </row>
        <row r="10">
          <cell r="G10" t="str">
            <v>Commercial</v>
          </cell>
          <cell r="M10" t="str">
            <v xml:space="preserve">No. of </v>
          </cell>
        </row>
        <row r="11">
          <cell r="G11" t="str">
            <v>Harvest</v>
          </cell>
          <cell r="I11" t="str">
            <v>Assumed</v>
          </cell>
          <cell r="M11" t="str">
            <v>Spawners</v>
          </cell>
        </row>
        <row r="12">
          <cell r="A12" t="str">
            <v xml:space="preserve">Model </v>
          </cell>
          <cell r="E12" t="str">
            <v>Model</v>
          </cell>
          <cell r="G12" t="str">
            <v xml:space="preserve">E-rate </v>
          </cell>
          <cell r="I12" t="str">
            <v>Brood Year</v>
          </cell>
          <cell r="M12" t="str">
            <v>producing</v>
          </cell>
          <cell r="O12" t="str">
            <v>Total</v>
          </cell>
          <cell r="Q12" t="str">
            <v>Possible</v>
          </cell>
          <cell r="S12" t="str">
            <v>MSY point</v>
          </cell>
        </row>
        <row r="13">
          <cell r="A13" t="str">
            <v>Name</v>
          </cell>
          <cell r="C13" t="str">
            <v>Model</v>
          </cell>
          <cell r="E13" t="str">
            <v>Fit</v>
          </cell>
          <cell r="G13" t="str">
            <v>prior to 1993</v>
          </cell>
          <cell r="I13" t="str">
            <v>Age Compositon</v>
          </cell>
          <cell r="K13" t="str">
            <v>MSY</v>
          </cell>
          <cell r="M13" t="str">
            <v>MSY</v>
          </cell>
          <cell r="O13" t="str">
            <v>Return</v>
          </cell>
          <cell r="Q13" t="str">
            <v>E-rate</v>
          </cell>
          <cell r="S13" t="str">
            <v>RPS</v>
          </cell>
        </row>
        <row r="15">
          <cell r="A15" t="str">
            <v>LS34</v>
          </cell>
          <cell r="C15" t="str">
            <v>Ricker</v>
          </cell>
          <cell r="E15" t="str">
            <v>Linear</v>
          </cell>
          <cell r="G15">
            <v>0.55000000000000004</v>
          </cell>
          <cell r="I15" t="str">
            <v>0.33 age 3; 0.67 age 4</v>
          </cell>
          <cell r="K15">
            <v>52897</v>
          </cell>
          <cell r="M15">
            <v>12257</v>
          </cell>
          <cell r="O15">
            <v>65154</v>
          </cell>
          <cell r="Q15">
            <v>0.81187647726923906</v>
          </cell>
          <cell r="S15">
            <v>5.3156563596312312</v>
          </cell>
        </row>
        <row r="16">
          <cell r="C16" t="str">
            <v>Ricker</v>
          </cell>
          <cell r="E16" t="str">
            <v>nonLinear</v>
          </cell>
          <cell r="G16">
            <v>0.55000000000000004</v>
          </cell>
          <cell r="I16" t="str">
            <v>0.33 age 3; 0.67 age 4</v>
          </cell>
          <cell r="K16">
            <v>57218</v>
          </cell>
          <cell r="M16">
            <v>11549</v>
          </cell>
          <cell r="O16">
            <v>68767</v>
          </cell>
          <cell r="Q16">
            <v>0.83205607340730292</v>
          </cell>
          <cell r="S16">
            <v>5.9543683435795307</v>
          </cell>
        </row>
        <row r="17">
          <cell r="C17" t="str">
            <v>Beverton-Holt</v>
          </cell>
          <cell r="E17" t="str">
            <v>Linear</v>
          </cell>
          <cell r="G17">
            <v>0.55000000000000004</v>
          </cell>
          <cell r="I17" t="str">
            <v>0.33 age 3; 0.67 age 4</v>
          </cell>
          <cell r="K17">
            <v>509959603</v>
          </cell>
          <cell r="M17">
            <v>625</v>
          </cell>
          <cell r="O17">
            <v>509960228</v>
          </cell>
          <cell r="Q17">
            <v>0.99999877441422746</v>
          </cell>
          <cell r="S17">
            <v>815936.36479999998</v>
          </cell>
        </row>
        <row r="18">
          <cell r="C18" t="str">
            <v>Beverton-Holt</v>
          </cell>
          <cell r="E18" t="str">
            <v>nonLinear</v>
          </cell>
          <cell r="G18">
            <v>0.55000000000000004</v>
          </cell>
          <cell r="I18" t="str">
            <v>0.33 age 3; 0.67 age 4</v>
          </cell>
          <cell r="K18">
            <v>54953</v>
          </cell>
          <cell r="M18">
            <v>4059</v>
          </cell>
          <cell r="O18">
            <v>59012</v>
          </cell>
          <cell r="Q18">
            <v>0.93121737951603067</v>
          </cell>
          <cell r="S18">
            <v>14.538556294653855</v>
          </cell>
        </row>
        <row r="20">
          <cell r="A20" t="str">
            <v>LS5050</v>
          </cell>
          <cell r="C20" t="str">
            <v>Ricker</v>
          </cell>
          <cell r="E20" t="str">
            <v>Linear</v>
          </cell>
          <cell r="G20">
            <v>0.55000000000000004</v>
          </cell>
          <cell r="I20" t="str">
            <v>0.50 age 3; 0.50 age 4</v>
          </cell>
          <cell r="K20">
            <v>50978</v>
          </cell>
          <cell r="M20">
            <v>13281</v>
          </cell>
          <cell r="O20">
            <v>64259</v>
          </cell>
          <cell r="Q20">
            <v>0.79332077996856476</v>
          </cell>
          <cell r="S20">
            <v>4.8384157819441311</v>
          </cell>
        </row>
        <row r="21">
          <cell r="C21" t="str">
            <v>Ricker</v>
          </cell>
          <cell r="E21" t="str">
            <v>nonLinear</v>
          </cell>
          <cell r="G21">
            <v>0.55000000000000004</v>
          </cell>
          <cell r="I21" t="str">
            <v>0.50 age 3; 0.50 age 4</v>
          </cell>
          <cell r="K21">
            <v>54796</v>
          </cell>
          <cell r="M21">
            <v>12530</v>
          </cell>
          <cell r="O21">
            <v>67326</v>
          </cell>
          <cell r="Q21">
            <v>0.81389062175088378</v>
          </cell>
          <cell r="S21">
            <v>5.3731843575418994</v>
          </cell>
        </row>
        <row r="22">
          <cell r="C22" t="str">
            <v>Beverton-Holt</v>
          </cell>
          <cell r="E22" t="str">
            <v>Linear</v>
          </cell>
          <cell r="G22">
            <v>0.55000000000000004</v>
          </cell>
          <cell r="I22" t="str">
            <v>0.50 age 3; 0.50 age 4</v>
          </cell>
          <cell r="K22">
            <v>45938</v>
          </cell>
          <cell r="M22">
            <v>7222</v>
          </cell>
          <cell r="O22">
            <v>53160</v>
          </cell>
          <cell r="Q22">
            <v>0.86414597441685481</v>
          </cell>
          <cell r="S22">
            <v>7.3608418720576019</v>
          </cell>
        </row>
        <row r="23">
          <cell r="C23" t="str">
            <v>Beverton-Holt</v>
          </cell>
          <cell r="E23" t="str">
            <v>nonLinear</v>
          </cell>
          <cell r="G23">
            <v>0.55000000000000004</v>
          </cell>
          <cell r="I23" t="str">
            <v>0.50 age 3; 0.50 age 4</v>
          </cell>
          <cell r="K23">
            <v>50374</v>
          </cell>
          <cell r="M23">
            <v>7873</v>
          </cell>
          <cell r="O23">
            <v>58247</v>
          </cell>
          <cell r="Q23">
            <v>0.86483424039006296</v>
          </cell>
          <cell r="S23">
            <v>7.398323383716499</v>
          </cell>
        </row>
        <row r="25">
          <cell r="A25" t="str">
            <v>LS4</v>
          </cell>
          <cell r="C25" t="str">
            <v>Ricker</v>
          </cell>
          <cell r="E25" t="str">
            <v>Linear</v>
          </cell>
          <cell r="G25">
            <v>0.55000000000000004</v>
          </cell>
          <cell r="I25" t="str">
            <v>0.00 age 3; 1.00 age 4</v>
          </cell>
          <cell r="K25">
            <v>57195</v>
          </cell>
          <cell r="M25">
            <v>10619</v>
          </cell>
          <cell r="O25">
            <v>67814</v>
          </cell>
          <cell r="Q25">
            <v>0.84340991535671095</v>
          </cell>
          <cell r="S25">
            <v>6.3861003861003862</v>
          </cell>
        </row>
        <row r="26">
          <cell r="C26" t="str">
            <v>Ricker</v>
          </cell>
          <cell r="E26" t="str">
            <v>nonLinear</v>
          </cell>
          <cell r="G26">
            <v>0.55000000000000004</v>
          </cell>
          <cell r="I26" t="str">
            <v>0.00 age 3; 1.00 age 4</v>
          </cell>
          <cell r="K26">
            <v>62527</v>
          </cell>
          <cell r="M26">
            <v>10142</v>
          </cell>
          <cell r="O26">
            <v>72669</v>
          </cell>
          <cell r="Q26">
            <v>0.86043567408385968</v>
          </cell>
          <cell r="S26">
            <v>7.1651548018142375</v>
          </cell>
        </row>
        <row r="27">
          <cell r="C27" t="str">
            <v>Beverton-Holt</v>
          </cell>
          <cell r="E27" t="str">
            <v>Linear</v>
          </cell>
          <cell r="G27">
            <v>0.55000000000000004</v>
          </cell>
          <cell r="I27" t="str">
            <v>0.00 age 3; 1.00 age 4</v>
          </cell>
          <cell r="K27">
            <v>900981959</v>
          </cell>
          <cell r="M27">
            <v>3328</v>
          </cell>
          <cell r="O27">
            <v>900985287</v>
          </cell>
          <cell r="Q27">
            <v>0.99999630626598679</v>
          </cell>
          <cell r="S27">
            <v>270728.75210336538</v>
          </cell>
        </row>
        <row r="28">
          <cell r="C28" t="str">
            <v>Beverton-Holt</v>
          </cell>
          <cell r="E28" t="str">
            <v>nonLinear</v>
          </cell>
          <cell r="G28">
            <v>0.55000000000000004</v>
          </cell>
          <cell r="I28" t="str">
            <v>0.00 age 3; 1.00 age 4</v>
          </cell>
          <cell r="K28">
            <v>1273301206</v>
          </cell>
          <cell r="M28">
            <v>964</v>
          </cell>
          <cell r="O28">
            <v>1273302170</v>
          </cell>
          <cell r="Q28">
            <v>0.99999924291340836</v>
          </cell>
          <cell r="S28">
            <v>1320852.8734439835</v>
          </cell>
        </row>
        <row r="30">
          <cell r="A30" t="str">
            <v>LS34lo</v>
          </cell>
          <cell r="C30" t="str">
            <v>Ricker</v>
          </cell>
          <cell r="E30" t="str">
            <v>Linear</v>
          </cell>
          <cell r="G30">
            <v>0.35</v>
          </cell>
          <cell r="I30" t="str">
            <v>0.33 age 3; 0.67 age 4</v>
          </cell>
          <cell r="K30">
            <v>40726</v>
          </cell>
          <cell r="M30">
            <v>13049</v>
          </cell>
          <cell r="O30">
            <v>53775</v>
          </cell>
          <cell r="Q30">
            <v>0.75734077173407721</v>
          </cell>
          <cell r="S30">
            <v>4.1210054410299639</v>
          </cell>
        </row>
        <row r="31">
          <cell r="C31" t="str">
            <v>Ricker</v>
          </cell>
          <cell r="E31" t="str">
            <v>nonLinear</v>
          </cell>
          <cell r="G31">
            <v>0.35</v>
          </cell>
          <cell r="I31" t="str">
            <v>0.33 age 3; 0.67 age 4</v>
          </cell>
          <cell r="K31">
            <v>45954</v>
          </cell>
          <cell r="M31">
            <v>12028</v>
          </cell>
          <cell r="O31">
            <v>57982</v>
          </cell>
          <cell r="Q31">
            <v>0.79255631057914522</v>
          </cell>
          <cell r="S31">
            <v>4.8205853009644164</v>
          </cell>
        </row>
        <row r="32">
          <cell r="C32" t="str">
            <v>Beverton-Holt</v>
          </cell>
          <cell r="E32" t="str">
            <v>Linear</v>
          </cell>
          <cell r="G32">
            <v>0.35</v>
          </cell>
          <cell r="I32" t="str">
            <v>0.33 age 3; 0.67 age 4</v>
          </cell>
          <cell r="K32">
            <v>34987</v>
          </cell>
          <cell r="M32">
            <v>8483</v>
          </cell>
          <cell r="O32">
            <v>43470</v>
          </cell>
          <cell r="Q32">
            <v>0.80485392224522656</v>
          </cell>
          <cell r="S32">
            <v>5.1243663798184604</v>
          </cell>
        </row>
        <row r="33">
          <cell r="C33" t="str">
            <v>Beverton-Holt</v>
          </cell>
          <cell r="E33" t="str">
            <v>nonLinear</v>
          </cell>
          <cell r="G33">
            <v>0.35</v>
          </cell>
          <cell r="I33" t="str">
            <v>0.33 age 3; 0.67 age 4</v>
          </cell>
          <cell r="K33">
            <v>42552</v>
          </cell>
          <cell r="M33">
            <v>7231</v>
          </cell>
          <cell r="O33">
            <v>49783</v>
          </cell>
          <cell r="Q33">
            <v>0.85474961332181665</v>
          </cell>
          <cell r="S33">
            <v>6.884663255428018</v>
          </cell>
        </row>
        <row r="35">
          <cell r="A35" t="str">
            <v>LS34hi</v>
          </cell>
          <cell r="C35" t="str">
            <v>Ricker</v>
          </cell>
          <cell r="E35" t="str">
            <v>Linear</v>
          </cell>
          <cell r="G35">
            <v>0.75</v>
          </cell>
          <cell r="I35" t="str">
            <v>0.33 age 3; 0.67 age 4</v>
          </cell>
          <cell r="K35">
            <v>79860</v>
          </cell>
          <cell r="M35">
            <v>10882</v>
          </cell>
          <cell r="O35">
            <v>90742</v>
          </cell>
          <cell r="Q35">
            <v>0.8800775825968129</v>
          </cell>
          <cell r="S35">
            <v>8.3387244991729457</v>
          </cell>
        </row>
        <row r="36">
          <cell r="C36" t="str">
            <v>Ricker</v>
          </cell>
          <cell r="E36" t="str">
            <v>nonLinear</v>
          </cell>
          <cell r="G36">
            <v>0.75</v>
          </cell>
          <cell r="I36" t="str">
            <v>0.33 age 3; 0.67 age 4</v>
          </cell>
          <cell r="K36">
            <v>85722</v>
          </cell>
          <cell r="M36">
            <v>10630</v>
          </cell>
          <cell r="O36">
            <v>96352</v>
          </cell>
          <cell r="Q36">
            <v>0.88967535702424438</v>
          </cell>
          <cell r="S36">
            <v>9.0641580432737534</v>
          </cell>
        </row>
        <row r="37">
          <cell r="C37" t="str">
            <v>Beverton-Holt</v>
          </cell>
          <cell r="E37" t="str">
            <v>Linear</v>
          </cell>
          <cell r="G37">
            <v>0.75</v>
          </cell>
          <cell r="I37" t="str">
            <v>0.33 age 3; 0.67 age 4</v>
          </cell>
          <cell r="K37">
            <v>3198829504</v>
          </cell>
          <cell r="M37">
            <v>3398</v>
          </cell>
          <cell r="O37">
            <v>3198832902</v>
          </cell>
          <cell r="Q37">
            <v>0.99999893773757365</v>
          </cell>
          <cell r="S37">
            <v>941386.96350794588</v>
          </cell>
        </row>
        <row r="38">
          <cell r="C38" t="str">
            <v>Beverton-Holt</v>
          </cell>
          <cell r="E38" t="str">
            <v>nonLinear</v>
          </cell>
          <cell r="G38">
            <v>0.75</v>
          </cell>
          <cell r="I38" t="str">
            <v>0.33 age 3; 0.67 age 4</v>
          </cell>
          <cell r="K38">
            <v>1786924259</v>
          </cell>
          <cell r="M38">
            <v>1121</v>
          </cell>
          <cell r="O38">
            <v>1786925380</v>
          </cell>
          <cell r="Q38">
            <v>0.99999937266546635</v>
          </cell>
          <cell r="S38">
            <v>1594045.8340767173</v>
          </cell>
        </row>
      </sheetData>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 B-SF age"/>
      <sheetName val="Ap C-92-02 CFages"/>
      <sheetName val="T1-escapement"/>
      <sheetName val="T2-esc ages"/>
      <sheetName val="T3-harvests"/>
      <sheetName val="esc by age"/>
      <sheetName val="T4-SF ages"/>
      <sheetName val="sport harv by age"/>
      <sheetName val="T5-CF ages"/>
      <sheetName val="comm harv by age"/>
      <sheetName val="T6-exploitation"/>
      <sheetName val="T7-total run"/>
      <sheetName val="T8-brood table"/>
      <sheetName val="T9-S-R models"/>
      <sheetName val="T10-siblings"/>
      <sheetName val="T11-13-forecast"/>
      <sheetName val="F1-map"/>
      <sheetName val="F2-RPS plot"/>
      <sheetName val="F3-age comp fig"/>
      <sheetName val="F4-Ricker plot"/>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3">
          <cell r="L13">
            <v>5.1535155927504332</v>
          </cell>
        </row>
        <row r="16">
          <cell r="L16">
            <v>3.4146852291428198</v>
          </cell>
        </row>
        <row r="19">
          <cell r="L19">
            <v>0.88312503651723084</v>
          </cell>
        </row>
        <row r="22">
          <cell r="L22">
            <v>0.43617934904846667</v>
          </cell>
        </row>
        <row r="25">
          <cell r="L25">
            <v>0.797644044256683</v>
          </cell>
        </row>
        <row r="28">
          <cell r="L28">
            <v>0.8425725320302343</v>
          </cell>
        </row>
        <row r="31">
          <cell r="L31">
            <v>1.3360191003563793</v>
          </cell>
        </row>
        <row r="34">
          <cell r="L34">
            <v>1.3195000960936834</v>
          </cell>
        </row>
        <row r="37">
          <cell r="L37">
            <v>2.0961800635106744</v>
          </cell>
        </row>
        <row r="40">
          <cell r="L40">
            <v>0.97696216253079582</v>
          </cell>
        </row>
        <row r="43">
          <cell r="L43">
            <v>1.0296435045456696</v>
          </cell>
        </row>
      </sheetData>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hyperlink" Target="file:///\\dfgpaqfs01.dfg.alaska.local\home\SF\SALMON\CHINOOK\NCICOM~1\Chinook%20Salmon%20Harvest\1999\99NCI_King_com_har_AWL.xl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AK47"/>
  <sheetViews>
    <sheetView workbookViewId="0"/>
  </sheetViews>
  <sheetFormatPr defaultRowHeight="12.75" x14ac:dyDescent="0.2"/>
  <cols>
    <col min="3" max="3" width="7.85546875" customWidth="1"/>
    <col min="4" max="4" width="9" customWidth="1"/>
    <col min="7" max="7" width="4.7109375" bestFit="1" customWidth="1"/>
    <col min="16" max="16" width="3.42578125" customWidth="1"/>
    <col min="17" max="17" width="11.5703125" customWidth="1"/>
    <col min="18" max="19" width="12.28515625" customWidth="1"/>
    <col min="20" max="20" width="3.28515625" customWidth="1"/>
    <col min="21" max="21" width="12.28515625" bestFit="1" customWidth="1"/>
    <col min="22" max="22" width="11" bestFit="1" customWidth="1"/>
    <col min="28" max="28" width="2.5703125" customWidth="1"/>
    <col min="31" max="31" width="6.85546875" customWidth="1"/>
    <col min="32" max="32" width="3" customWidth="1"/>
    <col min="35" max="35" width="2.7109375" customWidth="1"/>
  </cols>
  <sheetData>
    <row r="2" spans="1:37" x14ac:dyDescent="0.2">
      <c r="A2" t="s">
        <v>489</v>
      </c>
    </row>
    <row r="7" spans="1:37" ht="13.5" thickBot="1" x14ac:dyDescent="0.25">
      <c r="B7" s="34" t="s">
        <v>488</v>
      </c>
      <c r="C7" s="34"/>
      <c r="D7" s="34"/>
      <c r="E7" s="34"/>
      <c r="F7" s="34"/>
      <c r="G7" s="34"/>
      <c r="H7" s="34"/>
      <c r="J7" t="s">
        <v>497</v>
      </c>
      <c r="K7" t="s">
        <v>497</v>
      </c>
      <c r="L7" t="s">
        <v>497</v>
      </c>
      <c r="M7" t="s">
        <v>497</v>
      </c>
      <c r="N7" t="s">
        <v>497</v>
      </c>
      <c r="O7" t="s">
        <v>497</v>
      </c>
      <c r="Q7" t="s">
        <v>497</v>
      </c>
      <c r="R7" t="s">
        <v>497</v>
      </c>
      <c r="S7" t="s">
        <v>497</v>
      </c>
      <c r="U7" t="s">
        <v>499</v>
      </c>
      <c r="V7" t="s">
        <v>499</v>
      </c>
      <c r="W7" t="s">
        <v>499</v>
      </c>
      <c r="X7" t="s">
        <v>499</v>
      </c>
      <c r="Y7" t="s">
        <v>499</v>
      </c>
      <c r="Z7" t="s">
        <v>499</v>
      </c>
      <c r="AA7" t="s">
        <v>499</v>
      </c>
    </row>
    <row r="8" spans="1:37" ht="13.5" thickTop="1" x14ac:dyDescent="0.2"/>
    <row r="9" spans="1:37" x14ac:dyDescent="0.2">
      <c r="B9" s="71"/>
      <c r="C9" s="72" t="str">
        <f>Master!BT13</f>
        <v>TOTAL RUN BY RETURN YEAR</v>
      </c>
      <c r="D9" s="72"/>
      <c r="E9" s="69"/>
      <c r="F9" s="69"/>
      <c r="G9" s="69"/>
      <c r="H9" s="69"/>
      <c r="Q9" s="19" t="s">
        <v>491</v>
      </c>
      <c r="U9" s="68"/>
      <c r="V9" s="68" t="str">
        <f>Master!BT13</f>
        <v>TOTAL RUN BY RETURN YEAR</v>
      </c>
      <c r="W9" s="68"/>
      <c r="X9" s="68" t="s">
        <v>505</v>
      </c>
      <c r="Y9" s="68"/>
      <c r="Z9" s="68"/>
    </row>
    <row r="10" spans="1:37" x14ac:dyDescent="0.2">
      <c r="B10" s="71"/>
      <c r="C10" s="72" t="str">
        <f>Master!BT14</f>
        <v>(ESCAPEMENT + SPORT HARVEST +MARINE HARVEST)</v>
      </c>
      <c r="D10" s="72"/>
      <c r="E10" s="69"/>
      <c r="F10" s="69"/>
      <c r="G10" s="69"/>
      <c r="H10" s="69"/>
      <c r="J10" s="19" t="s">
        <v>506</v>
      </c>
      <c r="U10" s="68"/>
      <c r="V10" s="68" t="str">
        <f>Master!BT14</f>
        <v>(ESCAPEMENT + SPORT HARVEST +MARINE HARVEST)</v>
      </c>
      <c r="W10" s="68"/>
      <c r="X10" s="68"/>
      <c r="Y10" s="68"/>
      <c r="Z10" s="68"/>
    </row>
    <row r="11" spans="1:37" x14ac:dyDescent="0.2">
      <c r="C11" s="69"/>
      <c r="D11" s="69"/>
      <c r="E11" s="69"/>
      <c r="F11" s="69"/>
      <c r="G11" s="69"/>
      <c r="H11" s="69"/>
      <c r="Q11" s="19" t="s">
        <v>492</v>
      </c>
      <c r="U11" s="68"/>
      <c r="V11" s="68"/>
      <c r="W11" s="68"/>
      <c r="X11" s="68"/>
      <c r="Y11" s="68"/>
      <c r="Z11" s="68"/>
      <c r="AA11" s="69"/>
    </row>
    <row r="12" spans="1:37" x14ac:dyDescent="0.2">
      <c r="B12" s="13" t="str">
        <f>Master!CH16</f>
        <v>Brood</v>
      </c>
      <c r="C12" s="69"/>
      <c r="D12" s="69" t="str">
        <f>Master!BU16</f>
        <v>Number per Age Class</v>
      </c>
      <c r="E12" s="69"/>
      <c r="F12" s="69"/>
      <c r="G12" s="69"/>
      <c r="H12" s="69" t="str">
        <f>Master!BY16</f>
        <v>Total</v>
      </c>
      <c r="J12" s="11"/>
      <c r="K12" s="11" t="s">
        <v>490</v>
      </c>
      <c r="L12" s="11"/>
      <c r="M12" s="11"/>
      <c r="N12" s="11"/>
      <c r="O12" s="11"/>
      <c r="V12" s="70"/>
      <c r="W12" s="70" t="str">
        <f>Master!BU16</f>
        <v>Number per Age Class</v>
      </c>
      <c r="X12" s="70"/>
      <c r="Y12" s="70"/>
      <c r="Z12" s="70"/>
      <c r="AA12" s="69" t="str">
        <f>Master!BY16</f>
        <v>Total</v>
      </c>
      <c r="AC12" s="11" t="s">
        <v>501</v>
      </c>
      <c r="AD12" s="11"/>
      <c r="AG12" s="11" t="s">
        <v>502</v>
      </c>
      <c r="AH12" s="11"/>
      <c r="AJ12" s="11" t="s">
        <v>504</v>
      </c>
      <c r="AK12" s="11"/>
    </row>
    <row r="13" spans="1:37" x14ac:dyDescent="0.2">
      <c r="B13" s="17" t="str">
        <f>Master!CH17</f>
        <v>Year</v>
      </c>
      <c r="C13" s="70">
        <f>Master!BT17</f>
        <v>1.1000000000000001</v>
      </c>
      <c r="D13" s="70">
        <f>Master!BU17</f>
        <v>1.2</v>
      </c>
      <c r="E13" s="70" t="str">
        <f>Master!BV17</f>
        <v>1.3</v>
      </c>
      <c r="F13" s="70" t="str">
        <f>Master!BW17</f>
        <v>1.4</v>
      </c>
      <c r="G13" s="70" t="str">
        <f>Master!BX17</f>
        <v>1.5</v>
      </c>
      <c r="H13" s="70" t="str">
        <f>Master!BY17</f>
        <v>Run</v>
      </c>
      <c r="J13" s="17">
        <v>3</v>
      </c>
      <c r="K13" s="17">
        <v>4</v>
      </c>
      <c r="L13" s="17">
        <v>5</v>
      </c>
      <c r="M13" s="17">
        <v>6</v>
      </c>
      <c r="N13" s="17">
        <v>7</v>
      </c>
      <c r="O13" s="17" t="s">
        <v>422</v>
      </c>
      <c r="Q13" s="11" t="s">
        <v>494</v>
      </c>
      <c r="R13" s="11" t="s">
        <v>493</v>
      </c>
      <c r="S13" s="11" t="s">
        <v>498</v>
      </c>
      <c r="U13" s="11" t="str">
        <f>Master!A17</f>
        <v>Return Year</v>
      </c>
      <c r="V13" s="70">
        <f>Master!BT17</f>
        <v>1.1000000000000001</v>
      </c>
      <c r="W13" s="70">
        <f>Master!BU17</f>
        <v>1.2</v>
      </c>
      <c r="X13" s="70" t="str">
        <f>Master!BV17</f>
        <v>1.3</v>
      </c>
      <c r="Y13" s="70" t="str">
        <f>Master!BW17</f>
        <v>1.4</v>
      </c>
      <c r="Z13" s="70" t="str">
        <f>Master!BX17</f>
        <v>1.5</v>
      </c>
      <c r="AA13" s="70" t="str">
        <f>Master!BY17</f>
        <v>Run</v>
      </c>
      <c r="AC13" s="70">
        <v>5</v>
      </c>
      <c r="AD13" s="70">
        <v>6</v>
      </c>
      <c r="AE13" t="s">
        <v>426</v>
      </c>
      <c r="AG13" s="70">
        <v>5</v>
      </c>
      <c r="AH13" s="70">
        <v>6</v>
      </c>
      <c r="AJ13" s="70">
        <v>5</v>
      </c>
      <c r="AK13" s="70">
        <v>6</v>
      </c>
    </row>
    <row r="14" spans="1:37" x14ac:dyDescent="0.2">
      <c r="B14" s="13"/>
      <c r="C14" s="69" t="e">
        <f>Master!#REF!</f>
        <v>#REF!</v>
      </c>
      <c r="D14" s="69" t="e">
        <f>Master!#REF!</f>
        <v>#REF!</v>
      </c>
      <c r="E14" s="69" t="e">
        <f>Master!#REF!</f>
        <v>#REF!</v>
      </c>
      <c r="F14" s="69" t="e">
        <f>Master!#REF!</f>
        <v>#REF!</v>
      </c>
      <c r="G14" s="69" t="e">
        <f>Master!#REF!</f>
        <v>#REF!</v>
      </c>
      <c r="H14" s="69" t="e">
        <f>Master!#REF!</f>
        <v>#REF!</v>
      </c>
      <c r="V14" s="69"/>
      <c r="W14" s="69"/>
      <c r="X14" s="69"/>
      <c r="Y14" s="69"/>
      <c r="Z14" s="69"/>
      <c r="AA14" s="69"/>
    </row>
    <row r="15" spans="1:37" x14ac:dyDescent="0.2">
      <c r="B15" s="13" t="e">
        <f>Master!#REF!</f>
        <v>#REF!</v>
      </c>
      <c r="C15" s="69" t="e">
        <f>Master!#REF!</f>
        <v>#REF!</v>
      </c>
      <c r="D15" s="69" t="e">
        <f>Master!#REF!</f>
        <v>#REF!</v>
      </c>
      <c r="E15" s="69" t="e">
        <f>Master!#REF!</f>
        <v>#REF!</v>
      </c>
      <c r="F15" s="69" t="e">
        <f>Master!#REF!</f>
        <v>#REF!</v>
      </c>
      <c r="G15" s="69" t="e">
        <f>Master!#REF!</f>
        <v>#REF!</v>
      </c>
      <c r="H15" s="69" t="e">
        <f>Master!#REF!</f>
        <v>#REF!</v>
      </c>
      <c r="U15" t="e">
        <f>Master!#REF!</f>
        <v>#REF!</v>
      </c>
      <c r="V15" s="69" t="e">
        <f>Master!#REF!</f>
        <v>#REF!</v>
      </c>
      <c r="W15" s="69" t="e">
        <f>Master!#REF!</f>
        <v>#REF!</v>
      </c>
      <c r="X15" s="69" t="e">
        <f>Master!#REF!</f>
        <v>#REF!</v>
      </c>
      <c r="Y15" s="69" t="e">
        <f>Master!#REF!</f>
        <v>#REF!</v>
      </c>
      <c r="Z15" s="69" t="e">
        <f>Master!#REF!</f>
        <v>#REF!</v>
      </c>
      <c r="AA15" s="69" t="e">
        <f>Master!#REF!</f>
        <v>#REF!</v>
      </c>
    </row>
    <row r="16" spans="1:37" x14ac:dyDescent="0.2">
      <c r="B16" s="13" t="e">
        <f>Master!#REF!</f>
        <v>#REF!</v>
      </c>
      <c r="C16" s="69" t="e">
        <f>Master!#REF!</f>
        <v>#REF!</v>
      </c>
      <c r="D16" s="69" t="e">
        <f>Master!#REF!</f>
        <v>#REF!</v>
      </c>
      <c r="E16" s="69" t="e">
        <f>Master!#REF!</f>
        <v>#REF!</v>
      </c>
      <c r="F16" s="69" t="e">
        <f>Master!#REF!</f>
        <v>#REF!</v>
      </c>
      <c r="G16" s="69" t="e">
        <f>Master!#REF!</f>
        <v>#REF!</v>
      </c>
      <c r="H16" s="69" t="e">
        <f>Master!#REF!</f>
        <v>#REF!</v>
      </c>
      <c r="J16" s="24" t="e">
        <f t="shared" ref="J16:J43" si="0">C16/$H16</f>
        <v>#REF!</v>
      </c>
      <c r="K16" s="24" t="e">
        <f t="shared" ref="K16:K43" si="1">D16/$H16</f>
        <v>#REF!</v>
      </c>
      <c r="L16" s="24" t="e">
        <f t="shared" ref="L16:L43" si="2">E16/$H16</f>
        <v>#REF!</v>
      </c>
      <c r="M16" s="24" t="e">
        <f t="shared" ref="M16:M43" si="3">F16/$H16</f>
        <v>#REF!</v>
      </c>
      <c r="N16" s="24" t="e">
        <f t="shared" ref="N16:N43" si="4">G16/$H16</f>
        <v>#REF!</v>
      </c>
      <c r="O16" s="24" t="e">
        <f t="shared" ref="O16:O43" si="5">SUM(J16:N16)</f>
        <v>#REF!</v>
      </c>
      <c r="Q16" s="24"/>
      <c r="R16" s="24"/>
      <c r="S16" s="24" t="e">
        <f t="shared" ref="S16:S29" si="6">IF(C15=0,"",D16/C15)</f>
        <v>#REF!</v>
      </c>
      <c r="U16" t="e">
        <f>Master!#REF!</f>
        <v>#REF!</v>
      </c>
      <c r="V16" s="69" t="e">
        <f>Master!#REF!</f>
        <v>#REF!</v>
      </c>
      <c r="W16" s="69" t="e">
        <f>Master!#REF!</f>
        <v>#REF!</v>
      </c>
      <c r="X16" s="69" t="e">
        <f>Master!#REF!</f>
        <v>#REF!</v>
      </c>
      <c r="Y16" s="69" t="e">
        <f>Master!#REF!</f>
        <v>#REF!</v>
      </c>
      <c r="Z16" s="69" t="e">
        <f>Master!#REF!</f>
        <v>#REF!</v>
      </c>
      <c r="AA16" s="69" t="e">
        <f>Master!#REF!</f>
        <v>#REF!</v>
      </c>
    </row>
    <row r="17" spans="2:37" x14ac:dyDescent="0.2">
      <c r="B17" s="13">
        <f>Master!CH18</f>
        <v>1974</v>
      </c>
      <c r="C17" s="69">
        <f>Master!BT18</f>
        <v>0</v>
      </c>
      <c r="D17" s="69">
        <f>Master!BU18</f>
        <v>0</v>
      </c>
      <c r="E17" s="69">
        <f>Master!BV18</f>
        <v>0</v>
      </c>
      <c r="F17" s="69">
        <f>Master!BW18</f>
        <v>0</v>
      </c>
      <c r="G17" s="69">
        <f>Master!BX18</f>
        <v>0</v>
      </c>
      <c r="H17" s="69">
        <f>Master!BY18</f>
        <v>0</v>
      </c>
      <c r="J17" s="24" t="e">
        <f t="shared" si="0"/>
        <v>#DIV/0!</v>
      </c>
      <c r="K17" s="24" t="e">
        <f t="shared" si="1"/>
        <v>#DIV/0!</v>
      </c>
      <c r="L17" s="24" t="e">
        <f t="shared" si="2"/>
        <v>#DIV/0!</v>
      </c>
      <c r="M17" s="24" t="e">
        <f t="shared" si="3"/>
        <v>#DIV/0!</v>
      </c>
      <c r="N17" s="24" t="e">
        <f t="shared" si="4"/>
        <v>#DIV/0!</v>
      </c>
      <c r="O17" s="24" t="e">
        <f t="shared" si="5"/>
        <v>#DIV/0!</v>
      </c>
      <c r="Q17" s="24"/>
      <c r="R17" s="24"/>
      <c r="S17" s="24" t="e">
        <f t="shared" si="6"/>
        <v>#REF!</v>
      </c>
      <c r="U17">
        <f>Master!A18</f>
        <v>1974</v>
      </c>
      <c r="V17" s="69">
        <f>Master!BT18</f>
        <v>0</v>
      </c>
      <c r="W17" s="69">
        <f>Master!BU18</f>
        <v>0</v>
      </c>
      <c r="X17" s="69">
        <f>Master!BV18</f>
        <v>0</v>
      </c>
      <c r="Y17" s="69">
        <f>Master!BW18</f>
        <v>0</v>
      </c>
      <c r="Z17" s="69">
        <f>Master!BX18</f>
        <v>0</v>
      </c>
      <c r="AA17" s="69">
        <f>Master!BY18</f>
        <v>0</v>
      </c>
    </row>
    <row r="18" spans="2:37" x14ac:dyDescent="0.2">
      <c r="B18" s="13">
        <f>Master!CH19</f>
        <v>1975</v>
      </c>
      <c r="C18" s="69">
        <f>Master!BT19</f>
        <v>0</v>
      </c>
      <c r="D18" s="69">
        <f>Master!BU19</f>
        <v>0</v>
      </c>
      <c r="E18" s="69">
        <f>Master!BV19</f>
        <v>0</v>
      </c>
      <c r="F18" s="69">
        <f>Master!BW19</f>
        <v>0</v>
      </c>
      <c r="G18" s="69">
        <f>Master!BX19</f>
        <v>0</v>
      </c>
      <c r="H18" s="69">
        <f>Master!BY19</f>
        <v>0</v>
      </c>
      <c r="J18" s="24" t="e">
        <f t="shared" si="0"/>
        <v>#DIV/0!</v>
      </c>
      <c r="K18" s="24" t="e">
        <f t="shared" si="1"/>
        <v>#DIV/0!</v>
      </c>
      <c r="L18" s="24" t="e">
        <f t="shared" si="2"/>
        <v>#DIV/0!</v>
      </c>
      <c r="M18" s="24" t="e">
        <f t="shared" si="3"/>
        <v>#DIV/0!</v>
      </c>
      <c r="N18" s="24" t="e">
        <f t="shared" si="4"/>
        <v>#DIV/0!</v>
      </c>
      <c r="O18" s="24" t="e">
        <f t="shared" si="5"/>
        <v>#DIV/0!</v>
      </c>
      <c r="Q18" s="24"/>
      <c r="R18" s="24"/>
      <c r="S18" s="24" t="str">
        <f t="shared" si="6"/>
        <v/>
      </c>
      <c r="U18">
        <f>Master!A19</f>
        <v>1975</v>
      </c>
      <c r="V18" s="69">
        <f>Master!BT19</f>
        <v>0</v>
      </c>
      <c r="W18" s="69">
        <f>Master!BU19</f>
        <v>0</v>
      </c>
      <c r="X18" s="69">
        <f>Master!BV19</f>
        <v>0</v>
      </c>
      <c r="Y18" s="69">
        <f>Master!BW19</f>
        <v>0</v>
      </c>
      <c r="Z18" s="69">
        <f>Master!BX19</f>
        <v>0</v>
      </c>
      <c r="AA18" s="69">
        <f>Master!BY19</f>
        <v>0</v>
      </c>
    </row>
    <row r="19" spans="2:37" x14ac:dyDescent="0.2">
      <c r="B19" s="13">
        <f>Master!CH20</f>
        <v>1976</v>
      </c>
      <c r="C19" s="69">
        <f>Master!BT20</f>
        <v>0</v>
      </c>
      <c r="D19" s="69">
        <f>Master!BU20</f>
        <v>0</v>
      </c>
      <c r="E19" s="69">
        <f>Master!BV20</f>
        <v>0</v>
      </c>
      <c r="F19" s="69">
        <f>Master!BW20</f>
        <v>0</v>
      </c>
      <c r="G19" s="69">
        <f>Master!BX20</f>
        <v>0</v>
      </c>
      <c r="H19" s="69">
        <f>Master!BY20</f>
        <v>0</v>
      </c>
      <c r="J19" s="24" t="e">
        <f t="shared" si="0"/>
        <v>#DIV/0!</v>
      </c>
      <c r="K19" s="24" t="e">
        <f t="shared" si="1"/>
        <v>#DIV/0!</v>
      </c>
      <c r="L19" s="24" t="e">
        <f t="shared" si="2"/>
        <v>#DIV/0!</v>
      </c>
      <c r="M19" s="24" t="e">
        <f t="shared" si="3"/>
        <v>#DIV/0!</v>
      </c>
      <c r="N19" s="24" t="e">
        <f t="shared" si="4"/>
        <v>#DIV/0!</v>
      </c>
      <c r="O19" s="24" t="e">
        <f t="shared" si="5"/>
        <v>#DIV/0!</v>
      </c>
      <c r="Q19" s="24"/>
      <c r="R19" s="24"/>
      <c r="S19" s="24" t="str">
        <f t="shared" si="6"/>
        <v/>
      </c>
      <c r="U19">
        <f>Master!A20</f>
        <v>1976</v>
      </c>
      <c r="V19" s="69">
        <f>Master!BT20</f>
        <v>0</v>
      </c>
      <c r="W19" s="69">
        <f>Master!BU20</f>
        <v>0</v>
      </c>
      <c r="X19" s="69">
        <f>Master!BV20</f>
        <v>0</v>
      </c>
      <c r="Y19" s="69">
        <f>Master!BW20</f>
        <v>0</v>
      </c>
      <c r="Z19" s="69">
        <f>Master!BX20</f>
        <v>0</v>
      </c>
      <c r="AA19" s="69">
        <f>Master!BY20</f>
        <v>0</v>
      </c>
    </row>
    <row r="20" spans="2:37" x14ac:dyDescent="0.2">
      <c r="B20" s="13">
        <f>Master!CH21</f>
        <v>1977</v>
      </c>
      <c r="C20" s="69">
        <f>Master!BT21</f>
        <v>0</v>
      </c>
      <c r="D20" s="69">
        <f>Master!BU21</f>
        <v>0</v>
      </c>
      <c r="E20" s="69">
        <f>Master!BV21</f>
        <v>0</v>
      </c>
      <c r="F20" s="69">
        <f>Master!BW21</f>
        <v>0</v>
      </c>
      <c r="G20" s="69">
        <f>Master!BX21</f>
        <v>0</v>
      </c>
      <c r="H20" s="69">
        <f>Master!BY21</f>
        <v>0</v>
      </c>
      <c r="J20" s="24" t="e">
        <f t="shared" si="0"/>
        <v>#DIV/0!</v>
      </c>
      <c r="K20" s="24" t="e">
        <f t="shared" si="1"/>
        <v>#DIV/0!</v>
      </c>
      <c r="L20" s="24" t="e">
        <f t="shared" si="2"/>
        <v>#DIV/0!</v>
      </c>
      <c r="M20" s="24" t="e">
        <f t="shared" si="3"/>
        <v>#DIV/0!</v>
      </c>
      <c r="N20" s="24" t="e">
        <f t="shared" si="4"/>
        <v>#DIV/0!</v>
      </c>
      <c r="O20" s="24" t="e">
        <f t="shared" si="5"/>
        <v>#DIV/0!</v>
      </c>
      <c r="Q20" s="24"/>
      <c r="R20" s="24"/>
      <c r="S20" s="24" t="str">
        <f t="shared" si="6"/>
        <v/>
      </c>
      <c r="U20">
        <f>Master!A21</f>
        <v>1977</v>
      </c>
      <c r="V20" s="69">
        <f>Master!BT21</f>
        <v>0</v>
      </c>
      <c r="W20" s="69">
        <f>Master!BU21</f>
        <v>0</v>
      </c>
      <c r="X20" s="69">
        <f>Master!BV21</f>
        <v>0</v>
      </c>
      <c r="Y20" s="69">
        <f>Master!BW21</f>
        <v>0</v>
      </c>
      <c r="Z20" s="69">
        <f>Master!BX21</f>
        <v>0</v>
      </c>
      <c r="AA20" s="69">
        <f>Master!BY21</f>
        <v>0</v>
      </c>
      <c r="AC20" s="69">
        <f t="shared" ref="AC20:AC43" si="7">W19*R$47</f>
        <v>0</v>
      </c>
    </row>
    <row r="21" spans="2:37" x14ac:dyDescent="0.2">
      <c r="B21" s="13">
        <f>Master!CH22</f>
        <v>1978</v>
      </c>
      <c r="C21" s="69">
        <f>Master!BT22</f>
        <v>0</v>
      </c>
      <c r="D21" s="69">
        <f>Master!BU22</f>
        <v>7311.1594484174066</v>
      </c>
      <c r="E21" s="69">
        <f>Master!BV22</f>
        <v>0</v>
      </c>
      <c r="F21" s="69">
        <f>Master!BW22</f>
        <v>0</v>
      </c>
      <c r="G21" s="69">
        <f>Master!BX22</f>
        <v>0</v>
      </c>
      <c r="H21" s="69">
        <f>Master!BY22</f>
        <v>7311.1594484174066</v>
      </c>
      <c r="J21" s="24">
        <f t="shared" si="0"/>
        <v>0</v>
      </c>
      <c r="K21" s="24">
        <f t="shared" si="1"/>
        <v>1</v>
      </c>
      <c r="L21" s="24">
        <f t="shared" si="2"/>
        <v>0</v>
      </c>
      <c r="M21" s="24">
        <f t="shared" si="3"/>
        <v>0</v>
      </c>
      <c r="N21" s="24">
        <f t="shared" si="4"/>
        <v>0</v>
      </c>
      <c r="O21" s="24">
        <f t="shared" si="5"/>
        <v>1</v>
      </c>
      <c r="Q21" s="24"/>
      <c r="R21" s="24"/>
      <c r="S21" s="24" t="str">
        <f t="shared" si="6"/>
        <v/>
      </c>
      <c r="U21">
        <f>Master!A22</f>
        <v>1978</v>
      </c>
      <c r="V21" s="69">
        <f>Master!BT22</f>
        <v>0</v>
      </c>
      <c r="W21" s="69">
        <f>Master!BU22</f>
        <v>7311.1594484174066</v>
      </c>
      <c r="X21" s="69">
        <f>Master!BV22</f>
        <v>0</v>
      </c>
      <c r="Y21" s="69">
        <f>Master!BW22</f>
        <v>0</v>
      </c>
      <c r="Z21" s="69">
        <f>Master!BX22</f>
        <v>0</v>
      </c>
      <c r="AA21" s="69">
        <f>Master!BY22</f>
        <v>7311.1594484174066</v>
      </c>
      <c r="AC21" s="69">
        <f t="shared" si="7"/>
        <v>0</v>
      </c>
    </row>
    <row r="22" spans="2:37" x14ac:dyDescent="0.2">
      <c r="B22" s="13">
        <f>Master!CH23</f>
        <v>1979</v>
      </c>
      <c r="C22" s="69">
        <f>Master!BT23</f>
        <v>0</v>
      </c>
      <c r="D22" s="69">
        <f>Master!BU23</f>
        <v>4503.5344558577508</v>
      </c>
      <c r="E22" s="69">
        <f>Master!BV23</f>
        <v>38601.723907352149</v>
      </c>
      <c r="F22" s="69">
        <f>Master!BW23</f>
        <v>21230.948149043685</v>
      </c>
      <c r="G22" s="69">
        <f>Master!BX23</f>
        <v>0</v>
      </c>
      <c r="H22" s="69">
        <f>Master!BY23</f>
        <v>64336.206512253586</v>
      </c>
      <c r="J22" s="24">
        <f t="shared" si="0"/>
        <v>0</v>
      </c>
      <c r="K22" s="24">
        <f t="shared" si="1"/>
        <v>6.9999999999999993E-2</v>
      </c>
      <c r="L22" s="24">
        <f t="shared" si="2"/>
        <v>0.6</v>
      </c>
      <c r="M22" s="24">
        <f t="shared" si="3"/>
        <v>0.33</v>
      </c>
      <c r="N22" s="24">
        <f t="shared" si="4"/>
        <v>0</v>
      </c>
      <c r="O22" s="24">
        <f t="shared" si="5"/>
        <v>1</v>
      </c>
      <c r="Q22" s="24"/>
      <c r="R22" s="24">
        <f>E22/D21</f>
        <v>5.2798361435966195</v>
      </c>
      <c r="S22" s="24" t="str">
        <f t="shared" si="6"/>
        <v/>
      </c>
      <c r="U22">
        <f>Master!A23</f>
        <v>1979</v>
      </c>
      <c r="V22" s="69">
        <f>Master!BT23</f>
        <v>0</v>
      </c>
      <c r="W22" s="69">
        <f>Master!BU23</f>
        <v>4503.5344558577508</v>
      </c>
      <c r="X22" s="69">
        <f>Master!BV23</f>
        <v>38601.723907352149</v>
      </c>
      <c r="Y22" s="69">
        <f>Master!BW23</f>
        <v>21230.948149043685</v>
      </c>
      <c r="Z22" s="69">
        <f>Master!BX23</f>
        <v>0</v>
      </c>
      <c r="AA22" s="69">
        <f>Master!BY23</f>
        <v>64336.206512253586</v>
      </c>
      <c r="AC22" s="69">
        <f t="shared" si="7"/>
        <v>19838.455478180764</v>
      </c>
      <c r="AD22" s="69">
        <f t="shared" ref="AD22:AD43" si="8">X21*Q$47</f>
        <v>0</v>
      </c>
      <c r="AE22" s="41">
        <f t="shared" ref="AE22:AE43" si="9">SUM(AC22:AD22)</f>
        <v>19838.455478180764</v>
      </c>
      <c r="AG22" s="69">
        <f t="shared" ref="AG22:AG43" si="10">X22-AC22</f>
        <v>18763.268429171385</v>
      </c>
      <c r="AH22" s="69">
        <f t="shared" ref="AH22:AH43" si="11">Y22-AD22</f>
        <v>21230.948149043685</v>
      </c>
      <c r="AJ22" s="24">
        <f t="shared" ref="AJ22:AJ43" si="12">AG22/X22</f>
        <v>0.48607332859550612</v>
      </c>
      <c r="AK22" s="24">
        <f t="shared" ref="AK22:AK43" si="13">AH22/Y22</f>
        <v>1</v>
      </c>
    </row>
    <row r="23" spans="2:37" x14ac:dyDescent="0.2">
      <c r="B23" s="13">
        <f>Master!CH24</f>
        <v>1980</v>
      </c>
      <c r="C23" s="69">
        <f>Master!BT24</f>
        <v>0</v>
      </c>
      <c r="D23" s="69">
        <f>Master!BU24</f>
        <v>3961.8721711379576</v>
      </c>
      <c r="E23" s="69">
        <f>Master!BV24</f>
        <v>20205.548072803584</v>
      </c>
      <c r="F23" s="69">
        <f>Master!BW24</f>
        <v>15451.301467438034</v>
      </c>
      <c r="G23" s="69">
        <f>Master!BX24</f>
        <v>0</v>
      </c>
      <c r="H23" s="69">
        <f>Master!BY24</f>
        <v>39618.721711379578</v>
      </c>
      <c r="J23" s="24">
        <f t="shared" si="0"/>
        <v>0</v>
      </c>
      <c r="K23" s="24">
        <f t="shared" si="1"/>
        <v>9.9999999999999992E-2</v>
      </c>
      <c r="L23" s="24">
        <f t="shared" si="2"/>
        <v>0.51</v>
      </c>
      <c r="M23" s="24">
        <f t="shared" si="3"/>
        <v>0.38999999999999996</v>
      </c>
      <c r="N23" s="24">
        <f t="shared" si="4"/>
        <v>0</v>
      </c>
      <c r="O23" s="24">
        <f t="shared" si="5"/>
        <v>1</v>
      </c>
      <c r="Q23" s="24">
        <f t="shared" ref="Q23:Q43" si="14">F23/E22</f>
        <v>0.4002749075280328</v>
      </c>
      <c r="R23" s="24">
        <f>E23/D22</f>
        <v>4.4865978645999283</v>
      </c>
      <c r="S23" s="24" t="str">
        <f t="shared" si="6"/>
        <v/>
      </c>
      <c r="U23">
        <f>Master!A24</f>
        <v>1980</v>
      </c>
      <c r="V23" s="69">
        <f>Master!BT24</f>
        <v>0</v>
      </c>
      <c r="W23" s="69">
        <f>Master!BU24</f>
        <v>3961.8721711379576</v>
      </c>
      <c r="X23" s="69">
        <f>Master!BV24</f>
        <v>20205.548072803584</v>
      </c>
      <c r="Y23" s="69">
        <f>Master!BW24</f>
        <v>15451.301467438034</v>
      </c>
      <c r="Z23" s="69">
        <f>Master!BX24</f>
        <v>0</v>
      </c>
      <c r="AA23" s="69">
        <f>Master!BY24</f>
        <v>39618.721711379578</v>
      </c>
      <c r="AC23" s="69">
        <f t="shared" si="7"/>
        <v>12220.109331130303</v>
      </c>
      <c r="AD23" s="69">
        <f t="shared" si="8"/>
        <v>34804.92936484368</v>
      </c>
      <c r="AE23" s="41">
        <f t="shared" si="9"/>
        <v>47025.038695973984</v>
      </c>
      <c r="AG23" s="69">
        <f t="shared" si="10"/>
        <v>7985.4387416732807</v>
      </c>
      <c r="AH23" s="69">
        <f t="shared" si="11"/>
        <v>-19353.627897405648</v>
      </c>
      <c r="AJ23" s="24">
        <f t="shared" si="12"/>
        <v>0.39521020231178888</v>
      </c>
      <c r="AK23" s="24">
        <f t="shared" si="13"/>
        <v>-1.2525564877619759</v>
      </c>
    </row>
    <row r="24" spans="2:37" x14ac:dyDescent="0.2">
      <c r="B24" s="13">
        <f>Master!CH25</f>
        <v>1981</v>
      </c>
      <c r="C24" s="69">
        <f>Master!BT25</f>
        <v>0</v>
      </c>
      <c r="D24" s="69">
        <f>Master!BU25</f>
        <v>2679.2468013006346</v>
      </c>
      <c r="E24" s="69">
        <f>Master!BV25</f>
        <v>15271.706767413616</v>
      </c>
      <c r="F24" s="69">
        <f>Master!BW25</f>
        <v>8841.5144442920955</v>
      </c>
      <c r="G24" s="69">
        <f>Master!BX25</f>
        <v>0</v>
      </c>
      <c r="H24" s="69">
        <f>Master!BY25</f>
        <v>26792.468013006343</v>
      </c>
      <c r="J24" s="24">
        <f t="shared" si="0"/>
        <v>0</v>
      </c>
      <c r="K24" s="24">
        <f t="shared" si="1"/>
        <v>0.10000000000000002</v>
      </c>
      <c r="L24" s="24">
        <f t="shared" si="2"/>
        <v>0.57000000000000006</v>
      </c>
      <c r="M24" s="24">
        <f t="shared" si="3"/>
        <v>0.33000000000000007</v>
      </c>
      <c r="N24" s="24">
        <f t="shared" si="4"/>
        <v>0</v>
      </c>
      <c r="O24" s="24">
        <f t="shared" si="5"/>
        <v>1</v>
      </c>
      <c r="Q24" s="24">
        <f t="shared" si="14"/>
        <v>0.43757855082350694</v>
      </c>
      <c r="R24" s="24">
        <f>E24/D23</f>
        <v>3.8546692340725284</v>
      </c>
      <c r="S24" s="24" t="str">
        <f t="shared" si="6"/>
        <v/>
      </c>
      <c r="U24">
        <f>Master!A25</f>
        <v>1981</v>
      </c>
      <c r="V24" s="69">
        <f>Master!BT25</f>
        <v>0</v>
      </c>
      <c r="W24" s="69">
        <f>Master!BU25</f>
        <v>2679.2468013006346</v>
      </c>
      <c r="X24" s="69">
        <f>Master!BV25</f>
        <v>15271.706767413616</v>
      </c>
      <c r="Y24" s="69">
        <f>Master!BW25</f>
        <v>8841.5144442920955</v>
      </c>
      <c r="Z24" s="69">
        <f>Master!BX25</f>
        <v>0</v>
      </c>
      <c r="AA24" s="69">
        <f>Master!BY25</f>
        <v>26792.468013006343</v>
      </c>
      <c r="AC24" s="69">
        <f t="shared" si="7"/>
        <v>10750.336554946445</v>
      </c>
      <c r="AD24" s="69">
        <f t="shared" si="8"/>
        <v>18218.167539350212</v>
      </c>
      <c r="AE24" s="41">
        <f t="shared" si="9"/>
        <v>28968.504094296659</v>
      </c>
      <c r="AG24" s="69">
        <f t="shared" si="10"/>
        <v>4521.3702124671709</v>
      </c>
      <c r="AH24" s="69">
        <f t="shared" si="11"/>
        <v>-9376.6530950581164</v>
      </c>
      <c r="AJ24" s="24">
        <f t="shared" si="12"/>
        <v>0.29606187974449305</v>
      </c>
      <c r="AK24" s="24">
        <f t="shared" si="13"/>
        <v>-1.0605256773754972</v>
      </c>
    </row>
    <row r="25" spans="2:37" x14ac:dyDescent="0.2">
      <c r="B25" s="13">
        <f>Master!CH26</f>
        <v>1982</v>
      </c>
      <c r="C25" s="69">
        <f>Master!BT26</f>
        <v>0</v>
      </c>
      <c r="D25" s="69">
        <f>Master!BU26</f>
        <v>5600.8816659415634</v>
      </c>
      <c r="E25" s="69">
        <f>Master!BV26</f>
        <v>19387.667305182338</v>
      </c>
      <c r="F25" s="69">
        <f>Master!BW26</f>
        <v>18525.993202729787</v>
      </c>
      <c r="G25" s="69">
        <f>Master!BX26</f>
        <v>0</v>
      </c>
      <c r="H25" s="69">
        <f>Master!BY26</f>
        <v>43514.54217385369</v>
      </c>
      <c r="J25" s="24">
        <f t="shared" si="0"/>
        <v>0</v>
      </c>
      <c r="K25" s="24">
        <f t="shared" si="1"/>
        <v>0.12871287128712869</v>
      </c>
      <c r="L25" s="24">
        <f t="shared" si="2"/>
        <v>0.44554455445544555</v>
      </c>
      <c r="M25" s="24">
        <f t="shared" si="3"/>
        <v>0.42574257425742573</v>
      </c>
      <c r="N25" s="24">
        <f t="shared" si="4"/>
        <v>0</v>
      </c>
      <c r="O25" s="24">
        <f t="shared" si="5"/>
        <v>1</v>
      </c>
      <c r="Q25" s="24">
        <f t="shared" si="14"/>
        <v>1.2130925170891891</v>
      </c>
      <c r="R25" s="24">
        <f t="shared" ref="R25:R43" si="15">E25/D24</f>
        <v>7.2362379217064428</v>
      </c>
      <c r="S25" s="24" t="str">
        <f t="shared" si="6"/>
        <v/>
      </c>
      <c r="U25">
        <f>Master!A26</f>
        <v>1982</v>
      </c>
      <c r="V25" s="69">
        <f>Master!BT26</f>
        <v>0</v>
      </c>
      <c r="W25" s="69">
        <f>Master!BU26</f>
        <v>5600.8816659415634</v>
      </c>
      <c r="X25" s="69">
        <f>Master!BV26</f>
        <v>19387.667305182338</v>
      </c>
      <c r="Y25" s="69">
        <f>Master!BW26</f>
        <v>18525.993202729787</v>
      </c>
      <c r="Z25" s="69">
        <f>Master!BX26</f>
        <v>0</v>
      </c>
      <c r="AA25" s="69">
        <f>Master!BY26</f>
        <v>43514.54217385369</v>
      </c>
      <c r="AC25" s="69">
        <f t="shared" si="7"/>
        <v>7269.9985218030388</v>
      </c>
      <c r="AD25" s="69">
        <f t="shared" si="8"/>
        <v>13769.609787276881</v>
      </c>
      <c r="AE25" s="41">
        <f t="shared" si="9"/>
        <v>21039.608309079918</v>
      </c>
      <c r="AG25" s="69">
        <f t="shared" si="10"/>
        <v>12117.6687833793</v>
      </c>
      <c r="AH25" s="69">
        <f t="shared" si="11"/>
        <v>4756.3834154529068</v>
      </c>
      <c r="AJ25" s="24">
        <f t="shared" si="12"/>
        <v>0.62501943078733557</v>
      </c>
      <c r="AK25" s="24">
        <f t="shared" si="13"/>
        <v>0.25674107527752188</v>
      </c>
    </row>
    <row r="26" spans="2:37" x14ac:dyDescent="0.2">
      <c r="B26" s="13">
        <f>Master!CH27</f>
        <v>1983</v>
      </c>
      <c r="C26" s="69">
        <f>Master!BT27</f>
        <v>0</v>
      </c>
      <c r="D26" s="69">
        <f>Master!BU27</f>
        <v>10468.965098592047</v>
      </c>
      <c r="E26" s="69">
        <f>Master!BV27</f>
        <v>22862.275424833642</v>
      </c>
      <c r="F26" s="69">
        <f>Master!BW27</f>
        <v>16471.334827818337</v>
      </c>
      <c r="G26" s="69">
        <f>Master!BX27</f>
        <v>0</v>
      </c>
      <c r="H26" s="69">
        <f>Master!BY27</f>
        <v>49802.575351244028</v>
      </c>
      <c r="J26" s="24">
        <f t="shared" si="0"/>
        <v>0</v>
      </c>
      <c r="K26" s="24">
        <f t="shared" si="1"/>
        <v>0.21020931196343326</v>
      </c>
      <c r="L26" s="24">
        <f t="shared" si="2"/>
        <v>0.45905809616455029</v>
      </c>
      <c r="M26" s="24">
        <f t="shared" si="3"/>
        <v>0.33073259187201642</v>
      </c>
      <c r="N26" s="24">
        <f t="shared" si="4"/>
        <v>0</v>
      </c>
      <c r="O26" s="24">
        <f t="shared" si="5"/>
        <v>1</v>
      </c>
      <c r="Q26" s="24">
        <f t="shared" si="14"/>
        <v>0.84957795945959602</v>
      </c>
      <c r="R26" s="24">
        <f t="shared" si="15"/>
        <v>4.0819065262272893</v>
      </c>
      <c r="S26" s="24" t="str">
        <f t="shared" si="6"/>
        <v/>
      </c>
      <c r="U26">
        <f>Master!A27</f>
        <v>1983</v>
      </c>
      <c r="V26" s="69">
        <f>Master!BT27</f>
        <v>0</v>
      </c>
      <c r="W26" s="69">
        <f>Master!BU27</f>
        <v>10468.965098592047</v>
      </c>
      <c r="X26" s="69">
        <f>Master!BV27</f>
        <v>22862.275424833642</v>
      </c>
      <c r="Y26" s="69">
        <f>Master!BW27</f>
        <v>16471.334827818337</v>
      </c>
      <c r="Z26" s="69">
        <f>Master!BX27</f>
        <v>0</v>
      </c>
      <c r="AA26" s="69">
        <f>Master!BY27</f>
        <v>49802.575351244028</v>
      </c>
      <c r="AC26" s="69">
        <f t="shared" si="7"/>
        <v>15197.704598330489</v>
      </c>
      <c r="AD26" s="69">
        <f t="shared" si="8"/>
        <v>17480.732019261955</v>
      </c>
      <c r="AE26" s="41">
        <f t="shared" si="9"/>
        <v>32678.436617592444</v>
      </c>
      <c r="AG26" s="69">
        <f t="shared" si="10"/>
        <v>7664.5708265031535</v>
      </c>
      <c r="AH26" s="69">
        <f t="shared" si="11"/>
        <v>-1009.3971914436188</v>
      </c>
      <c r="AJ26" s="24">
        <f t="shared" si="12"/>
        <v>0.33524969339568372</v>
      </c>
      <c r="AK26" s="24">
        <f t="shared" si="13"/>
        <v>-6.1282051636692737E-2</v>
      </c>
    </row>
    <row r="27" spans="2:37" x14ac:dyDescent="0.2">
      <c r="B27" s="13">
        <f>Master!CH28</f>
        <v>1984</v>
      </c>
      <c r="C27" s="69">
        <f>Master!BT28</f>
        <v>0</v>
      </c>
      <c r="D27" s="69">
        <f>Master!BU28</f>
        <v>7746.659710414855</v>
      </c>
      <c r="E27" s="69">
        <f>Master!BV28</f>
        <v>21417.23566997048</v>
      </c>
      <c r="F27" s="69">
        <f>Master!BW28</f>
        <v>16404.691151466748</v>
      </c>
      <c r="G27" s="69">
        <f>Master!BX28</f>
        <v>0</v>
      </c>
      <c r="H27" s="69">
        <f>Master!BY28</f>
        <v>45568.586531852081</v>
      </c>
      <c r="J27" s="24">
        <f t="shared" si="0"/>
        <v>0</v>
      </c>
      <c r="K27" s="24">
        <f t="shared" si="1"/>
        <v>0.17000000000000004</v>
      </c>
      <c r="L27" s="24">
        <f t="shared" si="2"/>
        <v>0.47000000000000003</v>
      </c>
      <c r="M27" s="24">
        <f t="shared" si="3"/>
        <v>0.36</v>
      </c>
      <c r="N27" s="24">
        <f t="shared" si="4"/>
        <v>0</v>
      </c>
      <c r="O27" s="24">
        <f t="shared" si="5"/>
        <v>1</v>
      </c>
      <c r="Q27" s="24">
        <f t="shared" si="14"/>
        <v>0.71754411346333069</v>
      </c>
      <c r="R27" s="24">
        <f t="shared" si="15"/>
        <v>2.0457834626701397</v>
      </c>
      <c r="S27" s="24" t="str">
        <f t="shared" si="6"/>
        <v/>
      </c>
      <c r="U27">
        <f>Master!A28</f>
        <v>1984</v>
      </c>
      <c r="V27" s="69">
        <f>Master!BT28</f>
        <v>0</v>
      </c>
      <c r="W27" s="69">
        <f>Master!BU28</f>
        <v>7746.659710414855</v>
      </c>
      <c r="X27" s="69">
        <f>Master!BV28</f>
        <v>21417.23566997048</v>
      </c>
      <c r="Y27" s="69">
        <f>Master!BW28</f>
        <v>16404.691151466748</v>
      </c>
      <c r="Z27" s="69">
        <f>Master!BX28</f>
        <v>0</v>
      </c>
      <c r="AA27" s="69">
        <f>Master!BY28</f>
        <v>45568.586531852081</v>
      </c>
      <c r="AC27" s="69">
        <f t="shared" si="7"/>
        <v>28406.998845580281</v>
      </c>
      <c r="AD27" s="69">
        <f t="shared" si="8"/>
        <v>20613.584076989428</v>
      </c>
      <c r="AE27" s="41">
        <f t="shared" si="9"/>
        <v>49020.582922569709</v>
      </c>
      <c r="AG27" s="69">
        <f t="shared" si="10"/>
        <v>-6989.7631756098017</v>
      </c>
      <c r="AH27" s="69">
        <f t="shared" si="11"/>
        <v>-4208.8929255226794</v>
      </c>
      <c r="AJ27" s="24">
        <f t="shared" si="12"/>
        <v>-0.32636159415336141</v>
      </c>
      <c r="AK27" s="24">
        <f t="shared" si="13"/>
        <v>-0.25656642277878916</v>
      </c>
    </row>
    <row r="28" spans="2:37" x14ac:dyDescent="0.2">
      <c r="B28" s="13">
        <f>Master!CH29</f>
        <v>1985</v>
      </c>
      <c r="C28" s="69">
        <f>Master!BT29</f>
        <v>0</v>
      </c>
      <c r="D28" s="69">
        <f>Master!BU29</f>
        <v>7231.5618756382864</v>
      </c>
      <c r="E28" s="69">
        <f>Master!BV29</f>
        <v>21271.490957513954</v>
      </c>
      <c r="F28" s="69">
        <f>Master!BW29</f>
        <v>20497.695775415767</v>
      </c>
      <c r="G28" s="69">
        <f>Master!BX29</f>
        <v>24.443384669466806</v>
      </c>
      <c r="H28" s="69">
        <f>Master!BY29</f>
        <v>49025.191993237473</v>
      </c>
      <c r="J28" s="24">
        <f t="shared" si="0"/>
        <v>0</v>
      </c>
      <c r="K28" s="24">
        <f t="shared" si="1"/>
        <v>0.14750705875126011</v>
      </c>
      <c r="L28" s="24">
        <f t="shared" si="2"/>
        <v>0.43388898834803419</v>
      </c>
      <c r="M28" s="24">
        <f t="shared" si="3"/>
        <v>0.41810536465095771</v>
      </c>
      <c r="N28" s="24">
        <f t="shared" si="4"/>
        <v>4.9858824974797697E-4</v>
      </c>
      <c r="O28" s="24">
        <f t="shared" si="5"/>
        <v>1</v>
      </c>
      <c r="Q28" s="24">
        <f t="shared" si="14"/>
        <v>0.95706542577555809</v>
      </c>
      <c r="R28" s="24">
        <f t="shared" si="15"/>
        <v>2.745892004126099</v>
      </c>
      <c r="S28" s="24" t="str">
        <f t="shared" si="6"/>
        <v/>
      </c>
      <c r="U28">
        <f>Master!A29</f>
        <v>1985</v>
      </c>
      <c r="V28" s="69">
        <f>Master!BT29</f>
        <v>0</v>
      </c>
      <c r="W28" s="69">
        <f>Master!BU29</f>
        <v>7231.5618756382864</v>
      </c>
      <c r="X28" s="69">
        <f>Master!BV29</f>
        <v>21271.490957513954</v>
      </c>
      <c r="Y28" s="69">
        <f>Master!BW29</f>
        <v>20497.695775415767</v>
      </c>
      <c r="Z28" s="69">
        <f>Master!BX29</f>
        <v>24.443384669466806</v>
      </c>
      <c r="AA28" s="69">
        <f>Master!BY29</f>
        <v>49025.191993237473</v>
      </c>
      <c r="AC28" s="69">
        <f t="shared" si="7"/>
        <v>21020.16306086009</v>
      </c>
      <c r="AD28" s="69">
        <f t="shared" si="8"/>
        <v>19310.675773771804</v>
      </c>
      <c r="AE28" s="41">
        <f t="shared" si="9"/>
        <v>40330.838834631897</v>
      </c>
      <c r="AG28" s="69">
        <f t="shared" si="10"/>
        <v>251.32789665386372</v>
      </c>
      <c r="AH28" s="69">
        <f t="shared" si="11"/>
        <v>1187.020001643963</v>
      </c>
      <c r="AJ28" s="24">
        <f t="shared" si="12"/>
        <v>1.18152459155706E-2</v>
      </c>
      <c r="AK28" s="24">
        <f t="shared" si="13"/>
        <v>5.7909923859228808E-2</v>
      </c>
    </row>
    <row r="29" spans="2:37" x14ac:dyDescent="0.2">
      <c r="B29" s="13">
        <f>Master!CH30</f>
        <v>1986</v>
      </c>
      <c r="C29" s="69">
        <f>Master!BT30</f>
        <v>39.819914188906367</v>
      </c>
      <c r="D29" s="69">
        <f>Master!BU30</f>
        <v>19192.455588049419</v>
      </c>
      <c r="E29" s="69">
        <f>Master!BV30</f>
        <v>23704.88683071189</v>
      </c>
      <c r="F29" s="69">
        <f>Master!BW30</f>
        <v>15978.824857683823</v>
      </c>
      <c r="G29" s="69">
        <f>Master!BX30</f>
        <v>106.03706181086623</v>
      </c>
      <c r="H29" s="69">
        <f>Master!BY30</f>
        <v>59022.024252444906</v>
      </c>
      <c r="J29" s="24">
        <f t="shared" si="0"/>
        <v>6.7466195362245445E-4</v>
      </c>
      <c r="K29" s="24">
        <f t="shared" si="1"/>
        <v>0.32517447226074081</v>
      </c>
      <c r="L29" s="24">
        <f t="shared" si="2"/>
        <v>0.40162781827547955</v>
      </c>
      <c r="M29" s="24">
        <f t="shared" si="3"/>
        <v>0.27072647981947046</v>
      </c>
      <c r="N29" s="24">
        <f t="shared" si="4"/>
        <v>1.7965676906866472E-3</v>
      </c>
      <c r="O29" s="24">
        <f t="shared" si="5"/>
        <v>0.99999999999999989</v>
      </c>
      <c r="Q29" s="24">
        <f t="shared" si="14"/>
        <v>0.75118499636902292</v>
      </c>
      <c r="R29" s="24">
        <f t="shared" si="15"/>
        <v>3.2779760774182138</v>
      </c>
      <c r="S29" s="24" t="str">
        <f t="shared" si="6"/>
        <v/>
      </c>
      <c r="U29">
        <f>Master!A30</f>
        <v>1986</v>
      </c>
      <c r="V29" s="69">
        <f>Master!BT30</f>
        <v>39.819914188906367</v>
      </c>
      <c r="W29" s="69">
        <f>Master!BU30</f>
        <v>19192.455588049419</v>
      </c>
      <c r="X29" s="69">
        <f>Master!BV30</f>
        <v>23704.88683071189</v>
      </c>
      <c r="Y29" s="69">
        <f>Master!BW30</f>
        <v>15978.824857683823</v>
      </c>
      <c r="Z29" s="69">
        <f>Master!BX30</f>
        <v>106.03706181086623</v>
      </c>
      <c r="AA29" s="69">
        <f>Master!BY30</f>
        <v>59022.024252444906</v>
      </c>
      <c r="AC29" s="69">
        <f t="shared" si="7"/>
        <v>19622.471554578657</v>
      </c>
      <c r="AD29" s="69">
        <f t="shared" si="8"/>
        <v>19179.266243085462</v>
      </c>
      <c r="AE29" s="41">
        <f t="shared" si="9"/>
        <v>38801.737797664115</v>
      </c>
      <c r="AG29" s="69">
        <f t="shared" si="10"/>
        <v>4082.4152761332334</v>
      </c>
      <c r="AH29" s="69">
        <f t="shared" si="11"/>
        <v>-3200.4413854016384</v>
      </c>
      <c r="AJ29" s="24">
        <f t="shared" si="12"/>
        <v>0.17221829850054732</v>
      </c>
      <c r="AK29" s="24">
        <f t="shared" si="13"/>
        <v>-0.20029266319059907</v>
      </c>
    </row>
    <row r="30" spans="2:37" x14ac:dyDescent="0.2">
      <c r="B30" s="13">
        <f>Master!CH31</f>
        <v>1987</v>
      </c>
      <c r="C30" s="69">
        <f>Master!BT31</f>
        <v>14.991663519195342</v>
      </c>
      <c r="D30" s="69">
        <f>Master!BU31</f>
        <v>7183.191347251166</v>
      </c>
      <c r="E30" s="69">
        <f>Master!BV31</f>
        <v>24362.216135631345</v>
      </c>
      <c r="F30" s="69">
        <f>Master!BW31</f>
        <v>12989.544227520477</v>
      </c>
      <c r="G30" s="69">
        <f>Master!BX31</f>
        <v>19.198488504694232</v>
      </c>
      <c r="H30" s="69">
        <f>Master!BY31</f>
        <v>44569.141862426877</v>
      </c>
      <c r="J30" s="24">
        <f t="shared" si="0"/>
        <v>3.3636868229302311E-4</v>
      </c>
      <c r="K30" s="24">
        <f t="shared" si="1"/>
        <v>0.16116961303459179</v>
      </c>
      <c r="L30" s="24">
        <f t="shared" si="2"/>
        <v>0.54661622633056395</v>
      </c>
      <c r="M30" s="24">
        <f t="shared" si="3"/>
        <v>0.29144703453379822</v>
      </c>
      <c r="N30" s="24">
        <f t="shared" si="4"/>
        <v>4.3075741875297656E-4</v>
      </c>
      <c r="O30" s="24">
        <f t="shared" si="5"/>
        <v>1</v>
      </c>
      <c r="Q30" s="24">
        <f t="shared" si="14"/>
        <v>0.54796904622600062</v>
      </c>
      <c r="R30" s="24">
        <f t="shared" si="15"/>
        <v>1.2693642053183118</v>
      </c>
      <c r="S30" s="24">
        <f>IF(C29=0,"",D30/C29)</f>
        <v>180.3919343767036</v>
      </c>
      <c r="U30">
        <f>Master!A31</f>
        <v>1987</v>
      </c>
      <c r="V30" s="69">
        <f>Master!BT31</f>
        <v>14.991663519195342</v>
      </c>
      <c r="W30" s="69">
        <f>Master!BU31</f>
        <v>7183.191347251166</v>
      </c>
      <c r="X30" s="69">
        <f>Master!BV31</f>
        <v>24362.216135631345</v>
      </c>
      <c r="Y30" s="69">
        <f>Master!BW31</f>
        <v>12989.544227520477</v>
      </c>
      <c r="Z30" s="69">
        <f>Master!BX31</f>
        <v>19.198488504694232</v>
      </c>
      <c r="AA30" s="69">
        <f>Master!BY31</f>
        <v>44569.141862426877</v>
      </c>
      <c r="AC30" s="69">
        <f t="shared" si="7"/>
        <v>52077.742030766123</v>
      </c>
      <c r="AD30" s="69">
        <f t="shared" si="8"/>
        <v>21373.317775256161</v>
      </c>
      <c r="AE30" s="41">
        <f t="shared" si="9"/>
        <v>73451.059806022284</v>
      </c>
      <c r="AG30" s="69">
        <f t="shared" si="10"/>
        <v>-27715.525895134779</v>
      </c>
      <c r="AH30" s="69">
        <f t="shared" si="11"/>
        <v>-8383.7735477356837</v>
      </c>
      <c r="AJ30" s="24">
        <f t="shared" si="12"/>
        <v>-1.1376438720038691</v>
      </c>
      <c r="AK30" s="24">
        <f t="shared" si="13"/>
        <v>-0.64542476632654178</v>
      </c>
    </row>
    <row r="31" spans="2:37" x14ac:dyDescent="0.2">
      <c r="B31" s="13">
        <f>Master!CH32</f>
        <v>1988</v>
      </c>
      <c r="C31" s="69">
        <f>Master!BT32</f>
        <v>494.61491108898304</v>
      </c>
      <c r="D31" s="69">
        <f>Master!BU32</f>
        <v>6415.0947290311151</v>
      </c>
      <c r="E31" s="69">
        <f>Master!BV32</f>
        <v>13259.725313862651</v>
      </c>
      <c r="F31" s="69">
        <f>Master!BW32</f>
        <v>31446.764835646642</v>
      </c>
      <c r="G31" s="69">
        <f>Master!BX32</f>
        <v>1016.7732471517627</v>
      </c>
      <c r="H31" s="69">
        <f>Master!BY32</f>
        <v>52632.97303678115</v>
      </c>
      <c r="J31" s="24">
        <f t="shared" si="0"/>
        <v>9.3974343942785556E-3</v>
      </c>
      <c r="K31" s="24">
        <f t="shared" si="1"/>
        <v>0.12188357143625722</v>
      </c>
      <c r="L31" s="24">
        <f t="shared" si="2"/>
        <v>0.25192810796753673</v>
      </c>
      <c r="M31" s="24">
        <f t="shared" si="3"/>
        <v>0.59747270620017812</v>
      </c>
      <c r="N31" s="24">
        <f t="shared" si="4"/>
        <v>1.9318180001749431E-2</v>
      </c>
      <c r="O31" s="24">
        <f t="shared" si="5"/>
        <v>1</v>
      </c>
      <c r="Q31" s="24">
        <f t="shared" si="14"/>
        <v>1.2908006669251111</v>
      </c>
      <c r="R31" s="24">
        <f t="shared" si="15"/>
        <v>1.8459379226946011</v>
      </c>
      <c r="S31" s="24">
        <f t="shared" ref="S31:S43" si="16">IF(C30=0,"",D31/C30)</f>
        <v>427.9107999467318</v>
      </c>
      <c r="U31">
        <f>Master!A32</f>
        <v>1988</v>
      </c>
      <c r="V31" s="69">
        <f>Master!BT32</f>
        <v>494.61491108898304</v>
      </c>
      <c r="W31" s="69">
        <f>Master!BU32</f>
        <v>6415.0947290311151</v>
      </c>
      <c r="X31" s="69">
        <f>Master!BV32</f>
        <v>13259.725313862651</v>
      </c>
      <c r="Y31" s="69">
        <f>Master!BW32</f>
        <v>31446.764835646642</v>
      </c>
      <c r="Z31" s="69">
        <f>Master!BX32</f>
        <v>1016.7732471517627</v>
      </c>
      <c r="AA31" s="69">
        <f>Master!BY32</f>
        <v>52632.97303678115</v>
      </c>
      <c r="AC31" s="69">
        <f t="shared" si="7"/>
        <v>19491.220611327557</v>
      </c>
      <c r="AD31" s="69">
        <f t="shared" si="8"/>
        <v>21965.993379124877</v>
      </c>
      <c r="AE31" s="41">
        <f t="shared" si="9"/>
        <v>41457.213990452437</v>
      </c>
      <c r="AG31" s="69">
        <f t="shared" si="10"/>
        <v>-6231.4952974649059</v>
      </c>
      <c r="AH31" s="69">
        <f t="shared" si="11"/>
        <v>9480.7714565217648</v>
      </c>
      <c r="AJ31" s="24">
        <f t="shared" si="12"/>
        <v>-0.46995659034882581</v>
      </c>
      <c r="AK31" s="24">
        <f t="shared" si="13"/>
        <v>0.30148638519962434</v>
      </c>
    </row>
    <row r="32" spans="2:37" x14ac:dyDescent="0.2">
      <c r="B32" s="13">
        <f>Master!CH33</f>
        <v>1989</v>
      </c>
      <c r="C32" s="69">
        <f>Master!BT33</f>
        <v>512.84272813744928</v>
      </c>
      <c r="D32" s="69">
        <f>Master!BU33</f>
        <v>8405.053144055224</v>
      </c>
      <c r="E32" s="69">
        <f>Master!BV33</f>
        <v>8772.3547130158586</v>
      </c>
      <c r="F32" s="69">
        <f>Master!BW33</f>
        <v>15608.843390360413</v>
      </c>
      <c r="G32" s="69">
        <f>Master!BX33</f>
        <v>423.09569104644481</v>
      </c>
      <c r="H32" s="69">
        <f>Master!BY33</f>
        <v>33722.189666615392</v>
      </c>
      <c r="J32" s="24">
        <f t="shared" si="0"/>
        <v>1.520787152932593E-2</v>
      </c>
      <c r="K32" s="24">
        <f t="shared" si="1"/>
        <v>0.24924399118649573</v>
      </c>
      <c r="L32" s="24">
        <f t="shared" si="2"/>
        <v>0.26013597574004504</v>
      </c>
      <c r="M32" s="24">
        <f t="shared" si="3"/>
        <v>0.46286565447477457</v>
      </c>
      <c r="N32" s="24">
        <f t="shared" si="4"/>
        <v>1.2546507069358698E-2</v>
      </c>
      <c r="O32" s="24">
        <f t="shared" si="5"/>
        <v>0.99999999999999989</v>
      </c>
      <c r="Q32" s="24">
        <f t="shared" si="14"/>
        <v>1.1771618959588723</v>
      </c>
      <c r="R32" s="24">
        <f t="shared" si="15"/>
        <v>1.3674552104923889</v>
      </c>
      <c r="S32" s="24">
        <f t="shared" si="16"/>
        <v>16.993125269009781</v>
      </c>
      <c r="U32">
        <f>Master!A33</f>
        <v>1989</v>
      </c>
      <c r="V32" s="69">
        <f>Master!BT33</f>
        <v>512.84272813744928</v>
      </c>
      <c r="W32" s="69">
        <f>Master!BU33</f>
        <v>8405.053144055224</v>
      </c>
      <c r="X32" s="69">
        <f>Master!BV33</f>
        <v>8772.3547130158586</v>
      </c>
      <c r="Y32" s="69">
        <f>Master!BW33</f>
        <v>15608.843390360413</v>
      </c>
      <c r="Z32" s="69">
        <f>Master!BX33</f>
        <v>423.09569104644481</v>
      </c>
      <c r="AA32" s="69">
        <f>Master!BY33</f>
        <v>33722.189666615392</v>
      </c>
      <c r="AC32" s="69">
        <f t="shared" si="7"/>
        <v>17407.029906555261</v>
      </c>
      <c r="AD32" s="69">
        <f t="shared" si="8"/>
        <v>11955.523127772032</v>
      </c>
      <c r="AE32" s="41">
        <f t="shared" si="9"/>
        <v>29362.553034327291</v>
      </c>
      <c r="AG32" s="69">
        <f t="shared" si="10"/>
        <v>-8634.6751935394022</v>
      </c>
      <c r="AH32" s="69">
        <f t="shared" si="11"/>
        <v>3653.3202625883805</v>
      </c>
      <c r="AJ32" s="24">
        <f t="shared" si="12"/>
        <v>-0.98430529498856489</v>
      </c>
      <c r="AK32" s="24">
        <f t="shared" si="13"/>
        <v>0.23405451456092957</v>
      </c>
    </row>
    <row r="33" spans="2:37" x14ac:dyDescent="0.2">
      <c r="B33" s="13">
        <f>Master!CH34</f>
        <v>1990</v>
      </c>
      <c r="C33" s="69">
        <f>Master!BT34</f>
        <v>474.41726944677896</v>
      </c>
      <c r="D33" s="69">
        <f>Master!BU34</f>
        <v>8767.5373197158842</v>
      </c>
      <c r="E33" s="69">
        <f>Master!BV34</f>
        <v>22338.270368294605</v>
      </c>
      <c r="F33" s="69">
        <f>Master!BW34</f>
        <v>19973.670871318893</v>
      </c>
      <c r="G33" s="69">
        <f>Master!BX34</f>
        <v>189.23438582020836</v>
      </c>
      <c r="H33" s="69">
        <f>Master!BY34</f>
        <v>51743.130214596371</v>
      </c>
      <c r="J33" s="24">
        <f t="shared" si="0"/>
        <v>9.1687006077755453E-3</v>
      </c>
      <c r="K33" s="24">
        <f t="shared" si="1"/>
        <v>0.16944350454551016</v>
      </c>
      <c r="L33" s="24">
        <f t="shared" si="2"/>
        <v>0.4317147083226352</v>
      </c>
      <c r="M33" s="24">
        <f t="shared" si="3"/>
        <v>0.38601589792657076</v>
      </c>
      <c r="N33" s="24">
        <f t="shared" si="4"/>
        <v>3.6571885975082868E-3</v>
      </c>
      <c r="O33" s="24">
        <f t="shared" si="5"/>
        <v>1</v>
      </c>
      <c r="Q33" s="24">
        <f t="shared" si="14"/>
        <v>2.2768881930507483</v>
      </c>
      <c r="R33" s="24">
        <f t="shared" si="15"/>
        <v>2.6577191108058789</v>
      </c>
      <c r="S33" s="24">
        <f t="shared" si="16"/>
        <v>17.095957178837207</v>
      </c>
      <c r="U33">
        <f>Master!A34</f>
        <v>1990</v>
      </c>
      <c r="V33" s="69">
        <f>Master!BT34</f>
        <v>474.41726944677896</v>
      </c>
      <c r="W33" s="69">
        <f>Master!BU34</f>
        <v>8767.5373197158842</v>
      </c>
      <c r="X33" s="69">
        <f>Master!BV34</f>
        <v>22338.270368294605</v>
      </c>
      <c r="Y33" s="69">
        <f>Master!BW34</f>
        <v>19973.670871318893</v>
      </c>
      <c r="Z33" s="69">
        <f>Master!BX34</f>
        <v>189.23438582020836</v>
      </c>
      <c r="AA33" s="69">
        <f>Master!BY34</f>
        <v>51743.130214596371</v>
      </c>
      <c r="AC33" s="69">
        <f t="shared" si="7"/>
        <v>22806.679811391135</v>
      </c>
      <c r="AD33" s="69">
        <f t="shared" si="8"/>
        <v>7909.5220431779344</v>
      </c>
      <c r="AE33" s="41">
        <f t="shared" si="9"/>
        <v>30716.20185456907</v>
      </c>
      <c r="AG33" s="69">
        <f t="shared" si="10"/>
        <v>-468.40944309653059</v>
      </c>
      <c r="AH33" s="69">
        <f t="shared" si="11"/>
        <v>12064.148828140958</v>
      </c>
      <c r="AJ33" s="24">
        <f t="shared" si="12"/>
        <v>-2.0968921737170777E-2</v>
      </c>
      <c r="AK33" s="24">
        <f t="shared" si="13"/>
        <v>0.60400258449559319</v>
      </c>
    </row>
    <row r="34" spans="2:37" x14ac:dyDescent="0.2">
      <c r="B34" s="13">
        <f>Master!CH35</f>
        <v>1991</v>
      </c>
      <c r="C34" s="69">
        <f>Master!BT35</f>
        <v>0</v>
      </c>
      <c r="D34" s="69">
        <f>Master!BU35</f>
        <v>4906.3184184722631</v>
      </c>
      <c r="E34" s="69">
        <f>Master!BV35</f>
        <v>11060.495209749653</v>
      </c>
      <c r="F34" s="69">
        <f>Master!BW35</f>
        <v>15904.842762988237</v>
      </c>
      <c r="G34" s="69">
        <f>Master!BX35</f>
        <v>1.147653819448645</v>
      </c>
      <c r="H34" s="69">
        <f>Master!BY35</f>
        <v>31872.804045029603</v>
      </c>
      <c r="J34" s="24">
        <f t="shared" si="0"/>
        <v>0</v>
      </c>
      <c r="K34" s="24">
        <f t="shared" si="1"/>
        <v>0.15393432004101873</v>
      </c>
      <c r="L34" s="24">
        <f t="shared" si="2"/>
        <v>0.34701983528413405</v>
      </c>
      <c r="M34" s="24">
        <f t="shared" si="3"/>
        <v>0.4990098373684983</v>
      </c>
      <c r="N34" s="24">
        <f t="shared" si="4"/>
        <v>3.6007306348925254E-5</v>
      </c>
      <c r="O34" s="24">
        <f t="shared" si="5"/>
        <v>0.99999999999999989</v>
      </c>
      <c r="Q34" s="24">
        <f t="shared" si="14"/>
        <v>0.71199974307601144</v>
      </c>
      <c r="R34" s="24">
        <f t="shared" si="15"/>
        <v>1.261528158526056</v>
      </c>
      <c r="S34" s="24">
        <f t="shared" si="16"/>
        <v>10.341778713480545</v>
      </c>
      <c r="U34">
        <f>Master!A35</f>
        <v>1991</v>
      </c>
      <c r="V34" s="69">
        <f>Master!BT35</f>
        <v>0</v>
      </c>
      <c r="W34" s="69">
        <f>Master!BU35</f>
        <v>4906.3184184722631</v>
      </c>
      <c r="X34" s="69">
        <f>Master!BV35</f>
        <v>11060.495209749653</v>
      </c>
      <c r="Y34" s="69">
        <f>Master!BW35</f>
        <v>15904.842762988237</v>
      </c>
      <c r="Z34" s="69">
        <f>Master!BX35</f>
        <v>1.147653819448645</v>
      </c>
      <c r="AA34" s="69">
        <f>Master!BY35</f>
        <v>31872.804045029603</v>
      </c>
      <c r="AC34" s="69">
        <f t="shared" si="7"/>
        <v>23790.261995738882</v>
      </c>
      <c r="AD34" s="69">
        <f t="shared" si="8"/>
        <v>20141.119193725794</v>
      </c>
      <c r="AE34" s="41">
        <f t="shared" si="9"/>
        <v>43931.381189464679</v>
      </c>
      <c r="AG34" s="69">
        <f t="shared" si="10"/>
        <v>-12729.766785989228</v>
      </c>
      <c r="AH34" s="69">
        <f t="shared" si="11"/>
        <v>-4236.2764307375564</v>
      </c>
      <c r="AJ34" s="24">
        <f t="shared" si="12"/>
        <v>-1.1509219564389972</v>
      </c>
      <c r="AK34" s="24">
        <f t="shared" si="13"/>
        <v>-0.26635135561325318</v>
      </c>
    </row>
    <row r="35" spans="2:37" x14ac:dyDescent="0.2">
      <c r="B35" s="13">
        <f>Master!CH36</f>
        <v>1992</v>
      </c>
      <c r="C35" s="69">
        <f>Master!BT36</f>
        <v>3041.0043261762562</v>
      </c>
      <c r="D35" s="69">
        <f>Master!BU36</f>
        <v>5848.313870963615</v>
      </c>
      <c r="E35" s="69">
        <f>Master!BV36</f>
        <v>8952.337306880132</v>
      </c>
      <c r="F35" s="69">
        <f>Master!BW36</f>
        <v>10566.346948847491</v>
      </c>
      <c r="G35" s="69">
        <f>Master!BX36</f>
        <v>14.929660642884723</v>
      </c>
      <c r="H35" s="69">
        <f>Master!BY36</f>
        <v>28422.932113510378</v>
      </c>
      <c r="J35" s="24">
        <f t="shared" si="0"/>
        <v>0.10699122504432836</v>
      </c>
      <c r="K35" s="24">
        <f t="shared" si="1"/>
        <v>0.20576039965221302</v>
      </c>
      <c r="L35" s="24">
        <f t="shared" si="2"/>
        <v>0.31496881712020075</v>
      </c>
      <c r="M35" s="24">
        <f t="shared" si="3"/>
        <v>0.37175429004472588</v>
      </c>
      <c r="N35" s="24">
        <f t="shared" si="4"/>
        <v>5.252681385319902E-4</v>
      </c>
      <c r="O35" s="24">
        <f t="shared" si="5"/>
        <v>1</v>
      </c>
      <c r="Q35" s="24">
        <f t="shared" si="14"/>
        <v>0.95532313413358039</v>
      </c>
      <c r="R35" s="24">
        <f t="shared" si="15"/>
        <v>1.8246547703008082</v>
      </c>
      <c r="S35" s="24" t="str">
        <f t="shared" si="16"/>
        <v/>
      </c>
      <c r="U35">
        <f>Master!A36</f>
        <v>1992</v>
      </c>
      <c r="V35" s="69">
        <f>Master!BT36</f>
        <v>3041.0043261762562</v>
      </c>
      <c r="W35" s="69">
        <f>Master!BU36</f>
        <v>5848.313870963615</v>
      </c>
      <c r="X35" s="69">
        <f>Master!BV36</f>
        <v>8952.337306880132</v>
      </c>
      <c r="Y35" s="69">
        <f>Master!BW36</f>
        <v>10566.346948847491</v>
      </c>
      <c r="Z35" s="69">
        <f>Master!BX36</f>
        <v>14.929660642884723</v>
      </c>
      <c r="AA35" s="69">
        <f>Master!BY36</f>
        <v>28422.932113510378</v>
      </c>
      <c r="AC35" s="69">
        <f t="shared" si="7"/>
        <v>13313.042916566317</v>
      </c>
      <c r="AD35" s="69">
        <f t="shared" si="8"/>
        <v>9972.6052504667659</v>
      </c>
      <c r="AE35" s="41">
        <f t="shared" si="9"/>
        <v>23285.648167033083</v>
      </c>
      <c r="AG35" s="69">
        <f t="shared" si="10"/>
        <v>-4360.7056096861852</v>
      </c>
      <c r="AH35" s="69">
        <f t="shared" si="11"/>
        <v>593.74169838072521</v>
      </c>
      <c r="AJ35" s="24">
        <f t="shared" si="12"/>
        <v>-0.4871024694673709</v>
      </c>
      <c r="AK35" s="24">
        <f t="shared" si="13"/>
        <v>5.6191766298709957E-2</v>
      </c>
    </row>
    <row r="36" spans="2:37" x14ac:dyDescent="0.2">
      <c r="B36" s="13">
        <f>Master!CH37</f>
        <v>1993</v>
      </c>
      <c r="C36" s="69">
        <f>Master!BT37</f>
        <v>3.1621097740336701</v>
      </c>
      <c r="D36" s="69">
        <f>Master!BU37</f>
        <v>4711.3773275208714</v>
      </c>
      <c r="E36" s="69">
        <f>Master!BV37</f>
        <v>10369.473715093151</v>
      </c>
      <c r="F36" s="69">
        <f>Master!BW37</f>
        <v>7367.4248176555466</v>
      </c>
      <c r="G36" s="69">
        <f>Master!BX37</f>
        <v>9.4863293221010103</v>
      </c>
      <c r="H36" s="69">
        <f>Master!BY37</f>
        <v>22460.924299365706</v>
      </c>
      <c r="J36" s="24">
        <f t="shared" si="0"/>
        <v>1.4078270920146272E-4</v>
      </c>
      <c r="K36" s="24">
        <f t="shared" si="1"/>
        <v>0.20975883559938449</v>
      </c>
      <c r="L36" s="24">
        <f t="shared" si="2"/>
        <v>0.46166727499215082</v>
      </c>
      <c r="M36" s="24">
        <f t="shared" si="3"/>
        <v>0.32801075857165868</v>
      </c>
      <c r="N36" s="24">
        <f t="shared" si="4"/>
        <v>4.2234812760438817E-4</v>
      </c>
      <c r="O36" s="24">
        <f t="shared" si="5"/>
        <v>0.99999999999999989</v>
      </c>
      <c r="Q36" s="24">
        <f t="shared" si="14"/>
        <v>0.82296103968216949</v>
      </c>
      <c r="R36" s="24">
        <f t="shared" si="15"/>
        <v>1.7730706565830388</v>
      </c>
      <c r="S36" s="24">
        <f t="shared" si="16"/>
        <v>1.5492833360894733</v>
      </c>
      <c r="U36">
        <f>Master!A37</f>
        <v>1993</v>
      </c>
      <c r="V36" s="69">
        <f>Master!BT37</f>
        <v>3.1621097740336701</v>
      </c>
      <c r="W36" s="69">
        <f>Master!BU37</f>
        <v>4711.3773275208714</v>
      </c>
      <c r="X36" s="69">
        <f>Master!BV37</f>
        <v>10369.473715093151</v>
      </c>
      <c r="Y36" s="69">
        <f>Master!BW37</f>
        <v>7367.4248176555466</v>
      </c>
      <c r="Z36" s="69">
        <f>Master!BX37</f>
        <v>9.4863293221010103</v>
      </c>
      <c r="AA36" s="69">
        <f>Master!BY37</f>
        <v>22460.924299365706</v>
      </c>
      <c r="AC36" s="69">
        <f t="shared" si="7"/>
        <v>15869.09917231432</v>
      </c>
      <c r="AD36" s="69">
        <f t="shared" si="8"/>
        <v>8071.8018802490005</v>
      </c>
      <c r="AE36" s="41">
        <f t="shared" si="9"/>
        <v>23940.90105256332</v>
      </c>
      <c r="AG36" s="69">
        <f t="shared" si="10"/>
        <v>-5499.6254572211692</v>
      </c>
      <c r="AH36" s="69">
        <f t="shared" si="11"/>
        <v>-704.37706259345396</v>
      </c>
      <c r="AJ36" s="24">
        <f t="shared" si="12"/>
        <v>-0.53036688344329974</v>
      </c>
      <c r="AK36" s="24">
        <f t="shared" si="13"/>
        <v>-9.5606956301129919E-2</v>
      </c>
    </row>
    <row r="37" spans="2:37" x14ac:dyDescent="0.2">
      <c r="B37" s="13">
        <f>Master!CH38</f>
        <v>1994</v>
      </c>
      <c r="C37" s="69">
        <f>Master!BT38</f>
        <v>3.9570827542759091</v>
      </c>
      <c r="D37" s="69">
        <f>Master!BU38</f>
        <v>1730.4936380593278</v>
      </c>
      <c r="E37" s="69">
        <f>Master!BV38</f>
        <v>4583.8690687893459</v>
      </c>
      <c r="F37" s="69">
        <f>Master!BW38</f>
        <v>4305.4615651202876</v>
      </c>
      <c r="G37" s="69">
        <f>Master!BX38</f>
        <v>100.56368004228842</v>
      </c>
      <c r="H37" s="69">
        <f>Master!BY38</f>
        <v>10724.345034765525</v>
      </c>
      <c r="J37" s="24">
        <f t="shared" si="0"/>
        <v>3.6898129829356297E-4</v>
      </c>
      <c r="K37" s="24">
        <f t="shared" si="1"/>
        <v>0.16136124233689977</v>
      </c>
      <c r="L37" s="24">
        <f t="shared" si="2"/>
        <v>0.42742648189046883</v>
      </c>
      <c r="M37" s="24">
        <f t="shared" si="3"/>
        <v>0.40146615491790927</v>
      </c>
      <c r="N37" s="24">
        <f t="shared" si="4"/>
        <v>9.3771395564285973E-3</v>
      </c>
      <c r="O37" s="24">
        <f t="shared" si="5"/>
        <v>1</v>
      </c>
      <c r="Q37" s="24">
        <f t="shared" si="14"/>
        <v>0.41520540804819533</v>
      </c>
      <c r="R37" s="24">
        <f t="shared" si="15"/>
        <v>0.97293609705452733</v>
      </c>
      <c r="S37" s="24">
        <f t="shared" si="16"/>
        <v>547.25919140114638</v>
      </c>
      <c r="U37">
        <f>Master!A38</f>
        <v>1994</v>
      </c>
      <c r="V37" s="69">
        <f>Master!BT38</f>
        <v>3.9570827542759091</v>
      </c>
      <c r="W37" s="69">
        <f>Master!BU38</f>
        <v>1730.4936380593278</v>
      </c>
      <c r="X37" s="69">
        <f>Master!BV38</f>
        <v>4583.8690687893459</v>
      </c>
      <c r="Y37" s="69">
        <f>Master!BW38</f>
        <v>4305.4615651202876</v>
      </c>
      <c r="Z37" s="69">
        <f>Master!BX38</f>
        <v>100.56368004228842</v>
      </c>
      <c r="AA37" s="69">
        <f>Master!BY38</f>
        <v>10724.345034765525</v>
      </c>
      <c r="AC37" s="69">
        <f t="shared" si="7"/>
        <v>12784.080283348912</v>
      </c>
      <c r="AD37" s="69">
        <f t="shared" si="8"/>
        <v>9349.5513586552788</v>
      </c>
      <c r="AE37" s="41">
        <f t="shared" si="9"/>
        <v>22133.631642004191</v>
      </c>
      <c r="AG37" s="69">
        <f t="shared" si="10"/>
        <v>-8200.2112145595675</v>
      </c>
      <c r="AH37" s="69">
        <f t="shared" si="11"/>
        <v>-5044.0897935349913</v>
      </c>
      <c r="AJ37" s="24">
        <f t="shared" si="12"/>
        <v>-1.788927888537039</v>
      </c>
      <c r="AK37" s="24">
        <f t="shared" si="13"/>
        <v>-1.171556107804685</v>
      </c>
    </row>
    <row r="38" spans="2:37" x14ac:dyDescent="0.2">
      <c r="B38" s="13">
        <f>Master!CH39</f>
        <v>1995</v>
      </c>
      <c r="C38" s="69">
        <f>Master!BT39</f>
        <v>108.66499835765568</v>
      </c>
      <c r="D38" s="69">
        <f>Master!BU39</f>
        <v>4059.8806994979118</v>
      </c>
      <c r="E38" s="69">
        <f>Master!BV39</f>
        <v>3098.7645462437235</v>
      </c>
      <c r="F38" s="69">
        <f>Master!BW39</f>
        <v>3286.3170388531744</v>
      </c>
      <c r="G38" s="69">
        <f>Master!BX39</f>
        <v>167.08999671531134</v>
      </c>
      <c r="H38" s="69">
        <f>Master!BY39</f>
        <v>10720.717279667777</v>
      </c>
      <c r="J38" s="24">
        <f t="shared" si="0"/>
        <v>1.0135982091771297E-2</v>
      </c>
      <c r="K38" s="24">
        <f t="shared" si="1"/>
        <v>0.37869487587342876</v>
      </c>
      <c r="L38" s="24">
        <f t="shared" si="2"/>
        <v>0.28904451683663379</v>
      </c>
      <c r="M38" s="24">
        <f t="shared" si="3"/>
        <v>0.30653891461962085</v>
      </c>
      <c r="N38" s="24">
        <f t="shared" si="4"/>
        <v>1.5585710578545289E-2</v>
      </c>
      <c r="O38" s="24">
        <f t="shared" si="5"/>
        <v>1</v>
      </c>
      <c r="Q38" s="24">
        <f t="shared" si="14"/>
        <v>0.71693082623782922</v>
      </c>
      <c r="R38" s="24">
        <f t="shared" si="15"/>
        <v>1.7906824261537599</v>
      </c>
      <c r="S38" s="24">
        <f t="shared" si="16"/>
        <v>1025.9782146610207</v>
      </c>
      <c r="U38">
        <f>Master!A39</f>
        <v>1995</v>
      </c>
      <c r="V38" s="69">
        <f>Master!BT39</f>
        <v>108.66499835765568</v>
      </c>
      <c r="W38" s="69">
        <f>Master!BU39</f>
        <v>4059.8806994979118</v>
      </c>
      <c r="X38" s="69">
        <f>Master!BV39</f>
        <v>3098.7645462437235</v>
      </c>
      <c r="Y38" s="69">
        <f>Master!BW39</f>
        <v>3286.3170388531744</v>
      </c>
      <c r="Z38" s="69">
        <f>Master!BX39</f>
        <v>167.08999671531134</v>
      </c>
      <c r="AA38" s="69">
        <f>Master!BY39</f>
        <v>10720.717279667777</v>
      </c>
      <c r="AC38" s="69">
        <f t="shared" si="7"/>
        <v>4695.605565181083</v>
      </c>
      <c r="AD38" s="69">
        <f t="shared" si="8"/>
        <v>4133.0081407716216</v>
      </c>
      <c r="AE38" s="41">
        <f t="shared" si="9"/>
        <v>8828.6137059527045</v>
      </c>
      <c r="AG38" s="69">
        <f t="shared" si="10"/>
        <v>-1596.8410189373594</v>
      </c>
      <c r="AH38" s="69">
        <f t="shared" si="11"/>
        <v>-846.6911019184472</v>
      </c>
      <c r="AJ38" s="24">
        <f t="shared" si="12"/>
        <v>-0.51531537653385973</v>
      </c>
      <c r="AK38" s="24">
        <f t="shared" si="13"/>
        <v>-0.25764133280759693</v>
      </c>
    </row>
    <row r="39" spans="2:37" x14ac:dyDescent="0.2">
      <c r="B39" s="13">
        <f>Master!CH40</f>
        <v>1996</v>
      </c>
      <c r="C39" s="69">
        <f>Master!BT40</f>
        <v>11.328340155691741</v>
      </c>
      <c r="D39" s="69">
        <f>Master!BU40</f>
        <v>7108.6371873742992</v>
      </c>
      <c r="E39" s="69">
        <f>Master!BV40</f>
        <v>5572.1171873742987</v>
      </c>
      <c r="F39" s="69">
        <f>Master!BW40</f>
        <v>2013.7231180938411</v>
      </c>
      <c r="G39" s="69">
        <f>Master!BX40</f>
        <v>0</v>
      </c>
      <c r="H39" s="69">
        <f>Master!BY40</f>
        <v>14705.80583299813</v>
      </c>
      <c r="J39" s="24">
        <f t="shared" si="0"/>
        <v>7.7033113889428992E-4</v>
      </c>
      <c r="K39" s="24">
        <f t="shared" si="1"/>
        <v>0.48338984399095886</v>
      </c>
      <c r="L39" s="24">
        <f t="shared" si="2"/>
        <v>0.37890594032399849</v>
      </c>
      <c r="M39" s="24">
        <f t="shared" si="3"/>
        <v>0.13693388454614835</v>
      </c>
      <c r="N39" s="24">
        <f t="shared" si="4"/>
        <v>0</v>
      </c>
      <c r="O39" s="24">
        <f t="shared" si="5"/>
        <v>1</v>
      </c>
      <c r="Q39" s="24">
        <f t="shared" si="14"/>
        <v>0.64984708842588457</v>
      </c>
      <c r="R39" s="24">
        <f t="shared" si="15"/>
        <v>1.3724829865230785</v>
      </c>
      <c r="S39" s="24">
        <f t="shared" si="16"/>
        <v>65.417910963171522</v>
      </c>
      <c r="U39">
        <f>Master!A40</f>
        <v>1996</v>
      </c>
      <c r="V39" s="69">
        <f>Master!BT40</f>
        <v>11.328340155691741</v>
      </c>
      <c r="W39" s="69">
        <f>Master!BU40</f>
        <v>7108.6371873742992</v>
      </c>
      <c r="X39" s="69">
        <f>Master!BV40</f>
        <v>5572.1171873742987</v>
      </c>
      <c r="Y39" s="69">
        <f>Master!BW40</f>
        <v>2013.7231180938411</v>
      </c>
      <c r="Z39" s="69">
        <f>Master!BX40</f>
        <v>0</v>
      </c>
      <c r="AA39" s="69">
        <f>Master!BY40</f>
        <v>14705.80583299813</v>
      </c>
      <c r="AC39" s="69">
        <f t="shared" si="7"/>
        <v>11016.277660467245</v>
      </c>
      <c r="AD39" s="69">
        <f t="shared" si="8"/>
        <v>2793.9757667079975</v>
      </c>
      <c r="AE39" s="41">
        <f t="shared" si="9"/>
        <v>13810.253427175243</v>
      </c>
      <c r="AG39" s="69">
        <f t="shared" si="10"/>
        <v>-5444.1604730929466</v>
      </c>
      <c r="AH39" s="69">
        <f t="shared" si="11"/>
        <v>-780.25264861415644</v>
      </c>
      <c r="AJ39" s="24">
        <f t="shared" si="12"/>
        <v>-0.97703624852483617</v>
      </c>
      <c r="AK39" s="24">
        <f t="shared" si="13"/>
        <v>-0.3874676918606027</v>
      </c>
    </row>
    <row r="40" spans="2:37" x14ac:dyDescent="0.2">
      <c r="B40" s="13">
        <f>Master!CH41</f>
        <v>1997</v>
      </c>
      <c r="C40" s="69">
        <f>Master!BT41</f>
        <v>79.863814262021492</v>
      </c>
      <c r="D40" s="69">
        <f>Master!BU41</f>
        <v>6135.3280389717856</v>
      </c>
      <c r="E40" s="69">
        <f>Master!BV41</f>
        <v>23730.285356550539</v>
      </c>
      <c r="F40" s="69">
        <f>Master!BW41</f>
        <v>6113.3832126036305</v>
      </c>
      <c r="G40" s="69">
        <f>Master!BX41</f>
        <v>0</v>
      </c>
      <c r="H40" s="69">
        <f>Master!BY41</f>
        <v>36058.860422387974</v>
      </c>
      <c r="J40" s="24">
        <f t="shared" si="0"/>
        <v>2.2148180315880476E-3</v>
      </c>
      <c r="K40" s="24">
        <f t="shared" si="1"/>
        <v>0.17014758556159268</v>
      </c>
      <c r="L40" s="24">
        <f t="shared" si="2"/>
        <v>0.6580985943143407</v>
      </c>
      <c r="M40" s="24">
        <f t="shared" si="3"/>
        <v>0.16953900209247866</v>
      </c>
      <c r="N40" s="24">
        <f t="shared" si="4"/>
        <v>0</v>
      </c>
      <c r="O40" s="24">
        <f t="shared" si="5"/>
        <v>1.0000000000000002</v>
      </c>
      <c r="Q40" s="24">
        <f t="shared" si="14"/>
        <v>1.0971383061461397</v>
      </c>
      <c r="R40" s="24">
        <f t="shared" si="15"/>
        <v>3.3382327344962923</v>
      </c>
      <c r="S40" s="24">
        <f t="shared" si="16"/>
        <v>541.5910852473113</v>
      </c>
      <c r="U40">
        <f>Master!A41</f>
        <v>1997</v>
      </c>
      <c r="V40" s="69">
        <f>Master!BT41</f>
        <v>79.863814262021492</v>
      </c>
      <c r="W40" s="69">
        <f>Master!BU41</f>
        <v>6135.3280389717856</v>
      </c>
      <c r="X40" s="69">
        <f>Master!BV41</f>
        <v>23730.285356550539</v>
      </c>
      <c r="Y40" s="69">
        <f>Master!BW41</f>
        <v>6113.3832126036305</v>
      </c>
      <c r="Z40" s="69">
        <f>Master!BX41</f>
        <v>0</v>
      </c>
      <c r="AA40" s="69">
        <f>Master!BY41</f>
        <v>36058.860422387974</v>
      </c>
      <c r="AC40" s="69">
        <f t="shared" si="7"/>
        <v>19288.921729479131</v>
      </c>
      <c r="AD40" s="69">
        <f t="shared" si="8"/>
        <v>5024.0539926315651</v>
      </c>
      <c r="AE40" s="41">
        <f t="shared" si="9"/>
        <v>24312.975722110696</v>
      </c>
      <c r="AG40" s="69">
        <f t="shared" si="10"/>
        <v>4441.3636270714087</v>
      </c>
      <c r="AH40" s="69">
        <f t="shared" si="11"/>
        <v>1089.3292199720654</v>
      </c>
      <c r="AJ40" s="24">
        <f t="shared" si="12"/>
        <v>0.18716014410865098</v>
      </c>
      <c r="AK40" s="24">
        <f t="shared" si="13"/>
        <v>0.17818762248148529</v>
      </c>
    </row>
    <row r="41" spans="2:37" x14ac:dyDescent="0.2">
      <c r="B41" s="13">
        <f>Master!CH42</f>
        <v>1998</v>
      </c>
      <c r="C41" s="69">
        <f>Master!BT42</f>
        <v>0</v>
      </c>
      <c r="D41" s="69">
        <f>Master!BU42</f>
        <v>10865.774069892588</v>
      </c>
      <c r="E41" s="69">
        <f>Master!BV42</f>
        <v>15777.198181257876</v>
      </c>
      <c r="F41" s="69">
        <f>Master!BW42</f>
        <v>10444.361381326702</v>
      </c>
      <c r="G41" s="69">
        <f>Master!BX42</f>
        <v>117.44684920097559</v>
      </c>
      <c r="H41" s="69">
        <f>Master!BY42</f>
        <v>37204.780481678143</v>
      </c>
      <c r="J41" s="24">
        <f t="shared" si="0"/>
        <v>0</v>
      </c>
      <c r="K41" s="24">
        <f t="shared" si="1"/>
        <v>0.29205316975982548</v>
      </c>
      <c r="L41" s="24">
        <f t="shared" si="2"/>
        <v>0.42406373527798424</v>
      </c>
      <c r="M41" s="24">
        <f t="shared" si="3"/>
        <v>0.2807263272651247</v>
      </c>
      <c r="N41" s="24">
        <f t="shared" si="4"/>
        <v>3.1567676970655273E-3</v>
      </c>
      <c r="O41" s="24">
        <f t="shared" si="5"/>
        <v>1</v>
      </c>
      <c r="Q41" s="24">
        <f t="shared" si="14"/>
        <v>0.44012793038089726</v>
      </c>
      <c r="R41" s="24">
        <f t="shared" si="15"/>
        <v>2.5715329451075224</v>
      </c>
      <c r="S41" s="24">
        <f t="shared" si="16"/>
        <v>136.05378318450423</v>
      </c>
      <c r="U41">
        <f>Master!A42</f>
        <v>1998</v>
      </c>
      <c r="V41" s="69">
        <f>Master!BT42</f>
        <v>0</v>
      </c>
      <c r="W41" s="69">
        <f>Master!BU42</f>
        <v>10865.774069892588</v>
      </c>
      <c r="X41" s="69">
        <f>Master!BV42</f>
        <v>15777.198181257876</v>
      </c>
      <c r="Y41" s="69">
        <f>Master!BW42</f>
        <v>10444.361381326702</v>
      </c>
      <c r="Z41" s="69">
        <f>Master!BX42</f>
        <v>117.44684920097559</v>
      </c>
      <c r="AA41" s="69">
        <f>Master!BY42</f>
        <v>37204.780481678143</v>
      </c>
      <c r="AC41" s="69">
        <f t="shared" si="7"/>
        <v>16647.897368935472</v>
      </c>
      <c r="AD41" s="69">
        <f t="shared" si="8"/>
        <v>21396.218148822561</v>
      </c>
      <c r="AE41" s="41">
        <f t="shared" si="9"/>
        <v>38044.115517758037</v>
      </c>
      <c r="AG41" s="69">
        <f t="shared" si="10"/>
        <v>-870.69918767759555</v>
      </c>
      <c r="AH41" s="69">
        <f t="shared" si="11"/>
        <v>-10951.856767495859</v>
      </c>
      <c r="AJ41" s="24">
        <f t="shared" si="12"/>
        <v>-5.5187187083186963E-2</v>
      </c>
      <c r="AK41" s="24">
        <f t="shared" si="13"/>
        <v>-1.0485903702141617</v>
      </c>
    </row>
    <row r="42" spans="2:37" x14ac:dyDescent="0.2">
      <c r="B42" s="13">
        <f>Master!CH43</f>
        <v>1999</v>
      </c>
      <c r="C42" s="69">
        <f>Master!BT43</f>
        <v>0</v>
      </c>
      <c r="D42" s="69">
        <f>Master!BU43</f>
        <v>10309.713446624437</v>
      </c>
      <c r="E42" s="69">
        <f>Master!BV43</f>
        <v>14606.017381700909</v>
      </c>
      <c r="F42" s="69">
        <f>Master!BW43</f>
        <v>8452.9820339873313</v>
      </c>
      <c r="G42" s="69">
        <f>Master!BX43</f>
        <v>69.812918082805467</v>
      </c>
      <c r="H42" s="69">
        <f>Master!BY43</f>
        <v>33438.525780395481</v>
      </c>
      <c r="J42" s="24">
        <f t="shared" si="0"/>
        <v>0</v>
      </c>
      <c r="K42" s="24">
        <f t="shared" si="1"/>
        <v>0.3083184203254819</v>
      </c>
      <c r="L42" s="24">
        <f t="shared" si="2"/>
        <v>0.43680207308254609</v>
      </c>
      <c r="M42" s="24">
        <f t="shared" si="3"/>
        <v>0.25279170766981574</v>
      </c>
      <c r="N42" s="24">
        <f t="shared" si="4"/>
        <v>2.0877989221563041E-3</v>
      </c>
      <c r="O42" s="24">
        <f t="shared" si="5"/>
        <v>1</v>
      </c>
      <c r="Q42" s="24">
        <f t="shared" si="14"/>
        <v>0.53577206401760469</v>
      </c>
      <c r="R42" s="24">
        <f t="shared" si="15"/>
        <v>1.3442224445078392</v>
      </c>
      <c r="S42" s="24" t="str">
        <f t="shared" si="16"/>
        <v/>
      </c>
      <c r="U42">
        <f>Master!A43</f>
        <v>1999</v>
      </c>
      <c r="V42" s="69">
        <f>Master!BT43</f>
        <v>0</v>
      </c>
      <c r="W42" s="69">
        <f>Master!BU43</f>
        <v>10309.713446624437</v>
      </c>
      <c r="X42" s="69">
        <f>Master!BV43</f>
        <v>14606.017381700909</v>
      </c>
      <c r="Y42" s="69">
        <f>Master!BW43</f>
        <v>8452.9820339873313</v>
      </c>
      <c r="Z42" s="69">
        <f>Master!BX43</f>
        <v>69.812918082805467</v>
      </c>
      <c r="AA42" s="69">
        <f>Master!BY43</f>
        <v>33438.525780395481</v>
      </c>
      <c r="AC42" s="69">
        <f t="shared" si="7"/>
        <v>29483.719599111719</v>
      </c>
      <c r="AD42" s="69">
        <f t="shared" si="8"/>
        <v>14225.381995679041</v>
      </c>
      <c r="AE42" s="41">
        <f t="shared" si="9"/>
        <v>43709.101594790758</v>
      </c>
      <c r="AG42" s="69">
        <f t="shared" si="10"/>
        <v>-14877.70221741081</v>
      </c>
      <c r="AH42" s="69">
        <f t="shared" si="11"/>
        <v>-5772.3999616917099</v>
      </c>
      <c r="AJ42" s="24">
        <f t="shared" si="12"/>
        <v>-1.0186008840473022</v>
      </c>
      <c r="AK42" s="24">
        <f t="shared" si="13"/>
        <v>-0.68288326397504806</v>
      </c>
    </row>
    <row r="43" spans="2:37" x14ac:dyDescent="0.2">
      <c r="B43" s="13">
        <f>Master!CH44</f>
        <v>2000</v>
      </c>
      <c r="C43" s="69">
        <f>Master!BT44</f>
        <v>3.7054721501931462</v>
      </c>
      <c r="D43" s="69">
        <f>Master!BU44</f>
        <v>4654.2777213619256</v>
      </c>
      <c r="E43" s="69">
        <f>Master!BV44</f>
        <v>33202.17060982425</v>
      </c>
      <c r="F43" s="69">
        <f>Master!BW44</f>
        <v>4416.0035800613459</v>
      </c>
      <c r="G43" s="69">
        <f>Master!BX44</f>
        <v>0</v>
      </c>
      <c r="H43" s="69">
        <f>Master!BY44</f>
        <v>42276.157383397716</v>
      </c>
      <c r="J43" s="24">
        <f t="shared" si="0"/>
        <v>8.7649218366481039E-5</v>
      </c>
      <c r="K43" s="24">
        <f t="shared" si="1"/>
        <v>0.11009226025801741</v>
      </c>
      <c r="L43" s="24">
        <f t="shared" si="2"/>
        <v>0.78536396552594645</v>
      </c>
      <c r="M43" s="24">
        <f t="shared" si="3"/>
        <v>0.10445612499766964</v>
      </c>
      <c r="N43" s="24">
        <f t="shared" si="4"/>
        <v>0</v>
      </c>
      <c r="O43" s="24">
        <f t="shared" si="5"/>
        <v>1</v>
      </c>
      <c r="Q43" s="24">
        <f t="shared" si="14"/>
        <v>0.30234138880280387</v>
      </c>
      <c r="R43" s="24">
        <f t="shared" si="15"/>
        <v>3.2204746312027872</v>
      </c>
      <c r="S43" s="24" t="str">
        <f t="shared" si="16"/>
        <v/>
      </c>
      <c r="U43">
        <f>Master!A44</f>
        <v>2000</v>
      </c>
      <c r="V43" s="69">
        <f>Master!BT44</f>
        <v>3.7054721501931462</v>
      </c>
      <c r="W43" s="69">
        <f>Master!BU44</f>
        <v>4654.2777213619256</v>
      </c>
      <c r="X43" s="69">
        <f>Master!BV44</f>
        <v>33202.17060982425</v>
      </c>
      <c r="Y43" s="69">
        <f>Master!BW44</f>
        <v>4416.0035800613459</v>
      </c>
      <c r="Z43" s="69">
        <f>Master!BX44</f>
        <v>0</v>
      </c>
      <c r="AA43" s="69">
        <f>Master!BY44</f>
        <v>42276.157383397716</v>
      </c>
      <c r="AC43" s="69">
        <f t="shared" si="7"/>
        <v>27974.877671137827</v>
      </c>
      <c r="AD43" s="69">
        <f t="shared" si="8"/>
        <v>13169.396384780519</v>
      </c>
      <c r="AE43" s="41">
        <f t="shared" si="9"/>
        <v>41144.274055918344</v>
      </c>
      <c r="AG43" s="69">
        <f t="shared" si="10"/>
        <v>5227.2929386864234</v>
      </c>
      <c r="AH43" s="69">
        <f t="shared" si="11"/>
        <v>-8753.392804719173</v>
      </c>
      <c r="AJ43" s="24">
        <f t="shared" si="12"/>
        <v>0.15743828920449285</v>
      </c>
      <c r="AK43" s="24">
        <f t="shared" si="13"/>
        <v>-1.9821978506180407</v>
      </c>
    </row>
    <row r="44" spans="2:37" x14ac:dyDescent="0.2">
      <c r="B44" s="13"/>
    </row>
    <row r="45" spans="2:37" x14ac:dyDescent="0.2">
      <c r="B45" t="s">
        <v>495</v>
      </c>
      <c r="J45" s="24">
        <f>AVERAGE(J21:J37)</f>
        <v>8.3697662481834641E-3</v>
      </c>
      <c r="K45" s="24">
        <f>AVERAGE(K21:K37)</f>
        <v>0.21671524659381963</v>
      </c>
      <c r="L45" s="24">
        <f>AVERAGE(L21:L37)</f>
        <v>0.40774099322889679</v>
      </c>
      <c r="M45" s="24">
        <f>AVERAGE(M21:M37)</f>
        <v>0.36431466733164608</v>
      </c>
      <c r="N45" s="24">
        <f>AVERAGE(N21:N37)</f>
        <v>2.8593265974539948E-3</v>
      </c>
      <c r="O45" s="13"/>
      <c r="P45" s="13"/>
      <c r="Q45" s="24">
        <f>AVERAGE(Q17:Q37)</f>
        <v>0.90164183984059509</v>
      </c>
      <c r="R45" s="24">
        <f>AVERAGE(R17:R37)</f>
        <v>2.8738478353870547</v>
      </c>
      <c r="S45" s="24" t="e">
        <f>AVERAGE(S17:S37)</f>
        <v>#REF!</v>
      </c>
    </row>
    <row r="47" spans="2:37" x14ac:dyDescent="0.2">
      <c r="B47" t="s">
        <v>496</v>
      </c>
      <c r="J47" s="24">
        <f>AVERAGE(J23:J37)</f>
        <v>9.4857350812745933E-3</v>
      </c>
      <c r="K47" s="24">
        <f>AVERAGE(K23:K37)</f>
        <v>0.17427727947299557</v>
      </c>
      <c r="L47" s="24">
        <f>AVERAGE(L23:L37)</f>
        <v>0.42210645899274973</v>
      </c>
      <c r="M47" s="24">
        <f>AVERAGE(M23:M37)</f>
        <v>0.39088995630919887</v>
      </c>
      <c r="N47" s="24">
        <f>AVERAGE(N23:N37)</f>
        <v>3.2405701437811939E-3</v>
      </c>
      <c r="Q47" s="24">
        <f>AVERAGE(Q23:Q37)</f>
        <v>0.90164183984059509</v>
      </c>
      <c r="R47" s="24">
        <f>AVERAGE(R23:R37)</f>
        <v>2.7134486148397503</v>
      </c>
      <c r="S47" s="24">
        <f>AVERAGE(S23:S37)</f>
        <v>171.64886717457125</v>
      </c>
    </row>
  </sheetData>
  <phoneticPr fontId="0" type="noConversion"/>
  <pageMargins left="0.75" right="0.75" top="1" bottom="1" header="0.5" footer="0.5"/>
  <pageSetup paperSize="0" orientation="portrait" horizontalDpi="0" verticalDpi="0" copies="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IU114"/>
  <sheetViews>
    <sheetView tabSelected="1" topLeftCell="A9" zoomScaleNormal="100" workbookViewId="0">
      <pane xSplit="1" ySplit="9" topLeftCell="CH18" activePane="bottomRight" state="frozen"/>
      <selection activeCell="A9" sqref="A9"/>
      <selection pane="topRight" activeCell="B9" sqref="B9"/>
      <selection pane="bottomLeft" activeCell="A18" sqref="A18"/>
      <selection pane="bottomRight" activeCell="CT58" sqref="CT58"/>
    </sheetView>
  </sheetViews>
  <sheetFormatPr defaultRowHeight="12.75" x14ac:dyDescent="0.2"/>
  <cols>
    <col min="1" max="1" width="10.7109375" customWidth="1"/>
    <col min="4" max="4" width="7.85546875" customWidth="1"/>
    <col min="5" max="6" width="6.5703125" customWidth="1"/>
    <col min="7" max="7" width="6.5703125" hidden="1" customWidth="1"/>
    <col min="8" max="8" width="11" customWidth="1"/>
    <col min="9" max="9" width="11.140625" customWidth="1"/>
    <col min="10" max="10" width="6.5703125" customWidth="1"/>
    <col min="11" max="13" width="13.5703125" style="1" customWidth="1"/>
    <col min="14" max="14" width="11" customWidth="1"/>
    <col min="15" max="15" width="6.85546875" customWidth="1"/>
    <col min="16" max="16" width="15.7109375" customWidth="1"/>
    <col min="17" max="17" width="3" customWidth="1"/>
    <col min="18" max="18" width="10.140625" customWidth="1"/>
    <col min="20" max="21" width="6.7109375" customWidth="1"/>
    <col min="22" max="24" width="6.28515625" customWidth="1"/>
    <col min="25" max="25" width="7.42578125" customWidth="1"/>
    <col min="26" max="26" width="6.5703125" customWidth="1"/>
    <col min="27" max="27" width="3.140625" customWidth="1"/>
    <col min="30" max="31" width="9.7109375" customWidth="1"/>
    <col min="33" max="33" width="9.7109375" customWidth="1"/>
    <col min="34" max="34" width="3.42578125" customWidth="1"/>
    <col min="35" max="35" width="7.140625" customWidth="1"/>
    <col min="36" max="36" width="10" customWidth="1"/>
    <col min="37" max="37" width="7.140625" bestFit="1" customWidth="1"/>
    <col min="38" max="38" width="11" customWidth="1"/>
    <col min="39" max="40" width="9" bestFit="1" customWidth="1"/>
    <col min="41" max="41" width="9.42578125" bestFit="1" customWidth="1"/>
    <col min="42" max="43" width="9" bestFit="1" customWidth="1"/>
    <col min="45" max="45" width="4.140625" bestFit="1" customWidth="1"/>
    <col min="46" max="47" width="10.42578125" customWidth="1"/>
    <col min="48" max="48" width="10" customWidth="1"/>
    <col min="52" max="52" width="11" bestFit="1" customWidth="1"/>
    <col min="53" max="53" width="9.85546875" customWidth="1"/>
    <col min="54" max="54" width="10.28515625" customWidth="1"/>
    <col min="62" max="62" width="8.85546875" hidden="1" customWidth="1"/>
    <col min="63" max="63" width="2.5703125" customWidth="1"/>
    <col min="64" max="64" width="9" bestFit="1" customWidth="1"/>
    <col min="65" max="67" width="9.42578125" bestFit="1" customWidth="1"/>
    <col min="68" max="68" width="9" bestFit="1" customWidth="1"/>
    <col min="69" max="69" width="10.42578125" bestFit="1" customWidth="1"/>
    <col min="70" max="70" width="16.85546875" customWidth="1"/>
    <col min="72" max="73" width="9.28515625" bestFit="1" customWidth="1"/>
    <col min="74" max="74" width="9.7109375" bestFit="1" customWidth="1"/>
    <col min="75" max="75" width="9.28515625" bestFit="1" customWidth="1"/>
    <col min="77" max="77" width="9.85546875" bestFit="1" customWidth="1"/>
    <col min="78" max="78" width="12.7109375" customWidth="1"/>
    <col min="85" max="85" width="9.28515625" customWidth="1"/>
    <col min="86" max="86" width="8.140625" customWidth="1"/>
    <col min="87" max="92" width="9.7109375" customWidth="1"/>
    <col min="93" max="93" width="1.7109375" customWidth="1"/>
    <col min="94" max="94" width="7.42578125" customWidth="1"/>
    <col min="95" max="100" width="9.7109375" customWidth="1"/>
    <col min="101" max="101" width="3.28515625" customWidth="1"/>
    <col min="102" max="102" width="6.85546875" bestFit="1" customWidth="1"/>
    <col min="103" max="103" width="11" bestFit="1" customWidth="1"/>
    <col min="107" max="107" width="34.85546875" bestFit="1" customWidth="1"/>
  </cols>
  <sheetData>
    <row r="1" spans="1:119" x14ac:dyDescent="0.2">
      <c r="A1" t="s">
        <v>401</v>
      </c>
    </row>
    <row r="2" spans="1:119" x14ac:dyDescent="0.2">
      <c r="A2" t="s">
        <v>483</v>
      </c>
    </row>
    <row r="3" spans="1:119" x14ac:dyDescent="0.2">
      <c r="A3" t="s">
        <v>440</v>
      </c>
    </row>
    <row r="4" spans="1:119" x14ac:dyDescent="0.2">
      <c r="A4" t="s">
        <v>441</v>
      </c>
      <c r="AT4">
        <v>16000</v>
      </c>
    </row>
    <row r="5" spans="1:119" x14ac:dyDescent="0.2">
      <c r="A5" s="79" t="s">
        <v>442</v>
      </c>
      <c r="B5" s="79"/>
      <c r="C5" s="79"/>
      <c r="D5" s="79"/>
      <c r="E5" s="79"/>
      <c r="F5" s="79"/>
      <c r="AT5">
        <v>48709</v>
      </c>
      <c r="AV5">
        <v>0.34429999999999999</v>
      </c>
      <c r="AW5">
        <v>4672</v>
      </c>
      <c r="AX5">
        <f>AW5*AV5</f>
        <v>1608.5696</v>
      </c>
      <c r="BI5" t="s">
        <v>263</v>
      </c>
    </row>
    <row r="6" spans="1:119" x14ac:dyDescent="0.2">
      <c r="A6" s="82" t="s">
        <v>500</v>
      </c>
      <c r="B6" s="48"/>
      <c r="C6" s="48"/>
      <c r="D6" s="48"/>
      <c r="E6" s="48"/>
      <c r="F6" s="48"/>
      <c r="G6" s="48"/>
      <c r="H6" s="48"/>
      <c r="I6" s="48"/>
      <c r="J6" s="48"/>
      <c r="K6" s="83"/>
      <c r="L6" s="83"/>
      <c r="M6" s="83"/>
      <c r="AV6">
        <f>AT4/AT5</f>
        <v>0.32848138947627747</v>
      </c>
    </row>
    <row r="7" spans="1:119" x14ac:dyDescent="0.2">
      <c r="A7" s="78" t="s">
        <v>262</v>
      </c>
      <c r="B7" s="79"/>
      <c r="C7" s="79"/>
      <c r="D7" s="79"/>
      <c r="E7" s="79"/>
      <c r="F7" s="79"/>
      <c r="G7" s="199"/>
      <c r="H7" s="199"/>
      <c r="I7" s="79"/>
      <c r="J7" s="79"/>
      <c r="K7" s="79"/>
      <c r="L7" s="79"/>
      <c r="M7" s="79"/>
      <c r="N7" s="79"/>
      <c r="O7" s="79"/>
      <c r="P7" s="79"/>
      <c r="Q7" s="79"/>
      <c r="R7" s="79"/>
    </row>
    <row r="8" spans="1:119" x14ac:dyDescent="0.2">
      <c r="B8" t="s">
        <v>452</v>
      </c>
      <c r="BN8" s="14"/>
    </row>
    <row r="9" spans="1:119" x14ac:dyDescent="0.2">
      <c r="B9" s="48" t="s">
        <v>450</v>
      </c>
      <c r="C9" s="48" t="s">
        <v>450</v>
      </c>
      <c r="D9" s="48" t="s">
        <v>450</v>
      </c>
      <c r="E9" s="48"/>
      <c r="F9" s="48"/>
      <c r="G9" s="48" t="s">
        <v>450</v>
      </c>
      <c r="H9" s="48"/>
      <c r="I9" s="48"/>
      <c r="J9" s="48"/>
      <c r="K9" s="48" t="s">
        <v>450</v>
      </c>
      <c r="L9" s="48"/>
      <c r="M9" s="48"/>
      <c r="N9" s="48" t="s">
        <v>450</v>
      </c>
      <c r="O9" s="48"/>
      <c r="P9" s="48" t="s">
        <v>450</v>
      </c>
      <c r="R9" s="48" t="s">
        <v>450</v>
      </c>
      <c r="T9" s="48" t="s">
        <v>450</v>
      </c>
      <c r="U9" s="48" t="s">
        <v>450</v>
      </c>
      <c r="V9" s="48" t="s">
        <v>450</v>
      </c>
      <c r="W9" s="48" t="s">
        <v>450</v>
      </c>
      <c r="X9" s="48" t="s">
        <v>450</v>
      </c>
      <c r="Y9" s="49" t="s">
        <v>451</v>
      </c>
      <c r="Z9" s="49"/>
      <c r="AB9" s="49" t="s">
        <v>451</v>
      </c>
      <c r="AC9" s="49" t="s">
        <v>451</v>
      </c>
      <c r="AD9" s="49" t="s">
        <v>451</v>
      </c>
      <c r="AE9" s="49" t="s">
        <v>451</v>
      </c>
      <c r="AF9" s="49" t="s">
        <v>451</v>
      </c>
      <c r="AG9" s="49" t="s">
        <v>451</v>
      </c>
      <c r="AI9" s="48" t="s">
        <v>450</v>
      </c>
      <c r="AJ9" s="48" t="s">
        <v>450</v>
      </c>
      <c r="AK9" s="48" t="s">
        <v>450</v>
      </c>
      <c r="AL9" s="48" t="s">
        <v>450</v>
      </c>
      <c r="AM9" s="49" t="s">
        <v>451</v>
      </c>
      <c r="AN9" s="49" t="s">
        <v>451</v>
      </c>
      <c r="AO9" s="49" t="s">
        <v>451</v>
      </c>
      <c r="AP9" s="49" t="s">
        <v>451</v>
      </c>
      <c r="AQ9" s="49" t="s">
        <v>451</v>
      </c>
      <c r="AR9" s="49" t="s">
        <v>451</v>
      </c>
      <c r="AT9" s="48" t="s">
        <v>450</v>
      </c>
      <c r="AU9" s="48" t="s">
        <v>450</v>
      </c>
      <c r="AW9" s="48" t="s">
        <v>450</v>
      </c>
      <c r="AX9" s="48" t="s">
        <v>450</v>
      </c>
      <c r="AY9" s="48" t="s">
        <v>450</v>
      </c>
      <c r="AZ9" s="49" t="s">
        <v>451</v>
      </c>
      <c r="BA9" s="49" t="s">
        <v>451</v>
      </c>
      <c r="BB9" s="48" t="s">
        <v>450</v>
      </c>
      <c r="BC9" s="48" t="s">
        <v>450</v>
      </c>
      <c r="BD9" s="48" t="s">
        <v>450</v>
      </c>
      <c r="BE9" s="48" t="s">
        <v>450</v>
      </c>
      <c r="BF9" s="48" t="s">
        <v>450</v>
      </c>
      <c r="BG9" s="49" t="s">
        <v>451</v>
      </c>
      <c r="BH9" s="49"/>
      <c r="BL9" s="49" t="s">
        <v>451</v>
      </c>
      <c r="BM9" s="49" t="s">
        <v>451</v>
      </c>
      <c r="BN9" s="49" t="s">
        <v>451</v>
      </c>
      <c r="BO9" s="49" t="s">
        <v>451</v>
      </c>
      <c r="BP9" s="49" t="s">
        <v>451</v>
      </c>
      <c r="BQ9" s="49" t="s">
        <v>451</v>
      </c>
      <c r="BS9" s="49" t="s">
        <v>451</v>
      </c>
      <c r="BT9" s="49" t="s">
        <v>451</v>
      </c>
      <c r="BU9" s="49" t="s">
        <v>451</v>
      </c>
      <c r="BV9" s="49" t="s">
        <v>451</v>
      </c>
      <c r="BW9" s="49" t="s">
        <v>451</v>
      </c>
      <c r="BX9" s="49" t="s">
        <v>451</v>
      </c>
      <c r="BY9" s="49" t="s">
        <v>451</v>
      </c>
      <c r="BZ9" s="5"/>
      <c r="CA9" s="49" t="s">
        <v>451</v>
      </c>
      <c r="CB9" s="49" t="s">
        <v>451</v>
      </c>
      <c r="CC9" s="49" t="s">
        <v>451</v>
      </c>
      <c r="CD9" s="49" t="s">
        <v>451</v>
      </c>
      <c r="CE9" s="49" t="s">
        <v>451</v>
      </c>
      <c r="CF9" s="49" t="s">
        <v>451</v>
      </c>
      <c r="CH9" s="48" t="s">
        <v>450</v>
      </c>
      <c r="CI9" s="49" t="s">
        <v>451</v>
      </c>
      <c r="CJ9" s="49" t="s">
        <v>451</v>
      </c>
      <c r="CK9" s="49" t="s">
        <v>451</v>
      </c>
      <c r="CL9" s="49" t="s">
        <v>451</v>
      </c>
      <c r="CM9" s="49" t="s">
        <v>451</v>
      </c>
      <c r="CN9" s="49" t="s">
        <v>451</v>
      </c>
      <c r="CO9" s="49"/>
      <c r="CP9" s="49"/>
      <c r="CQ9" s="49"/>
      <c r="CR9" s="49"/>
      <c r="CS9" s="49"/>
      <c r="CT9" s="49"/>
      <c r="CU9" s="49"/>
      <c r="CV9" s="49"/>
      <c r="CX9" s="48" t="s">
        <v>450</v>
      </c>
      <c r="CY9" s="49" t="s">
        <v>451</v>
      </c>
      <c r="CZ9" s="49" t="s">
        <v>451</v>
      </c>
      <c r="DA9" s="49" t="s">
        <v>451</v>
      </c>
      <c r="DB9" s="49"/>
      <c r="DC9" s="48" t="s">
        <v>450</v>
      </c>
    </row>
    <row r="10" spans="1:119" x14ac:dyDescent="0.2">
      <c r="AX10">
        <f>526+810+569+226</f>
        <v>2131</v>
      </c>
    </row>
    <row r="11" spans="1:119" ht="18.75" thickBot="1" x14ac:dyDescent="0.3">
      <c r="A11" s="35" t="s">
        <v>400</v>
      </c>
      <c r="B11" s="60"/>
      <c r="C11" s="34"/>
      <c r="D11" s="34"/>
      <c r="E11" s="34"/>
      <c r="F11" s="34"/>
      <c r="G11" s="34"/>
      <c r="H11" s="34"/>
      <c r="I11" s="34"/>
      <c r="J11" s="34"/>
      <c r="K11" s="34"/>
      <c r="L11" s="34"/>
      <c r="M11" s="34"/>
      <c r="N11" s="34"/>
      <c r="O11" s="34"/>
      <c r="P11" s="34"/>
      <c r="Q11" s="34"/>
      <c r="R11" s="35" t="s">
        <v>411</v>
      </c>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5" t="s">
        <v>429</v>
      </c>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1"/>
      <c r="BS11" s="1"/>
      <c r="BT11" s="1"/>
      <c r="BU11" s="1"/>
      <c r="BV11" s="1"/>
      <c r="DF11" s="1"/>
      <c r="DG11" s="1"/>
      <c r="DH11" s="1"/>
      <c r="DI11" s="1"/>
      <c r="DJ11" s="1"/>
      <c r="DK11" s="1"/>
      <c r="DL11" s="1"/>
      <c r="DM11" s="1"/>
      <c r="DN11" s="1"/>
      <c r="DO11" s="1"/>
    </row>
    <row r="12" spans="1:119" ht="13.5" thickTop="1" x14ac:dyDescent="0.2">
      <c r="BT12" s="19" t="s">
        <v>266</v>
      </c>
      <c r="DF12" s="1"/>
      <c r="DG12" s="1"/>
      <c r="DH12" s="1"/>
      <c r="DI12" s="1"/>
      <c r="DJ12" s="1"/>
      <c r="DK12" s="1"/>
      <c r="DL12" s="1"/>
      <c r="DM12" s="1"/>
      <c r="DN12" s="1"/>
      <c r="DO12" s="1"/>
    </row>
    <row r="13" spans="1:119" x14ac:dyDescent="0.2">
      <c r="B13" s="15" t="s">
        <v>414</v>
      </c>
      <c r="K13" s="15"/>
      <c r="L13" s="15"/>
      <c r="M13" s="15"/>
      <c r="AI13" s="9"/>
      <c r="AJ13" s="9"/>
      <c r="AK13" s="9"/>
      <c r="BT13" s="19" t="s">
        <v>550</v>
      </c>
      <c r="CA13" s="19" t="s">
        <v>551</v>
      </c>
      <c r="CI13" s="19" t="s">
        <v>443</v>
      </c>
      <c r="CQ13" s="19" t="s">
        <v>558</v>
      </c>
      <c r="CZ13" s="19" t="s">
        <v>436</v>
      </c>
      <c r="DF13" s="1"/>
      <c r="DG13" s="1"/>
      <c r="DH13" s="1"/>
      <c r="DI13" s="1"/>
      <c r="DJ13" s="1"/>
      <c r="DK13" s="1"/>
      <c r="DL13" s="1"/>
      <c r="DM13" s="1"/>
      <c r="DN13" s="1"/>
      <c r="DO13" s="1"/>
    </row>
    <row r="14" spans="1:119" x14ac:dyDescent="0.2">
      <c r="B14" s="11"/>
      <c r="C14" s="11"/>
      <c r="D14" s="11"/>
      <c r="E14" s="11"/>
      <c r="F14" s="11"/>
      <c r="G14" s="11"/>
      <c r="H14" s="11"/>
      <c r="I14" s="11"/>
      <c r="J14" s="11"/>
      <c r="K14" s="16" t="s">
        <v>411</v>
      </c>
      <c r="L14" s="16"/>
      <c r="M14" s="16"/>
      <c r="N14" s="11"/>
      <c r="O14" s="11"/>
      <c r="P14" s="11"/>
      <c r="Q14" s="11"/>
      <c r="R14" s="16"/>
      <c r="S14" s="11"/>
      <c r="T14" s="122" t="s">
        <v>537</v>
      </c>
      <c r="U14" s="123"/>
      <c r="V14" s="123"/>
      <c r="W14" s="123"/>
      <c r="X14" s="11"/>
      <c r="Y14" s="11"/>
      <c r="Z14" s="11"/>
      <c r="AA14" s="11"/>
      <c r="AB14" s="11"/>
      <c r="AC14" s="16" t="s">
        <v>411</v>
      </c>
      <c r="AD14" s="11"/>
      <c r="AE14" s="11"/>
      <c r="AF14" s="11"/>
      <c r="AG14" s="11"/>
      <c r="AH14" s="11"/>
      <c r="AI14" s="29" t="s">
        <v>427</v>
      </c>
      <c r="AJ14" s="30"/>
      <c r="AK14" s="27"/>
      <c r="AL14" s="11"/>
      <c r="AM14" s="11"/>
      <c r="AN14" s="29" t="s">
        <v>427</v>
      </c>
      <c r="AO14" s="11"/>
      <c r="AP14" s="11"/>
      <c r="AQ14" s="11"/>
      <c r="AR14" s="11"/>
      <c r="AT14" s="11"/>
      <c r="AU14" s="11"/>
      <c r="AV14" s="11"/>
      <c r="AW14" s="11"/>
      <c r="AX14" t="s">
        <v>252</v>
      </c>
      <c r="AY14" s="11"/>
      <c r="AZ14" s="11"/>
      <c r="BA14" s="11"/>
      <c r="BB14" s="29" t="s">
        <v>70</v>
      </c>
      <c r="BC14" s="11"/>
      <c r="BD14" s="11"/>
      <c r="BE14" s="11"/>
      <c r="BF14" s="11"/>
      <c r="BG14" s="11"/>
      <c r="BH14" s="11"/>
      <c r="BI14" s="11"/>
      <c r="BJ14" s="11"/>
      <c r="BK14" s="11"/>
      <c r="BL14" s="11"/>
      <c r="BM14" s="29" t="s">
        <v>70</v>
      </c>
      <c r="BN14" s="11"/>
      <c r="BO14" s="11"/>
      <c r="BP14" s="11"/>
      <c r="BQ14" s="11"/>
      <c r="BT14" s="19" t="s">
        <v>69</v>
      </c>
      <c r="CA14" s="19" t="s">
        <v>435</v>
      </c>
      <c r="CI14" s="19" t="s">
        <v>68</v>
      </c>
      <c r="CQ14" s="19" t="s">
        <v>435</v>
      </c>
      <c r="CZ14" s="19" t="s">
        <v>437</v>
      </c>
      <c r="DF14" s="1"/>
      <c r="DG14" s="1"/>
      <c r="DH14" s="1"/>
      <c r="DI14" s="1"/>
      <c r="DJ14" s="1"/>
      <c r="DK14" s="1"/>
      <c r="DL14" s="1"/>
      <c r="DM14" s="1"/>
      <c r="DN14" s="1"/>
      <c r="DO14" s="1"/>
    </row>
    <row r="15" spans="1:119" x14ac:dyDescent="0.2">
      <c r="B15" s="5"/>
      <c r="C15" s="5"/>
      <c r="H15" t="s">
        <v>365</v>
      </c>
      <c r="I15" t="s">
        <v>363</v>
      </c>
      <c r="N15" s="13"/>
      <c r="O15" s="13"/>
      <c r="R15" s="31"/>
      <c r="S15" s="31"/>
      <c r="T15" s="32"/>
      <c r="U15" s="31"/>
      <c r="V15" s="31"/>
      <c r="W15" s="31"/>
      <c r="X15" s="31"/>
      <c r="Y15" s="50"/>
      <c r="Z15" s="50"/>
      <c r="AA15" s="21"/>
      <c r="AB15" s="1"/>
      <c r="AC15" s="1"/>
      <c r="AD15" s="1"/>
      <c r="AE15" s="1"/>
      <c r="AF15" s="1"/>
      <c r="AG15" s="1"/>
      <c r="AI15" s="10" t="s">
        <v>423</v>
      </c>
      <c r="AJ15" s="10" t="s">
        <v>424</v>
      </c>
      <c r="AK15" s="13"/>
      <c r="AT15" t="s">
        <v>269</v>
      </c>
      <c r="AU15" t="s">
        <v>428</v>
      </c>
      <c r="AW15" t="s">
        <v>426</v>
      </c>
      <c r="AX15" s="13" t="s">
        <v>426</v>
      </c>
      <c r="AY15" s="13" t="s">
        <v>431</v>
      </c>
      <c r="AZ15" t="s">
        <v>431</v>
      </c>
      <c r="BA15" t="s">
        <v>431</v>
      </c>
      <c r="CH15" s="11"/>
      <c r="CI15" s="11"/>
      <c r="CJ15" s="11"/>
      <c r="CK15" s="11"/>
      <c r="CL15" s="11"/>
      <c r="CM15" s="11"/>
      <c r="CN15" s="11"/>
      <c r="CO15" s="1"/>
      <c r="CP15" s="11"/>
      <c r="CQ15" s="11"/>
      <c r="CR15" s="11"/>
      <c r="CS15" s="11"/>
      <c r="CT15" s="11"/>
      <c r="CU15" s="11"/>
      <c r="CV15" s="11"/>
      <c r="CX15" s="11"/>
      <c r="CY15" s="11"/>
      <c r="CZ15" s="11"/>
      <c r="DA15" s="11"/>
      <c r="DB15" s="11"/>
      <c r="DC15" s="11"/>
      <c r="DF15" s="1"/>
      <c r="DG15" s="1"/>
      <c r="DH15" s="1"/>
      <c r="DI15" s="1"/>
      <c r="DJ15" s="1"/>
      <c r="DK15" s="1"/>
      <c r="DL15" s="1"/>
      <c r="DM15" s="1"/>
      <c r="DN15" s="1"/>
      <c r="DO15" s="1"/>
    </row>
    <row r="16" spans="1:119" x14ac:dyDescent="0.2">
      <c r="B16" s="5" t="s">
        <v>406</v>
      </c>
      <c r="C16" s="5" t="s">
        <v>406</v>
      </c>
      <c r="D16" t="s">
        <v>409</v>
      </c>
      <c r="E16" t="s">
        <v>409</v>
      </c>
      <c r="F16" t="s">
        <v>218</v>
      </c>
      <c r="H16" t="s">
        <v>364</v>
      </c>
      <c r="I16" t="s">
        <v>32</v>
      </c>
      <c r="L16" s="11" t="s">
        <v>324</v>
      </c>
      <c r="M16" s="11"/>
      <c r="N16" s="13"/>
      <c r="O16" s="13"/>
      <c r="R16" s="13" t="s">
        <v>418</v>
      </c>
      <c r="S16" s="13"/>
      <c r="T16" s="20" t="s">
        <v>415</v>
      </c>
      <c r="U16" s="20"/>
      <c r="V16" s="20"/>
      <c r="W16" s="20"/>
      <c r="X16" s="20"/>
      <c r="Y16" s="50"/>
      <c r="Z16" s="50" t="s">
        <v>418</v>
      </c>
      <c r="AA16" s="21"/>
      <c r="AB16" s="11"/>
      <c r="AC16" s="11" t="s">
        <v>421</v>
      </c>
      <c r="AD16" s="11"/>
      <c r="AE16" s="11"/>
      <c r="AF16" s="11"/>
      <c r="AG16" s="11"/>
      <c r="AI16" s="102" t="s">
        <v>425</v>
      </c>
      <c r="AJ16" s="102" t="s">
        <v>425</v>
      </c>
      <c r="AK16" s="102" t="s">
        <v>426</v>
      </c>
      <c r="AL16" s="11"/>
      <c r="AM16" s="11"/>
      <c r="AN16" s="11" t="s">
        <v>421</v>
      </c>
      <c r="AO16" s="11"/>
      <c r="AP16" s="11"/>
      <c r="AQ16" s="11"/>
      <c r="AR16" s="11"/>
      <c r="AT16" t="s">
        <v>270</v>
      </c>
      <c r="AV16" t="s">
        <v>503</v>
      </c>
      <c r="AW16" s="404" t="s">
        <v>587</v>
      </c>
      <c r="AX16" s="13" t="s">
        <v>484</v>
      </c>
      <c r="AY16" s="13" t="s">
        <v>484</v>
      </c>
      <c r="AZ16" t="s">
        <v>432</v>
      </c>
      <c r="BA16" s="404" t="s">
        <v>265</v>
      </c>
      <c r="BB16" s="20" t="s">
        <v>453</v>
      </c>
      <c r="BC16" s="20"/>
      <c r="BD16" s="20"/>
      <c r="BE16" s="20"/>
      <c r="BF16" s="20"/>
      <c r="BG16" s="11"/>
      <c r="BH16" s="1" t="s">
        <v>418</v>
      </c>
      <c r="BI16" s="42" t="s">
        <v>418</v>
      </c>
      <c r="BJ16" s="11"/>
      <c r="BL16" s="11"/>
      <c r="BM16" s="11" t="s">
        <v>486</v>
      </c>
      <c r="BN16" s="11"/>
      <c r="BO16" s="11"/>
      <c r="BP16" s="11"/>
      <c r="BQ16" s="11"/>
      <c r="BS16" t="str">
        <f>A17</f>
        <v>Return Year</v>
      </c>
      <c r="BT16" s="11"/>
      <c r="BU16" s="11" t="s">
        <v>421</v>
      </c>
      <c r="BV16" s="11"/>
      <c r="BW16" s="11"/>
      <c r="BX16" s="11"/>
      <c r="BY16" s="42" t="s">
        <v>426</v>
      </c>
      <c r="BZ16" s="42"/>
      <c r="CA16" s="11"/>
      <c r="CB16" s="11" t="s">
        <v>415</v>
      </c>
      <c r="CC16" s="11"/>
      <c r="CD16" s="11"/>
      <c r="CE16" s="11"/>
      <c r="CF16" s="42" t="s">
        <v>426</v>
      </c>
      <c r="CG16" s="1"/>
      <c r="CH16" s="13" t="s">
        <v>438</v>
      </c>
      <c r="CI16" s="11"/>
      <c r="CJ16" s="11" t="s">
        <v>66</v>
      </c>
      <c r="CK16" s="11"/>
      <c r="CL16" s="11"/>
      <c r="CM16" s="11"/>
      <c r="CN16" s="66"/>
      <c r="CO16" s="1"/>
      <c r="CP16" s="1" t="str">
        <f>CH16</f>
        <v>Brood</v>
      </c>
      <c r="CQ16" s="11"/>
      <c r="CR16" s="11" t="s">
        <v>67</v>
      </c>
      <c r="CS16" s="11"/>
      <c r="CT16" s="11"/>
      <c r="CU16" s="11"/>
      <c r="CV16" s="1"/>
      <c r="CX16" s="13" t="s">
        <v>438</v>
      </c>
      <c r="CY16" s="13"/>
      <c r="CZ16" t="s">
        <v>426</v>
      </c>
      <c r="DA16" t="s">
        <v>447</v>
      </c>
      <c r="DF16" s="42"/>
      <c r="DG16" s="88"/>
      <c r="DH16" s="88"/>
      <c r="DI16" s="88"/>
      <c r="DJ16" s="88"/>
      <c r="DK16" s="88"/>
      <c r="DL16" s="42"/>
      <c r="DM16" s="1"/>
      <c r="DN16" s="1"/>
      <c r="DO16" s="1"/>
    </row>
    <row r="17" spans="1:119" x14ac:dyDescent="0.2">
      <c r="A17" s="11" t="s">
        <v>404</v>
      </c>
      <c r="B17" s="12" t="s">
        <v>407</v>
      </c>
      <c r="C17" s="12" t="s">
        <v>410</v>
      </c>
      <c r="D17" s="11" t="s">
        <v>407</v>
      </c>
      <c r="E17" s="11" t="s">
        <v>217</v>
      </c>
      <c r="F17" s="11" t="s">
        <v>219</v>
      </c>
      <c r="G17" s="11" t="s">
        <v>420</v>
      </c>
      <c r="H17" s="11" t="s">
        <v>409</v>
      </c>
      <c r="I17" s="11" t="s">
        <v>409</v>
      </c>
      <c r="J17" s="11" t="s">
        <v>399</v>
      </c>
      <c r="K17" s="11" t="s">
        <v>405</v>
      </c>
      <c r="L17" s="1" t="s">
        <v>325</v>
      </c>
      <c r="M17" s="11" t="s">
        <v>140</v>
      </c>
      <c r="N17" s="17" t="s">
        <v>402</v>
      </c>
      <c r="O17" s="17" t="s">
        <v>554</v>
      </c>
      <c r="P17" s="11" t="s">
        <v>410</v>
      </c>
      <c r="R17" s="17" t="s">
        <v>412</v>
      </c>
      <c r="S17" s="17" t="s">
        <v>420</v>
      </c>
      <c r="T17" s="263">
        <v>1.1000000000000001</v>
      </c>
      <c r="U17" s="263">
        <v>1.2</v>
      </c>
      <c r="V17" s="263" t="s">
        <v>321</v>
      </c>
      <c r="W17" s="263" t="s">
        <v>322</v>
      </c>
      <c r="X17" s="263" t="s">
        <v>323</v>
      </c>
      <c r="Y17" s="63" t="s">
        <v>422</v>
      </c>
      <c r="Z17" s="259" t="s">
        <v>291</v>
      </c>
      <c r="AA17" s="22"/>
      <c r="AB17" s="263">
        <v>1.1000000000000001</v>
      </c>
      <c r="AC17" s="263">
        <v>1.2</v>
      </c>
      <c r="AD17" s="263" t="s">
        <v>321</v>
      </c>
      <c r="AE17" s="263" t="s">
        <v>322</v>
      </c>
      <c r="AF17" s="263" t="s">
        <v>323</v>
      </c>
      <c r="AG17" s="64" t="s">
        <v>422</v>
      </c>
      <c r="AI17" s="28"/>
      <c r="AJ17" s="28"/>
      <c r="AK17" s="28"/>
      <c r="AL17" t="s">
        <v>420</v>
      </c>
      <c r="AM17" s="263">
        <v>1.1000000000000001</v>
      </c>
      <c r="AN17" s="263">
        <v>1.2</v>
      </c>
      <c r="AO17" s="263" t="s">
        <v>321</v>
      </c>
      <c r="AP17" s="263" t="s">
        <v>322</v>
      </c>
      <c r="AQ17" s="263" t="s">
        <v>323</v>
      </c>
      <c r="AR17" s="65" t="s">
        <v>422</v>
      </c>
      <c r="AT17" s="11" t="s">
        <v>403</v>
      </c>
      <c r="AU17" s="11" t="s">
        <v>430</v>
      </c>
      <c r="AV17" s="11" t="s">
        <v>430</v>
      </c>
      <c r="AW17" s="11" t="s">
        <v>403</v>
      </c>
      <c r="AX17" s="17" t="s">
        <v>407</v>
      </c>
      <c r="AY17" s="17" t="s">
        <v>407</v>
      </c>
      <c r="AZ17" s="11" t="s">
        <v>434</v>
      </c>
      <c r="BA17" s="11" t="s">
        <v>403</v>
      </c>
      <c r="BB17" s="263">
        <v>1.1000000000000001</v>
      </c>
      <c r="BC17" s="263">
        <v>1.2</v>
      </c>
      <c r="BD17" s="263" t="s">
        <v>321</v>
      </c>
      <c r="BE17" s="263" t="s">
        <v>322</v>
      </c>
      <c r="BF17" s="263" t="s">
        <v>323</v>
      </c>
      <c r="BG17" s="17" t="s">
        <v>422</v>
      </c>
      <c r="BH17" s="17" t="s">
        <v>291</v>
      </c>
      <c r="BI17" s="17" t="s">
        <v>412</v>
      </c>
      <c r="BJ17" s="1" t="s">
        <v>420</v>
      </c>
      <c r="BL17" s="263">
        <v>1.1000000000000001</v>
      </c>
      <c r="BM17" s="263">
        <v>1.2</v>
      </c>
      <c r="BN17" s="263" t="s">
        <v>321</v>
      </c>
      <c r="BO17" s="263" t="s">
        <v>322</v>
      </c>
      <c r="BP17" s="263" t="s">
        <v>323</v>
      </c>
      <c r="BQ17" s="65" t="s">
        <v>422</v>
      </c>
      <c r="BS17" s="11"/>
      <c r="BT17" s="263">
        <v>1.1000000000000001</v>
      </c>
      <c r="BU17" s="263">
        <v>1.2</v>
      </c>
      <c r="BV17" s="263" t="s">
        <v>321</v>
      </c>
      <c r="BW17" s="263" t="s">
        <v>322</v>
      </c>
      <c r="BX17" s="263" t="s">
        <v>323</v>
      </c>
      <c r="BY17" s="17" t="s">
        <v>487</v>
      </c>
      <c r="BZ17" s="42"/>
      <c r="CA17" s="263">
        <v>1.1000000000000001</v>
      </c>
      <c r="CB17" s="263">
        <v>1.2</v>
      </c>
      <c r="CC17" s="263" t="s">
        <v>321</v>
      </c>
      <c r="CD17" s="263" t="s">
        <v>322</v>
      </c>
      <c r="CE17" s="263" t="s">
        <v>323</v>
      </c>
      <c r="CF17" s="17" t="s">
        <v>487</v>
      </c>
      <c r="CG17" s="26"/>
      <c r="CH17" s="17" t="s">
        <v>416</v>
      </c>
      <c r="CI17" s="263">
        <v>1.1000000000000001</v>
      </c>
      <c r="CJ17" s="263">
        <v>1.2</v>
      </c>
      <c r="CK17" s="263" t="s">
        <v>321</v>
      </c>
      <c r="CL17" s="263" t="s">
        <v>322</v>
      </c>
      <c r="CM17" s="263" t="s">
        <v>323</v>
      </c>
      <c r="CN17" s="17" t="s">
        <v>422</v>
      </c>
      <c r="CO17" s="42"/>
      <c r="CP17" s="1" t="str">
        <f>CH17</f>
        <v>Year</v>
      </c>
      <c r="CQ17" s="42">
        <f>CI17</f>
        <v>1.1000000000000001</v>
      </c>
      <c r="CR17" s="42">
        <f>CJ17</f>
        <v>1.2</v>
      </c>
      <c r="CS17" s="42" t="str">
        <f>CK17</f>
        <v>1.3</v>
      </c>
      <c r="CT17" s="42" t="str">
        <f>CL17</f>
        <v>1.4</v>
      </c>
      <c r="CU17" s="42" t="str">
        <f>CM17</f>
        <v>1.5</v>
      </c>
      <c r="CV17" s="1" t="s">
        <v>454</v>
      </c>
      <c r="CX17" s="17" t="s">
        <v>416</v>
      </c>
      <c r="CY17" s="17" t="s">
        <v>614</v>
      </c>
      <c r="CZ17" s="11" t="s">
        <v>439</v>
      </c>
      <c r="DA17" s="11" t="s">
        <v>448</v>
      </c>
      <c r="DB17" s="17" t="s">
        <v>481</v>
      </c>
      <c r="DC17" s="11" t="s">
        <v>446</v>
      </c>
      <c r="DD17" s="1"/>
      <c r="DE17" s="1"/>
      <c r="DF17" s="170"/>
      <c r="DG17" s="88"/>
      <c r="DH17" s="88"/>
      <c r="DI17" s="88"/>
      <c r="DJ17" s="88"/>
      <c r="DK17" s="88"/>
      <c r="DL17" s="170"/>
      <c r="DM17" s="170"/>
      <c r="DN17" s="1"/>
      <c r="DO17" s="1"/>
    </row>
    <row r="18" spans="1:119" x14ac:dyDescent="0.2">
      <c r="A18">
        <v>1974</v>
      </c>
      <c r="B18" s="86">
        <v>5279</v>
      </c>
      <c r="C18" s="5" t="s">
        <v>408</v>
      </c>
      <c r="G18" s="18" t="s">
        <v>413</v>
      </c>
      <c r="H18" s="18"/>
      <c r="I18" s="18"/>
      <c r="J18" s="18"/>
      <c r="L18" s="262">
        <v>0.48684460222878428</v>
      </c>
      <c r="M18" s="259">
        <v>-2121.431533196388</v>
      </c>
      <c r="N18" s="69">
        <f>(B18-M18)/L18</f>
        <v>15200.808429049157</v>
      </c>
      <c r="O18" s="430">
        <f>RANK(N18,$N$18:$N$61)</f>
        <v>36</v>
      </c>
      <c r="P18" t="s">
        <v>350</v>
      </c>
      <c r="Q18" s="33" t="s">
        <v>34</v>
      </c>
      <c r="S18" s="18"/>
      <c r="T18" s="23"/>
      <c r="U18" s="23"/>
      <c r="V18" s="23"/>
      <c r="W18" s="23"/>
      <c r="X18" s="23"/>
      <c r="Y18" s="23"/>
      <c r="Z18" s="23"/>
      <c r="AA18" s="21"/>
      <c r="AG18" s="14">
        <f>N18</f>
        <v>15200.808429049157</v>
      </c>
      <c r="AI18" s="6"/>
      <c r="AJ18" s="6"/>
      <c r="AK18" s="6"/>
      <c r="AL18" s="18"/>
      <c r="AM18" s="33"/>
      <c r="AT18" s="13"/>
      <c r="AU18" s="13"/>
      <c r="AV18" s="14"/>
      <c r="AW18" s="14"/>
      <c r="AX18" s="14"/>
      <c r="AY18" s="14"/>
      <c r="AZ18" s="13"/>
      <c r="BA18" s="13"/>
      <c r="BB18" s="13"/>
      <c r="BC18" s="13"/>
      <c r="BD18" s="13"/>
      <c r="BE18" s="13"/>
      <c r="BF18" s="13"/>
      <c r="BG18" s="13"/>
      <c r="BH18" s="14"/>
      <c r="BJ18" s="18" t="s">
        <v>413</v>
      </c>
      <c r="BL18" s="14"/>
      <c r="BM18" s="14"/>
      <c r="BN18" s="14"/>
      <c r="BO18" s="14"/>
      <c r="BP18" s="14"/>
      <c r="BQ18" s="14"/>
      <c r="BS18">
        <f t="shared" ref="BS18:BS60" si="0">A18</f>
        <v>1974</v>
      </c>
      <c r="CH18" s="13">
        <v>1974</v>
      </c>
      <c r="CI18" s="14">
        <f>BT21</f>
        <v>0</v>
      </c>
      <c r="CJ18" s="14">
        <f t="shared" ref="CJ18:CJ42" si="1">BU22</f>
        <v>7311.1594484174066</v>
      </c>
      <c r="CK18" s="14">
        <f>BV23</f>
        <v>38601.723907352149</v>
      </c>
      <c r="CL18" s="14">
        <f>BW24</f>
        <v>15451.301467438034</v>
      </c>
      <c r="CM18" s="14">
        <f>BX25</f>
        <v>0</v>
      </c>
      <c r="CN18" s="14">
        <f>SUM(CI18:CM18)</f>
        <v>61364.184823207586</v>
      </c>
      <c r="CO18" s="14"/>
      <c r="CP18" s="13">
        <f>CH18</f>
        <v>1974</v>
      </c>
      <c r="CQ18" s="75">
        <f>CI18/$CN18</f>
        <v>0</v>
      </c>
      <c r="CR18" s="75">
        <f>CJ18/$CN18</f>
        <v>0.11914375575070571</v>
      </c>
      <c r="CS18" s="75">
        <f>CK18/$CN18</f>
        <v>0.62905950789642362</v>
      </c>
      <c r="CT18" s="75">
        <f>CL18/$CN18</f>
        <v>0.25179673635287075</v>
      </c>
      <c r="CU18" s="75">
        <f>CM18/$CN18</f>
        <v>0</v>
      </c>
      <c r="CV18" s="75">
        <f>SUM(CQ18:CU18)</f>
        <v>1</v>
      </c>
      <c r="CX18" s="13">
        <v>1974</v>
      </c>
      <c r="CY18" s="14">
        <f t="shared" ref="CY18:CY47" si="2">N18</f>
        <v>15200.808429049157</v>
      </c>
      <c r="CZ18" s="14">
        <f>CN18</f>
        <v>61364.184823207586</v>
      </c>
      <c r="DA18" s="46">
        <f>CZ18/CY18</f>
        <v>4.0369027153805161</v>
      </c>
      <c r="DB18" s="14">
        <f>IF((CZ18-CY18&lt;0),0,(CZ18-CY18))</f>
        <v>46163.376394158433</v>
      </c>
      <c r="DF18" s="1"/>
      <c r="DG18" s="42"/>
      <c r="DH18" s="42"/>
      <c r="DI18" s="42"/>
      <c r="DJ18" s="42"/>
      <c r="DK18" s="42"/>
      <c r="DL18" s="42"/>
      <c r="DM18" s="1"/>
      <c r="DN18" s="1"/>
      <c r="DO18" s="1"/>
    </row>
    <row r="19" spans="1:119" x14ac:dyDescent="0.2">
      <c r="A19">
        <v>1975</v>
      </c>
      <c r="B19" s="86">
        <v>4737</v>
      </c>
      <c r="C19" s="5" t="s">
        <v>408</v>
      </c>
      <c r="G19" s="18" t="s">
        <v>413</v>
      </c>
      <c r="H19" s="18"/>
      <c r="I19" s="18"/>
      <c r="J19" s="18"/>
      <c r="L19" s="262">
        <f>L$18</f>
        <v>0.48684460222878428</v>
      </c>
      <c r="M19" s="259">
        <f>M$18</f>
        <v>-2121.431533196388</v>
      </c>
      <c r="N19" s="69">
        <f t="shared" ref="N19:N38" si="3">(B19-M19)/L19</f>
        <v>14087.516841715718</v>
      </c>
      <c r="O19" s="430">
        <f t="shared" ref="O19:O61" si="4">RANK(N19,$N$18:$N$61)</f>
        <v>38</v>
      </c>
      <c r="P19" t="s">
        <v>350</v>
      </c>
      <c r="Q19" s="33" t="s">
        <v>34</v>
      </c>
      <c r="R19" s="21"/>
      <c r="S19" s="18"/>
      <c r="T19" s="39"/>
      <c r="U19" s="39"/>
      <c r="V19" s="39"/>
      <c r="W19" s="39"/>
      <c r="X19" s="39"/>
      <c r="Y19" s="39"/>
      <c r="Z19" s="39"/>
      <c r="AA19" s="21"/>
      <c r="AB19" s="14"/>
      <c r="AC19" s="14"/>
      <c r="AD19" s="14"/>
      <c r="AE19" s="14"/>
      <c r="AF19" s="14"/>
      <c r="AG19" s="14">
        <f>N19</f>
        <v>14087.516841715718</v>
      </c>
      <c r="AI19" s="40"/>
      <c r="AJ19" s="40"/>
      <c r="AK19" s="40"/>
      <c r="AL19" s="18"/>
      <c r="AM19" s="55"/>
      <c r="AN19" s="14"/>
      <c r="AO19" s="14"/>
      <c r="AP19" s="14"/>
      <c r="AQ19" s="14"/>
      <c r="AR19" s="14"/>
      <c r="AT19" s="38"/>
      <c r="AU19" s="38"/>
      <c r="AV19" s="40"/>
      <c r="AW19" s="40"/>
      <c r="AX19" s="40"/>
      <c r="AY19" s="40"/>
      <c r="AZ19" s="38"/>
      <c r="BA19" s="38"/>
      <c r="BB19" s="13"/>
      <c r="BC19" s="13"/>
      <c r="BD19" s="13"/>
      <c r="BE19" s="13"/>
      <c r="BF19" s="13"/>
      <c r="BG19" s="13"/>
      <c r="BH19" s="14"/>
      <c r="BJ19" s="18" t="s">
        <v>413</v>
      </c>
      <c r="BL19" s="14"/>
      <c r="BM19" s="14"/>
      <c r="BN19" s="14"/>
      <c r="BO19" s="14"/>
      <c r="BP19" s="14"/>
      <c r="BQ19" s="14"/>
      <c r="BS19">
        <f t="shared" si="0"/>
        <v>1975</v>
      </c>
      <c r="CH19" s="13">
        <v>1975</v>
      </c>
      <c r="CI19" s="14">
        <f t="shared" ref="CI19:CI43" si="5">BT22</f>
        <v>0</v>
      </c>
      <c r="CJ19" s="14">
        <f t="shared" si="1"/>
        <v>4503.5344558577508</v>
      </c>
      <c r="CK19" s="14">
        <f t="shared" ref="CK19:CK41" si="6">BV24</f>
        <v>20205.548072803584</v>
      </c>
      <c r="CL19" s="14">
        <f t="shared" ref="CL19:CL40" si="7">BW25</f>
        <v>8841.5144442920955</v>
      </c>
      <c r="CM19" s="14">
        <f t="shared" ref="CM19:CM52" si="8">BX26</f>
        <v>0</v>
      </c>
      <c r="CN19" s="14">
        <f t="shared" ref="CN19:CN55" si="9">SUM(CI19:CM19)</f>
        <v>33550.596972953426</v>
      </c>
      <c r="CO19" s="14"/>
      <c r="CP19" s="13">
        <f t="shared" ref="CP19:CP46" si="10">CH19</f>
        <v>1975</v>
      </c>
      <c r="CQ19" s="75">
        <f t="shared" ref="CQ19:CQ41" si="11">CI19/$CN19</f>
        <v>0</v>
      </c>
      <c r="CR19" s="75">
        <f t="shared" ref="CR19:CR41" si="12">CJ19/$CN19</f>
        <v>0.13423112737720413</v>
      </c>
      <c r="CS19" s="75">
        <f t="shared" ref="CS19:CS41" si="13">CK19/$CN19</f>
        <v>0.60224108945340504</v>
      </c>
      <c r="CT19" s="75">
        <f t="shared" ref="CT19:CT41" si="14">CL19/$CN19</f>
        <v>0.26352778316939096</v>
      </c>
      <c r="CU19" s="75">
        <f t="shared" ref="CU19:CU41" si="15">CM19/$CN19</f>
        <v>0</v>
      </c>
      <c r="CV19" s="75">
        <f t="shared" ref="CV19:CV41" si="16">SUM(CQ19:CU19)</f>
        <v>1</v>
      </c>
      <c r="CX19" s="13">
        <v>1975</v>
      </c>
      <c r="CY19" s="14">
        <f t="shared" si="2"/>
        <v>14087.516841715718</v>
      </c>
      <c r="CZ19" s="14">
        <f t="shared" ref="CZ19:CZ40" si="17">CN19</f>
        <v>33550.596972953426</v>
      </c>
      <c r="DA19" s="46">
        <f t="shared" ref="DA19:DA38" si="18">CZ19/CY19</f>
        <v>2.3815834507898486</v>
      </c>
      <c r="DB19" s="14">
        <f t="shared" ref="DB19:DB38" si="19">IF((CZ19-CY19&lt;0),0,(CZ19-CY19))</f>
        <v>19463.080131237708</v>
      </c>
      <c r="DF19" s="1"/>
      <c r="DG19" s="42"/>
      <c r="DH19" s="42"/>
      <c r="DI19" s="42"/>
      <c r="DJ19" s="42"/>
      <c r="DK19" s="42"/>
      <c r="DL19" s="42"/>
      <c r="DM19" s="1"/>
      <c r="DN19" s="1"/>
      <c r="DO19" s="1"/>
    </row>
    <row r="20" spans="1:119" x14ac:dyDescent="0.2">
      <c r="A20">
        <f>+A19+1</f>
        <v>1976</v>
      </c>
      <c r="B20" s="86">
        <v>21693</v>
      </c>
      <c r="C20" s="5" t="s">
        <v>408</v>
      </c>
      <c r="G20" s="18" t="s">
        <v>413</v>
      </c>
      <c r="H20" s="18"/>
      <c r="I20" s="18"/>
      <c r="J20" s="18"/>
      <c r="L20" s="262">
        <f t="shared" ref="L20:M38" si="20">L$18</f>
        <v>0.48684460222878428</v>
      </c>
      <c r="M20" s="259">
        <f t="shared" si="20"/>
        <v>-2121.431533196388</v>
      </c>
      <c r="N20" s="69">
        <f t="shared" si="3"/>
        <v>48915.878750988399</v>
      </c>
      <c r="O20" s="430">
        <f t="shared" si="4"/>
        <v>5</v>
      </c>
      <c r="P20" t="s">
        <v>350</v>
      </c>
      <c r="Q20" s="33" t="s">
        <v>34</v>
      </c>
      <c r="R20" s="21"/>
      <c r="S20" s="18"/>
      <c r="T20" s="39"/>
      <c r="U20" s="39"/>
      <c r="V20" s="39"/>
      <c r="W20" s="39"/>
      <c r="X20" s="39"/>
      <c r="Y20" s="39"/>
      <c r="Z20" s="39"/>
      <c r="AA20" s="21"/>
      <c r="AB20" s="14"/>
      <c r="AC20" s="14"/>
      <c r="AD20" s="14"/>
      <c r="AE20" s="14"/>
      <c r="AF20" s="14"/>
      <c r="AG20" s="14">
        <f>N20</f>
        <v>48915.878750988399</v>
      </c>
      <c r="AI20" s="40"/>
      <c r="AJ20" s="40"/>
      <c r="AK20" s="40"/>
      <c r="AL20" s="18"/>
      <c r="AM20" s="55"/>
      <c r="AN20" s="14"/>
      <c r="AO20" s="14"/>
      <c r="AP20" s="14"/>
      <c r="AQ20" s="14"/>
      <c r="AR20" s="14"/>
      <c r="AT20" s="38"/>
      <c r="AU20" s="38"/>
      <c r="AV20" s="40"/>
      <c r="AW20" s="40"/>
      <c r="AX20" s="40"/>
      <c r="AY20" s="40"/>
      <c r="AZ20" s="38"/>
      <c r="BA20" s="38"/>
      <c r="BB20" s="13"/>
      <c r="BC20" s="13"/>
      <c r="BD20" s="13"/>
      <c r="BE20" s="13"/>
      <c r="BF20" s="13"/>
      <c r="BG20" s="13"/>
      <c r="BH20" s="14"/>
      <c r="BJ20" s="18" t="s">
        <v>413</v>
      </c>
      <c r="BL20" s="14"/>
      <c r="BM20" s="14"/>
      <c r="BN20" s="14"/>
      <c r="BO20" s="14"/>
      <c r="BP20" s="14"/>
      <c r="BQ20" s="14"/>
      <c r="BS20">
        <f t="shared" si="0"/>
        <v>1976</v>
      </c>
      <c r="CH20" s="13">
        <f>+CH19+1</f>
        <v>1976</v>
      </c>
      <c r="CI20" s="14">
        <f t="shared" si="5"/>
        <v>0</v>
      </c>
      <c r="CJ20" s="14">
        <f t="shared" si="1"/>
        <v>3961.8721711379576</v>
      </c>
      <c r="CK20" s="14">
        <f t="shared" si="6"/>
        <v>15271.706767413616</v>
      </c>
      <c r="CL20" s="14">
        <f t="shared" si="7"/>
        <v>18525.993202729787</v>
      </c>
      <c r="CM20" s="14">
        <f t="shared" si="8"/>
        <v>0</v>
      </c>
      <c r="CN20" s="14">
        <f t="shared" si="9"/>
        <v>37759.572141281358</v>
      </c>
      <c r="CO20" s="14"/>
      <c r="CP20" s="13">
        <f t="shared" si="10"/>
        <v>1976</v>
      </c>
      <c r="CQ20" s="75">
        <f t="shared" si="11"/>
        <v>0</v>
      </c>
      <c r="CR20" s="75">
        <f t="shared" si="12"/>
        <v>0.10492365104970473</v>
      </c>
      <c r="CS20" s="75">
        <f t="shared" si="13"/>
        <v>0.40444596962785861</v>
      </c>
      <c r="CT20" s="75">
        <f t="shared" si="14"/>
        <v>0.49063037932243675</v>
      </c>
      <c r="CU20" s="75">
        <f t="shared" si="15"/>
        <v>0</v>
      </c>
      <c r="CV20" s="75">
        <f t="shared" si="16"/>
        <v>1</v>
      </c>
      <c r="CX20" s="13">
        <f>+CX19+1</f>
        <v>1976</v>
      </c>
      <c r="CY20" s="14">
        <f t="shared" si="2"/>
        <v>48915.878750988399</v>
      </c>
      <c r="CZ20" s="14">
        <f t="shared" si="17"/>
        <v>37759.572141281358</v>
      </c>
      <c r="DA20" s="81">
        <f t="shared" si="18"/>
        <v>0.77192872959516001</v>
      </c>
      <c r="DB20" s="14">
        <f t="shared" si="19"/>
        <v>0</v>
      </c>
      <c r="DF20" s="1"/>
      <c r="DG20" s="42"/>
      <c r="DH20" s="42"/>
      <c r="DI20" s="42"/>
      <c r="DJ20" s="42"/>
      <c r="DK20" s="42"/>
      <c r="DL20" s="42"/>
      <c r="DM20" s="1"/>
      <c r="DN20" s="1"/>
      <c r="DO20" s="1"/>
    </row>
    <row r="21" spans="1:119" x14ac:dyDescent="0.2">
      <c r="A21">
        <f t="shared" ref="A21:A36" si="21">+A20+1</f>
        <v>1977</v>
      </c>
      <c r="B21" s="362">
        <v>39642</v>
      </c>
      <c r="C21" s="5" t="s">
        <v>408</v>
      </c>
      <c r="G21" s="18" t="s">
        <v>413</v>
      </c>
      <c r="H21" s="18"/>
      <c r="I21" s="18"/>
      <c r="J21" s="18"/>
      <c r="L21" s="262">
        <f t="shared" si="20"/>
        <v>0.48684460222878428</v>
      </c>
      <c r="M21" s="259">
        <f t="shared" si="20"/>
        <v>-2121.431533196388</v>
      </c>
      <c r="N21" s="69">
        <f t="shared" si="3"/>
        <v>85783.90587469301</v>
      </c>
      <c r="O21" s="430">
        <f t="shared" si="4"/>
        <v>1</v>
      </c>
      <c r="P21" t="s">
        <v>350</v>
      </c>
      <c r="Q21" s="33" t="s">
        <v>34</v>
      </c>
      <c r="R21" s="21"/>
      <c r="S21" s="18"/>
      <c r="T21" s="39"/>
      <c r="U21" s="39"/>
      <c r="V21" s="39"/>
      <c r="W21" s="39"/>
      <c r="X21" s="39"/>
      <c r="Y21" s="39"/>
      <c r="Z21" s="39"/>
      <c r="AA21" s="21"/>
      <c r="AB21" s="14"/>
      <c r="AC21" s="14"/>
      <c r="AD21" s="14"/>
      <c r="AE21" s="14"/>
      <c r="AF21" s="14"/>
      <c r="AG21" s="14">
        <f>N21</f>
        <v>85783.90587469301</v>
      </c>
      <c r="AI21" s="40"/>
      <c r="AJ21" s="40"/>
      <c r="AK21" s="40"/>
      <c r="AL21" s="18"/>
      <c r="AM21" s="55"/>
      <c r="AN21" s="14"/>
      <c r="AO21" s="14"/>
      <c r="AP21" s="14"/>
      <c r="AQ21" s="14"/>
      <c r="AR21" s="14"/>
      <c r="AT21" s="40"/>
      <c r="AU21" s="40">
        <v>565</v>
      </c>
      <c r="AV21" s="40">
        <v>186</v>
      </c>
      <c r="AW21" s="40">
        <f>SUM(AT21:AV21)</f>
        <v>751</v>
      </c>
      <c r="AX21" s="40">
        <v>88192</v>
      </c>
      <c r="AY21" s="40">
        <f t="shared" ref="AY21:AY41" si="22">B21</f>
        <v>39642</v>
      </c>
      <c r="AZ21" s="289"/>
      <c r="BA21" s="40"/>
      <c r="BB21" s="13"/>
      <c r="BC21" s="13"/>
      <c r="BD21" s="13"/>
      <c r="BE21" s="13"/>
      <c r="BF21" s="13"/>
      <c r="BG21" s="13"/>
      <c r="BH21" s="14"/>
      <c r="BJ21" s="18" t="s">
        <v>413</v>
      </c>
      <c r="BL21" s="14"/>
      <c r="BM21" s="14"/>
      <c r="BN21" s="14"/>
      <c r="BO21" s="14"/>
      <c r="BP21" s="14"/>
      <c r="BQ21" s="14"/>
      <c r="BS21">
        <f t="shared" si="0"/>
        <v>1977</v>
      </c>
      <c r="CH21" s="13">
        <f t="shared" ref="CH21:CH36" si="23">+CH20+1</f>
        <v>1977</v>
      </c>
      <c r="CI21" s="14">
        <f t="shared" si="5"/>
        <v>0</v>
      </c>
      <c r="CJ21" s="14">
        <f t="shared" si="1"/>
        <v>2679.2468013006346</v>
      </c>
      <c r="CK21" s="14">
        <f t="shared" si="6"/>
        <v>19387.667305182338</v>
      </c>
      <c r="CL21" s="14">
        <f t="shared" si="7"/>
        <v>16471.334827818337</v>
      </c>
      <c r="CM21" s="14">
        <f t="shared" si="8"/>
        <v>0</v>
      </c>
      <c r="CN21" s="14">
        <f t="shared" si="9"/>
        <v>38538.248934301315</v>
      </c>
      <c r="CO21" s="14"/>
      <c r="CP21" s="13">
        <f t="shared" si="10"/>
        <v>1977</v>
      </c>
      <c r="CQ21" s="75">
        <f t="shared" si="11"/>
        <v>0</v>
      </c>
      <c r="CR21" s="75">
        <f t="shared" si="12"/>
        <v>6.9521757614574617E-2</v>
      </c>
      <c r="CS21" s="75">
        <f t="shared" si="13"/>
        <v>0.50307597883426847</v>
      </c>
      <c r="CT21" s="75">
        <f t="shared" si="14"/>
        <v>0.42740226355115674</v>
      </c>
      <c r="CU21" s="75">
        <f t="shared" si="15"/>
        <v>0</v>
      </c>
      <c r="CV21" s="75">
        <f t="shared" si="16"/>
        <v>0.99999999999999978</v>
      </c>
      <c r="CX21" s="13">
        <f t="shared" ref="CX21:CX46" si="24">+CX20+1</f>
        <v>1977</v>
      </c>
      <c r="CY21" s="14">
        <f t="shared" si="2"/>
        <v>85783.90587469301</v>
      </c>
      <c r="CZ21" s="14">
        <f t="shared" si="17"/>
        <v>38538.248934301315</v>
      </c>
      <c r="DA21" s="81">
        <f t="shared" si="18"/>
        <v>0.4492480091847908</v>
      </c>
      <c r="DB21" s="14">
        <f t="shared" si="19"/>
        <v>0</v>
      </c>
      <c r="DF21" s="1"/>
      <c r="DG21" s="42"/>
      <c r="DH21" s="42"/>
      <c r="DI21" s="42"/>
      <c r="DJ21" s="42"/>
      <c r="DK21" s="42"/>
      <c r="DL21" s="42"/>
      <c r="DM21" s="1"/>
      <c r="DN21" s="1"/>
      <c r="DO21" s="1"/>
    </row>
    <row r="22" spans="1:119" x14ac:dyDescent="0.2">
      <c r="A22">
        <f t="shared" si="21"/>
        <v>1978</v>
      </c>
      <c r="B22" s="86">
        <v>24639</v>
      </c>
      <c r="C22" s="5" t="s">
        <v>408</v>
      </c>
      <c r="G22" s="18" t="s">
        <v>413</v>
      </c>
      <c r="H22" s="18"/>
      <c r="I22" s="18"/>
      <c r="J22" s="18"/>
      <c r="L22" s="262">
        <f t="shared" si="20"/>
        <v>0.48684460222878428</v>
      </c>
      <c r="M22" s="259">
        <f t="shared" si="20"/>
        <v>-2121.431533196388</v>
      </c>
      <c r="N22" s="69">
        <f t="shared" si="3"/>
        <v>54967.090958155022</v>
      </c>
      <c r="O22" s="430">
        <f t="shared" si="4"/>
        <v>4</v>
      </c>
      <c r="P22" t="s">
        <v>350</v>
      </c>
      <c r="Q22" s="33" t="s">
        <v>34</v>
      </c>
      <c r="R22" s="21"/>
      <c r="S22" s="18"/>
      <c r="T22" s="39"/>
      <c r="U22" s="39"/>
      <c r="V22" s="39"/>
      <c r="W22" s="39"/>
      <c r="X22" s="39"/>
      <c r="Y22" s="39"/>
      <c r="Z22" s="39"/>
      <c r="AA22" s="21"/>
      <c r="AB22" s="14"/>
      <c r="AC22" s="14"/>
      <c r="AD22" s="14"/>
      <c r="AE22" s="14"/>
      <c r="AF22" s="14"/>
      <c r="AG22" s="14">
        <f>N22</f>
        <v>54967.090958155022</v>
      </c>
      <c r="AI22" s="40"/>
      <c r="AJ22" s="40"/>
      <c r="AK22" s="40"/>
      <c r="AL22" s="18"/>
      <c r="AM22" s="55"/>
      <c r="AN22" s="14"/>
      <c r="AO22" s="14"/>
      <c r="AP22" s="14"/>
      <c r="AQ22" s="14"/>
      <c r="AR22" s="14"/>
      <c r="AT22" s="40"/>
      <c r="AU22" s="40">
        <v>666</v>
      </c>
      <c r="AV22" s="40">
        <v>197</v>
      </c>
      <c r="AW22" s="40">
        <f t="shared" ref="AW22:AW53" si="25">SUM(AT22:AV22)</f>
        <v>863</v>
      </c>
      <c r="AX22" s="40">
        <v>61393.815476190473</v>
      </c>
      <c r="AY22" s="40">
        <f t="shared" si="22"/>
        <v>24639</v>
      </c>
      <c r="AZ22" s="289"/>
      <c r="BA22" s="40"/>
      <c r="BB22" s="56"/>
      <c r="BC22" s="56"/>
      <c r="BD22" s="56"/>
      <c r="BE22" s="56"/>
      <c r="BF22" s="56"/>
      <c r="BG22" s="56">
        <f t="shared" ref="BG22:BG43" si="26">SUM(BB22:BF22)</f>
        <v>0</v>
      </c>
      <c r="BH22" s="52"/>
      <c r="BI22" s="37"/>
      <c r="BJ22" s="18" t="s">
        <v>413</v>
      </c>
      <c r="BL22" s="14">
        <f>BB22*$AW22</f>
        <v>0</v>
      </c>
      <c r="BM22" s="14">
        <f>BC22*$AW22</f>
        <v>0</v>
      </c>
      <c r="BN22" s="14">
        <f>BD22*$AW22</f>
        <v>0</v>
      </c>
      <c r="BO22" s="14">
        <f>BE22*$AW22</f>
        <v>0</v>
      </c>
      <c r="BP22" s="14">
        <f>BF22*$AW22</f>
        <v>0</v>
      </c>
      <c r="BQ22" s="14">
        <f>SUM(BL22:BP22)</f>
        <v>0</v>
      </c>
      <c r="BS22">
        <f t="shared" si="0"/>
        <v>1978</v>
      </c>
      <c r="BT22" s="14">
        <f t="shared" ref="BT22:BT48" si="27">BL22+AM22+AB22</f>
        <v>0</v>
      </c>
      <c r="BU22" s="59">
        <f>BU65</f>
        <v>7311.1594484174066</v>
      </c>
      <c r="BV22" s="14">
        <f t="shared" ref="BV22:BV48" si="28">BN22+AO22+AD22</f>
        <v>0</v>
      </c>
      <c r="BW22" s="14">
        <f t="shared" ref="BW22:BW48" si="29">BO22+AP22+AE22</f>
        <v>0</v>
      </c>
      <c r="BX22" s="14">
        <f t="shared" ref="BX22:BX48" si="30">BP22+AQ22+AF22</f>
        <v>0</v>
      </c>
      <c r="BY22" s="14">
        <f>SUM(BT22:BX22)</f>
        <v>7311.1594484174066</v>
      </c>
      <c r="BZ22" s="14"/>
      <c r="CA22" s="75"/>
      <c r="CB22" s="75"/>
      <c r="CC22" s="75"/>
      <c r="CD22" s="75"/>
      <c r="CE22" s="75"/>
      <c r="CF22" s="75"/>
      <c r="CG22" s="14"/>
      <c r="CH22" s="13">
        <f t="shared" si="23"/>
        <v>1978</v>
      </c>
      <c r="CI22" s="14">
        <f t="shared" si="5"/>
        <v>0</v>
      </c>
      <c r="CJ22" s="14">
        <f t="shared" si="1"/>
        <v>5600.8816659415634</v>
      </c>
      <c r="CK22" s="14">
        <f t="shared" si="6"/>
        <v>22862.275424833642</v>
      </c>
      <c r="CL22" s="14">
        <f t="shared" si="7"/>
        <v>16404.691151466748</v>
      </c>
      <c r="CM22" s="14">
        <f t="shared" si="8"/>
        <v>24.443384669466806</v>
      </c>
      <c r="CN22" s="14">
        <f t="shared" si="9"/>
        <v>44892.291626911421</v>
      </c>
      <c r="CO22" s="14"/>
      <c r="CP22" s="13">
        <f t="shared" si="10"/>
        <v>1978</v>
      </c>
      <c r="CQ22" s="75">
        <f t="shared" si="11"/>
        <v>0</v>
      </c>
      <c r="CR22" s="75">
        <f t="shared" si="12"/>
        <v>0.12476265886555951</v>
      </c>
      <c r="CS22" s="75">
        <f t="shared" si="13"/>
        <v>0.50926951145279642</v>
      </c>
      <c r="CT22" s="75">
        <f t="shared" si="14"/>
        <v>0.36542334010930033</v>
      </c>
      <c r="CU22" s="75">
        <f t="shared" si="15"/>
        <v>5.4448957234372547E-4</v>
      </c>
      <c r="CV22" s="75">
        <f t="shared" si="16"/>
        <v>1</v>
      </c>
      <c r="CX22" s="13">
        <f t="shared" si="24"/>
        <v>1978</v>
      </c>
      <c r="CY22" s="14">
        <f t="shared" si="2"/>
        <v>54967.090958155022</v>
      </c>
      <c r="CZ22" s="14">
        <f t="shared" si="17"/>
        <v>44892.291626911421</v>
      </c>
      <c r="DA22" s="81">
        <f t="shared" si="18"/>
        <v>0.81671216075609177</v>
      </c>
      <c r="DB22" s="14">
        <f t="shared" si="19"/>
        <v>0</v>
      </c>
      <c r="DF22" s="1"/>
      <c r="DG22" s="42"/>
      <c r="DH22" s="42"/>
      <c r="DI22" s="42"/>
      <c r="DJ22" s="42"/>
      <c r="DK22" s="42"/>
      <c r="DL22" s="42"/>
      <c r="DM22" s="1"/>
      <c r="DN22" s="1"/>
      <c r="DO22" s="1"/>
    </row>
    <row r="23" spans="1:119" x14ac:dyDescent="0.2">
      <c r="A23">
        <f t="shared" si="21"/>
        <v>1979</v>
      </c>
      <c r="B23" s="86">
        <v>27385</v>
      </c>
      <c r="C23" s="5" t="s">
        <v>408</v>
      </c>
      <c r="G23" s="18" t="s">
        <v>413</v>
      </c>
      <c r="H23" s="18"/>
      <c r="I23" s="18"/>
      <c r="J23" s="18"/>
      <c r="L23" s="262">
        <f t="shared" si="20"/>
        <v>0.48684460222878428</v>
      </c>
      <c r="M23" s="259">
        <f t="shared" si="20"/>
        <v>-2121.431533196388</v>
      </c>
      <c r="N23" s="69">
        <f t="shared" si="3"/>
        <v>60607.494461508577</v>
      </c>
      <c r="O23" s="430">
        <f t="shared" si="4"/>
        <v>2</v>
      </c>
      <c r="P23" t="s">
        <v>350</v>
      </c>
      <c r="Q23" s="33" t="s">
        <v>34</v>
      </c>
      <c r="R23" t="s">
        <v>419</v>
      </c>
      <c r="S23" t="s">
        <v>220</v>
      </c>
      <c r="T23" s="39">
        <v>0</v>
      </c>
      <c r="U23" s="39">
        <v>7.0000000000000007E-2</v>
      </c>
      <c r="V23" s="39">
        <v>0.6</v>
      </c>
      <c r="W23" s="39">
        <v>0.33</v>
      </c>
      <c r="X23" s="39">
        <v>0</v>
      </c>
      <c r="Y23" s="39">
        <f>SUM(T23:X23)</f>
        <v>1</v>
      </c>
      <c r="Z23" s="40">
        <v>297</v>
      </c>
      <c r="AA23" s="21"/>
      <c r="AB23" s="14">
        <f>T23*$N23</f>
        <v>0</v>
      </c>
      <c r="AC23" s="14">
        <f>U23*$N23</f>
        <v>4242.5246123056004</v>
      </c>
      <c r="AD23" s="14">
        <f>V23*$N23</f>
        <v>36364.496676905146</v>
      </c>
      <c r="AE23" s="14">
        <f>W23*$N23</f>
        <v>20000.473172297832</v>
      </c>
      <c r="AF23" s="14">
        <f>X23*$N23</f>
        <v>0</v>
      </c>
      <c r="AG23" s="14">
        <f>SUM(AB23:AF23)</f>
        <v>60607.494461508577</v>
      </c>
      <c r="AI23" s="40"/>
      <c r="AJ23" s="40"/>
      <c r="AK23" s="40">
        <v>2811</v>
      </c>
      <c r="AL23" s="18" t="s">
        <v>413</v>
      </c>
      <c r="AM23" s="14">
        <f t="shared" ref="AM23:AM41" si="31">$AK23*T23</f>
        <v>0</v>
      </c>
      <c r="AN23" s="14">
        <f t="shared" ref="AN23:AN41" si="32">$AK23*U23</f>
        <v>196.77</v>
      </c>
      <c r="AO23" s="14">
        <f t="shared" ref="AO23:AO41" si="33">$AK23*V23</f>
        <v>1686.6</v>
      </c>
      <c r="AP23" s="14">
        <f t="shared" ref="AP23:AP41" si="34">$AK23*W23</f>
        <v>927.63</v>
      </c>
      <c r="AQ23" s="14">
        <f t="shared" ref="AQ23:AQ41" si="35">$AK23*X23</f>
        <v>0</v>
      </c>
      <c r="AR23" s="14">
        <f>SUM(AM23:AQ23)</f>
        <v>2811</v>
      </c>
      <c r="AT23" s="40"/>
      <c r="AU23" s="40">
        <v>1714</v>
      </c>
      <c r="AV23" s="40">
        <v>142</v>
      </c>
      <c r="AW23" s="40">
        <f t="shared" si="25"/>
        <v>1856</v>
      </c>
      <c r="AX23" s="40">
        <v>55383.995403284142</v>
      </c>
      <c r="AY23" s="40">
        <f t="shared" si="22"/>
        <v>27385</v>
      </c>
      <c r="AZ23" s="289">
        <f>AY23/AX23</f>
        <v>0.49445692389278462</v>
      </c>
      <c r="BA23" s="40">
        <f t="shared" ref="BA23:BA55" si="36">AZ23*AW23</f>
        <v>917.71205074500824</v>
      </c>
      <c r="BB23" s="56">
        <v>0</v>
      </c>
      <c r="BC23" s="56">
        <v>7.0000000000000007E-2</v>
      </c>
      <c r="BD23" s="56">
        <v>0.6</v>
      </c>
      <c r="BE23" s="56">
        <v>0.33</v>
      </c>
      <c r="BF23" s="56">
        <v>0</v>
      </c>
      <c r="BG23" s="56">
        <f t="shared" si="26"/>
        <v>1</v>
      </c>
      <c r="BH23" s="52">
        <f>Z23</f>
        <v>297</v>
      </c>
      <c r="BI23" t="s">
        <v>444</v>
      </c>
      <c r="BJ23" s="18" t="s">
        <v>413</v>
      </c>
      <c r="BL23" s="14">
        <f>BB23*$BA23</f>
        <v>0</v>
      </c>
      <c r="BM23" s="14">
        <f>BC23*$BA23</f>
        <v>64.239843552150589</v>
      </c>
      <c r="BN23" s="14">
        <f>BD23*$BA23</f>
        <v>550.62723044700488</v>
      </c>
      <c r="BO23" s="14">
        <f>BE23*$BA23</f>
        <v>302.84497674585276</v>
      </c>
      <c r="BP23" s="14">
        <f>BF23*$BA23</f>
        <v>0</v>
      </c>
      <c r="BQ23" s="14">
        <f t="shared" ref="BQ23:BQ44" si="37">SUM(BL23:BP23)</f>
        <v>917.71205074500813</v>
      </c>
      <c r="BS23">
        <f t="shared" si="0"/>
        <v>1979</v>
      </c>
      <c r="BT23" s="14">
        <f t="shared" si="27"/>
        <v>0</v>
      </c>
      <c r="BU23" s="14">
        <f t="shared" ref="BU23:BU48" si="38">BM23+AN23+AC23</f>
        <v>4503.5344558577508</v>
      </c>
      <c r="BV23" s="14">
        <f t="shared" si="28"/>
        <v>38601.723907352149</v>
      </c>
      <c r="BW23" s="14">
        <f t="shared" si="29"/>
        <v>21230.948149043685</v>
      </c>
      <c r="BX23" s="14">
        <f t="shared" si="30"/>
        <v>0</v>
      </c>
      <c r="BY23" s="14">
        <f t="shared" ref="BY23:BY45" si="39">SUM(BT23:BX23)</f>
        <v>64336.206512253586</v>
      </c>
      <c r="BZ23" s="438">
        <f t="shared" ref="BZ23:BZ59" si="40">SUM(BU23:BW23)</f>
        <v>64336.206512253586</v>
      </c>
      <c r="CA23" s="75">
        <f t="shared" ref="CA23:CA44" si="41">BT23/$BY23</f>
        <v>0</v>
      </c>
      <c r="CB23" s="75">
        <f t="shared" ref="CB23:CB44" si="42">BU23/$BY23</f>
        <v>6.9999999999999993E-2</v>
      </c>
      <c r="CC23" s="75">
        <f t="shared" ref="CC23:CC44" si="43">BV23/$BY23</f>
        <v>0.6</v>
      </c>
      <c r="CD23" s="75">
        <f t="shared" ref="CD23:CD44" si="44">BW23/$BY23</f>
        <v>0.33</v>
      </c>
      <c r="CE23" s="75">
        <f t="shared" ref="CE23:CE44" si="45">BX23/$BY23</f>
        <v>0</v>
      </c>
      <c r="CF23" s="75">
        <f t="shared" ref="CF23:CF44" si="46">SUM(CA23:CE23)</f>
        <v>1</v>
      </c>
      <c r="CG23" s="14"/>
      <c r="CH23" s="13">
        <f t="shared" si="23"/>
        <v>1979</v>
      </c>
      <c r="CI23" s="14">
        <f t="shared" si="5"/>
        <v>0</v>
      </c>
      <c r="CJ23" s="14">
        <f t="shared" si="1"/>
        <v>10468.965098592047</v>
      </c>
      <c r="CK23" s="14">
        <f t="shared" si="6"/>
        <v>21417.23566997048</v>
      </c>
      <c r="CL23" s="14">
        <f t="shared" si="7"/>
        <v>20497.695775415767</v>
      </c>
      <c r="CM23" s="14">
        <f t="shared" si="8"/>
        <v>106.03706181086623</v>
      </c>
      <c r="CN23" s="14">
        <f t="shared" si="9"/>
        <v>52489.933605789156</v>
      </c>
      <c r="CO23" s="14"/>
      <c r="CP23" s="13">
        <f t="shared" si="10"/>
        <v>1979</v>
      </c>
      <c r="CQ23" s="75">
        <f t="shared" si="11"/>
        <v>0</v>
      </c>
      <c r="CR23" s="75">
        <f t="shared" si="12"/>
        <v>0.19944710117593703</v>
      </c>
      <c r="CS23" s="75">
        <f t="shared" si="13"/>
        <v>0.40802558126323019</v>
      </c>
      <c r="CT23" s="75">
        <f t="shared" si="14"/>
        <v>0.39050717665901297</v>
      </c>
      <c r="CU23" s="75">
        <f t="shared" si="15"/>
        <v>2.0201409018199123E-3</v>
      </c>
      <c r="CV23" s="75">
        <f t="shared" si="16"/>
        <v>1</v>
      </c>
      <c r="CX23" s="13">
        <f t="shared" si="24"/>
        <v>1979</v>
      </c>
      <c r="CY23" s="14">
        <f t="shared" si="2"/>
        <v>60607.494461508577</v>
      </c>
      <c r="CZ23" s="14">
        <f t="shared" si="17"/>
        <v>52489.933605789156</v>
      </c>
      <c r="DA23" s="81">
        <f t="shared" si="18"/>
        <v>0.86606341463472258</v>
      </c>
      <c r="DB23" s="14">
        <f t="shared" si="19"/>
        <v>0</v>
      </c>
      <c r="DF23" s="1"/>
      <c r="DG23" s="42"/>
      <c r="DH23" s="42"/>
      <c r="DI23" s="42"/>
      <c r="DJ23" s="42"/>
      <c r="DK23" s="42"/>
      <c r="DL23" s="42"/>
      <c r="DM23" s="1"/>
      <c r="DN23" s="1"/>
      <c r="DO23" s="1"/>
    </row>
    <row r="24" spans="1:119" x14ac:dyDescent="0.2">
      <c r="A24">
        <f t="shared" si="21"/>
        <v>1980</v>
      </c>
      <c r="B24" s="268">
        <f>B65</f>
        <v>14965</v>
      </c>
      <c r="C24" s="5" t="s">
        <v>593</v>
      </c>
      <c r="G24" s="18" t="s">
        <v>413</v>
      </c>
      <c r="H24" s="18"/>
      <c r="I24" s="18"/>
      <c r="J24" s="18"/>
      <c r="K24" s="4"/>
      <c r="L24" s="262">
        <f t="shared" si="20"/>
        <v>0.48684460222878428</v>
      </c>
      <c r="M24" s="259">
        <f t="shared" si="20"/>
        <v>-2121.431533196388</v>
      </c>
      <c r="N24" s="69">
        <f t="shared" si="3"/>
        <v>35096.273954716482</v>
      </c>
      <c r="O24" s="430">
        <f t="shared" si="4"/>
        <v>18</v>
      </c>
      <c r="P24" t="s">
        <v>352</v>
      </c>
      <c r="Q24" s="33" t="s">
        <v>34</v>
      </c>
      <c r="R24" t="s">
        <v>419</v>
      </c>
      <c r="S24" t="s">
        <v>220</v>
      </c>
      <c r="T24" s="39">
        <v>0</v>
      </c>
      <c r="U24" s="39">
        <v>0.1</v>
      </c>
      <c r="V24" s="39">
        <v>0.51</v>
      </c>
      <c r="W24" s="39">
        <v>0.39</v>
      </c>
      <c r="X24" s="39">
        <v>0</v>
      </c>
      <c r="Y24" s="39">
        <f t="shared" ref="Y24:Y61" si="47">SUM(T24:X24)</f>
        <v>1</v>
      </c>
      <c r="Z24" s="40">
        <v>181</v>
      </c>
      <c r="AA24" s="21"/>
      <c r="AB24" s="14">
        <f t="shared" ref="AB24:AB44" si="48">T24*$N24</f>
        <v>0</v>
      </c>
      <c r="AC24" s="14">
        <f t="shared" ref="AC24:AC44" si="49">U24*$N24</f>
        <v>3509.6273954716485</v>
      </c>
      <c r="AD24" s="14">
        <f t="shared" ref="AD24:AD44" si="50">V24*$N24</f>
        <v>17899.099716905406</v>
      </c>
      <c r="AE24" s="14">
        <f t="shared" ref="AE24:AE44" si="51">W24*$N24</f>
        <v>13687.546842339429</v>
      </c>
      <c r="AF24" s="14">
        <f t="shared" ref="AF24:AF44" si="52">X24*$N24</f>
        <v>0</v>
      </c>
      <c r="AG24" s="14">
        <f t="shared" ref="AG24:AG44" si="53">SUM(AB24:AF24)</f>
        <v>35096.273954716482</v>
      </c>
      <c r="AI24" s="40"/>
      <c r="AJ24" s="40"/>
      <c r="AK24" s="40">
        <v>3685</v>
      </c>
      <c r="AL24" s="18" t="s">
        <v>413</v>
      </c>
      <c r="AM24" s="14">
        <f t="shared" si="31"/>
        <v>0</v>
      </c>
      <c r="AN24" s="14">
        <f t="shared" si="32"/>
        <v>368.5</v>
      </c>
      <c r="AO24" s="14">
        <f t="shared" si="33"/>
        <v>1879.3500000000001</v>
      </c>
      <c r="AP24" s="14">
        <f t="shared" si="34"/>
        <v>1437.15</v>
      </c>
      <c r="AQ24" s="14">
        <f t="shared" si="35"/>
        <v>0</v>
      </c>
      <c r="AR24" s="14">
        <f t="shared" ref="AR24:AR41" si="54">SUM(AM24:AQ24)</f>
        <v>3685.0000000000005</v>
      </c>
      <c r="AT24" s="40">
        <v>1757</v>
      </c>
      <c r="AU24" s="40">
        <v>993</v>
      </c>
      <c r="AV24" s="40">
        <v>166</v>
      </c>
      <c r="AW24" s="40">
        <f t="shared" si="25"/>
        <v>2916</v>
      </c>
      <c r="AX24" s="40">
        <v>52108.253503335618</v>
      </c>
      <c r="AY24" s="40">
        <f t="shared" si="22"/>
        <v>14965</v>
      </c>
      <c r="AZ24" s="289">
        <f>AY24/AX24</f>
        <v>0.28719058870476327</v>
      </c>
      <c r="BA24" s="40">
        <f t="shared" si="36"/>
        <v>837.44775666308965</v>
      </c>
      <c r="BB24" s="56">
        <v>0</v>
      </c>
      <c r="BC24" s="56">
        <v>0.1</v>
      </c>
      <c r="BD24" s="56">
        <v>0.51</v>
      </c>
      <c r="BE24" s="56">
        <v>0.39</v>
      </c>
      <c r="BF24" s="56">
        <v>0</v>
      </c>
      <c r="BG24" s="56">
        <f t="shared" si="26"/>
        <v>1</v>
      </c>
      <c r="BH24" s="52">
        <f>Z24</f>
        <v>181</v>
      </c>
      <c r="BI24" t="s">
        <v>444</v>
      </c>
      <c r="BJ24" s="18" t="s">
        <v>413</v>
      </c>
      <c r="BL24" s="14">
        <f t="shared" ref="BL24:BL44" si="55">BB24*$BA24</f>
        <v>0</v>
      </c>
      <c r="BM24" s="14">
        <f t="shared" ref="BM24:BM44" si="56">BC24*$BA24</f>
        <v>83.744775666308968</v>
      </c>
      <c r="BN24" s="14">
        <f t="shared" ref="BN24:BN44" si="57">BD24*$BA24</f>
        <v>427.09835589817573</v>
      </c>
      <c r="BO24" s="14">
        <f t="shared" ref="BO24:BO44" si="58">BE24*$BA24</f>
        <v>326.60462509860497</v>
      </c>
      <c r="BP24" s="14">
        <f t="shared" ref="BP24:BP44" si="59">BF24*$BA24</f>
        <v>0</v>
      </c>
      <c r="BQ24" s="14">
        <f t="shared" si="37"/>
        <v>837.44775666308965</v>
      </c>
      <c r="BS24">
        <f t="shared" si="0"/>
        <v>1980</v>
      </c>
      <c r="BT24" s="14">
        <f t="shared" si="27"/>
        <v>0</v>
      </c>
      <c r="BU24" s="14">
        <f t="shared" si="38"/>
        <v>3961.8721711379576</v>
      </c>
      <c r="BV24" s="14">
        <f t="shared" si="28"/>
        <v>20205.548072803584</v>
      </c>
      <c r="BW24" s="14">
        <f t="shared" si="29"/>
        <v>15451.301467438034</v>
      </c>
      <c r="BX24" s="14">
        <f t="shared" si="30"/>
        <v>0</v>
      </c>
      <c r="BY24" s="14">
        <f t="shared" si="39"/>
        <v>39618.721711379578</v>
      </c>
      <c r="BZ24" s="438">
        <f t="shared" si="40"/>
        <v>39618.721711379578</v>
      </c>
      <c r="CA24" s="75">
        <f t="shared" si="41"/>
        <v>0</v>
      </c>
      <c r="CB24" s="75">
        <f t="shared" si="42"/>
        <v>9.9999999999999992E-2</v>
      </c>
      <c r="CC24" s="75">
        <f t="shared" si="43"/>
        <v>0.51</v>
      </c>
      <c r="CD24" s="75">
        <f t="shared" si="44"/>
        <v>0.38999999999999996</v>
      </c>
      <c r="CE24" s="75">
        <f t="shared" si="45"/>
        <v>0</v>
      </c>
      <c r="CF24" s="75">
        <f t="shared" si="46"/>
        <v>1</v>
      </c>
      <c r="CG24" s="14"/>
      <c r="CH24" s="13">
        <f t="shared" si="23"/>
        <v>1980</v>
      </c>
      <c r="CI24" s="14">
        <f t="shared" si="5"/>
        <v>0</v>
      </c>
      <c r="CJ24" s="14">
        <f t="shared" si="1"/>
        <v>7746.659710414855</v>
      </c>
      <c r="CK24" s="14">
        <f t="shared" si="6"/>
        <v>21271.490957513954</v>
      </c>
      <c r="CL24" s="14">
        <f t="shared" si="7"/>
        <v>15978.824857683823</v>
      </c>
      <c r="CM24" s="14">
        <f t="shared" si="8"/>
        <v>19.198488504694232</v>
      </c>
      <c r="CN24" s="14">
        <f t="shared" si="9"/>
        <v>45016.174014117321</v>
      </c>
      <c r="CO24" s="14"/>
      <c r="CP24" s="13">
        <f t="shared" si="10"/>
        <v>1980</v>
      </c>
      <c r="CQ24" s="75">
        <f t="shared" si="11"/>
        <v>0</v>
      </c>
      <c r="CR24" s="75">
        <f t="shared" si="12"/>
        <v>0.17208614192724286</v>
      </c>
      <c r="CS24" s="75">
        <f t="shared" si="13"/>
        <v>0.4725299611389252</v>
      </c>
      <c r="CT24" s="75">
        <f t="shared" si="14"/>
        <v>0.35495741714239809</v>
      </c>
      <c r="CU24" s="75">
        <f t="shared" si="15"/>
        <v>4.2647979143392952E-4</v>
      </c>
      <c r="CV24" s="75">
        <f t="shared" si="16"/>
        <v>1.0000000000000002</v>
      </c>
      <c r="CX24" s="13">
        <f t="shared" si="24"/>
        <v>1980</v>
      </c>
      <c r="CY24" s="14">
        <f t="shared" si="2"/>
        <v>35096.273954716482</v>
      </c>
      <c r="CZ24" s="14">
        <f t="shared" si="17"/>
        <v>45016.174014117321</v>
      </c>
      <c r="DA24" s="46">
        <f t="shared" si="18"/>
        <v>1.282648239872989</v>
      </c>
      <c r="DB24" s="14">
        <f t="shared" si="19"/>
        <v>9919.9000594008394</v>
      </c>
      <c r="DF24" s="1"/>
      <c r="DG24" s="42"/>
      <c r="DH24" s="42"/>
      <c r="DI24" s="42"/>
      <c r="DJ24" s="42"/>
      <c r="DK24" s="42"/>
      <c r="DL24" s="42"/>
      <c r="DM24" s="1"/>
      <c r="DN24" s="1"/>
      <c r="DO24" s="1"/>
    </row>
    <row r="25" spans="1:119" x14ac:dyDescent="0.2">
      <c r="A25">
        <f t="shared" si="21"/>
        <v>1981</v>
      </c>
      <c r="B25" s="268">
        <v>9155</v>
      </c>
      <c r="C25" s="5" t="s">
        <v>593</v>
      </c>
      <c r="G25" s="18" t="s">
        <v>413</v>
      </c>
      <c r="H25" s="18"/>
      <c r="I25" s="18"/>
      <c r="J25" s="18"/>
      <c r="K25" s="4"/>
      <c r="L25" s="262">
        <f t="shared" si="20"/>
        <v>0.48684460222878428</v>
      </c>
      <c r="M25" s="259">
        <f t="shared" si="20"/>
        <v>-2121.431533196388</v>
      </c>
      <c r="N25" s="69">
        <f t="shared" si="3"/>
        <v>23162.28110894659</v>
      </c>
      <c r="O25" s="430">
        <f t="shared" si="4"/>
        <v>26</v>
      </c>
      <c r="P25" t="s">
        <v>351</v>
      </c>
      <c r="Q25" s="33" t="s">
        <v>34</v>
      </c>
      <c r="R25" t="s">
        <v>419</v>
      </c>
      <c r="S25" t="s">
        <v>220</v>
      </c>
      <c r="T25" s="39">
        <v>0</v>
      </c>
      <c r="U25" s="39">
        <v>0.1</v>
      </c>
      <c r="V25" s="39">
        <v>0.56999999999999995</v>
      </c>
      <c r="W25" s="39">
        <v>0.33</v>
      </c>
      <c r="X25" s="39">
        <v>0</v>
      </c>
      <c r="Y25" s="39">
        <f t="shared" si="47"/>
        <v>1</v>
      </c>
      <c r="Z25" s="40">
        <v>159</v>
      </c>
      <c r="AA25" s="21"/>
      <c r="AB25" s="14">
        <f t="shared" si="48"/>
        <v>0</v>
      </c>
      <c r="AC25" s="14">
        <f t="shared" si="49"/>
        <v>2316.228110894659</v>
      </c>
      <c r="AD25" s="14">
        <f t="shared" si="50"/>
        <v>13202.500232099555</v>
      </c>
      <c r="AE25" s="14">
        <f t="shared" si="51"/>
        <v>7643.552765952375</v>
      </c>
      <c r="AF25" s="14">
        <f>X25*$B25</f>
        <v>0</v>
      </c>
      <c r="AG25" s="14">
        <f t="shared" si="53"/>
        <v>23162.28110894659</v>
      </c>
      <c r="AI25" s="40">
        <v>738</v>
      </c>
      <c r="AJ25" s="40">
        <v>2031</v>
      </c>
      <c r="AK25" s="40">
        <v>2769</v>
      </c>
      <c r="AL25" s="18" t="s">
        <v>413</v>
      </c>
      <c r="AM25" s="14">
        <f t="shared" si="31"/>
        <v>0</v>
      </c>
      <c r="AN25" s="14">
        <f t="shared" si="32"/>
        <v>276.90000000000003</v>
      </c>
      <c r="AO25" s="14">
        <f t="shared" si="33"/>
        <v>1578.33</v>
      </c>
      <c r="AP25" s="14">
        <f t="shared" si="34"/>
        <v>913.7700000000001</v>
      </c>
      <c r="AQ25" s="14">
        <f t="shared" si="35"/>
        <v>0</v>
      </c>
      <c r="AR25" s="14">
        <f t="shared" si="54"/>
        <v>2769</v>
      </c>
      <c r="AT25" s="40">
        <v>2002</v>
      </c>
      <c r="AU25" s="40">
        <v>725</v>
      </c>
      <c r="AV25" s="40">
        <v>38</v>
      </c>
      <c r="AW25" s="40">
        <f t="shared" si="25"/>
        <v>2765</v>
      </c>
      <c r="AX25" s="40">
        <v>29393.822503185107</v>
      </c>
      <c r="AY25" s="40">
        <f t="shared" si="22"/>
        <v>9155</v>
      </c>
      <c r="AZ25" s="289">
        <f t="shared" ref="AZ25:AZ55" si="60">AY25/AX25</f>
        <v>0.31146000146826658</v>
      </c>
      <c r="BA25" s="40">
        <f t="shared" si="36"/>
        <v>861.18690405975713</v>
      </c>
      <c r="BB25" s="56">
        <v>0</v>
      </c>
      <c r="BC25" s="56">
        <v>0.1</v>
      </c>
      <c r="BD25" s="56">
        <v>0.56999999999999995</v>
      </c>
      <c r="BE25" s="56">
        <v>0.33</v>
      </c>
      <c r="BF25" s="56">
        <v>0</v>
      </c>
      <c r="BG25" s="56">
        <f t="shared" si="26"/>
        <v>1</v>
      </c>
      <c r="BH25" s="52">
        <f>Z25</f>
        <v>159</v>
      </c>
      <c r="BI25" t="s">
        <v>444</v>
      </c>
      <c r="BJ25" s="18" t="s">
        <v>413</v>
      </c>
      <c r="BL25" s="14">
        <f t="shared" si="55"/>
        <v>0</v>
      </c>
      <c r="BM25" s="14">
        <f t="shared" si="56"/>
        <v>86.118690405975713</v>
      </c>
      <c r="BN25" s="14">
        <f t="shared" si="57"/>
        <v>490.87653531406153</v>
      </c>
      <c r="BO25" s="14">
        <f t="shared" si="58"/>
        <v>284.19167833971989</v>
      </c>
      <c r="BP25" s="14">
        <f t="shared" si="59"/>
        <v>0</v>
      </c>
      <c r="BQ25" s="14">
        <f t="shared" si="37"/>
        <v>861.18690405975713</v>
      </c>
      <c r="BS25">
        <f t="shared" si="0"/>
        <v>1981</v>
      </c>
      <c r="BT25" s="14">
        <f t="shared" si="27"/>
        <v>0</v>
      </c>
      <c r="BU25" s="14">
        <f t="shared" si="38"/>
        <v>2679.2468013006346</v>
      </c>
      <c r="BV25" s="14">
        <f t="shared" si="28"/>
        <v>15271.706767413616</v>
      </c>
      <c r="BW25" s="14">
        <f t="shared" si="29"/>
        <v>8841.5144442920955</v>
      </c>
      <c r="BX25" s="14">
        <f t="shared" si="30"/>
        <v>0</v>
      </c>
      <c r="BY25" s="14">
        <f t="shared" si="39"/>
        <v>26792.468013006343</v>
      </c>
      <c r="BZ25" s="438">
        <f t="shared" si="40"/>
        <v>26792.468013006343</v>
      </c>
      <c r="CA25" s="75">
        <f t="shared" si="41"/>
        <v>0</v>
      </c>
      <c r="CB25" s="75">
        <f t="shared" si="42"/>
        <v>0.10000000000000002</v>
      </c>
      <c r="CC25" s="75">
        <f t="shared" si="43"/>
        <v>0.57000000000000006</v>
      </c>
      <c r="CD25" s="75">
        <f t="shared" si="44"/>
        <v>0.33000000000000007</v>
      </c>
      <c r="CE25" s="75">
        <f t="shared" si="45"/>
        <v>0</v>
      </c>
      <c r="CF25" s="75">
        <f t="shared" si="46"/>
        <v>1</v>
      </c>
      <c r="CG25" s="14"/>
      <c r="CH25" s="13">
        <f t="shared" si="23"/>
        <v>1981</v>
      </c>
      <c r="CI25" s="14">
        <f t="shared" si="5"/>
        <v>0</v>
      </c>
      <c r="CJ25" s="14">
        <f t="shared" si="1"/>
        <v>7231.5618756382864</v>
      </c>
      <c r="CK25" s="14">
        <f t="shared" si="6"/>
        <v>23704.88683071189</v>
      </c>
      <c r="CL25" s="14">
        <f t="shared" si="7"/>
        <v>12989.544227520477</v>
      </c>
      <c r="CM25" s="14">
        <f t="shared" si="8"/>
        <v>1016.7732471517627</v>
      </c>
      <c r="CN25" s="14">
        <f t="shared" si="9"/>
        <v>44942.766181022416</v>
      </c>
      <c r="CO25" s="14"/>
      <c r="CP25" s="13">
        <f t="shared" si="10"/>
        <v>1981</v>
      </c>
      <c r="CQ25" s="75">
        <f t="shared" si="11"/>
        <v>0</v>
      </c>
      <c r="CR25" s="75">
        <f t="shared" si="12"/>
        <v>0.1609060253770471</v>
      </c>
      <c r="CS25" s="75">
        <f t="shared" si="13"/>
        <v>0.52744610189840835</v>
      </c>
      <c r="CT25" s="75">
        <f t="shared" si="14"/>
        <v>0.28902413739289273</v>
      </c>
      <c r="CU25" s="75">
        <f t="shared" si="15"/>
        <v>2.2623735331651806E-2</v>
      </c>
      <c r="CV25" s="75">
        <f t="shared" si="16"/>
        <v>1</v>
      </c>
      <c r="CX25" s="13">
        <f t="shared" si="24"/>
        <v>1981</v>
      </c>
      <c r="CY25" s="14">
        <f t="shared" si="2"/>
        <v>23162.28110894659</v>
      </c>
      <c r="CZ25" s="14">
        <f t="shared" si="17"/>
        <v>44942.766181022416</v>
      </c>
      <c r="DA25" s="46">
        <f t="shared" si="18"/>
        <v>1.9403428345260416</v>
      </c>
      <c r="DB25" s="14">
        <f t="shared" si="19"/>
        <v>21780.485072075826</v>
      </c>
      <c r="DF25" s="1"/>
      <c r="DG25" s="42"/>
      <c r="DH25" s="42"/>
      <c r="DI25" s="42"/>
      <c r="DJ25" s="42"/>
      <c r="DK25" s="42"/>
      <c r="DL25" s="42"/>
      <c r="DM25" s="1"/>
      <c r="DN25" s="1"/>
      <c r="DO25" s="1"/>
    </row>
    <row r="26" spans="1:119" x14ac:dyDescent="0.2">
      <c r="A26">
        <f t="shared" si="21"/>
        <v>1982</v>
      </c>
      <c r="B26" s="86">
        <v>16000</v>
      </c>
      <c r="C26" s="5" t="s">
        <v>408</v>
      </c>
      <c r="G26" s="18" t="s">
        <v>413</v>
      </c>
      <c r="H26" s="18"/>
      <c r="I26" s="18"/>
      <c r="J26" s="18"/>
      <c r="L26" s="262">
        <f t="shared" si="20"/>
        <v>0.48684460222878428</v>
      </c>
      <c r="M26" s="259">
        <f t="shared" si="20"/>
        <v>-2121.431533196388</v>
      </c>
      <c r="N26" s="69">
        <f t="shared" si="3"/>
        <v>37222.208996949157</v>
      </c>
      <c r="O26" s="430">
        <f t="shared" si="4"/>
        <v>13</v>
      </c>
      <c r="P26" t="s">
        <v>350</v>
      </c>
      <c r="Q26" s="33" t="s">
        <v>34</v>
      </c>
      <c r="R26" t="s">
        <v>419</v>
      </c>
      <c r="S26" t="s">
        <v>220</v>
      </c>
      <c r="T26" s="39">
        <v>0</v>
      </c>
      <c r="U26" s="39">
        <v>0.13</v>
      </c>
      <c r="V26" s="39">
        <v>0.45</v>
      </c>
      <c r="W26" s="39">
        <v>0.43</v>
      </c>
      <c r="X26" s="39">
        <v>0</v>
      </c>
      <c r="Y26" s="39">
        <f t="shared" si="47"/>
        <v>1.01</v>
      </c>
      <c r="Z26" s="40">
        <v>298</v>
      </c>
      <c r="AA26" s="21"/>
      <c r="AB26" s="14">
        <f t="shared" si="48"/>
        <v>0</v>
      </c>
      <c r="AC26" s="14">
        <f t="shared" si="49"/>
        <v>4838.8871696033902</v>
      </c>
      <c r="AD26" s="14">
        <f t="shared" si="50"/>
        <v>16749.994048627123</v>
      </c>
      <c r="AE26" s="14">
        <f t="shared" si="51"/>
        <v>16005.549868688136</v>
      </c>
      <c r="AF26" s="14">
        <f t="shared" si="52"/>
        <v>0</v>
      </c>
      <c r="AG26" s="14">
        <f t="shared" si="53"/>
        <v>37594.431086918645</v>
      </c>
      <c r="AI26" s="40">
        <v>1142</v>
      </c>
      <c r="AJ26" s="40">
        <v>3165</v>
      </c>
      <c r="AK26" s="40">
        <v>4307</v>
      </c>
      <c r="AL26" s="18" t="s">
        <v>413</v>
      </c>
      <c r="AM26" s="14">
        <f t="shared" si="31"/>
        <v>0</v>
      </c>
      <c r="AN26" s="14">
        <f t="shared" si="32"/>
        <v>559.91</v>
      </c>
      <c r="AO26" s="14">
        <f t="shared" si="33"/>
        <v>1938.15</v>
      </c>
      <c r="AP26" s="14">
        <f t="shared" si="34"/>
        <v>1852.01</v>
      </c>
      <c r="AQ26" s="14">
        <f t="shared" si="35"/>
        <v>0</v>
      </c>
      <c r="AR26" s="14">
        <f t="shared" si="54"/>
        <v>4350.07</v>
      </c>
      <c r="AT26" s="40">
        <v>1590</v>
      </c>
      <c r="AU26" s="40">
        <v>2716</v>
      </c>
      <c r="AV26" s="40">
        <v>386</v>
      </c>
      <c r="AW26" s="40">
        <f t="shared" si="25"/>
        <v>4692</v>
      </c>
      <c r="AX26" s="40">
        <v>48293.46227366419</v>
      </c>
      <c r="AY26" s="40">
        <f t="shared" si="22"/>
        <v>16000</v>
      </c>
      <c r="AZ26" s="289">
        <f t="shared" si="60"/>
        <v>0.33130778467141003</v>
      </c>
      <c r="BA26" s="40">
        <f t="shared" si="36"/>
        <v>1554.4961256782558</v>
      </c>
      <c r="BB26" s="56">
        <v>0</v>
      </c>
      <c r="BC26" s="56">
        <v>0.13</v>
      </c>
      <c r="BD26" s="56">
        <v>0.45</v>
      </c>
      <c r="BE26" s="56">
        <v>0.43</v>
      </c>
      <c r="BF26" s="56">
        <v>0</v>
      </c>
      <c r="BG26" s="56">
        <f t="shared" si="26"/>
        <v>1.01</v>
      </c>
      <c r="BH26" s="52">
        <f>Z26</f>
        <v>298</v>
      </c>
      <c r="BI26" t="s">
        <v>444</v>
      </c>
      <c r="BJ26" s="18" t="s">
        <v>413</v>
      </c>
      <c r="BL26" s="14">
        <f t="shared" si="55"/>
        <v>0</v>
      </c>
      <c r="BM26" s="14">
        <f t="shared" si="56"/>
        <v>202.08449633817327</v>
      </c>
      <c r="BN26" s="14">
        <f t="shared" si="57"/>
        <v>699.52325655521508</v>
      </c>
      <c r="BO26" s="14">
        <f t="shared" si="58"/>
        <v>668.43333404165003</v>
      </c>
      <c r="BP26" s="14">
        <f t="shared" si="59"/>
        <v>0</v>
      </c>
      <c r="BQ26" s="14">
        <f t="shared" si="37"/>
        <v>1570.0410869350385</v>
      </c>
      <c r="BS26">
        <f t="shared" si="0"/>
        <v>1982</v>
      </c>
      <c r="BT26" s="14">
        <f t="shared" si="27"/>
        <v>0</v>
      </c>
      <c r="BU26" s="14">
        <f t="shared" si="38"/>
        <v>5600.8816659415634</v>
      </c>
      <c r="BV26" s="14">
        <f t="shared" si="28"/>
        <v>19387.667305182338</v>
      </c>
      <c r="BW26" s="14">
        <f t="shared" si="29"/>
        <v>18525.993202729787</v>
      </c>
      <c r="BX26" s="14">
        <f t="shared" si="30"/>
        <v>0</v>
      </c>
      <c r="BY26" s="14">
        <f t="shared" si="39"/>
        <v>43514.54217385369</v>
      </c>
      <c r="BZ26" s="438">
        <f t="shared" si="40"/>
        <v>43514.54217385369</v>
      </c>
      <c r="CA26" s="75">
        <f t="shared" si="41"/>
        <v>0</v>
      </c>
      <c r="CB26" s="75">
        <f t="shared" si="42"/>
        <v>0.12871287128712869</v>
      </c>
      <c r="CC26" s="75">
        <f t="shared" si="43"/>
        <v>0.44554455445544555</v>
      </c>
      <c r="CD26" s="75">
        <f t="shared" si="44"/>
        <v>0.42574257425742573</v>
      </c>
      <c r="CE26" s="75">
        <f t="shared" si="45"/>
        <v>0</v>
      </c>
      <c r="CF26" s="75">
        <f t="shared" si="46"/>
        <v>1</v>
      </c>
      <c r="CG26" s="14"/>
      <c r="CH26" s="13">
        <f t="shared" si="23"/>
        <v>1982</v>
      </c>
      <c r="CI26" s="14">
        <f t="shared" si="5"/>
        <v>0</v>
      </c>
      <c r="CJ26" s="14">
        <f t="shared" si="1"/>
        <v>19192.455588049419</v>
      </c>
      <c r="CK26" s="14">
        <f t="shared" si="6"/>
        <v>24362.216135631345</v>
      </c>
      <c r="CL26" s="14">
        <f t="shared" si="7"/>
        <v>31446.764835646642</v>
      </c>
      <c r="CM26" s="14">
        <f t="shared" si="8"/>
        <v>423.09569104644481</v>
      </c>
      <c r="CN26" s="14">
        <f t="shared" si="9"/>
        <v>75424.532250373843</v>
      </c>
      <c r="CO26" s="14"/>
      <c r="CP26" s="13">
        <f t="shared" si="10"/>
        <v>1982</v>
      </c>
      <c r="CQ26" s="75">
        <f t="shared" si="11"/>
        <v>0</v>
      </c>
      <c r="CR26" s="75">
        <f t="shared" si="12"/>
        <v>0.25445906014159325</v>
      </c>
      <c r="CS26" s="75">
        <f t="shared" si="13"/>
        <v>0.32300122266267806</v>
      </c>
      <c r="CT26" s="75">
        <f t="shared" si="14"/>
        <v>0.41693019363061112</v>
      </c>
      <c r="CU26" s="75">
        <f t="shared" si="15"/>
        <v>5.6095235651176046E-3</v>
      </c>
      <c r="CV26" s="75">
        <f t="shared" si="16"/>
        <v>1</v>
      </c>
      <c r="CX26" s="13">
        <f t="shared" si="24"/>
        <v>1982</v>
      </c>
      <c r="CY26" s="14">
        <f t="shared" si="2"/>
        <v>37222.208996949157</v>
      </c>
      <c r="CZ26" s="14">
        <f t="shared" si="17"/>
        <v>75424.532250373843</v>
      </c>
      <c r="DA26" s="46">
        <f>CZ26/CY26</f>
        <v>2.0263314371416232</v>
      </c>
      <c r="DB26" s="14">
        <f>IF((CZ26-CY26&lt;0),0,(CZ26-CY26))</f>
        <v>38202.323253424685</v>
      </c>
      <c r="DF26" s="1"/>
      <c r="DG26" s="42"/>
      <c r="DH26" s="42"/>
      <c r="DI26" s="42"/>
      <c r="DJ26" s="42"/>
      <c r="DK26" s="42"/>
      <c r="DL26" s="42"/>
      <c r="DM26" s="1"/>
      <c r="DN26" s="1"/>
      <c r="DO26" s="1"/>
    </row>
    <row r="27" spans="1:119" x14ac:dyDescent="0.2">
      <c r="A27">
        <f t="shared" si="21"/>
        <v>1983</v>
      </c>
      <c r="B27" s="86">
        <v>19237</v>
      </c>
      <c r="C27" s="5" t="s">
        <v>408</v>
      </c>
      <c r="G27" s="18" t="s">
        <v>413</v>
      </c>
      <c r="H27" s="18"/>
      <c r="I27" s="18"/>
      <c r="J27" s="18"/>
      <c r="L27" s="262">
        <f t="shared" si="20"/>
        <v>0.48684460222878428</v>
      </c>
      <c r="M27" s="259">
        <f t="shared" si="20"/>
        <v>-2121.431533196388</v>
      </c>
      <c r="N27" s="69">
        <f t="shared" si="3"/>
        <v>43871.147868163811</v>
      </c>
      <c r="O27" s="430">
        <f t="shared" si="4"/>
        <v>7</v>
      </c>
      <c r="P27" t="s">
        <v>350</v>
      </c>
      <c r="Q27" s="33" t="s">
        <v>34</v>
      </c>
      <c r="R27" t="s">
        <v>419</v>
      </c>
      <c r="S27" t="s">
        <v>222</v>
      </c>
      <c r="T27" s="39">
        <v>0</v>
      </c>
      <c r="U27" s="39">
        <v>0.21</v>
      </c>
      <c r="V27" s="39">
        <v>0.46</v>
      </c>
      <c r="W27" s="39">
        <v>0.33</v>
      </c>
      <c r="X27" s="39">
        <v>0</v>
      </c>
      <c r="Y27" s="39">
        <f t="shared" si="47"/>
        <v>1</v>
      </c>
      <c r="Z27" s="40">
        <v>1329</v>
      </c>
      <c r="AA27" s="21"/>
      <c r="AB27" s="14">
        <f t="shared" si="48"/>
        <v>0</v>
      </c>
      <c r="AC27" s="14">
        <f t="shared" si="49"/>
        <v>9212.9410523143997</v>
      </c>
      <c r="AD27" s="14">
        <f t="shared" si="50"/>
        <v>20180.728019355352</v>
      </c>
      <c r="AE27" s="14">
        <f t="shared" si="51"/>
        <v>14477.478796494059</v>
      </c>
      <c r="AF27" s="14">
        <f t="shared" si="52"/>
        <v>0</v>
      </c>
      <c r="AG27" s="14">
        <f t="shared" si="53"/>
        <v>43871.147868163811</v>
      </c>
      <c r="AI27" s="40">
        <v>934</v>
      </c>
      <c r="AJ27" s="40">
        <v>3955</v>
      </c>
      <c r="AK27" s="40">
        <v>4889</v>
      </c>
      <c r="AL27" s="18" t="s">
        <v>413</v>
      </c>
      <c r="AM27" s="14">
        <f t="shared" si="31"/>
        <v>0</v>
      </c>
      <c r="AN27" s="14">
        <f t="shared" si="32"/>
        <v>1026.69</v>
      </c>
      <c r="AO27" s="14">
        <f t="shared" si="33"/>
        <v>2248.94</v>
      </c>
      <c r="AP27" s="14">
        <f t="shared" si="34"/>
        <v>1613.3700000000001</v>
      </c>
      <c r="AQ27" s="14">
        <f t="shared" si="35"/>
        <v>0</v>
      </c>
      <c r="AR27" s="14">
        <f t="shared" si="54"/>
        <v>4889</v>
      </c>
      <c r="AT27" s="40">
        <v>2665</v>
      </c>
      <c r="AU27" s="40">
        <v>933</v>
      </c>
      <c r="AV27" s="40">
        <v>163</v>
      </c>
      <c r="AW27" s="40">
        <f t="shared" si="25"/>
        <v>3761</v>
      </c>
      <c r="AX27" s="40">
        <v>69405.649960624462</v>
      </c>
      <c r="AY27" s="40">
        <f t="shared" si="22"/>
        <v>19237</v>
      </c>
      <c r="AZ27" s="289">
        <f t="shared" si="60"/>
        <v>0.27716763708593789</v>
      </c>
      <c r="BA27" s="40">
        <f t="shared" si="36"/>
        <v>1042.4274830802124</v>
      </c>
      <c r="BB27" s="56">
        <v>0</v>
      </c>
      <c r="BC27" s="56">
        <v>0.22</v>
      </c>
      <c r="BD27" s="56">
        <v>0.41499999999999998</v>
      </c>
      <c r="BE27" s="56">
        <v>0.36499999999999999</v>
      </c>
      <c r="BF27" s="56">
        <v>0</v>
      </c>
      <c r="BG27" s="56">
        <f t="shared" si="26"/>
        <v>1</v>
      </c>
      <c r="BH27" s="52">
        <v>41</v>
      </c>
      <c r="BI27" t="s">
        <v>445</v>
      </c>
      <c r="BJ27" s="18" t="s">
        <v>413</v>
      </c>
      <c r="BL27" s="14">
        <f t="shared" si="55"/>
        <v>0</v>
      </c>
      <c r="BM27" s="14">
        <f t="shared" si="56"/>
        <v>229.33404627764673</v>
      </c>
      <c r="BN27" s="14">
        <f t="shared" si="57"/>
        <v>432.60740547828811</v>
      </c>
      <c r="BO27" s="14">
        <f t="shared" si="58"/>
        <v>380.48603132427752</v>
      </c>
      <c r="BP27" s="14">
        <f t="shared" si="59"/>
        <v>0</v>
      </c>
      <c r="BQ27" s="14">
        <f t="shared" si="37"/>
        <v>1042.4274830802124</v>
      </c>
      <c r="BS27" s="1">
        <f t="shared" si="0"/>
        <v>1983</v>
      </c>
      <c r="BT27" s="88">
        <f t="shared" si="27"/>
        <v>0</v>
      </c>
      <c r="BU27" s="88">
        <f t="shared" si="38"/>
        <v>10468.965098592047</v>
      </c>
      <c r="BV27" s="88">
        <f t="shared" si="28"/>
        <v>22862.275424833642</v>
      </c>
      <c r="BW27" s="88">
        <f t="shared" si="29"/>
        <v>16471.334827818337</v>
      </c>
      <c r="BX27" s="88">
        <f t="shared" si="30"/>
        <v>0</v>
      </c>
      <c r="BY27" s="88">
        <f t="shared" si="39"/>
        <v>49802.575351244028</v>
      </c>
      <c r="BZ27" s="438">
        <f t="shared" si="40"/>
        <v>49802.575351244028</v>
      </c>
      <c r="CA27" s="89">
        <f t="shared" si="41"/>
        <v>0</v>
      </c>
      <c r="CB27" s="89">
        <f t="shared" si="42"/>
        <v>0.21020931196343326</v>
      </c>
      <c r="CC27" s="89">
        <f t="shared" si="43"/>
        <v>0.45905809616455029</v>
      </c>
      <c r="CD27" s="75">
        <f t="shared" si="44"/>
        <v>0.33073259187201642</v>
      </c>
      <c r="CE27" s="75">
        <f t="shared" si="45"/>
        <v>0</v>
      </c>
      <c r="CF27" s="75">
        <f t="shared" si="46"/>
        <v>1</v>
      </c>
      <c r="CG27" s="14"/>
      <c r="CH27" s="13">
        <f t="shared" si="23"/>
        <v>1983</v>
      </c>
      <c r="CI27" s="14">
        <f t="shared" si="5"/>
        <v>39.819914188906367</v>
      </c>
      <c r="CJ27" s="14">
        <f t="shared" si="1"/>
        <v>7183.191347251166</v>
      </c>
      <c r="CK27" s="14">
        <f t="shared" si="6"/>
        <v>13259.725313862651</v>
      </c>
      <c r="CL27" s="14">
        <f t="shared" si="7"/>
        <v>15608.843390360413</v>
      </c>
      <c r="CM27" s="14">
        <f t="shared" si="8"/>
        <v>189.23438582020836</v>
      </c>
      <c r="CN27" s="14">
        <f t="shared" si="9"/>
        <v>36280.814351483343</v>
      </c>
      <c r="CO27" s="14"/>
      <c r="CP27" s="13">
        <f t="shared" si="10"/>
        <v>1983</v>
      </c>
      <c r="CQ27" s="75">
        <f t="shared" si="11"/>
        <v>1.097547420053385E-3</v>
      </c>
      <c r="CR27" s="75">
        <f t="shared" si="12"/>
        <v>0.19798870217359057</v>
      </c>
      <c r="CS27" s="75">
        <f t="shared" si="13"/>
        <v>0.36547485360731785</v>
      </c>
      <c r="CT27" s="75">
        <f t="shared" si="14"/>
        <v>0.43022307159768164</v>
      </c>
      <c r="CU27" s="75">
        <f t="shared" si="15"/>
        <v>5.2158252013566365E-3</v>
      </c>
      <c r="CV27" s="75">
        <f t="shared" si="16"/>
        <v>1</v>
      </c>
      <c r="CX27" s="13">
        <f t="shared" si="24"/>
        <v>1983</v>
      </c>
      <c r="CY27" s="14">
        <f t="shared" si="2"/>
        <v>43871.147868163811</v>
      </c>
      <c r="CZ27" s="14">
        <f t="shared" si="17"/>
        <v>36280.814351483343</v>
      </c>
      <c r="DA27" s="81">
        <f t="shared" si="18"/>
        <v>0.82698575520544826</v>
      </c>
      <c r="DB27" s="14">
        <f t="shared" si="19"/>
        <v>0</v>
      </c>
      <c r="DF27" s="1"/>
      <c r="DG27" s="42"/>
      <c r="DH27" s="42"/>
      <c r="DI27" s="42"/>
      <c r="DJ27" s="42"/>
      <c r="DK27" s="42"/>
      <c r="DL27" s="42"/>
      <c r="DM27" s="1"/>
      <c r="DN27" s="1"/>
      <c r="DO27" s="1"/>
    </row>
    <row r="28" spans="1:119" x14ac:dyDescent="0.2">
      <c r="A28">
        <f t="shared" si="21"/>
        <v>1984</v>
      </c>
      <c r="B28" s="86">
        <v>16892</v>
      </c>
      <c r="C28" s="5" t="s">
        <v>408</v>
      </c>
      <c r="G28" s="18" t="s">
        <v>413</v>
      </c>
      <c r="H28" s="18"/>
      <c r="I28" s="18"/>
      <c r="J28" s="18"/>
      <c r="L28" s="262">
        <f t="shared" si="20"/>
        <v>0.48684460222878428</v>
      </c>
      <c r="M28" s="259">
        <f t="shared" si="20"/>
        <v>-2121.431533196388</v>
      </c>
      <c r="N28" s="69">
        <f t="shared" si="3"/>
        <v>39054.415815955479</v>
      </c>
      <c r="O28" s="430">
        <f t="shared" si="4"/>
        <v>12</v>
      </c>
      <c r="P28" t="s">
        <v>350</v>
      </c>
      <c r="Q28" s="33" t="s">
        <v>34</v>
      </c>
      <c r="R28" t="s">
        <v>419</v>
      </c>
      <c r="S28" t="s">
        <v>223</v>
      </c>
      <c r="T28" s="39">
        <v>0</v>
      </c>
      <c r="U28" s="39">
        <v>0.17</v>
      </c>
      <c r="V28" s="39">
        <v>0.47</v>
      </c>
      <c r="W28" s="39">
        <v>0.36</v>
      </c>
      <c r="X28" s="39">
        <v>0</v>
      </c>
      <c r="Y28" s="39">
        <f t="shared" si="47"/>
        <v>1</v>
      </c>
      <c r="Z28" s="40">
        <v>1463</v>
      </c>
      <c r="AA28" s="21"/>
      <c r="AB28" s="14">
        <f t="shared" si="48"/>
        <v>0</v>
      </c>
      <c r="AC28" s="14">
        <f t="shared" si="49"/>
        <v>6639.2506887124318</v>
      </c>
      <c r="AD28" s="14">
        <f t="shared" si="50"/>
        <v>18355.575433499074</v>
      </c>
      <c r="AE28" s="14">
        <f t="shared" si="51"/>
        <v>14059.589693743972</v>
      </c>
      <c r="AF28" s="14">
        <f t="shared" si="52"/>
        <v>0</v>
      </c>
      <c r="AG28" s="14">
        <f t="shared" si="53"/>
        <v>39054.415815955479</v>
      </c>
      <c r="AI28" s="40">
        <v>1247</v>
      </c>
      <c r="AJ28" s="40">
        <v>4452</v>
      </c>
      <c r="AK28" s="40">
        <v>5699</v>
      </c>
      <c r="AL28" s="18" t="s">
        <v>413</v>
      </c>
      <c r="AM28" s="14">
        <f t="shared" si="31"/>
        <v>0</v>
      </c>
      <c r="AN28" s="14">
        <f t="shared" si="32"/>
        <v>968.83</v>
      </c>
      <c r="AO28" s="14">
        <f t="shared" si="33"/>
        <v>2678.5299999999997</v>
      </c>
      <c r="AP28" s="14">
        <f t="shared" si="34"/>
        <v>2051.64</v>
      </c>
      <c r="AQ28" s="14">
        <f t="shared" si="35"/>
        <v>0</v>
      </c>
      <c r="AR28" s="14">
        <f t="shared" si="54"/>
        <v>5699</v>
      </c>
      <c r="AT28" s="40">
        <v>2200</v>
      </c>
      <c r="AU28" s="40">
        <v>1004</v>
      </c>
      <c r="AV28" s="40">
        <v>136</v>
      </c>
      <c r="AW28" s="40">
        <f t="shared" si="25"/>
        <v>3340</v>
      </c>
      <c r="AX28" s="40">
        <v>69211.612855774074</v>
      </c>
      <c r="AY28" s="40">
        <f t="shared" si="22"/>
        <v>16892</v>
      </c>
      <c r="AZ28" s="289">
        <f t="shared" si="60"/>
        <v>0.24406308859179782</v>
      </c>
      <c r="BA28" s="40">
        <f t="shared" si="36"/>
        <v>815.17071589660475</v>
      </c>
      <c r="BB28" s="56">
        <v>0</v>
      </c>
      <c r="BC28" s="56">
        <v>0.17</v>
      </c>
      <c r="BD28" s="56">
        <v>0.47</v>
      </c>
      <c r="BE28" s="56">
        <v>0.36</v>
      </c>
      <c r="BF28" s="56">
        <v>0</v>
      </c>
      <c r="BG28" s="56">
        <f t="shared" si="26"/>
        <v>1</v>
      </c>
      <c r="BH28" s="14">
        <v>1463</v>
      </c>
      <c r="BI28" t="s">
        <v>444</v>
      </c>
      <c r="BJ28" s="18" t="s">
        <v>413</v>
      </c>
      <c r="BL28" s="14">
        <f t="shared" si="55"/>
        <v>0</v>
      </c>
      <c r="BM28" s="14">
        <f t="shared" si="56"/>
        <v>138.57902170242281</v>
      </c>
      <c r="BN28" s="14">
        <f t="shared" si="57"/>
        <v>383.1302364714042</v>
      </c>
      <c r="BO28" s="14">
        <f t="shared" si="58"/>
        <v>293.46145772277771</v>
      </c>
      <c r="BP28" s="14">
        <f t="shared" si="59"/>
        <v>0</v>
      </c>
      <c r="BQ28" s="14">
        <f t="shared" si="37"/>
        <v>815.17071589660475</v>
      </c>
      <c r="BS28">
        <f t="shared" si="0"/>
        <v>1984</v>
      </c>
      <c r="BT28" s="14">
        <f t="shared" si="27"/>
        <v>0</v>
      </c>
      <c r="BU28" s="14">
        <f t="shared" si="38"/>
        <v>7746.659710414855</v>
      </c>
      <c r="BV28" s="14">
        <f t="shared" si="28"/>
        <v>21417.23566997048</v>
      </c>
      <c r="BW28" s="14">
        <f t="shared" si="29"/>
        <v>16404.691151466748</v>
      </c>
      <c r="BX28" s="14">
        <f t="shared" si="30"/>
        <v>0</v>
      </c>
      <c r="BY28" s="14">
        <f t="shared" si="39"/>
        <v>45568.586531852081</v>
      </c>
      <c r="BZ28" s="438">
        <f t="shared" si="40"/>
        <v>45568.586531852081</v>
      </c>
      <c r="CA28" s="75">
        <f t="shared" si="41"/>
        <v>0</v>
      </c>
      <c r="CB28" s="75">
        <f t="shared" si="42"/>
        <v>0.17000000000000004</v>
      </c>
      <c r="CC28" s="75">
        <f t="shared" si="43"/>
        <v>0.47000000000000003</v>
      </c>
      <c r="CD28" s="75">
        <f t="shared" si="44"/>
        <v>0.36</v>
      </c>
      <c r="CE28" s="75">
        <f t="shared" si="45"/>
        <v>0</v>
      </c>
      <c r="CF28" s="75">
        <f t="shared" si="46"/>
        <v>1</v>
      </c>
      <c r="CG28" s="14"/>
      <c r="CH28" s="13">
        <f t="shared" si="23"/>
        <v>1984</v>
      </c>
      <c r="CI28" s="14">
        <f t="shared" si="5"/>
        <v>14.991663519195342</v>
      </c>
      <c r="CJ28" s="14">
        <f t="shared" si="1"/>
        <v>6415.0947290311151</v>
      </c>
      <c r="CK28" s="14">
        <f t="shared" si="6"/>
        <v>8772.3547130158586</v>
      </c>
      <c r="CL28" s="14">
        <f t="shared" si="7"/>
        <v>19973.670871318893</v>
      </c>
      <c r="CM28" s="14">
        <f t="shared" si="8"/>
        <v>1.147653819448645</v>
      </c>
      <c r="CN28" s="14">
        <f t="shared" si="9"/>
        <v>35177.25963070451</v>
      </c>
      <c r="CO28" s="14"/>
      <c r="CP28" s="13">
        <f t="shared" si="10"/>
        <v>1984</v>
      </c>
      <c r="CQ28" s="75">
        <f t="shared" si="11"/>
        <v>4.2617485490853451E-4</v>
      </c>
      <c r="CR28" s="75">
        <f t="shared" si="12"/>
        <v>0.18236482308109336</v>
      </c>
      <c r="CS28" s="75">
        <f t="shared" si="13"/>
        <v>0.2493757275327638</v>
      </c>
      <c r="CT28" s="75">
        <f t="shared" si="14"/>
        <v>0.5678006496527902</v>
      </c>
      <c r="CU28" s="75">
        <f t="shared" si="15"/>
        <v>3.2624878444110358E-5</v>
      </c>
      <c r="CV28" s="75">
        <f t="shared" si="16"/>
        <v>1</v>
      </c>
      <c r="CX28" s="13">
        <f t="shared" si="24"/>
        <v>1984</v>
      </c>
      <c r="CY28" s="14">
        <f t="shared" si="2"/>
        <v>39054.415815955479</v>
      </c>
      <c r="CZ28" s="14">
        <f t="shared" si="17"/>
        <v>35177.25963070451</v>
      </c>
      <c r="DA28" s="81">
        <f t="shared" si="18"/>
        <v>0.90072425603490969</v>
      </c>
      <c r="DB28" s="14">
        <f t="shared" si="19"/>
        <v>0</v>
      </c>
      <c r="DF28" s="1"/>
      <c r="DG28" s="42"/>
      <c r="DH28" s="42"/>
      <c r="DI28" s="42"/>
      <c r="DJ28" s="42"/>
      <c r="DK28" s="42"/>
      <c r="DL28" s="42"/>
      <c r="DM28" s="1"/>
      <c r="DN28" s="1"/>
      <c r="DO28" s="1"/>
    </row>
    <row r="29" spans="1:119" x14ac:dyDescent="0.2">
      <c r="A29">
        <f t="shared" si="21"/>
        <v>1985</v>
      </c>
      <c r="B29" s="86">
        <v>18151</v>
      </c>
      <c r="C29" s="5" t="s">
        <v>408</v>
      </c>
      <c r="G29" s="18" t="s">
        <v>413</v>
      </c>
      <c r="H29" s="18"/>
      <c r="I29" s="18"/>
      <c r="J29" s="18"/>
      <c r="L29" s="262">
        <f t="shared" si="20"/>
        <v>0.48684460222878428</v>
      </c>
      <c r="M29" s="259">
        <f t="shared" si="20"/>
        <v>-2121.431533196388</v>
      </c>
      <c r="N29" s="69">
        <f t="shared" si="3"/>
        <v>41640.4566064588</v>
      </c>
      <c r="O29" s="430">
        <f t="shared" si="4"/>
        <v>10</v>
      </c>
      <c r="P29" t="s">
        <v>350</v>
      </c>
      <c r="Q29" s="33" t="s">
        <v>34</v>
      </c>
      <c r="R29" t="s">
        <v>419</v>
      </c>
      <c r="S29" t="s">
        <v>224</v>
      </c>
      <c r="T29" s="39">
        <v>0</v>
      </c>
      <c r="U29" s="39">
        <v>0.15</v>
      </c>
      <c r="V29" s="39">
        <v>0.43</v>
      </c>
      <c r="W29" s="39">
        <v>0.42</v>
      </c>
      <c r="X29" s="39">
        <v>0</v>
      </c>
      <c r="Y29" s="39">
        <f t="shared" si="47"/>
        <v>1</v>
      </c>
      <c r="Z29" s="40">
        <v>435</v>
      </c>
      <c r="AA29" s="21"/>
      <c r="AB29" s="14">
        <f t="shared" si="48"/>
        <v>0</v>
      </c>
      <c r="AC29" s="14">
        <f t="shared" si="49"/>
        <v>6246.0684909688198</v>
      </c>
      <c r="AD29" s="14">
        <f t="shared" si="50"/>
        <v>17905.396340777283</v>
      </c>
      <c r="AE29" s="14">
        <f t="shared" si="51"/>
        <v>17488.991774712696</v>
      </c>
      <c r="AF29" s="14">
        <f t="shared" si="52"/>
        <v>0</v>
      </c>
      <c r="AG29" s="14">
        <f t="shared" si="53"/>
        <v>41640.4566064588</v>
      </c>
      <c r="AI29" s="40">
        <v>1319</v>
      </c>
      <c r="AJ29" s="40">
        <v>5088</v>
      </c>
      <c r="AK29" s="40">
        <v>6407</v>
      </c>
      <c r="AL29" s="18" t="s">
        <v>413</v>
      </c>
      <c r="AM29" s="14">
        <f t="shared" si="31"/>
        <v>0</v>
      </c>
      <c r="AN29" s="14">
        <f t="shared" si="32"/>
        <v>961.05</v>
      </c>
      <c r="AO29" s="14">
        <f t="shared" si="33"/>
        <v>2755.0099999999998</v>
      </c>
      <c r="AP29" s="14">
        <f t="shared" si="34"/>
        <v>2690.94</v>
      </c>
      <c r="AQ29" s="14">
        <f t="shared" si="35"/>
        <v>0</v>
      </c>
      <c r="AR29" s="14">
        <f t="shared" si="54"/>
        <v>6407</v>
      </c>
      <c r="AT29" s="40">
        <v>1472</v>
      </c>
      <c r="AU29" s="40">
        <v>1890</v>
      </c>
      <c r="AV29" s="40">
        <v>195</v>
      </c>
      <c r="AW29" s="40">
        <f t="shared" si="25"/>
        <v>3557</v>
      </c>
      <c r="AX29" s="40">
        <v>66033.313177622578</v>
      </c>
      <c r="AY29" s="40">
        <f t="shared" si="22"/>
        <v>18151</v>
      </c>
      <c r="AZ29" s="289">
        <f t="shared" si="60"/>
        <v>0.27487640899034921</v>
      </c>
      <c r="BA29" s="40">
        <f t="shared" si="36"/>
        <v>977.73538677867214</v>
      </c>
      <c r="BB29" s="56">
        <v>0</v>
      </c>
      <c r="BC29" s="56">
        <v>2.5000000000000001E-2</v>
      </c>
      <c r="BD29" s="56">
        <f>0.275+0.35</f>
        <v>0.625</v>
      </c>
      <c r="BE29" s="56">
        <f>0.025+0.3</f>
        <v>0.32500000000000001</v>
      </c>
      <c r="BF29" s="56">
        <v>2.5000000000000001E-2</v>
      </c>
      <c r="BG29" s="56">
        <f t="shared" si="26"/>
        <v>1</v>
      </c>
      <c r="BH29" s="52">
        <v>40</v>
      </c>
      <c r="BI29" t="s">
        <v>445</v>
      </c>
      <c r="BJ29" s="18" t="s">
        <v>413</v>
      </c>
      <c r="BL29" s="14">
        <f t="shared" si="55"/>
        <v>0</v>
      </c>
      <c r="BM29" s="14">
        <f t="shared" si="56"/>
        <v>24.443384669466806</v>
      </c>
      <c r="BN29" s="14">
        <f t="shared" si="57"/>
        <v>611.08461673667011</v>
      </c>
      <c r="BO29" s="14">
        <f t="shared" si="58"/>
        <v>317.76400070306846</v>
      </c>
      <c r="BP29" s="14">
        <f t="shared" si="59"/>
        <v>24.443384669466806</v>
      </c>
      <c r="BQ29" s="14">
        <f t="shared" si="37"/>
        <v>977.73538677867225</v>
      </c>
      <c r="BS29">
        <f t="shared" si="0"/>
        <v>1985</v>
      </c>
      <c r="BT29" s="14">
        <f t="shared" si="27"/>
        <v>0</v>
      </c>
      <c r="BU29" s="14">
        <f t="shared" si="38"/>
        <v>7231.5618756382864</v>
      </c>
      <c r="BV29" s="14">
        <f t="shared" si="28"/>
        <v>21271.490957513954</v>
      </c>
      <c r="BW29" s="14">
        <f t="shared" si="29"/>
        <v>20497.695775415767</v>
      </c>
      <c r="BX29" s="14">
        <f t="shared" si="30"/>
        <v>24.443384669466806</v>
      </c>
      <c r="BY29" s="14">
        <f t="shared" si="39"/>
        <v>49025.191993237473</v>
      </c>
      <c r="BZ29" s="438">
        <f t="shared" si="40"/>
        <v>49000.748608568007</v>
      </c>
      <c r="CA29" s="75">
        <f t="shared" si="41"/>
        <v>0</v>
      </c>
      <c r="CB29" s="75">
        <f t="shared" si="42"/>
        <v>0.14750705875126011</v>
      </c>
      <c r="CC29" s="75">
        <f t="shared" si="43"/>
        <v>0.43388898834803419</v>
      </c>
      <c r="CD29" s="75">
        <f t="shared" si="44"/>
        <v>0.41810536465095771</v>
      </c>
      <c r="CE29" s="75">
        <f t="shared" si="45"/>
        <v>4.9858824974797697E-4</v>
      </c>
      <c r="CF29" s="75">
        <f t="shared" si="46"/>
        <v>1</v>
      </c>
      <c r="CG29" s="14"/>
      <c r="CH29" s="13">
        <f t="shared" si="23"/>
        <v>1985</v>
      </c>
      <c r="CI29" s="14">
        <f t="shared" si="5"/>
        <v>494.61491108898304</v>
      </c>
      <c r="CJ29" s="14">
        <f t="shared" si="1"/>
        <v>8405.053144055224</v>
      </c>
      <c r="CK29" s="14">
        <f t="shared" si="6"/>
        <v>22338.270368294605</v>
      </c>
      <c r="CL29" s="14">
        <f t="shared" si="7"/>
        <v>15904.842762988237</v>
      </c>
      <c r="CM29" s="14">
        <f t="shared" si="8"/>
        <v>14.929660642884723</v>
      </c>
      <c r="CN29" s="14">
        <f t="shared" si="9"/>
        <v>47157.710847069931</v>
      </c>
      <c r="CO29" s="14"/>
      <c r="CP29" s="13">
        <f t="shared" si="10"/>
        <v>1985</v>
      </c>
      <c r="CQ29" s="75">
        <f t="shared" si="11"/>
        <v>1.0488526737292107E-2</v>
      </c>
      <c r="CR29" s="75">
        <f t="shared" si="12"/>
        <v>0.17823284873416323</v>
      </c>
      <c r="CS29" s="75">
        <f t="shared" si="13"/>
        <v>0.47369284825415903</v>
      </c>
      <c r="CT29" s="75">
        <f t="shared" si="14"/>
        <v>0.33726918625390528</v>
      </c>
      <c r="CU29" s="75">
        <f t="shared" si="15"/>
        <v>3.1659002048044395E-4</v>
      </c>
      <c r="CV29" s="75">
        <f t="shared" si="16"/>
        <v>1</v>
      </c>
      <c r="CX29" s="13">
        <f t="shared" si="24"/>
        <v>1985</v>
      </c>
      <c r="CY29" s="14">
        <f t="shared" si="2"/>
        <v>41640.4566064588</v>
      </c>
      <c r="CZ29" s="14">
        <f t="shared" si="17"/>
        <v>47157.710847069931</v>
      </c>
      <c r="DA29" s="46">
        <f t="shared" si="18"/>
        <v>1.1324974481609156</v>
      </c>
      <c r="DB29" s="14">
        <f t="shared" si="19"/>
        <v>5517.2542406111315</v>
      </c>
      <c r="DF29" s="1"/>
      <c r="DG29" s="42"/>
      <c r="DH29" s="42"/>
      <c r="DI29" s="42"/>
      <c r="DJ29" s="42"/>
      <c r="DK29" s="42"/>
      <c r="DL29" s="42"/>
      <c r="DM29" s="1"/>
      <c r="DN29" s="1"/>
      <c r="DO29" s="1"/>
    </row>
    <row r="30" spans="1:119" x14ac:dyDescent="0.2">
      <c r="A30">
        <f t="shared" si="21"/>
        <v>1986</v>
      </c>
      <c r="B30" s="86">
        <v>21080</v>
      </c>
      <c r="C30" s="5" t="s">
        <v>408</v>
      </c>
      <c r="G30" s="18" t="s">
        <v>413</v>
      </c>
      <c r="H30" s="18"/>
      <c r="I30" s="18"/>
      <c r="J30" s="18"/>
      <c r="K30" s="1" t="s">
        <v>482</v>
      </c>
      <c r="L30" s="262">
        <f t="shared" si="20"/>
        <v>0.48684460222878428</v>
      </c>
      <c r="M30" s="259">
        <f t="shared" si="20"/>
        <v>-2121.431533196388</v>
      </c>
      <c r="N30" s="69">
        <f t="shared" si="3"/>
        <v>47656.750073801319</v>
      </c>
      <c r="O30" s="430">
        <f t="shared" si="4"/>
        <v>6</v>
      </c>
      <c r="P30" t="s">
        <v>350</v>
      </c>
      <c r="Q30" s="33" t="s">
        <v>34</v>
      </c>
      <c r="R30" t="s">
        <v>419</v>
      </c>
      <c r="S30" t="s">
        <v>239</v>
      </c>
      <c r="T30" s="229">
        <v>0</v>
      </c>
      <c r="U30" s="229">
        <v>0.33300000000000002</v>
      </c>
      <c r="V30" s="229">
        <v>0.39800000000000002</v>
      </c>
      <c r="W30" s="229">
        <v>0.27</v>
      </c>
      <c r="X30" s="229">
        <v>0</v>
      </c>
      <c r="Y30" s="39">
        <f t="shared" si="47"/>
        <v>1.0010000000000001</v>
      </c>
      <c r="Z30" s="40">
        <v>382</v>
      </c>
      <c r="AA30" s="21"/>
      <c r="AB30" s="14">
        <f t="shared" si="48"/>
        <v>0</v>
      </c>
      <c r="AC30" s="14">
        <f t="shared" si="49"/>
        <v>15869.69777457584</v>
      </c>
      <c r="AD30" s="14">
        <f t="shared" si="50"/>
        <v>18967.386529372925</v>
      </c>
      <c r="AE30" s="14">
        <f t="shared" si="51"/>
        <v>12867.322519926356</v>
      </c>
      <c r="AF30" s="14">
        <f t="shared" si="52"/>
        <v>0</v>
      </c>
      <c r="AG30" s="14">
        <f t="shared" si="53"/>
        <v>47704.406823875121</v>
      </c>
      <c r="AI30" s="40">
        <v>2033</v>
      </c>
      <c r="AJ30" s="40">
        <v>4457</v>
      </c>
      <c r="AK30" s="40">
        <v>6490</v>
      </c>
      <c r="AL30" s="18" t="s">
        <v>413</v>
      </c>
      <c r="AM30" s="14">
        <f t="shared" si="31"/>
        <v>0</v>
      </c>
      <c r="AN30" s="14">
        <f t="shared" si="32"/>
        <v>2161.17</v>
      </c>
      <c r="AO30" s="14">
        <f t="shared" si="33"/>
        <v>2583.02</v>
      </c>
      <c r="AP30" s="14">
        <f t="shared" si="34"/>
        <v>1752.3000000000002</v>
      </c>
      <c r="AQ30" s="14">
        <f t="shared" si="35"/>
        <v>0</v>
      </c>
      <c r="AR30" s="14">
        <f t="shared" si="54"/>
        <v>6496.4900000000007</v>
      </c>
      <c r="AT30" s="40">
        <v>1676</v>
      </c>
      <c r="AU30" s="40">
        <v>15488</v>
      </c>
      <c r="AV30" s="40">
        <v>290</v>
      </c>
      <c r="AW30" s="40">
        <f t="shared" si="25"/>
        <v>17454</v>
      </c>
      <c r="AX30" s="40">
        <v>76336.206433536936</v>
      </c>
      <c r="AY30" s="40">
        <f t="shared" si="22"/>
        <v>21080</v>
      </c>
      <c r="AZ30" s="289">
        <f t="shared" si="60"/>
        <v>0.27614681138698666</v>
      </c>
      <c r="BA30" s="40">
        <f t="shared" si="36"/>
        <v>4819.8664459484653</v>
      </c>
      <c r="BB30" s="56">
        <v>8.2616219008264467E-3</v>
      </c>
      <c r="BC30" s="56">
        <v>0.24099999999999999</v>
      </c>
      <c r="BD30" s="56">
        <v>0.44700000000000001</v>
      </c>
      <c r="BE30" s="56">
        <f>0.266+0.016</f>
        <v>0.28200000000000003</v>
      </c>
      <c r="BF30" s="56">
        <f>0.006+0.016</f>
        <v>2.1999999999999999E-2</v>
      </c>
      <c r="BG30" s="56">
        <f t="shared" si="26"/>
        <v>1.0002616219008265</v>
      </c>
      <c r="BH30" s="52">
        <v>900</v>
      </c>
      <c r="BI30" t="s">
        <v>445</v>
      </c>
      <c r="BJ30" s="18" t="s">
        <v>413</v>
      </c>
      <c r="BL30" s="14">
        <f t="shared" si="55"/>
        <v>39.819914188906367</v>
      </c>
      <c r="BM30" s="14">
        <f t="shared" si="56"/>
        <v>1161.5878134735801</v>
      </c>
      <c r="BN30" s="14">
        <f t="shared" si="57"/>
        <v>2154.4803013389642</v>
      </c>
      <c r="BO30" s="14">
        <f t="shared" si="58"/>
        <v>1359.2023377574674</v>
      </c>
      <c r="BP30" s="14">
        <f t="shared" si="59"/>
        <v>106.03706181086623</v>
      </c>
      <c r="BQ30" s="14">
        <f t="shared" si="37"/>
        <v>4821.1274285697837</v>
      </c>
      <c r="BS30">
        <f t="shared" si="0"/>
        <v>1986</v>
      </c>
      <c r="BT30" s="14">
        <f t="shared" si="27"/>
        <v>39.819914188906367</v>
      </c>
      <c r="BU30" s="14">
        <f t="shared" si="38"/>
        <v>19192.455588049419</v>
      </c>
      <c r="BV30" s="14">
        <f t="shared" si="28"/>
        <v>23704.88683071189</v>
      </c>
      <c r="BW30" s="14">
        <f t="shared" si="29"/>
        <v>15978.824857683823</v>
      </c>
      <c r="BX30" s="14">
        <f t="shared" si="30"/>
        <v>106.03706181086623</v>
      </c>
      <c r="BY30" s="14">
        <f t="shared" si="39"/>
        <v>59022.024252444906</v>
      </c>
      <c r="BZ30" s="438">
        <f t="shared" si="40"/>
        <v>58876.167276445136</v>
      </c>
      <c r="CA30" s="75">
        <f t="shared" si="41"/>
        <v>6.7466195362245445E-4</v>
      </c>
      <c r="CB30" s="75">
        <f t="shared" si="42"/>
        <v>0.32517447226074081</v>
      </c>
      <c r="CC30" s="75">
        <f t="shared" si="43"/>
        <v>0.40162781827547955</v>
      </c>
      <c r="CD30" s="75">
        <f t="shared" si="44"/>
        <v>0.27072647981947046</v>
      </c>
      <c r="CE30" s="75">
        <f t="shared" si="45"/>
        <v>1.7965676906866472E-3</v>
      </c>
      <c r="CF30" s="75">
        <f t="shared" si="46"/>
        <v>0.99999999999999989</v>
      </c>
      <c r="CG30" s="14"/>
      <c r="CH30" s="13">
        <f t="shared" si="23"/>
        <v>1986</v>
      </c>
      <c r="CI30" s="14">
        <f t="shared" si="5"/>
        <v>512.84272813744928</v>
      </c>
      <c r="CJ30" s="14">
        <f t="shared" si="1"/>
        <v>8767.5373197158842</v>
      </c>
      <c r="CK30" s="14">
        <f t="shared" si="6"/>
        <v>11060.495209749653</v>
      </c>
      <c r="CL30" s="14">
        <f t="shared" si="7"/>
        <v>10566.346948847491</v>
      </c>
      <c r="CM30" s="14">
        <f t="shared" si="8"/>
        <v>9.4863293221010103</v>
      </c>
      <c r="CN30" s="14">
        <f t="shared" si="9"/>
        <v>30916.708535772581</v>
      </c>
      <c r="CO30" s="14"/>
      <c r="CP30" s="13">
        <f t="shared" si="10"/>
        <v>1986</v>
      </c>
      <c r="CQ30" s="75">
        <f t="shared" si="11"/>
        <v>1.6587882488980285E-2</v>
      </c>
      <c r="CR30" s="75">
        <f t="shared" si="12"/>
        <v>0.28358572871919047</v>
      </c>
      <c r="CS30" s="75">
        <f t="shared" si="13"/>
        <v>0.35775138213539009</v>
      </c>
      <c r="CT30" s="75">
        <f t="shared" si="14"/>
        <v>0.34176817162220102</v>
      </c>
      <c r="CU30" s="75">
        <f t="shared" si="15"/>
        <v>3.0683503423803118E-4</v>
      </c>
      <c r="CV30" s="75">
        <f t="shared" si="16"/>
        <v>0.99999999999999989</v>
      </c>
      <c r="CX30" s="13">
        <f t="shared" si="24"/>
        <v>1986</v>
      </c>
      <c r="CY30" s="14">
        <f t="shared" si="2"/>
        <v>47656.750073801319</v>
      </c>
      <c r="CZ30" s="14">
        <f t="shared" si="17"/>
        <v>30916.708535772581</v>
      </c>
      <c r="DA30" s="81">
        <f t="shared" si="18"/>
        <v>0.64873724053559922</v>
      </c>
      <c r="DB30" s="14">
        <f t="shared" si="19"/>
        <v>0</v>
      </c>
      <c r="DF30" s="1"/>
      <c r="DG30" s="42"/>
      <c r="DH30" s="42"/>
      <c r="DI30" s="42"/>
      <c r="DJ30" s="42"/>
      <c r="DK30" s="42"/>
      <c r="DL30" s="42"/>
      <c r="DM30" s="1"/>
      <c r="DN30" s="1"/>
      <c r="DO30" s="1"/>
    </row>
    <row r="31" spans="1:119" x14ac:dyDescent="0.2">
      <c r="A31">
        <f t="shared" si="21"/>
        <v>1987</v>
      </c>
      <c r="B31" s="86">
        <v>15028</v>
      </c>
      <c r="C31" s="5" t="s">
        <v>408</v>
      </c>
      <c r="G31" s="18" t="s">
        <v>413</v>
      </c>
      <c r="H31" s="18"/>
      <c r="I31" s="18"/>
      <c r="J31" s="18"/>
      <c r="L31" s="262">
        <f t="shared" si="20"/>
        <v>0.48684460222878428</v>
      </c>
      <c r="M31" s="259">
        <f t="shared" si="20"/>
        <v>-2121.431533196388</v>
      </c>
      <c r="N31" s="69">
        <f t="shared" si="3"/>
        <v>35225.678696417599</v>
      </c>
      <c r="O31" s="430">
        <f t="shared" si="4"/>
        <v>17</v>
      </c>
      <c r="P31" t="s">
        <v>350</v>
      </c>
      <c r="Q31" s="33" t="s">
        <v>34</v>
      </c>
      <c r="R31" t="s">
        <v>419</v>
      </c>
      <c r="S31" t="s">
        <v>240</v>
      </c>
      <c r="T31" s="39">
        <v>0</v>
      </c>
      <c r="U31" s="39">
        <v>0.16</v>
      </c>
      <c r="V31" s="39">
        <v>0.56000000000000005</v>
      </c>
      <c r="W31" s="39">
        <v>0.28999999999999998</v>
      </c>
      <c r="X31" s="39">
        <v>0</v>
      </c>
      <c r="Y31" s="39">
        <f t="shared" si="47"/>
        <v>1.01</v>
      </c>
      <c r="Z31" s="40">
        <v>192</v>
      </c>
      <c r="AA31" s="21"/>
      <c r="AB31" s="14">
        <f t="shared" si="48"/>
        <v>0</v>
      </c>
      <c r="AC31" s="14">
        <f t="shared" si="49"/>
        <v>5636.108591426816</v>
      </c>
      <c r="AD31" s="14">
        <f t="shared" si="50"/>
        <v>19726.380069993858</v>
      </c>
      <c r="AE31" s="14">
        <f t="shared" si="51"/>
        <v>10215.446821961103</v>
      </c>
      <c r="AF31" s="14">
        <f t="shared" si="52"/>
        <v>0</v>
      </c>
      <c r="AG31" s="14">
        <f t="shared" si="53"/>
        <v>35577.935483381778</v>
      </c>
      <c r="AI31" s="40">
        <v>1010</v>
      </c>
      <c r="AJ31" s="40">
        <v>4622</v>
      </c>
      <c r="AK31" s="40">
        <v>5632</v>
      </c>
      <c r="AL31" s="18" t="s">
        <v>413</v>
      </c>
      <c r="AM31" s="14">
        <f t="shared" si="31"/>
        <v>0</v>
      </c>
      <c r="AN31" s="14">
        <f t="shared" si="32"/>
        <v>901.12</v>
      </c>
      <c r="AO31" s="14">
        <f t="shared" si="33"/>
        <v>3153.92</v>
      </c>
      <c r="AP31" s="14">
        <f t="shared" si="34"/>
        <v>1633.28</v>
      </c>
      <c r="AQ31" s="14">
        <f t="shared" si="35"/>
        <v>0</v>
      </c>
      <c r="AR31" s="14">
        <f t="shared" si="54"/>
        <v>5688.32</v>
      </c>
      <c r="AT31" s="40">
        <v>1610</v>
      </c>
      <c r="AU31" s="40">
        <v>12701</v>
      </c>
      <c r="AV31" s="40">
        <v>175</v>
      </c>
      <c r="AW31" s="40">
        <f t="shared" si="25"/>
        <v>14486</v>
      </c>
      <c r="AX31" s="40">
        <v>65916.308163360649</v>
      </c>
      <c r="AY31" s="40">
        <f t="shared" si="22"/>
        <v>15028</v>
      </c>
      <c r="AZ31" s="289">
        <f t="shared" si="60"/>
        <v>0.22798606928585941</v>
      </c>
      <c r="BA31" s="40">
        <f t="shared" si="36"/>
        <v>3302.6061996749595</v>
      </c>
      <c r="BB31" s="56">
        <v>4.539343358790646E-3</v>
      </c>
      <c r="BC31" s="56">
        <v>0.19559181954176838</v>
      </c>
      <c r="BD31" s="56">
        <v>0.44871110148807181</v>
      </c>
      <c r="BE31" s="56">
        <v>0.34542943862687975</v>
      </c>
      <c r="BF31" s="56">
        <v>5.8131328241870723E-3</v>
      </c>
      <c r="BG31" s="56">
        <f t="shared" si="26"/>
        <v>1.0000848358396977</v>
      </c>
      <c r="BH31" s="52">
        <v>675</v>
      </c>
      <c r="BI31" t="s">
        <v>445</v>
      </c>
      <c r="BJ31" s="18" t="s">
        <v>413</v>
      </c>
      <c r="BL31" s="14">
        <f t="shared" si="55"/>
        <v>14.991663519195342</v>
      </c>
      <c r="BM31" s="14">
        <f t="shared" si="56"/>
        <v>645.9627558243501</v>
      </c>
      <c r="BN31" s="14">
        <f t="shared" si="57"/>
        <v>1481.9160656374859</v>
      </c>
      <c r="BO31" s="14">
        <f t="shared" si="58"/>
        <v>1140.817405559374</v>
      </c>
      <c r="BP31" s="14">
        <f t="shared" si="59"/>
        <v>19.198488504694232</v>
      </c>
      <c r="BQ31" s="14">
        <f t="shared" si="37"/>
        <v>3302.8863790450991</v>
      </c>
      <c r="BS31">
        <f t="shared" si="0"/>
        <v>1987</v>
      </c>
      <c r="BT31" s="14">
        <f t="shared" si="27"/>
        <v>14.991663519195342</v>
      </c>
      <c r="BU31" s="14">
        <f t="shared" si="38"/>
        <v>7183.191347251166</v>
      </c>
      <c r="BV31" s="14">
        <f t="shared" si="28"/>
        <v>24362.216135631345</v>
      </c>
      <c r="BW31" s="14">
        <f t="shared" si="29"/>
        <v>12989.544227520477</v>
      </c>
      <c r="BX31" s="14">
        <f t="shared" si="30"/>
        <v>19.198488504694232</v>
      </c>
      <c r="BY31" s="14">
        <f t="shared" si="39"/>
        <v>44569.141862426877</v>
      </c>
      <c r="BZ31" s="438">
        <f t="shared" si="40"/>
        <v>44534.951710402987</v>
      </c>
      <c r="CA31" s="75">
        <f t="shared" si="41"/>
        <v>3.3636868229302311E-4</v>
      </c>
      <c r="CB31" s="75">
        <f t="shared" si="42"/>
        <v>0.16116961303459179</v>
      </c>
      <c r="CC31" s="75">
        <f t="shared" si="43"/>
        <v>0.54661622633056395</v>
      </c>
      <c r="CD31" s="75">
        <f t="shared" si="44"/>
        <v>0.29144703453379822</v>
      </c>
      <c r="CE31" s="75">
        <f t="shared" si="45"/>
        <v>4.3075741875297656E-4</v>
      </c>
      <c r="CF31" s="75">
        <f t="shared" si="46"/>
        <v>1</v>
      </c>
      <c r="CG31" s="14"/>
      <c r="CH31" s="13">
        <f t="shared" si="23"/>
        <v>1987</v>
      </c>
      <c r="CI31" s="14">
        <f t="shared" si="5"/>
        <v>474.41726944677896</v>
      </c>
      <c r="CJ31" s="14">
        <f t="shared" si="1"/>
        <v>4906.3184184722631</v>
      </c>
      <c r="CK31" s="14">
        <f t="shared" si="6"/>
        <v>8952.337306880132</v>
      </c>
      <c r="CL31" s="14">
        <f t="shared" si="7"/>
        <v>7367.4248176555466</v>
      </c>
      <c r="CM31" s="14">
        <f t="shared" si="8"/>
        <v>100.56368004228842</v>
      </c>
      <c r="CN31" s="14">
        <f t="shared" si="9"/>
        <v>21801.061492497007</v>
      </c>
      <c r="CO31" s="14"/>
      <c r="CP31" s="13">
        <f t="shared" si="10"/>
        <v>1987</v>
      </c>
      <c r="CQ31" s="75">
        <f t="shared" si="11"/>
        <v>2.1761200463108327E-2</v>
      </c>
      <c r="CR31" s="75">
        <f t="shared" si="12"/>
        <v>0.22504951972915668</v>
      </c>
      <c r="CS31" s="75">
        <f t="shared" si="13"/>
        <v>0.41063767972771159</v>
      </c>
      <c r="CT31" s="75">
        <f t="shared" si="14"/>
        <v>0.33793881184139124</v>
      </c>
      <c r="CU31" s="75">
        <f t="shared" si="15"/>
        <v>4.6127882386322403E-3</v>
      </c>
      <c r="CV31" s="75">
        <f t="shared" si="16"/>
        <v>1</v>
      </c>
      <c r="CX31" s="13">
        <f t="shared" si="24"/>
        <v>1987</v>
      </c>
      <c r="CY31" s="14">
        <f t="shared" si="2"/>
        <v>35225.678696417599</v>
      </c>
      <c r="CZ31" s="14">
        <f t="shared" si="17"/>
        <v>21801.061492497007</v>
      </c>
      <c r="DA31" s="81">
        <f t="shared" si="18"/>
        <v>0.61889684739315309</v>
      </c>
      <c r="DB31" s="14">
        <f t="shared" si="19"/>
        <v>0</v>
      </c>
      <c r="DF31" s="1"/>
      <c r="DG31" s="42"/>
      <c r="DH31" s="42"/>
      <c r="DI31" s="42"/>
      <c r="DJ31" s="42"/>
      <c r="DK31" s="42"/>
      <c r="DL31" s="42"/>
      <c r="DM31" s="1"/>
      <c r="DN31" s="1"/>
      <c r="DO31" s="1"/>
    </row>
    <row r="32" spans="1:119" x14ac:dyDescent="0.2">
      <c r="A32">
        <f t="shared" si="21"/>
        <v>1988</v>
      </c>
      <c r="B32" s="86">
        <v>19200</v>
      </c>
      <c r="C32" s="5" t="s">
        <v>408</v>
      </c>
      <c r="G32" s="18" t="s">
        <v>413</v>
      </c>
      <c r="H32" s="18"/>
      <c r="I32" s="18"/>
      <c r="J32" s="18"/>
      <c r="L32" s="262">
        <f t="shared" si="20"/>
        <v>0.48684460222878428</v>
      </c>
      <c r="M32" s="259">
        <f t="shared" si="20"/>
        <v>-2121.431533196388</v>
      </c>
      <c r="N32" s="69">
        <f t="shared" si="3"/>
        <v>43795.14825795839</v>
      </c>
      <c r="O32" s="430">
        <f t="shared" si="4"/>
        <v>8</v>
      </c>
      <c r="P32" t="s">
        <v>350</v>
      </c>
      <c r="Q32" s="33" t="s">
        <v>34</v>
      </c>
      <c r="R32" t="s">
        <v>419</v>
      </c>
      <c r="S32" t="s">
        <v>241</v>
      </c>
      <c r="T32" s="39">
        <v>0.01</v>
      </c>
      <c r="U32" s="39">
        <v>0.12</v>
      </c>
      <c r="V32" s="39">
        <v>0.25</v>
      </c>
      <c r="W32" s="39">
        <v>0.6</v>
      </c>
      <c r="X32" s="39">
        <v>0.02</v>
      </c>
      <c r="Y32" s="39">
        <f t="shared" si="47"/>
        <v>1</v>
      </c>
      <c r="Z32" s="40">
        <v>351</v>
      </c>
      <c r="AA32" s="21"/>
      <c r="AB32" s="14">
        <f t="shared" si="48"/>
        <v>437.95148257958391</v>
      </c>
      <c r="AC32" s="14">
        <f t="shared" si="49"/>
        <v>5255.4177909550062</v>
      </c>
      <c r="AD32" s="14">
        <f t="shared" si="50"/>
        <v>10948.787064489597</v>
      </c>
      <c r="AE32" s="14">
        <f t="shared" si="51"/>
        <v>26277.088954775034</v>
      </c>
      <c r="AF32" s="14">
        <f t="shared" si="52"/>
        <v>875.90296515916782</v>
      </c>
      <c r="AG32" s="14">
        <f t="shared" si="53"/>
        <v>43795.14825795839</v>
      </c>
      <c r="AI32" s="40">
        <v>388</v>
      </c>
      <c r="AJ32" s="40">
        <v>5086</v>
      </c>
      <c r="AK32" s="40">
        <v>5474</v>
      </c>
      <c r="AL32" s="18" t="s">
        <v>413</v>
      </c>
      <c r="AM32" s="14">
        <f t="shared" si="31"/>
        <v>54.74</v>
      </c>
      <c r="AN32" s="14">
        <f t="shared" si="32"/>
        <v>656.88</v>
      </c>
      <c r="AO32" s="14">
        <f t="shared" si="33"/>
        <v>1368.5</v>
      </c>
      <c r="AP32" s="14">
        <f t="shared" si="34"/>
        <v>3284.4</v>
      </c>
      <c r="AQ32" s="14">
        <f t="shared" si="35"/>
        <v>109.48</v>
      </c>
      <c r="AR32" s="14">
        <f t="shared" si="54"/>
        <v>5474</v>
      </c>
      <c r="AT32" s="40">
        <v>1587</v>
      </c>
      <c r="AU32" s="40">
        <v>12836</v>
      </c>
      <c r="AV32" s="40">
        <v>120</v>
      </c>
      <c r="AW32" s="40">
        <f t="shared" si="25"/>
        <v>14543</v>
      </c>
      <c r="AX32" s="40">
        <v>83008.366475533403</v>
      </c>
      <c r="AY32" s="40">
        <f t="shared" si="22"/>
        <v>19200</v>
      </c>
      <c r="AZ32" s="289">
        <f t="shared" si="60"/>
        <v>0.23130198575416097</v>
      </c>
      <c r="BA32" s="40">
        <f t="shared" si="36"/>
        <v>3363.8247788227632</v>
      </c>
      <c r="BB32" s="56">
        <v>5.7179806793393581E-4</v>
      </c>
      <c r="BC32" s="56">
        <v>0.14947179806793395</v>
      </c>
      <c r="BD32" s="56">
        <v>0.28016865066999069</v>
      </c>
      <c r="BE32" s="56">
        <v>0.56045602991586163</v>
      </c>
      <c r="BF32" s="56">
        <v>9.3317232782798385E-3</v>
      </c>
      <c r="BG32" s="56">
        <f t="shared" si="26"/>
        <v>1</v>
      </c>
      <c r="BH32" s="52">
        <v>744</v>
      </c>
      <c r="BI32" t="s">
        <v>445</v>
      </c>
      <c r="BJ32" s="18" t="s">
        <v>413</v>
      </c>
      <c r="BL32" s="14">
        <f t="shared" si="55"/>
        <v>1.923428509399155</v>
      </c>
      <c r="BM32" s="14">
        <f t="shared" si="56"/>
        <v>502.79693807610863</v>
      </c>
      <c r="BN32" s="14">
        <f t="shared" si="57"/>
        <v>942.4382493730534</v>
      </c>
      <c r="BO32" s="14">
        <f t="shared" si="58"/>
        <v>1885.2758808716071</v>
      </c>
      <c r="BP32" s="14">
        <f t="shared" si="59"/>
        <v>31.390281992594907</v>
      </c>
      <c r="BQ32" s="14">
        <f t="shared" si="37"/>
        <v>3363.8247788227632</v>
      </c>
      <c r="BS32">
        <f t="shared" si="0"/>
        <v>1988</v>
      </c>
      <c r="BT32" s="14">
        <f t="shared" si="27"/>
        <v>494.61491108898304</v>
      </c>
      <c r="BU32" s="14">
        <f t="shared" si="38"/>
        <v>6415.0947290311151</v>
      </c>
      <c r="BV32" s="14">
        <f t="shared" si="28"/>
        <v>13259.725313862651</v>
      </c>
      <c r="BW32" s="14">
        <f t="shared" si="29"/>
        <v>31446.764835646642</v>
      </c>
      <c r="BX32" s="14">
        <f t="shared" si="30"/>
        <v>1016.7732471517627</v>
      </c>
      <c r="BY32" s="14">
        <f t="shared" si="39"/>
        <v>52632.97303678115</v>
      </c>
      <c r="BZ32" s="438">
        <f t="shared" si="40"/>
        <v>51121.584878540409</v>
      </c>
      <c r="CA32" s="75">
        <f t="shared" si="41"/>
        <v>9.3974343942785556E-3</v>
      </c>
      <c r="CB32" s="75">
        <f t="shared" si="42"/>
        <v>0.12188357143625722</v>
      </c>
      <c r="CC32" s="75">
        <f t="shared" si="43"/>
        <v>0.25192810796753673</v>
      </c>
      <c r="CD32" s="75">
        <f t="shared" si="44"/>
        <v>0.59747270620017812</v>
      </c>
      <c r="CE32" s="75">
        <f t="shared" si="45"/>
        <v>1.9318180001749431E-2</v>
      </c>
      <c r="CF32" s="75">
        <f t="shared" si="46"/>
        <v>1</v>
      </c>
      <c r="CG32" s="14"/>
      <c r="CH32" s="13">
        <f t="shared" si="23"/>
        <v>1988</v>
      </c>
      <c r="CI32" s="14">
        <f t="shared" si="5"/>
        <v>0</v>
      </c>
      <c r="CJ32" s="14">
        <f t="shared" si="1"/>
        <v>5848.313870963615</v>
      </c>
      <c r="CK32" s="14">
        <f t="shared" si="6"/>
        <v>10369.473715093151</v>
      </c>
      <c r="CL32" s="14">
        <f t="shared" si="7"/>
        <v>4305.4615651202876</v>
      </c>
      <c r="CM32" s="260">
        <f t="shared" si="8"/>
        <v>167.08999671531134</v>
      </c>
      <c r="CN32" s="40">
        <f t="shared" si="9"/>
        <v>20690.339147892366</v>
      </c>
      <c r="CO32" s="14"/>
      <c r="CP32" s="13">
        <f t="shared" si="10"/>
        <v>1988</v>
      </c>
      <c r="CQ32" s="75">
        <f t="shared" si="11"/>
        <v>0</v>
      </c>
      <c r="CR32" s="75">
        <f t="shared" si="12"/>
        <v>0.28265915938644037</v>
      </c>
      <c r="CS32" s="75">
        <f t="shared" si="13"/>
        <v>0.50117466132252564</v>
      </c>
      <c r="CT32" s="75">
        <f t="shared" si="14"/>
        <v>0.20809042975783537</v>
      </c>
      <c r="CU32" s="76">
        <f t="shared" si="15"/>
        <v>8.0757495331985445E-3</v>
      </c>
      <c r="CV32" s="75">
        <f t="shared" si="16"/>
        <v>0.99999999999999989</v>
      </c>
      <c r="CX32" s="13">
        <f t="shared" si="24"/>
        <v>1988</v>
      </c>
      <c r="CY32" s="14">
        <f t="shared" si="2"/>
        <v>43795.14825795839</v>
      </c>
      <c r="CZ32" s="14">
        <f t="shared" si="17"/>
        <v>20690.339147892366</v>
      </c>
      <c r="DA32" s="81">
        <f t="shared" si="18"/>
        <v>0.47243450406935311</v>
      </c>
      <c r="DB32" s="14">
        <f t="shared" si="19"/>
        <v>0</v>
      </c>
      <c r="DF32" s="1"/>
      <c r="DG32" s="42"/>
      <c r="DH32" s="42"/>
      <c r="DI32" s="42"/>
      <c r="DJ32" s="42"/>
      <c r="DK32" s="42"/>
      <c r="DL32" s="42"/>
      <c r="DM32" s="1"/>
      <c r="DN32" s="1"/>
      <c r="DO32" s="1"/>
    </row>
    <row r="33" spans="1:255" x14ac:dyDescent="0.2">
      <c r="A33">
        <f t="shared" si="21"/>
        <v>1989</v>
      </c>
      <c r="B33" s="268">
        <v>9196</v>
      </c>
      <c r="C33" s="5" t="s">
        <v>593</v>
      </c>
      <c r="G33" s="18" t="s">
        <v>413</v>
      </c>
      <c r="H33" s="18"/>
      <c r="I33" s="18"/>
      <c r="J33" s="18"/>
      <c r="K33" s="4"/>
      <c r="L33" s="262">
        <f t="shared" si="20"/>
        <v>0.48684460222878428</v>
      </c>
      <c r="M33" s="259">
        <f t="shared" si="20"/>
        <v>-2121.431533196388</v>
      </c>
      <c r="N33" s="69">
        <f t="shared" si="3"/>
        <v>23246.496893228272</v>
      </c>
      <c r="O33" s="430">
        <f t="shared" si="4"/>
        <v>25</v>
      </c>
      <c r="P33" t="s">
        <v>351</v>
      </c>
      <c r="Q33" s="33" t="s">
        <v>34</v>
      </c>
      <c r="R33" t="s">
        <v>419</v>
      </c>
      <c r="S33" t="s">
        <v>242</v>
      </c>
      <c r="T33" s="39">
        <v>1.6E-2</v>
      </c>
      <c r="U33" s="39">
        <v>0.254</v>
      </c>
      <c r="V33" s="39">
        <v>0.254</v>
      </c>
      <c r="W33" s="39">
        <v>0.46200000000000002</v>
      </c>
      <c r="X33" s="39">
        <v>1.2999999999999999E-2</v>
      </c>
      <c r="Y33" s="39">
        <f t="shared" si="47"/>
        <v>0.999</v>
      </c>
      <c r="Z33" s="40">
        <v>307</v>
      </c>
      <c r="AA33" s="21"/>
      <c r="AB33" s="14">
        <f t="shared" si="48"/>
        <v>371.94395029165236</v>
      </c>
      <c r="AC33" s="14">
        <f t="shared" si="49"/>
        <v>5904.6102108799814</v>
      </c>
      <c r="AD33" s="14">
        <f t="shared" si="50"/>
        <v>5904.6102108799814</v>
      </c>
      <c r="AE33" s="14">
        <f t="shared" si="51"/>
        <v>10739.881564671463</v>
      </c>
      <c r="AF33" s="14">
        <f t="shared" si="52"/>
        <v>302.20445961196754</v>
      </c>
      <c r="AG33" s="14">
        <f t="shared" si="53"/>
        <v>23223.250396335046</v>
      </c>
      <c r="AI33" s="40">
        <v>1219</v>
      </c>
      <c r="AJ33" s="40">
        <v>6843</v>
      </c>
      <c r="AK33" s="40">
        <v>8062</v>
      </c>
      <c r="AL33" s="18" t="s">
        <v>413</v>
      </c>
      <c r="AM33" s="14">
        <f t="shared" si="31"/>
        <v>128.99199999999999</v>
      </c>
      <c r="AN33" s="14">
        <f t="shared" si="32"/>
        <v>2047.748</v>
      </c>
      <c r="AO33" s="14">
        <f t="shared" si="33"/>
        <v>2047.748</v>
      </c>
      <c r="AP33" s="14">
        <f t="shared" si="34"/>
        <v>3724.6440000000002</v>
      </c>
      <c r="AQ33" s="14">
        <f t="shared" si="35"/>
        <v>104.806</v>
      </c>
      <c r="AR33" s="14">
        <f t="shared" si="54"/>
        <v>8053.9380000000001</v>
      </c>
      <c r="AT33" s="40">
        <v>1250</v>
      </c>
      <c r="AU33" s="40">
        <v>12731</v>
      </c>
      <c r="AV33" s="40">
        <v>1144</v>
      </c>
      <c r="AW33" s="40">
        <f t="shared" si="25"/>
        <v>15125</v>
      </c>
      <c r="AX33" s="40">
        <v>56887.291508053866</v>
      </c>
      <c r="AY33" s="40">
        <f t="shared" si="22"/>
        <v>9196</v>
      </c>
      <c r="AZ33" s="289">
        <f t="shared" si="60"/>
        <v>0.16165297654746083</v>
      </c>
      <c r="BA33" s="40">
        <f t="shared" si="36"/>
        <v>2445.0012702803451</v>
      </c>
      <c r="BB33" s="56">
        <v>4.8698452596025454E-3</v>
      </c>
      <c r="BC33" s="56">
        <v>0.18515120571832533</v>
      </c>
      <c r="BD33" s="56">
        <v>0.33537671824679921</v>
      </c>
      <c r="BE33" s="56">
        <v>0.46802340743068099</v>
      </c>
      <c r="BF33" s="56">
        <v>6.5788233445919419E-3</v>
      </c>
      <c r="BG33" s="56">
        <f t="shared" si="26"/>
        <v>1.0000000000000002</v>
      </c>
      <c r="BH33" s="52">
        <v>672</v>
      </c>
      <c r="BI33" t="s">
        <v>445</v>
      </c>
      <c r="BJ33" s="18" t="s">
        <v>413</v>
      </c>
      <c r="BL33" s="14">
        <f t="shared" si="55"/>
        <v>11.90677784579694</v>
      </c>
      <c r="BM33" s="14">
        <f t="shared" si="56"/>
        <v>452.69493317524291</v>
      </c>
      <c r="BN33" s="14">
        <f t="shared" si="57"/>
        <v>819.99650213587745</v>
      </c>
      <c r="BO33" s="14">
        <f t="shared" si="58"/>
        <v>1144.3178256889505</v>
      </c>
      <c r="BP33" s="14">
        <f t="shared" si="59"/>
        <v>16.085231434477286</v>
      </c>
      <c r="BQ33" s="14">
        <f t="shared" si="37"/>
        <v>2445.0012702803451</v>
      </c>
      <c r="BS33">
        <f t="shared" si="0"/>
        <v>1989</v>
      </c>
      <c r="BT33" s="14">
        <f t="shared" si="27"/>
        <v>512.84272813744928</v>
      </c>
      <c r="BU33" s="14">
        <f t="shared" si="38"/>
        <v>8405.053144055224</v>
      </c>
      <c r="BV33" s="14">
        <f t="shared" si="28"/>
        <v>8772.3547130158586</v>
      </c>
      <c r="BW33" s="14">
        <f t="shared" si="29"/>
        <v>15608.843390360413</v>
      </c>
      <c r="BX33" s="14">
        <f t="shared" si="30"/>
        <v>423.09569104644481</v>
      </c>
      <c r="BY33" s="14">
        <f t="shared" si="39"/>
        <v>33722.189666615392</v>
      </c>
      <c r="BZ33" s="438">
        <f t="shared" si="40"/>
        <v>32786.251247431501</v>
      </c>
      <c r="CA33" s="75">
        <f t="shared" si="41"/>
        <v>1.520787152932593E-2</v>
      </c>
      <c r="CB33" s="75">
        <f t="shared" si="42"/>
        <v>0.24924399118649573</v>
      </c>
      <c r="CC33" s="75">
        <f t="shared" si="43"/>
        <v>0.26013597574004504</v>
      </c>
      <c r="CD33" s="75">
        <f t="shared" si="44"/>
        <v>0.46286565447477457</v>
      </c>
      <c r="CE33" s="75">
        <f t="shared" si="45"/>
        <v>1.2546507069358698E-2</v>
      </c>
      <c r="CF33" s="75">
        <f t="shared" si="46"/>
        <v>0.99999999999999989</v>
      </c>
      <c r="CG33" s="14"/>
      <c r="CH33" s="13">
        <f t="shared" si="23"/>
        <v>1989</v>
      </c>
      <c r="CI33" s="14">
        <f t="shared" si="5"/>
        <v>3041.0043261762562</v>
      </c>
      <c r="CJ33" s="14">
        <f t="shared" si="1"/>
        <v>4711.3773275208714</v>
      </c>
      <c r="CK33" s="14">
        <f t="shared" si="6"/>
        <v>4583.8690687893459</v>
      </c>
      <c r="CL33" s="260">
        <f t="shared" si="7"/>
        <v>3286.3170388531744</v>
      </c>
      <c r="CM33" s="260">
        <f t="shared" si="8"/>
        <v>0</v>
      </c>
      <c r="CN33" s="40">
        <f t="shared" si="9"/>
        <v>15622.567761339649</v>
      </c>
      <c r="CO33" s="14"/>
      <c r="CP33" s="13">
        <f t="shared" si="10"/>
        <v>1989</v>
      </c>
      <c r="CQ33" s="75">
        <f t="shared" si="11"/>
        <v>0.19465457744415554</v>
      </c>
      <c r="CR33" s="75">
        <f t="shared" si="12"/>
        <v>0.30157509312776803</v>
      </c>
      <c r="CS33" s="75">
        <f t="shared" si="13"/>
        <v>0.29341329407658623</v>
      </c>
      <c r="CT33" s="351">
        <f t="shared" si="14"/>
        <v>0.21035703535149011</v>
      </c>
      <c r="CU33" s="76">
        <f t="shared" si="15"/>
        <v>0</v>
      </c>
      <c r="CV33" s="75">
        <f t="shared" si="16"/>
        <v>0.99999999999999989</v>
      </c>
      <c r="CX33" s="13">
        <f t="shared" si="24"/>
        <v>1989</v>
      </c>
      <c r="CY33" s="14">
        <f t="shared" si="2"/>
        <v>23246.496893228272</v>
      </c>
      <c r="CZ33" s="14">
        <f t="shared" si="17"/>
        <v>15622.567761339649</v>
      </c>
      <c r="DA33" s="81">
        <f t="shared" si="18"/>
        <v>0.67203965539816535</v>
      </c>
      <c r="DB33" s="14">
        <f t="shared" si="19"/>
        <v>0</v>
      </c>
      <c r="DF33" s="1"/>
      <c r="DG33" s="42"/>
      <c r="DH33" s="42"/>
      <c r="DI33" s="42"/>
      <c r="DJ33" s="42"/>
      <c r="DK33" s="42"/>
      <c r="DL33" s="42"/>
      <c r="DM33" s="1"/>
      <c r="DN33" s="1"/>
      <c r="DO33" s="1"/>
    </row>
    <row r="34" spans="1:255" x14ac:dyDescent="0.2">
      <c r="A34">
        <f t="shared" si="21"/>
        <v>1990</v>
      </c>
      <c r="B34" s="86">
        <v>18166</v>
      </c>
      <c r="C34" s="5" t="s">
        <v>408</v>
      </c>
      <c r="G34" s="119" t="s">
        <v>413</v>
      </c>
      <c r="H34" s="119"/>
      <c r="I34" s="18"/>
      <c r="J34" s="18"/>
      <c r="L34" s="262">
        <f t="shared" si="20"/>
        <v>0.48684460222878428</v>
      </c>
      <c r="M34" s="259">
        <f t="shared" si="20"/>
        <v>-2121.431533196388</v>
      </c>
      <c r="N34" s="69">
        <f t="shared" si="3"/>
        <v>41671.267259244785</v>
      </c>
      <c r="O34" s="430">
        <f t="shared" si="4"/>
        <v>9</v>
      </c>
      <c r="P34" t="s">
        <v>350</v>
      </c>
      <c r="Q34" s="33" t="s">
        <v>34</v>
      </c>
      <c r="R34" t="s">
        <v>320</v>
      </c>
      <c r="T34" s="39">
        <f>T68</f>
        <v>9.0666666666666673E-3</v>
      </c>
      <c r="U34" s="39">
        <f>U68</f>
        <v>0.16726666666666665</v>
      </c>
      <c r="V34" s="39">
        <f>V68</f>
        <v>0.43266666666666664</v>
      </c>
      <c r="W34" s="39">
        <f>W68</f>
        <v>0.38700000000000007</v>
      </c>
      <c r="X34" s="39">
        <f>X68</f>
        <v>2.8E-3</v>
      </c>
      <c r="Y34" s="39">
        <f t="shared" si="47"/>
        <v>0.99880000000000002</v>
      </c>
      <c r="Z34" s="40"/>
      <c r="AA34" s="21"/>
      <c r="AB34" s="14">
        <f t="shared" si="48"/>
        <v>377.81948981715277</v>
      </c>
      <c r="AC34" s="14">
        <f t="shared" si="49"/>
        <v>6970.2139702296772</v>
      </c>
      <c r="AD34" s="14">
        <f t="shared" si="50"/>
        <v>18029.768300833242</v>
      </c>
      <c r="AE34" s="14">
        <f t="shared" si="51"/>
        <v>16126.780429327735</v>
      </c>
      <c r="AF34" s="14">
        <f t="shared" si="52"/>
        <v>116.67954832588539</v>
      </c>
      <c r="AG34" s="14">
        <f t="shared" si="53"/>
        <v>41621.261738533693</v>
      </c>
      <c r="AI34" s="40">
        <v>486</v>
      </c>
      <c r="AJ34" s="40">
        <v>5675</v>
      </c>
      <c r="AK34" s="40">
        <v>6464</v>
      </c>
      <c r="AL34" s="18" t="s">
        <v>413</v>
      </c>
      <c r="AM34" s="14">
        <f t="shared" si="31"/>
        <v>58.606933333333338</v>
      </c>
      <c r="AN34" s="14">
        <f>$AK34*U34</f>
        <v>1081.2117333333333</v>
      </c>
      <c r="AO34" s="14">
        <f t="shared" si="33"/>
        <v>2796.757333333333</v>
      </c>
      <c r="AP34" s="14">
        <f t="shared" si="34"/>
        <v>2501.5680000000002</v>
      </c>
      <c r="AQ34" s="14">
        <f t="shared" si="35"/>
        <v>18.0992</v>
      </c>
      <c r="AR34" s="14">
        <f t="shared" si="54"/>
        <v>6456.2431999999999</v>
      </c>
      <c r="AT34" s="40">
        <v>781</v>
      </c>
      <c r="AU34" s="40">
        <v>9582</v>
      </c>
      <c r="AV34" s="40">
        <v>1082</v>
      </c>
      <c r="AW34" s="40">
        <f t="shared" si="25"/>
        <v>11445</v>
      </c>
      <c r="AX34" s="40">
        <v>56723</v>
      </c>
      <c r="AY34" s="40">
        <f t="shared" si="22"/>
        <v>18166</v>
      </c>
      <c r="AZ34" s="289">
        <f t="shared" si="60"/>
        <v>0.32025809636302732</v>
      </c>
      <c r="BA34" s="40">
        <f t="shared" si="36"/>
        <v>3665.3539128748475</v>
      </c>
      <c r="BB34" s="56">
        <v>1.0364850761845125E-2</v>
      </c>
      <c r="BC34" s="56">
        <v>0.19537311625965351</v>
      </c>
      <c r="BD34" s="56">
        <v>0.41244168232101858</v>
      </c>
      <c r="BE34" s="56">
        <v>0.36703752869964518</v>
      </c>
      <c r="BF34" s="56">
        <v>1.4856856606136505E-2</v>
      </c>
      <c r="BG34" s="56">
        <f t="shared" si="26"/>
        <v>1.0000740346482988</v>
      </c>
      <c r="BH34" s="52">
        <v>704</v>
      </c>
      <c r="BI34" t="s">
        <v>445</v>
      </c>
      <c r="BJ34" s="18" t="s">
        <v>413</v>
      </c>
      <c r="BL34" s="14">
        <f t="shared" si="55"/>
        <v>37.990846296292872</v>
      </c>
      <c r="BM34" s="14">
        <f t="shared" si="56"/>
        <v>716.11161615287347</v>
      </c>
      <c r="BN34" s="14">
        <f t="shared" si="57"/>
        <v>1511.7447341280304</v>
      </c>
      <c r="BO34" s="14">
        <f t="shared" si="58"/>
        <v>1345.3224419911587</v>
      </c>
      <c r="BP34" s="14">
        <f t="shared" si="59"/>
        <v>54.455637494322971</v>
      </c>
      <c r="BQ34" s="14">
        <f t="shared" si="37"/>
        <v>3665.6252760626785</v>
      </c>
      <c r="BS34">
        <f t="shared" si="0"/>
        <v>1990</v>
      </c>
      <c r="BT34" s="14">
        <f t="shared" si="27"/>
        <v>474.41726944677896</v>
      </c>
      <c r="BU34" s="14">
        <f t="shared" si="38"/>
        <v>8767.5373197158842</v>
      </c>
      <c r="BV34" s="14">
        <f t="shared" si="28"/>
        <v>22338.270368294605</v>
      </c>
      <c r="BW34" s="14">
        <f t="shared" si="29"/>
        <v>19973.670871318893</v>
      </c>
      <c r="BX34" s="14">
        <f t="shared" si="30"/>
        <v>189.23438582020836</v>
      </c>
      <c r="BY34" s="14">
        <f t="shared" si="39"/>
        <v>51743.130214596371</v>
      </c>
      <c r="BZ34" s="438">
        <f t="shared" si="40"/>
        <v>51079.478559329378</v>
      </c>
      <c r="CA34" s="75">
        <f t="shared" si="41"/>
        <v>9.1687006077755453E-3</v>
      </c>
      <c r="CB34" s="75">
        <f t="shared" si="42"/>
        <v>0.16944350454551016</v>
      </c>
      <c r="CC34" s="75">
        <f t="shared" si="43"/>
        <v>0.4317147083226352</v>
      </c>
      <c r="CD34" s="75">
        <f t="shared" si="44"/>
        <v>0.38601589792657076</v>
      </c>
      <c r="CE34" s="75">
        <f t="shared" si="45"/>
        <v>3.6571885975082868E-3</v>
      </c>
      <c r="CF34" s="75">
        <f t="shared" si="46"/>
        <v>1</v>
      </c>
      <c r="CG34" s="14"/>
      <c r="CH34" s="13">
        <f t="shared" si="23"/>
        <v>1990</v>
      </c>
      <c r="CI34" s="14">
        <f t="shared" si="5"/>
        <v>3.1621097740336701</v>
      </c>
      <c r="CJ34" s="14">
        <f t="shared" si="1"/>
        <v>1730.4936380593278</v>
      </c>
      <c r="CK34" s="260">
        <f t="shared" si="6"/>
        <v>3098.7645462437235</v>
      </c>
      <c r="CL34" s="260">
        <f t="shared" si="7"/>
        <v>2013.7231180938411</v>
      </c>
      <c r="CM34" s="260">
        <f t="shared" si="8"/>
        <v>0</v>
      </c>
      <c r="CN34" s="40">
        <f t="shared" si="9"/>
        <v>6846.1434121709262</v>
      </c>
      <c r="CO34" s="14"/>
      <c r="CP34" s="13">
        <f t="shared" si="10"/>
        <v>1990</v>
      </c>
      <c r="CQ34" s="75">
        <f t="shared" si="11"/>
        <v>4.6188190688675019E-4</v>
      </c>
      <c r="CR34" s="75">
        <f t="shared" si="12"/>
        <v>0.2527691188856625</v>
      </c>
      <c r="CS34" s="351">
        <f t="shared" si="13"/>
        <v>0.45262921906292625</v>
      </c>
      <c r="CT34" s="351">
        <f t="shared" si="14"/>
        <v>0.29413978014452452</v>
      </c>
      <c r="CU34" s="76">
        <f t="shared" si="15"/>
        <v>0</v>
      </c>
      <c r="CV34" s="75">
        <f t="shared" si="16"/>
        <v>1</v>
      </c>
      <c r="CX34" s="13">
        <f t="shared" si="24"/>
        <v>1990</v>
      </c>
      <c r="CY34" s="14">
        <f t="shared" si="2"/>
        <v>41671.267259244785</v>
      </c>
      <c r="CZ34" s="14">
        <f t="shared" si="17"/>
        <v>6846.1434121709262</v>
      </c>
      <c r="DA34" s="81">
        <f t="shared" si="18"/>
        <v>0.1642893020166577</v>
      </c>
      <c r="DB34" s="14">
        <f t="shared" si="19"/>
        <v>0</v>
      </c>
      <c r="DF34" s="1"/>
      <c r="DG34" s="42"/>
      <c r="DH34" s="42"/>
      <c r="DI34" s="42"/>
      <c r="DJ34" s="42"/>
      <c r="DK34" s="42"/>
      <c r="DL34" s="42"/>
      <c r="DM34" s="1"/>
      <c r="DN34" s="1"/>
      <c r="DO34" s="1"/>
    </row>
    <row r="35" spans="1:255" x14ac:dyDescent="0.2">
      <c r="A35">
        <f t="shared" si="21"/>
        <v>1991</v>
      </c>
      <c r="B35" s="86">
        <v>8112</v>
      </c>
      <c r="C35" s="5" t="s">
        <v>408</v>
      </c>
      <c r="G35" s="119" t="s">
        <v>413</v>
      </c>
      <c r="H35" s="119"/>
      <c r="I35" s="18"/>
      <c r="J35" s="18"/>
      <c r="L35" s="262">
        <f t="shared" si="20"/>
        <v>0.48684460222878428</v>
      </c>
      <c r="M35" s="259">
        <f t="shared" si="20"/>
        <v>-2121.431533196388</v>
      </c>
      <c r="N35" s="69">
        <f t="shared" si="3"/>
        <v>21019.913718561394</v>
      </c>
      <c r="O35" s="430">
        <f t="shared" si="4"/>
        <v>28</v>
      </c>
      <c r="P35" t="s">
        <v>350</v>
      </c>
      <c r="Q35" s="33" t="s">
        <v>34</v>
      </c>
      <c r="R35" t="s">
        <v>419</v>
      </c>
      <c r="S35" t="s">
        <v>224</v>
      </c>
      <c r="T35" s="39">
        <v>0</v>
      </c>
      <c r="U35" s="39">
        <v>0.14699999999999999</v>
      </c>
      <c r="V35" s="39">
        <v>0.34599999999999997</v>
      </c>
      <c r="W35" s="39">
        <v>0.50600000000000001</v>
      </c>
      <c r="X35" s="39">
        <v>0</v>
      </c>
      <c r="Y35" s="39">
        <f t="shared" si="47"/>
        <v>0.999</v>
      </c>
      <c r="Z35" s="40">
        <v>156</v>
      </c>
      <c r="AA35" s="21"/>
      <c r="AB35" s="14">
        <f t="shared" si="48"/>
        <v>0</v>
      </c>
      <c r="AC35" s="14">
        <f t="shared" si="49"/>
        <v>3089.9273166285247</v>
      </c>
      <c r="AD35" s="14">
        <f t="shared" si="50"/>
        <v>7272.8901466222424</v>
      </c>
      <c r="AE35" s="14">
        <f t="shared" si="51"/>
        <v>10636.076341592066</v>
      </c>
      <c r="AF35" s="14">
        <f t="shared" si="52"/>
        <v>0</v>
      </c>
      <c r="AG35" s="14">
        <f t="shared" si="53"/>
        <v>20998.893804842832</v>
      </c>
      <c r="AI35" s="40">
        <v>817</v>
      </c>
      <c r="AJ35" s="40">
        <v>8489</v>
      </c>
      <c r="AK35" s="40">
        <v>9306</v>
      </c>
      <c r="AL35" s="18" t="s">
        <v>413</v>
      </c>
      <c r="AM35" s="14">
        <f t="shared" si="31"/>
        <v>0</v>
      </c>
      <c r="AN35" s="14">
        <f t="shared" si="32"/>
        <v>1367.982</v>
      </c>
      <c r="AO35" s="14">
        <f t="shared" si="33"/>
        <v>3219.8759999999997</v>
      </c>
      <c r="AP35" s="14">
        <f t="shared" si="34"/>
        <v>4708.8360000000002</v>
      </c>
      <c r="AQ35" s="14">
        <f t="shared" si="35"/>
        <v>0</v>
      </c>
      <c r="AR35" s="14">
        <f t="shared" si="54"/>
        <v>9296.6939999999995</v>
      </c>
      <c r="AT35" s="40">
        <v>902</v>
      </c>
      <c r="AU35" s="40">
        <v>6859</v>
      </c>
      <c r="AV35" s="40">
        <v>922</v>
      </c>
      <c r="AW35" s="40">
        <f t="shared" si="25"/>
        <v>8683</v>
      </c>
      <c r="AX35" s="40">
        <v>44655</v>
      </c>
      <c r="AY35" s="40">
        <f t="shared" si="22"/>
        <v>8112</v>
      </c>
      <c r="AZ35" s="289">
        <f t="shared" si="60"/>
        <v>0.18165938864628822</v>
      </c>
      <c r="BA35" s="40">
        <f t="shared" si="36"/>
        <v>1577.3484716157207</v>
      </c>
      <c r="BB35" s="56">
        <v>0</v>
      </c>
      <c r="BC35" s="56">
        <v>0.28428030325120279</v>
      </c>
      <c r="BD35" s="56">
        <v>0.35992621373378048</v>
      </c>
      <c r="BE35" s="56">
        <v>0.35498206735675758</v>
      </c>
      <c r="BF35" s="56">
        <v>7.2758419594693118E-4</v>
      </c>
      <c r="BG35" s="56">
        <f t="shared" si="26"/>
        <v>0.99991616853768794</v>
      </c>
      <c r="BH35" s="52">
        <v>623</v>
      </c>
      <c r="BI35" t="s">
        <v>445</v>
      </c>
      <c r="BJ35" s="18" t="s">
        <v>413</v>
      </c>
      <c r="BL35" s="14">
        <f t="shared" si="55"/>
        <v>0</v>
      </c>
      <c r="BM35" s="14">
        <f t="shared" si="56"/>
        <v>448.40910184373831</v>
      </c>
      <c r="BN35" s="14">
        <f t="shared" si="57"/>
        <v>567.72906312741179</v>
      </c>
      <c r="BO35" s="14">
        <f t="shared" si="58"/>
        <v>559.93042139617035</v>
      </c>
      <c r="BP35" s="14">
        <f t="shared" si="59"/>
        <v>1.147653819448645</v>
      </c>
      <c r="BQ35" s="14">
        <f t="shared" si="37"/>
        <v>1577.216240186769</v>
      </c>
      <c r="BS35">
        <f t="shared" si="0"/>
        <v>1991</v>
      </c>
      <c r="BT35" s="14">
        <f t="shared" si="27"/>
        <v>0</v>
      </c>
      <c r="BU35" s="14">
        <f t="shared" si="38"/>
        <v>4906.3184184722631</v>
      </c>
      <c r="BV35" s="14">
        <f t="shared" si="28"/>
        <v>11060.495209749653</v>
      </c>
      <c r="BW35" s="14">
        <f t="shared" si="29"/>
        <v>15904.842762988237</v>
      </c>
      <c r="BX35" s="14">
        <f t="shared" si="30"/>
        <v>1.147653819448645</v>
      </c>
      <c r="BY35" s="14">
        <f t="shared" si="39"/>
        <v>31872.804045029603</v>
      </c>
      <c r="BZ35" s="438">
        <f t="shared" si="40"/>
        <v>31871.656391210156</v>
      </c>
      <c r="CA35" s="75">
        <f t="shared" si="41"/>
        <v>0</v>
      </c>
      <c r="CB35" s="75">
        <f t="shared" si="42"/>
        <v>0.15393432004101873</v>
      </c>
      <c r="CC35" s="75">
        <f t="shared" si="43"/>
        <v>0.34701983528413405</v>
      </c>
      <c r="CD35" s="75">
        <f t="shared" si="44"/>
        <v>0.4990098373684983</v>
      </c>
      <c r="CE35" s="75">
        <f t="shared" si="45"/>
        <v>3.6007306348925254E-5</v>
      </c>
      <c r="CF35" s="75">
        <f t="shared" si="46"/>
        <v>0.99999999999999989</v>
      </c>
      <c r="CG35" s="14"/>
      <c r="CH35" s="13">
        <f t="shared" si="23"/>
        <v>1991</v>
      </c>
      <c r="CI35" s="14">
        <f t="shared" si="5"/>
        <v>3.9570827542759091</v>
      </c>
      <c r="CJ35" s="260">
        <f t="shared" si="1"/>
        <v>4059.8806994979118</v>
      </c>
      <c r="CK35" s="260">
        <f t="shared" si="6"/>
        <v>5572.1171873742987</v>
      </c>
      <c r="CL35" s="260">
        <f t="shared" si="7"/>
        <v>6113.3832126036305</v>
      </c>
      <c r="CM35" s="260">
        <f t="shared" si="8"/>
        <v>117.44684920097559</v>
      </c>
      <c r="CN35" s="40">
        <f t="shared" si="9"/>
        <v>15866.785031431093</v>
      </c>
      <c r="CO35" s="14"/>
      <c r="CP35" s="13">
        <f t="shared" si="10"/>
        <v>1991</v>
      </c>
      <c r="CQ35" s="75">
        <f t="shared" si="11"/>
        <v>2.4939411143701636E-4</v>
      </c>
      <c r="CR35" s="351">
        <f t="shared" si="12"/>
        <v>0.25587292519912169</v>
      </c>
      <c r="CS35" s="351">
        <f t="shared" si="13"/>
        <v>0.35118123654768679</v>
      </c>
      <c r="CT35" s="351">
        <f t="shared" si="14"/>
        <v>0.38529438701623592</v>
      </c>
      <c r="CU35" s="76">
        <f t="shared" si="15"/>
        <v>7.4020571255185505E-3</v>
      </c>
      <c r="CV35" s="75">
        <f t="shared" si="16"/>
        <v>1</v>
      </c>
      <c r="CX35" s="13">
        <f t="shared" si="24"/>
        <v>1991</v>
      </c>
      <c r="CY35" s="14">
        <f t="shared" si="2"/>
        <v>21019.913718561394</v>
      </c>
      <c r="CZ35" s="14">
        <f t="shared" si="17"/>
        <v>15866.785031431093</v>
      </c>
      <c r="DA35" s="81">
        <f t="shared" si="18"/>
        <v>0.75484539298656161</v>
      </c>
      <c r="DB35" s="14">
        <f t="shared" si="19"/>
        <v>0</v>
      </c>
      <c r="DF35" s="1"/>
      <c r="DG35" s="42"/>
      <c r="DH35" s="42"/>
      <c r="DI35" s="42"/>
      <c r="DJ35" s="42"/>
      <c r="DK35" s="42"/>
      <c r="DL35" s="42"/>
      <c r="DM35" s="1"/>
      <c r="DN35" s="1"/>
      <c r="DO35" s="1"/>
    </row>
    <row r="36" spans="1:255" x14ac:dyDescent="0.2">
      <c r="A36">
        <f t="shared" si="21"/>
        <v>1992</v>
      </c>
      <c r="B36" s="86">
        <v>7736</v>
      </c>
      <c r="C36" s="5" t="s">
        <v>408</v>
      </c>
      <c r="G36" s="119" t="s">
        <v>413</v>
      </c>
      <c r="H36" s="119"/>
      <c r="I36" s="18"/>
      <c r="J36" s="18"/>
      <c r="L36" s="262">
        <f t="shared" si="20"/>
        <v>0.48684460222878428</v>
      </c>
      <c r="M36" s="259">
        <f t="shared" si="20"/>
        <v>-2121.431533196388</v>
      </c>
      <c r="N36" s="69">
        <f t="shared" si="3"/>
        <v>20247.593355392808</v>
      </c>
      <c r="O36" s="430">
        <f t="shared" si="4"/>
        <v>29</v>
      </c>
      <c r="P36" t="s">
        <v>350</v>
      </c>
      <c r="Q36" s="33" t="s">
        <v>34</v>
      </c>
      <c r="R36" t="s">
        <v>419</v>
      </c>
      <c r="S36" t="s">
        <v>244</v>
      </c>
      <c r="T36" s="39">
        <v>0.11</v>
      </c>
      <c r="U36" s="39">
        <v>0.2</v>
      </c>
      <c r="V36" s="39">
        <v>0.31</v>
      </c>
      <c r="W36" s="39">
        <v>0.37</v>
      </c>
      <c r="X36" s="39">
        <v>0</v>
      </c>
      <c r="Y36" s="39">
        <f t="shared" si="47"/>
        <v>0.99</v>
      </c>
      <c r="Z36" s="40">
        <v>105</v>
      </c>
      <c r="AA36" s="21"/>
      <c r="AB36" s="14">
        <f t="shared" si="48"/>
        <v>2227.2352690932089</v>
      </c>
      <c r="AC36" s="14">
        <f t="shared" si="49"/>
        <v>4049.518671078562</v>
      </c>
      <c r="AD36" s="14">
        <f t="shared" si="50"/>
        <v>6276.7539401717704</v>
      </c>
      <c r="AE36" s="14">
        <f t="shared" si="51"/>
        <v>7491.6095414953388</v>
      </c>
      <c r="AF36" s="14">
        <f t="shared" si="52"/>
        <v>0</v>
      </c>
      <c r="AG36" s="14">
        <f t="shared" si="53"/>
        <v>20045.117421838881</v>
      </c>
      <c r="AI36" s="40">
        <v>1199</v>
      </c>
      <c r="AJ36" s="40">
        <v>6057</v>
      </c>
      <c r="AK36" s="40">
        <v>7256</v>
      </c>
      <c r="AL36" s="18" t="s">
        <v>413</v>
      </c>
      <c r="AM36" s="14">
        <f t="shared" si="31"/>
        <v>798.16</v>
      </c>
      <c r="AN36" s="14">
        <f t="shared" si="32"/>
        <v>1451.2</v>
      </c>
      <c r="AO36" s="14">
        <f t="shared" si="33"/>
        <v>2249.36</v>
      </c>
      <c r="AP36" s="14">
        <f t="shared" si="34"/>
        <v>2684.72</v>
      </c>
      <c r="AQ36" s="14">
        <f t="shared" si="35"/>
        <v>0</v>
      </c>
      <c r="AR36" s="14">
        <f t="shared" si="54"/>
        <v>7183.4400000000005</v>
      </c>
      <c r="AT36" s="40">
        <v>907</v>
      </c>
      <c r="AU36" s="40">
        <v>4554</v>
      </c>
      <c r="AV36" s="40">
        <v>963</v>
      </c>
      <c r="AW36" s="40">
        <f t="shared" si="25"/>
        <v>6424</v>
      </c>
      <c r="AX36" s="40">
        <v>41608.436905550552</v>
      </c>
      <c r="AY36" s="40">
        <f t="shared" si="22"/>
        <v>7736</v>
      </c>
      <c r="AZ36" s="289">
        <f t="shared" si="60"/>
        <v>0.18592383120664693</v>
      </c>
      <c r="BA36" s="40">
        <f t="shared" si="36"/>
        <v>1194.3746916714999</v>
      </c>
      <c r="BB36" s="56">
        <v>1.3068810978573799E-2</v>
      </c>
      <c r="BC36" s="56">
        <v>0.29102693008221908</v>
      </c>
      <c r="BD36" s="56">
        <v>0.35685900721144065</v>
      </c>
      <c r="BE36" s="56">
        <v>0.32654527098722425</v>
      </c>
      <c r="BF36" s="56">
        <v>1.2499980740542154E-2</v>
      </c>
      <c r="BG36" s="56">
        <f t="shared" si="26"/>
        <v>1</v>
      </c>
      <c r="BH36" s="52">
        <v>354</v>
      </c>
      <c r="BI36" t="s">
        <v>445</v>
      </c>
      <c r="BJ36" s="18" t="s">
        <v>413</v>
      </c>
      <c r="BL36" s="14">
        <f t="shared" si="55"/>
        <v>15.609057083047194</v>
      </c>
      <c r="BM36" s="14">
        <f t="shared" si="56"/>
        <v>347.5951998850536</v>
      </c>
      <c r="BN36" s="14">
        <f t="shared" si="57"/>
        <v>426.22336670836199</v>
      </c>
      <c r="BO36" s="14">
        <f t="shared" si="58"/>
        <v>390.01740735215236</v>
      </c>
      <c r="BP36" s="14">
        <f t="shared" si="59"/>
        <v>14.929660642884723</v>
      </c>
      <c r="BQ36" s="14">
        <f t="shared" si="37"/>
        <v>1194.3746916714999</v>
      </c>
      <c r="BS36">
        <f t="shared" si="0"/>
        <v>1992</v>
      </c>
      <c r="BT36" s="14">
        <f t="shared" si="27"/>
        <v>3041.0043261762562</v>
      </c>
      <c r="BU36" s="14">
        <f t="shared" si="38"/>
        <v>5848.313870963615</v>
      </c>
      <c r="BV36" s="14">
        <f t="shared" si="28"/>
        <v>8952.337306880132</v>
      </c>
      <c r="BW36" s="14">
        <f t="shared" si="29"/>
        <v>10566.346948847491</v>
      </c>
      <c r="BX36" s="14">
        <f t="shared" si="30"/>
        <v>14.929660642884723</v>
      </c>
      <c r="BY36" s="14">
        <f t="shared" si="39"/>
        <v>28422.932113510378</v>
      </c>
      <c r="BZ36" s="438">
        <f t="shared" si="40"/>
        <v>25366.998126691236</v>
      </c>
      <c r="CA36" s="75">
        <f t="shared" si="41"/>
        <v>0.10699122504432836</v>
      </c>
      <c r="CB36" s="75">
        <f t="shared" si="42"/>
        <v>0.20576039965221302</v>
      </c>
      <c r="CC36" s="75">
        <f t="shared" si="43"/>
        <v>0.31496881712020075</v>
      </c>
      <c r="CD36" s="75">
        <f t="shared" si="44"/>
        <v>0.37175429004472588</v>
      </c>
      <c r="CE36" s="75">
        <f t="shared" si="45"/>
        <v>5.252681385319902E-4</v>
      </c>
      <c r="CF36" s="75">
        <f t="shared" si="46"/>
        <v>1</v>
      </c>
      <c r="CG36" s="14"/>
      <c r="CH36" s="13">
        <f t="shared" si="23"/>
        <v>1992</v>
      </c>
      <c r="CI36" s="260">
        <f t="shared" si="5"/>
        <v>108.66499835765568</v>
      </c>
      <c r="CJ36" s="260">
        <f t="shared" si="1"/>
        <v>7108.6371873742992</v>
      </c>
      <c r="CK36" s="260">
        <f t="shared" si="6"/>
        <v>23730.285356550539</v>
      </c>
      <c r="CL36" s="260">
        <f t="shared" si="7"/>
        <v>10444.361381326702</v>
      </c>
      <c r="CM36" s="260">
        <f t="shared" si="8"/>
        <v>69.812918082805467</v>
      </c>
      <c r="CN36" s="260">
        <f t="shared" si="9"/>
        <v>41461.761841692001</v>
      </c>
      <c r="CO36" s="40"/>
      <c r="CP36" s="13">
        <f t="shared" si="10"/>
        <v>1992</v>
      </c>
      <c r="CQ36" s="351">
        <f t="shared" si="11"/>
        <v>2.6208485489004774E-3</v>
      </c>
      <c r="CR36" s="351">
        <f t="shared" si="12"/>
        <v>0.17145043701992874</v>
      </c>
      <c r="CS36" s="351">
        <f t="shared" si="13"/>
        <v>0.57234146120362106</v>
      </c>
      <c r="CT36" s="351">
        <f t="shared" si="14"/>
        <v>0.25190346279072834</v>
      </c>
      <c r="CU36" s="351">
        <f t="shared" si="15"/>
        <v>1.6837904368213526E-3</v>
      </c>
      <c r="CV36" s="75">
        <f t="shared" si="16"/>
        <v>0.99999999999999989</v>
      </c>
      <c r="CX36" s="13">
        <f t="shared" si="24"/>
        <v>1992</v>
      </c>
      <c r="CY36" s="14">
        <f t="shared" si="2"/>
        <v>20247.593355392808</v>
      </c>
      <c r="CZ36" s="14">
        <f t="shared" si="17"/>
        <v>41461.761841692001</v>
      </c>
      <c r="DA36" s="46">
        <f t="shared" si="18"/>
        <v>2.0477377787048923</v>
      </c>
      <c r="DB36" s="14">
        <f t="shared" si="19"/>
        <v>21214.168486299193</v>
      </c>
      <c r="DF36" s="1"/>
      <c r="DG36" s="42"/>
      <c r="DH36" s="42"/>
      <c r="DI36" s="42"/>
      <c r="DJ36" s="42"/>
      <c r="DK36" s="42"/>
      <c r="DL36" s="42"/>
      <c r="DM36" s="1"/>
      <c r="DN36" s="1"/>
      <c r="DO36" s="1"/>
    </row>
    <row r="37" spans="1:255" x14ac:dyDescent="0.2">
      <c r="A37">
        <f>+A36+1</f>
        <v>1993</v>
      </c>
      <c r="B37" s="86">
        <v>5769</v>
      </c>
      <c r="C37" s="5" t="s">
        <v>408</v>
      </c>
      <c r="G37" s="119" t="s">
        <v>413</v>
      </c>
      <c r="H37" s="119"/>
      <c r="I37" s="18"/>
      <c r="J37" s="18"/>
      <c r="L37" s="262">
        <f t="shared" si="20"/>
        <v>0.48684460222878428</v>
      </c>
      <c r="M37" s="259">
        <f t="shared" si="20"/>
        <v>-2121.431533196388</v>
      </c>
      <c r="N37" s="69">
        <f t="shared" si="3"/>
        <v>16207.289753391196</v>
      </c>
      <c r="O37" s="430">
        <f t="shared" si="4"/>
        <v>34</v>
      </c>
      <c r="P37" t="s">
        <v>350</v>
      </c>
      <c r="Q37" s="33" t="s">
        <v>34</v>
      </c>
      <c r="R37" t="s">
        <v>419</v>
      </c>
      <c r="S37" t="s">
        <v>245</v>
      </c>
      <c r="T37" s="39">
        <v>0</v>
      </c>
      <c r="U37" s="39">
        <v>0.21</v>
      </c>
      <c r="V37" s="39">
        <v>0.46</v>
      </c>
      <c r="W37" s="39">
        <v>0.32</v>
      </c>
      <c r="X37" s="39">
        <v>0</v>
      </c>
      <c r="Y37" s="39">
        <f t="shared" si="47"/>
        <v>0.99</v>
      </c>
      <c r="Z37" s="40">
        <v>152</v>
      </c>
      <c r="AA37" s="21"/>
      <c r="AB37" s="14">
        <f t="shared" si="48"/>
        <v>0</v>
      </c>
      <c r="AC37" s="14">
        <f t="shared" si="49"/>
        <v>3403.5308482121513</v>
      </c>
      <c r="AD37" s="14">
        <f t="shared" si="50"/>
        <v>7455.3532865599509</v>
      </c>
      <c r="AE37" s="14">
        <f t="shared" si="51"/>
        <v>5186.332721085183</v>
      </c>
      <c r="AF37" s="14">
        <f t="shared" si="52"/>
        <v>0</v>
      </c>
      <c r="AG37" s="14">
        <f t="shared" si="53"/>
        <v>16045.216855857285</v>
      </c>
      <c r="AI37" s="40"/>
      <c r="AJ37" s="40"/>
      <c r="AK37" s="40">
        <v>5682</v>
      </c>
      <c r="AL37" s="18" t="s">
        <v>413</v>
      </c>
      <c r="AM37" s="14">
        <f t="shared" si="31"/>
        <v>0</v>
      </c>
      <c r="AN37" s="14">
        <f t="shared" si="32"/>
        <v>1193.22</v>
      </c>
      <c r="AO37" s="14">
        <f t="shared" si="33"/>
        <v>2613.7200000000003</v>
      </c>
      <c r="AP37" s="14">
        <f t="shared" si="34"/>
        <v>1818.24</v>
      </c>
      <c r="AQ37" s="14">
        <f t="shared" si="35"/>
        <v>0</v>
      </c>
      <c r="AR37" s="14">
        <f t="shared" si="54"/>
        <v>5625.18</v>
      </c>
      <c r="AT37" s="40">
        <v>1370</v>
      </c>
      <c r="AU37" s="40">
        <v>3307</v>
      </c>
      <c r="AV37" s="40">
        <v>424</v>
      </c>
      <c r="AW37" s="40">
        <f t="shared" si="25"/>
        <v>5101</v>
      </c>
      <c r="AX37" s="40">
        <v>37225.360411775073</v>
      </c>
      <c r="AY37" s="40">
        <f t="shared" si="22"/>
        <v>5769</v>
      </c>
      <c r="AZ37" s="289">
        <f t="shared" si="60"/>
        <v>0.15497499382639041</v>
      </c>
      <c r="BA37" s="40">
        <f t="shared" si="36"/>
        <v>790.52744350841749</v>
      </c>
      <c r="BB37" s="56">
        <v>4.0000000000000001E-3</v>
      </c>
      <c r="BC37" s="56">
        <v>0.14499999999999999</v>
      </c>
      <c r="BD37" s="56">
        <v>0.38</v>
      </c>
      <c r="BE37" s="56">
        <v>0.45900000000000002</v>
      </c>
      <c r="BF37" s="56">
        <v>1.2E-2</v>
      </c>
      <c r="BG37" s="56">
        <f t="shared" si="26"/>
        <v>1</v>
      </c>
      <c r="BH37" s="52">
        <v>255</v>
      </c>
      <c r="BI37" t="s">
        <v>445</v>
      </c>
      <c r="BJ37" s="18" t="s">
        <v>413</v>
      </c>
      <c r="BL37" s="14">
        <f t="shared" si="55"/>
        <v>3.1621097740336701</v>
      </c>
      <c r="BM37" s="14">
        <f t="shared" si="56"/>
        <v>114.62647930872053</v>
      </c>
      <c r="BN37" s="14">
        <f t="shared" si="57"/>
        <v>300.40042853319864</v>
      </c>
      <c r="BO37" s="14">
        <f t="shared" si="58"/>
        <v>362.85209657036364</v>
      </c>
      <c r="BP37" s="14">
        <f t="shared" si="59"/>
        <v>9.4863293221010103</v>
      </c>
      <c r="BQ37" s="14">
        <f t="shared" si="37"/>
        <v>790.52744350841749</v>
      </c>
      <c r="BS37">
        <f t="shared" si="0"/>
        <v>1993</v>
      </c>
      <c r="BT37" s="14">
        <f t="shared" si="27"/>
        <v>3.1621097740336701</v>
      </c>
      <c r="BU37" s="14">
        <f t="shared" si="38"/>
        <v>4711.3773275208714</v>
      </c>
      <c r="BV37" s="14">
        <f t="shared" si="28"/>
        <v>10369.473715093151</v>
      </c>
      <c r="BW37" s="14">
        <f t="shared" si="29"/>
        <v>7367.4248176555466</v>
      </c>
      <c r="BX37" s="14">
        <f t="shared" si="30"/>
        <v>9.4863293221010103</v>
      </c>
      <c r="BY37" s="14">
        <f t="shared" si="39"/>
        <v>22460.924299365706</v>
      </c>
      <c r="BZ37" s="438">
        <f t="shared" si="40"/>
        <v>22448.275860269569</v>
      </c>
      <c r="CA37" s="75">
        <f t="shared" si="41"/>
        <v>1.4078270920146272E-4</v>
      </c>
      <c r="CB37" s="75">
        <f t="shared" si="42"/>
        <v>0.20975883559938449</v>
      </c>
      <c r="CC37" s="75">
        <f t="shared" si="43"/>
        <v>0.46166727499215082</v>
      </c>
      <c r="CD37" s="75">
        <f t="shared" si="44"/>
        <v>0.32801075857165868</v>
      </c>
      <c r="CE37" s="75">
        <f t="shared" si="45"/>
        <v>4.2234812760438817E-4</v>
      </c>
      <c r="CF37" s="75">
        <f t="shared" si="46"/>
        <v>0.99999999999999989</v>
      </c>
      <c r="CG37" s="14"/>
      <c r="CH37" s="13">
        <f>+CH36+1</f>
        <v>1993</v>
      </c>
      <c r="CI37" s="260">
        <f t="shared" si="5"/>
        <v>11.328340155691741</v>
      </c>
      <c r="CJ37" s="260">
        <f t="shared" si="1"/>
        <v>6135.3280389717856</v>
      </c>
      <c r="CK37" s="260">
        <f t="shared" si="6"/>
        <v>15777.198181257876</v>
      </c>
      <c r="CL37" s="260">
        <f t="shared" si="7"/>
        <v>8452.9820339873313</v>
      </c>
      <c r="CM37" s="260">
        <f t="shared" si="8"/>
        <v>0</v>
      </c>
      <c r="CN37" s="260">
        <f t="shared" si="9"/>
        <v>30376.836594372682</v>
      </c>
      <c r="CO37" s="14"/>
      <c r="CP37" s="13">
        <f t="shared" si="10"/>
        <v>1993</v>
      </c>
      <c r="CQ37" s="351">
        <f t="shared" si="11"/>
        <v>3.7292692148827369E-4</v>
      </c>
      <c r="CR37" s="351">
        <f t="shared" si="12"/>
        <v>0.20197389612677302</v>
      </c>
      <c r="CS37" s="351">
        <f t="shared" si="13"/>
        <v>0.51938252794172146</v>
      </c>
      <c r="CT37" s="351">
        <f t="shared" si="14"/>
        <v>0.27827064901001736</v>
      </c>
      <c r="CU37" s="351">
        <f t="shared" si="15"/>
        <v>0</v>
      </c>
      <c r="CV37" s="75">
        <f t="shared" si="16"/>
        <v>1</v>
      </c>
      <c r="CX37" s="13">
        <f t="shared" si="24"/>
        <v>1993</v>
      </c>
      <c r="CY37" s="14">
        <f t="shared" si="2"/>
        <v>16207.289753391196</v>
      </c>
      <c r="CZ37" s="14">
        <f t="shared" si="17"/>
        <v>30376.836594372682</v>
      </c>
      <c r="DA37" s="46">
        <f t="shared" si="18"/>
        <v>1.8742699770648985</v>
      </c>
      <c r="DB37" s="14">
        <f t="shared" si="19"/>
        <v>14169.546840981486</v>
      </c>
      <c r="DF37" s="1"/>
      <c r="DG37" s="42"/>
      <c r="DH37" s="42"/>
      <c r="DI37" s="42"/>
      <c r="DJ37" s="42"/>
      <c r="DK37" s="42"/>
      <c r="DL37" s="42"/>
      <c r="DM37" s="1"/>
      <c r="DN37" s="1"/>
      <c r="DO37" s="1"/>
    </row>
    <row r="38" spans="1:255" ht="13.5" thickBot="1" x14ac:dyDescent="0.25">
      <c r="A38">
        <f>+A37+1</f>
        <v>1994</v>
      </c>
      <c r="B38" s="362">
        <v>2665</v>
      </c>
      <c r="C38" s="5" t="s">
        <v>408</v>
      </c>
      <c r="E38" s="230"/>
      <c r="G38" s="119" t="s">
        <v>413</v>
      </c>
      <c r="H38" s="119"/>
      <c r="I38" s="18"/>
      <c r="J38" s="18"/>
      <c r="L38" s="262">
        <f t="shared" si="20"/>
        <v>0.48684460222878428</v>
      </c>
      <c r="M38" s="259">
        <f t="shared" si="20"/>
        <v>-2121.431533196388</v>
      </c>
      <c r="N38" s="69">
        <f t="shared" si="3"/>
        <v>9831.5386702122378</v>
      </c>
      <c r="O38" s="430">
        <f t="shared" si="4"/>
        <v>43</v>
      </c>
      <c r="P38" t="s">
        <v>350</v>
      </c>
      <c r="Q38" s="33" t="s">
        <v>34</v>
      </c>
      <c r="R38" t="s">
        <v>419</v>
      </c>
      <c r="S38" t="s">
        <v>246</v>
      </c>
      <c r="T38" s="39">
        <v>0</v>
      </c>
      <c r="U38" s="39">
        <v>0.155</v>
      </c>
      <c r="V38" s="39">
        <v>0.42199999999999999</v>
      </c>
      <c r="W38" s="39">
        <v>0.39700000000000002</v>
      </c>
      <c r="X38" s="39">
        <v>8.9999999999999993E-3</v>
      </c>
      <c r="Y38" s="39">
        <f t="shared" si="47"/>
        <v>0.98299999999999998</v>
      </c>
      <c r="Z38" s="40">
        <v>116</v>
      </c>
      <c r="AA38" s="21"/>
      <c r="AB38" s="14">
        <f t="shared" si="48"/>
        <v>0</v>
      </c>
      <c r="AC38" s="14">
        <f t="shared" si="49"/>
        <v>1523.8884938828969</v>
      </c>
      <c r="AD38" s="14">
        <f t="shared" si="50"/>
        <v>4148.9093188295647</v>
      </c>
      <c r="AE38" s="14">
        <f t="shared" si="51"/>
        <v>3903.1208520742584</v>
      </c>
      <c r="AF38" s="14">
        <f t="shared" si="52"/>
        <v>88.483848031910128</v>
      </c>
      <c r="AG38" s="14">
        <f t="shared" si="53"/>
        <v>9664.4025128186313</v>
      </c>
      <c r="AI38" s="40"/>
      <c r="AJ38" s="40"/>
      <c r="AK38" s="40">
        <v>624</v>
      </c>
      <c r="AL38" s="18" t="s">
        <v>413</v>
      </c>
      <c r="AM38" s="14">
        <f t="shared" si="31"/>
        <v>0</v>
      </c>
      <c r="AN38" s="14">
        <f t="shared" si="32"/>
        <v>96.72</v>
      </c>
      <c r="AO38" s="14">
        <f t="shared" si="33"/>
        <v>263.32799999999997</v>
      </c>
      <c r="AP38" s="14">
        <f t="shared" si="34"/>
        <v>247.72800000000001</v>
      </c>
      <c r="AQ38" s="14">
        <f t="shared" si="35"/>
        <v>5.6159999999999997</v>
      </c>
      <c r="AR38" s="14">
        <f t="shared" si="54"/>
        <v>613.39200000000005</v>
      </c>
      <c r="AT38" s="40">
        <v>770</v>
      </c>
      <c r="AU38" s="40">
        <v>3185</v>
      </c>
      <c r="AV38" s="40">
        <v>449</v>
      </c>
      <c r="AW38" s="40">
        <f t="shared" si="25"/>
        <v>4404</v>
      </c>
      <c r="AX38" s="40">
        <v>26167</v>
      </c>
      <c r="AY38" s="40">
        <f t="shared" si="22"/>
        <v>2665</v>
      </c>
      <c r="AZ38" s="289">
        <f t="shared" si="60"/>
        <v>0.10184583635877249</v>
      </c>
      <c r="BA38" s="40">
        <f t="shared" si="36"/>
        <v>448.52906332403404</v>
      </c>
      <c r="BB38" s="56">
        <v>8.8223552894211577E-3</v>
      </c>
      <c r="BC38" s="56">
        <v>0.24499001996007985</v>
      </c>
      <c r="BD38" s="56">
        <v>0.38265469061876245</v>
      </c>
      <c r="BE38" s="56">
        <v>0.34471057884231537</v>
      </c>
      <c r="BF38" s="56">
        <v>1.4411177644710579E-2</v>
      </c>
      <c r="BG38" s="56">
        <f t="shared" si="26"/>
        <v>0.99558882235528934</v>
      </c>
      <c r="BH38" s="52">
        <v>260</v>
      </c>
      <c r="BI38" t="s">
        <v>445</v>
      </c>
      <c r="BJ38" s="18" t="s">
        <v>413</v>
      </c>
      <c r="BL38" s="14">
        <f t="shared" si="55"/>
        <v>3.9570827542759091</v>
      </c>
      <c r="BM38" s="14">
        <f t="shared" si="56"/>
        <v>109.88514417643103</v>
      </c>
      <c r="BN38" s="14">
        <f t="shared" si="57"/>
        <v>171.63174995978156</v>
      </c>
      <c r="BO38" s="14">
        <f t="shared" si="58"/>
        <v>154.61271304602931</v>
      </c>
      <c r="BP38" s="14">
        <f t="shared" si="59"/>
        <v>6.4638320103782947</v>
      </c>
      <c r="BQ38" s="14">
        <f t="shared" si="37"/>
        <v>446.55052194689608</v>
      </c>
      <c r="BS38">
        <f t="shared" si="0"/>
        <v>1994</v>
      </c>
      <c r="BT38" s="14">
        <f t="shared" si="27"/>
        <v>3.9570827542759091</v>
      </c>
      <c r="BU38" s="14">
        <f t="shared" si="38"/>
        <v>1730.4936380593278</v>
      </c>
      <c r="BV38" s="14">
        <f t="shared" si="28"/>
        <v>4583.8690687893459</v>
      </c>
      <c r="BW38" s="14">
        <f t="shared" si="29"/>
        <v>4305.4615651202876</v>
      </c>
      <c r="BX38" s="14">
        <f t="shared" si="30"/>
        <v>100.56368004228842</v>
      </c>
      <c r="BY38" s="14">
        <f t="shared" si="39"/>
        <v>10724.345034765525</v>
      </c>
      <c r="BZ38" s="438">
        <f t="shared" si="40"/>
        <v>10619.824271968962</v>
      </c>
      <c r="CA38" s="75">
        <f t="shared" si="41"/>
        <v>3.6898129829356297E-4</v>
      </c>
      <c r="CB38" s="75">
        <f t="shared" si="42"/>
        <v>0.16136124233689977</v>
      </c>
      <c r="CC38" s="75">
        <f t="shared" si="43"/>
        <v>0.42742648189046883</v>
      </c>
      <c r="CD38" s="75">
        <f t="shared" si="44"/>
        <v>0.40146615491790927</v>
      </c>
      <c r="CE38" s="75">
        <f t="shared" si="45"/>
        <v>9.3771395564285973E-3</v>
      </c>
      <c r="CF38" s="75">
        <f t="shared" si="46"/>
        <v>1</v>
      </c>
      <c r="CG38" s="14"/>
      <c r="CH38" s="13">
        <f>+CH37+1</f>
        <v>1994</v>
      </c>
      <c r="CI38" s="260">
        <f t="shared" si="5"/>
        <v>79.863814262021492</v>
      </c>
      <c r="CJ38" s="260">
        <f t="shared" si="1"/>
        <v>10865.774069892588</v>
      </c>
      <c r="CK38" s="260">
        <f t="shared" si="6"/>
        <v>14606.017381700909</v>
      </c>
      <c r="CL38" s="260">
        <f t="shared" si="7"/>
        <v>4416.0035800613459</v>
      </c>
      <c r="CM38" s="260">
        <f t="shared" si="8"/>
        <v>2.8947748492642518</v>
      </c>
      <c r="CN38" s="260">
        <f t="shared" si="9"/>
        <v>29970.553620766128</v>
      </c>
      <c r="CO38" s="14"/>
      <c r="CP38" s="13">
        <f t="shared" si="10"/>
        <v>1994</v>
      </c>
      <c r="CQ38" s="351">
        <f t="shared" si="11"/>
        <v>2.6647427095469168E-3</v>
      </c>
      <c r="CR38" s="351">
        <f t="shared" si="12"/>
        <v>0.36254832684718452</v>
      </c>
      <c r="CS38" s="351">
        <f t="shared" si="13"/>
        <v>0.48734559816674949</v>
      </c>
      <c r="CT38" s="351">
        <f t="shared" si="14"/>
        <v>0.14734474497666825</v>
      </c>
      <c r="CU38" s="351">
        <f t="shared" si="15"/>
        <v>9.6587299850827831E-5</v>
      </c>
      <c r="CV38" s="75">
        <f t="shared" si="16"/>
        <v>1</v>
      </c>
      <c r="CX38" s="13">
        <f t="shared" si="24"/>
        <v>1994</v>
      </c>
      <c r="CY38" s="14">
        <f t="shared" si="2"/>
        <v>9831.5386702122378</v>
      </c>
      <c r="CZ38" s="14">
        <f t="shared" si="17"/>
        <v>29970.553620766128</v>
      </c>
      <c r="DA38" s="46">
        <f t="shared" si="18"/>
        <v>3.0484092700129857</v>
      </c>
      <c r="DB38" s="14">
        <f t="shared" si="19"/>
        <v>20139.01495055389</v>
      </c>
      <c r="DF38" s="1"/>
      <c r="DG38" s="42"/>
      <c r="DH38" s="42"/>
      <c r="DI38" s="42"/>
      <c r="DJ38" s="42"/>
      <c r="DK38" s="42"/>
      <c r="DL38" s="42"/>
      <c r="DM38" s="1"/>
      <c r="DN38" s="1"/>
      <c r="DO38" s="1"/>
    </row>
    <row r="39" spans="1:255" x14ac:dyDescent="0.2">
      <c r="A39">
        <f>+A38+1</f>
        <v>1995</v>
      </c>
      <c r="B39" s="44">
        <v>5150</v>
      </c>
      <c r="C39" s="5" t="s">
        <v>408</v>
      </c>
      <c r="D39" s="7">
        <v>10048</v>
      </c>
      <c r="E39" s="230">
        <v>34840</v>
      </c>
      <c r="F39" s="7"/>
      <c r="G39" s="120" t="s">
        <v>413</v>
      </c>
      <c r="H39" s="120"/>
      <c r="I39" s="74"/>
      <c r="J39" s="74"/>
      <c r="K39" s="36" t="s">
        <v>209</v>
      </c>
      <c r="L39" s="58"/>
      <c r="M39" s="259"/>
      <c r="N39" s="69">
        <f>D39</f>
        <v>10048</v>
      </c>
      <c r="O39" s="430">
        <f t="shared" si="4"/>
        <v>42</v>
      </c>
      <c r="P39" s="5" t="s">
        <v>211</v>
      </c>
      <c r="Q39" s="33" t="s">
        <v>34</v>
      </c>
      <c r="R39" s="73" t="s">
        <v>417</v>
      </c>
      <c r="S39" t="s">
        <v>251</v>
      </c>
      <c r="T39" s="39">
        <v>0.01</v>
      </c>
      <c r="U39" s="39">
        <v>0.379</v>
      </c>
      <c r="V39" s="39">
        <v>0.28999999999999998</v>
      </c>
      <c r="W39" s="39">
        <v>0.30499999999999999</v>
      </c>
      <c r="X39" s="39">
        <v>1.4999999999999999E-2</v>
      </c>
      <c r="Y39" s="39">
        <f t="shared" si="47"/>
        <v>0.999</v>
      </c>
      <c r="Z39" s="40">
        <v>338</v>
      </c>
      <c r="AA39" s="23"/>
      <c r="AB39" s="40">
        <f t="shared" si="48"/>
        <v>100.48</v>
      </c>
      <c r="AC39" s="40">
        <f t="shared" si="49"/>
        <v>3808.192</v>
      </c>
      <c r="AD39" s="40">
        <f t="shared" si="50"/>
        <v>2913.9199999999996</v>
      </c>
      <c r="AE39" s="40">
        <f t="shared" si="51"/>
        <v>3064.64</v>
      </c>
      <c r="AF39" s="40">
        <f t="shared" si="52"/>
        <v>150.72</v>
      </c>
      <c r="AG39" s="40">
        <f t="shared" si="53"/>
        <v>10037.951999999999</v>
      </c>
      <c r="AH39" s="5"/>
      <c r="AI39" s="40"/>
      <c r="AJ39" s="40"/>
      <c r="AK39" s="40">
        <v>0</v>
      </c>
      <c r="AL39" s="74" t="s">
        <v>413</v>
      </c>
      <c r="AM39" s="40">
        <f t="shared" si="31"/>
        <v>0</v>
      </c>
      <c r="AN39" s="40">
        <f t="shared" si="32"/>
        <v>0</v>
      </c>
      <c r="AO39" s="40">
        <f t="shared" si="33"/>
        <v>0</v>
      </c>
      <c r="AP39" s="40">
        <f t="shared" si="34"/>
        <v>0</v>
      </c>
      <c r="AQ39" s="40">
        <f t="shared" si="35"/>
        <v>0</v>
      </c>
      <c r="AR39" s="40">
        <f t="shared" si="54"/>
        <v>0</v>
      </c>
      <c r="AS39" s="5"/>
      <c r="AT39" s="40">
        <v>1317</v>
      </c>
      <c r="AU39" s="40">
        <v>4130</v>
      </c>
      <c r="AV39" s="40">
        <v>198</v>
      </c>
      <c r="AW39" s="40">
        <f t="shared" si="25"/>
        <v>5645</v>
      </c>
      <c r="AX39" s="40">
        <v>42622</v>
      </c>
      <c r="AY39" s="40">
        <f t="shared" si="22"/>
        <v>5150</v>
      </c>
      <c r="AZ39" s="289">
        <f t="shared" si="60"/>
        <v>0.12082961850687439</v>
      </c>
      <c r="BA39" s="40">
        <f t="shared" si="36"/>
        <v>682.08319647130588</v>
      </c>
      <c r="BB39" s="56">
        <v>1.2E-2</v>
      </c>
      <c r="BC39" s="56">
        <v>0.36899999999999999</v>
      </c>
      <c r="BD39" s="56">
        <v>0.27100000000000002</v>
      </c>
      <c r="BE39" s="56">
        <v>0.32500000000000001</v>
      </c>
      <c r="BF39" s="56">
        <v>2.4E-2</v>
      </c>
      <c r="BG39" s="56">
        <f t="shared" si="26"/>
        <v>1.0010000000000001</v>
      </c>
      <c r="BH39" s="52">
        <v>255</v>
      </c>
      <c r="BI39" s="5" t="s">
        <v>445</v>
      </c>
      <c r="BJ39" s="74" t="s">
        <v>413</v>
      </c>
      <c r="BK39" s="5"/>
      <c r="BL39" s="40">
        <f t="shared" si="55"/>
        <v>8.1849983576556706</v>
      </c>
      <c r="BM39" s="40">
        <f t="shared" si="56"/>
        <v>251.68869949791187</v>
      </c>
      <c r="BN39" s="40">
        <f t="shared" si="57"/>
        <v>184.8445462437239</v>
      </c>
      <c r="BO39" s="40">
        <f t="shared" si="58"/>
        <v>221.67703885317442</v>
      </c>
      <c r="BP39" s="40">
        <f t="shared" si="59"/>
        <v>16.369996715311341</v>
      </c>
      <c r="BQ39" s="40">
        <f t="shared" si="37"/>
        <v>682.76527966777712</v>
      </c>
      <c r="BR39" s="5"/>
      <c r="BS39" s="1">
        <f t="shared" si="0"/>
        <v>1995</v>
      </c>
      <c r="BT39" s="52">
        <f t="shared" si="27"/>
        <v>108.66499835765568</v>
      </c>
      <c r="BU39" s="52">
        <f t="shared" si="38"/>
        <v>4059.8806994979118</v>
      </c>
      <c r="BV39" s="52">
        <f t="shared" si="28"/>
        <v>3098.7645462437235</v>
      </c>
      <c r="BW39" s="52">
        <f t="shared" si="29"/>
        <v>3286.3170388531744</v>
      </c>
      <c r="BX39" s="52">
        <f t="shared" si="30"/>
        <v>167.08999671531134</v>
      </c>
      <c r="BY39" s="52">
        <f t="shared" si="39"/>
        <v>10720.717279667777</v>
      </c>
      <c r="BZ39" s="438">
        <f t="shared" si="40"/>
        <v>10444.962284594811</v>
      </c>
      <c r="CA39" s="89">
        <f t="shared" si="41"/>
        <v>1.0135982091771297E-2</v>
      </c>
      <c r="CB39" s="89">
        <f t="shared" si="42"/>
        <v>0.37869487587342876</v>
      </c>
      <c r="CC39" s="89">
        <f t="shared" si="43"/>
        <v>0.28904451683663379</v>
      </c>
      <c r="CD39" s="89">
        <f t="shared" si="44"/>
        <v>0.30653891461962085</v>
      </c>
      <c r="CE39" s="89">
        <f t="shared" si="45"/>
        <v>1.5585710578545289E-2</v>
      </c>
      <c r="CF39" s="89">
        <f t="shared" si="46"/>
        <v>1</v>
      </c>
      <c r="CG39" s="40"/>
      <c r="CH39" s="38">
        <f>+CH38+1</f>
        <v>1995</v>
      </c>
      <c r="CI39" s="260">
        <f t="shared" si="5"/>
        <v>0</v>
      </c>
      <c r="CJ39" s="260">
        <f t="shared" si="1"/>
        <v>10309.713446624437</v>
      </c>
      <c r="CK39" s="260">
        <f t="shared" si="6"/>
        <v>33202.17060982425</v>
      </c>
      <c r="CL39" s="260">
        <f t="shared" si="7"/>
        <v>9463.3110676139477</v>
      </c>
      <c r="CM39" s="260">
        <f t="shared" si="8"/>
        <v>0</v>
      </c>
      <c r="CN39" s="260">
        <f t="shared" si="9"/>
        <v>52975.195124062637</v>
      </c>
      <c r="CO39" s="40"/>
      <c r="CP39" s="13">
        <f t="shared" si="10"/>
        <v>1995</v>
      </c>
      <c r="CQ39" s="351">
        <f t="shared" si="11"/>
        <v>0</v>
      </c>
      <c r="CR39" s="351">
        <f t="shared" si="12"/>
        <v>0.19461397777733738</v>
      </c>
      <c r="CS39" s="351">
        <f t="shared" si="13"/>
        <v>0.62674937830937805</v>
      </c>
      <c r="CT39" s="351">
        <f t="shared" si="14"/>
        <v>0.1786366439132846</v>
      </c>
      <c r="CU39" s="351">
        <f t="shared" si="15"/>
        <v>0</v>
      </c>
      <c r="CV39" s="75">
        <f t="shared" si="16"/>
        <v>1</v>
      </c>
      <c r="CW39" s="5"/>
      <c r="CX39" s="422">
        <f t="shared" si="24"/>
        <v>1995</v>
      </c>
      <c r="CY39" s="352">
        <f t="shared" si="2"/>
        <v>10048</v>
      </c>
      <c r="CZ39" s="207">
        <f t="shared" si="17"/>
        <v>52975.195124062637</v>
      </c>
      <c r="DA39" s="423">
        <f t="shared" ref="DA39:DA44" si="61">CZ39/CY39</f>
        <v>5.2722128905317112</v>
      </c>
      <c r="DB39" s="372">
        <f t="shared" ref="DB39:DB44" si="62">IF((CZ39-CY39&lt;0),0,(CZ39-CY39))</f>
        <v>42927.195124062637</v>
      </c>
      <c r="DF39" s="1"/>
      <c r="DG39" s="1"/>
      <c r="DH39" s="1"/>
      <c r="DI39" s="1"/>
      <c r="DJ39" s="1"/>
      <c r="DK39" s="1"/>
      <c r="DL39" s="1"/>
      <c r="DM39" s="1"/>
      <c r="DN39" s="1"/>
      <c r="DO39" s="36"/>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row>
    <row r="40" spans="1:255" x14ac:dyDescent="0.2">
      <c r="A40">
        <f>+A39+1</f>
        <v>1996</v>
      </c>
      <c r="B40" s="44">
        <v>6343</v>
      </c>
      <c r="C40" s="5" t="s">
        <v>408</v>
      </c>
      <c r="D40" s="7">
        <v>14349</v>
      </c>
      <c r="E40" s="230">
        <v>35208</v>
      </c>
      <c r="F40" s="7"/>
      <c r="G40" s="120" t="s">
        <v>413</v>
      </c>
      <c r="H40" s="120"/>
      <c r="I40" s="74"/>
      <c r="J40" s="74"/>
      <c r="K40" s="36" t="s">
        <v>209</v>
      </c>
      <c r="L40" s="58"/>
      <c r="M40" s="259"/>
      <c r="N40" s="69">
        <f>D40</f>
        <v>14349</v>
      </c>
      <c r="O40" s="430">
        <f t="shared" si="4"/>
        <v>37</v>
      </c>
      <c r="P40" s="5" t="s">
        <v>211</v>
      </c>
      <c r="Q40" s="33" t="s">
        <v>34</v>
      </c>
      <c r="R40" s="73" t="s">
        <v>417</v>
      </c>
      <c r="S40" t="s">
        <v>250</v>
      </c>
      <c r="T40" s="39">
        <v>0</v>
      </c>
      <c r="U40" s="39">
        <v>0.48299999999999998</v>
      </c>
      <c r="V40" s="39">
        <v>0.376</v>
      </c>
      <c r="W40" s="39">
        <v>0.13300000000000001</v>
      </c>
      <c r="X40" s="39">
        <v>0</v>
      </c>
      <c r="Y40" s="39">
        <f t="shared" si="47"/>
        <v>0.99199999999999999</v>
      </c>
      <c r="Z40" s="40">
        <v>338</v>
      </c>
      <c r="AA40" s="23"/>
      <c r="AB40" s="40">
        <f t="shared" si="48"/>
        <v>0</v>
      </c>
      <c r="AC40" s="40">
        <f t="shared" si="49"/>
        <v>6930.567</v>
      </c>
      <c r="AD40" s="40">
        <f t="shared" si="50"/>
        <v>5395.2240000000002</v>
      </c>
      <c r="AE40" s="40">
        <f t="shared" si="51"/>
        <v>1908.4170000000001</v>
      </c>
      <c r="AF40" s="40">
        <f t="shared" si="52"/>
        <v>0</v>
      </c>
      <c r="AG40" s="40">
        <f t="shared" si="53"/>
        <v>14234.208000000001</v>
      </c>
      <c r="AH40" s="5"/>
      <c r="AI40" s="40"/>
      <c r="AJ40" s="40"/>
      <c r="AK40" s="40">
        <v>11</v>
      </c>
      <c r="AL40" t="s">
        <v>526</v>
      </c>
      <c r="AM40" s="40">
        <f t="shared" si="31"/>
        <v>0</v>
      </c>
      <c r="AN40" s="40">
        <f t="shared" si="32"/>
        <v>5.3129999999999997</v>
      </c>
      <c r="AO40" s="40">
        <f t="shared" si="33"/>
        <v>4.1360000000000001</v>
      </c>
      <c r="AP40" s="40">
        <f t="shared" si="34"/>
        <v>1.4630000000000001</v>
      </c>
      <c r="AQ40" s="40">
        <f t="shared" si="35"/>
        <v>0</v>
      </c>
      <c r="AR40" s="40">
        <f t="shared" si="54"/>
        <v>10.911999999999999</v>
      </c>
      <c r="AS40" s="5"/>
      <c r="AT40" s="40">
        <v>1039</v>
      </c>
      <c r="AU40" s="40">
        <v>1958</v>
      </c>
      <c r="AV40" s="40">
        <v>148</v>
      </c>
      <c r="AW40" s="40">
        <f t="shared" si="25"/>
        <v>3145</v>
      </c>
      <c r="AX40" s="40">
        <v>42263</v>
      </c>
      <c r="AY40" s="40">
        <f t="shared" si="22"/>
        <v>6343</v>
      </c>
      <c r="AZ40" s="289">
        <f t="shared" si="60"/>
        <v>0.15008399782315501</v>
      </c>
      <c r="BA40" s="40">
        <f t="shared" si="36"/>
        <v>472.01417315382253</v>
      </c>
      <c r="BB40" s="56">
        <v>2.4E-2</v>
      </c>
      <c r="BC40" s="56">
        <v>0.36599999999999999</v>
      </c>
      <c r="BD40" s="56">
        <v>0.36599999999999999</v>
      </c>
      <c r="BE40" s="56">
        <v>0.22</v>
      </c>
      <c r="BF40" s="56">
        <v>0</v>
      </c>
      <c r="BG40" s="56">
        <f t="shared" si="26"/>
        <v>0.97599999999999998</v>
      </c>
      <c r="BH40" s="52">
        <v>82</v>
      </c>
      <c r="BI40" s="5" t="s">
        <v>445</v>
      </c>
      <c r="BJ40" s="74" t="s">
        <v>413</v>
      </c>
      <c r="BK40" s="5"/>
      <c r="BL40" s="40">
        <f t="shared" si="55"/>
        <v>11.328340155691741</v>
      </c>
      <c r="BM40" s="40">
        <f t="shared" si="56"/>
        <v>172.75718737429904</v>
      </c>
      <c r="BN40" s="40">
        <f t="shared" si="57"/>
        <v>172.75718737429904</v>
      </c>
      <c r="BO40" s="40">
        <f t="shared" si="58"/>
        <v>103.84311809384096</v>
      </c>
      <c r="BP40" s="40">
        <f t="shared" si="59"/>
        <v>0</v>
      </c>
      <c r="BQ40" s="40">
        <f t="shared" si="37"/>
        <v>460.68583299813076</v>
      </c>
      <c r="BR40" s="5"/>
      <c r="BS40" s="1">
        <f t="shared" si="0"/>
        <v>1996</v>
      </c>
      <c r="BT40" s="52">
        <f t="shared" si="27"/>
        <v>11.328340155691741</v>
      </c>
      <c r="BU40" s="52">
        <f t="shared" si="38"/>
        <v>7108.6371873742992</v>
      </c>
      <c r="BV40" s="52">
        <f t="shared" si="28"/>
        <v>5572.1171873742987</v>
      </c>
      <c r="BW40" s="52">
        <f t="shared" si="29"/>
        <v>2013.7231180938411</v>
      </c>
      <c r="BX40" s="52">
        <f t="shared" si="30"/>
        <v>0</v>
      </c>
      <c r="BY40" s="52">
        <f t="shared" si="39"/>
        <v>14705.80583299813</v>
      </c>
      <c r="BZ40" s="438">
        <f t="shared" si="40"/>
        <v>14694.477492842439</v>
      </c>
      <c r="CA40" s="89">
        <f t="shared" si="41"/>
        <v>7.7033113889428992E-4</v>
      </c>
      <c r="CB40" s="89">
        <f t="shared" si="42"/>
        <v>0.48338984399095886</v>
      </c>
      <c r="CC40" s="89">
        <f t="shared" si="43"/>
        <v>0.37890594032399849</v>
      </c>
      <c r="CD40" s="89">
        <f t="shared" si="44"/>
        <v>0.13693388454614835</v>
      </c>
      <c r="CE40" s="89">
        <f t="shared" si="45"/>
        <v>0</v>
      </c>
      <c r="CF40" s="89">
        <f t="shared" si="46"/>
        <v>1</v>
      </c>
      <c r="CG40" s="40"/>
      <c r="CH40" s="38">
        <f>+CH39+1</f>
        <v>1996</v>
      </c>
      <c r="CI40" s="260">
        <f t="shared" si="5"/>
        <v>0</v>
      </c>
      <c r="CJ40" s="260">
        <f t="shared" si="1"/>
        <v>4654.2777213619256</v>
      </c>
      <c r="CK40" s="260">
        <f t="shared" si="6"/>
        <v>15580.03386399629</v>
      </c>
      <c r="CL40" s="260">
        <f t="shared" si="7"/>
        <v>5263.1451543065714</v>
      </c>
      <c r="CM40" s="260">
        <f t="shared" si="8"/>
        <v>0</v>
      </c>
      <c r="CN40" s="260">
        <f t="shared" si="9"/>
        <v>25497.456739664787</v>
      </c>
      <c r="CO40" s="40"/>
      <c r="CP40" s="13">
        <f t="shared" si="10"/>
        <v>1996</v>
      </c>
      <c r="CQ40" s="351">
        <f t="shared" si="11"/>
        <v>0</v>
      </c>
      <c r="CR40" s="351">
        <f t="shared" si="12"/>
        <v>0.18253890060029238</v>
      </c>
      <c r="CS40" s="351">
        <f t="shared" si="13"/>
        <v>0.61104266292407949</v>
      </c>
      <c r="CT40" s="351">
        <f t="shared" si="14"/>
        <v>0.2064184364756281</v>
      </c>
      <c r="CU40" s="351">
        <f t="shared" si="15"/>
        <v>0</v>
      </c>
      <c r="CV40" s="75">
        <f t="shared" si="16"/>
        <v>1</v>
      </c>
      <c r="CW40" s="5"/>
      <c r="CX40" s="424">
        <f t="shared" si="24"/>
        <v>1996</v>
      </c>
      <c r="CY40" s="52">
        <f t="shared" si="2"/>
        <v>14349</v>
      </c>
      <c r="CZ40" s="88">
        <f t="shared" si="17"/>
        <v>25497.456739664787</v>
      </c>
      <c r="DA40" s="420">
        <f t="shared" si="61"/>
        <v>1.7769500829092471</v>
      </c>
      <c r="DB40" s="373">
        <f t="shared" si="62"/>
        <v>11148.456739664787</v>
      </c>
      <c r="DD40" s="5"/>
      <c r="DE40" s="5"/>
      <c r="DF40" s="1"/>
      <c r="DG40" s="42"/>
      <c r="DH40" s="42"/>
      <c r="DI40" s="42"/>
      <c r="DJ40" s="42"/>
      <c r="DK40" s="42"/>
      <c r="DL40" s="1"/>
      <c r="DM40" s="1"/>
      <c r="DN40" s="1"/>
      <c r="DO40" s="36"/>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row>
    <row r="41" spans="1:255" x14ac:dyDescent="0.2">
      <c r="A41" s="1">
        <f>+A40+1</f>
        <v>1997</v>
      </c>
      <c r="B41" s="54">
        <v>19047</v>
      </c>
      <c r="C41" s="5" t="s">
        <v>408</v>
      </c>
      <c r="D41" s="7">
        <v>35587</v>
      </c>
      <c r="E41" s="230">
        <v>35578</v>
      </c>
      <c r="F41" s="8"/>
      <c r="G41" s="119" t="s">
        <v>413</v>
      </c>
      <c r="H41" s="119"/>
      <c r="I41" s="18"/>
      <c r="J41" s="18"/>
      <c r="K41" s="1" t="s">
        <v>210</v>
      </c>
      <c r="L41" s="42"/>
      <c r="M41" s="259"/>
      <c r="N41" s="69">
        <f>D41</f>
        <v>35587</v>
      </c>
      <c r="O41" s="430">
        <f t="shared" si="4"/>
        <v>16</v>
      </c>
      <c r="P41" t="s">
        <v>211</v>
      </c>
      <c r="Q41" s="33" t="s">
        <v>34</v>
      </c>
      <c r="R41" s="25" t="s">
        <v>417</v>
      </c>
      <c r="S41" t="s">
        <v>249</v>
      </c>
      <c r="T41" s="39">
        <v>2E-3</v>
      </c>
      <c r="U41" s="39">
        <v>0.16900000000000001</v>
      </c>
      <c r="V41" s="39">
        <v>0.66</v>
      </c>
      <c r="W41" s="39">
        <v>0.16900000000000001</v>
      </c>
      <c r="X41" s="39">
        <v>0</v>
      </c>
      <c r="Y41" s="39">
        <f t="shared" si="47"/>
        <v>1</v>
      </c>
      <c r="Z41" s="40">
        <v>491</v>
      </c>
      <c r="AA41" s="22"/>
      <c r="AB41" s="14">
        <f t="shared" si="48"/>
        <v>71.174000000000007</v>
      </c>
      <c r="AC41" s="14">
        <f t="shared" si="49"/>
        <v>6014.2030000000004</v>
      </c>
      <c r="AD41" s="14">
        <f t="shared" si="50"/>
        <v>23487.420000000002</v>
      </c>
      <c r="AE41" s="14">
        <f t="shared" si="51"/>
        <v>6014.2030000000004</v>
      </c>
      <c r="AF41" s="14">
        <f t="shared" si="52"/>
        <v>0</v>
      </c>
      <c r="AG41" s="14">
        <f t="shared" si="53"/>
        <v>35587</v>
      </c>
      <c r="AI41" s="52"/>
      <c r="AJ41" s="52"/>
      <c r="AK41" s="40">
        <v>42</v>
      </c>
      <c r="AL41" t="s">
        <v>526</v>
      </c>
      <c r="AM41" s="14">
        <f t="shared" si="31"/>
        <v>8.4000000000000005E-2</v>
      </c>
      <c r="AN41" s="14">
        <f t="shared" si="32"/>
        <v>7.0980000000000008</v>
      </c>
      <c r="AO41" s="14">
        <f t="shared" si="33"/>
        <v>27.720000000000002</v>
      </c>
      <c r="AP41" s="14">
        <f t="shared" si="34"/>
        <v>7.0980000000000008</v>
      </c>
      <c r="AQ41" s="14">
        <f t="shared" si="35"/>
        <v>0</v>
      </c>
      <c r="AR41" s="14">
        <f t="shared" si="54"/>
        <v>42</v>
      </c>
      <c r="AT41" s="40">
        <v>639</v>
      </c>
      <c r="AU41" s="40">
        <v>1133</v>
      </c>
      <c r="AV41" s="40">
        <v>105</v>
      </c>
      <c r="AW41" s="40">
        <f t="shared" si="25"/>
        <v>1877</v>
      </c>
      <c r="AX41" s="40">
        <v>83086.197102288133</v>
      </c>
      <c r="AY41" s="40">
        <f t="shared" si="22"/>
        <v>19047</v>
      </c>
      <c r="AZ41" s="289">
        <f t="shared" si="60"/>
        <v>0.22924385354346011</v>
      </c>
      <c r="BA41" s="40">
        <f t="shared" si="36"/>
        <v>430.29071310107463</v>
      </c>
      <c r="BB41" s="56">
        <v>0.02</v>
      </c>
      <c r="BC41" s="56">
        <v>0.26500000000000001</v>
      </c>
      <c r="BD41" s="56">
        <v>0.5</v>
      </c>
      <c r="BE41" s="56">
        <v>0.214</v>
      </c>
      <c r="BF41" s="56">
        <v>0</v>
      </c>
      <c r="BG41" s="56">
        <f t="shared" si="26"/>
        <v>0.999</v>
      </c>
      <c r="BH41" s="52">
        <v>98</v>
      </c>
      <c r="BI41" s="1" t="s">
        <v>445</v>
      </c>
      <c r="BJ41" s="51" t="s">
        <v>475</v>
      </c>
      <c r="BL41" s="14">
        <f t="shared" si="55"/>
        <v>8.605814262021493</v>
      </c>
      <c r="BM41" s="14">
        <f t="shared" si="56"/>
        <v>114.02703897178478</v>
      </c>
      <c r="BN41" s="14">
        <f t="shared" si="57"/>
        <v>215.14535655053731</v>
      </c>
      <c r="BO41" s="14">
        <f t="shared" si="58"/>
        <v>92.082212603629969</v>
      </c>
      <c r="BP41" s="14">
        <f t="shared" si="59"/>
        <v>0</v>
      </c>
      <c r="BQ41" s="14">
        <f t="shared" si="37"/>
        <v>429.86042238797353</v>
      </c>
      <c r="BS41" s="1">
        <f t="shared" si="0"/>
        <v>1997</v>
      </c>
      <c r="BT41" s="88">
        <f t="shared" si="27"/>
        <v>79.863814262021492</v>
      </c>
      <c r="BU41" s="88">
        <f t="shared" si="38"/>
        <v>6135.3280389717856</v>
      </c>
      <c r="BV41" s="88">
        <f t="shared" si="28"/>
        <v>23730.285356550539</v>
      </c>
      <c r="BW41" s="88">
        <f t="shared" si="29"/>
        <v>6113.3832126036305</v>
      </c>
      <c r="BX41" s="88">
        <f t="shared" si="30"/>
        <v>0</v>
      </c>
      <c r="BY41" s="88">
        <f t="shared" si="39"/>
        <v>36058.860422387974</v>
      </c>
      <c r="BZ41" s="438">
        <f t="shared" si="40"/>
        <v>35978.996608125955</v>
      </c>
      <c r="CA41" s="89">
        <f t="shared" si="41"/>
        <v>2.2148180315880476E-3</v>
      </c>
      <c r="CB41" s="89">
        <f t="shared" si="42"/>
        <v>0.17014758556159268</v>
      </c>
      <c r="CC41" s="89">
        <f t="shared" si="43"/>
        <v>0.6580985943143407</v>
      </c>
      <c r="CD41" s="89">
        <f t="shared" si="44"/>
        <v>0.16953900209247866</v>
      </c>
      <c r="CE41" s="89">
        <f t="shared" si="45"/>
        <v>0</v>
      </c>
      <c r="CF41" s="89">
        <f t="shared" si="46"/>
        <v>1.0000000000000002</v>
      </c>
      <c r="CG41" s="14"/>
      <c r="CH41" s="42">
        <f>+CH40+1</f>
        <v>1997</v>
      </c>
      <c r="CI41" s="260">
        <f t="shared" si="5"/>
        <v>3.7054721501931462</v>
      </c>
      <c r="CJ41" s="260">
        <f t="shared" si="1"/>
        <v>8166.5559561580312</v>
      </c>
      <c r="CK41" s="260">
        <f t="shared" si="6"/>
        <v>18849.389515593277</v>
      </c>
      <c r="CL41" s="260">
        <f t="shared" ref="CL41:CL53" si="63">BW47</f>
        <v>6599.162149429244</v>
      </c>
      <c r="CM41" s="260">
        <f t="shared" si="8"/>
        <v>0</v>
      </c>
      <c r="CN41" s="260">
        <f t="shared" si="9"/>
        <v>33618.813093330748</v>
      </c>
      <c r="CO41" s="14"/>
      <c r="CP41" s="13">
        <f t="shared" si="10"/>
        <v>1997</v>
      </c>
      <c r="CQ41" s="351">
        <f t="shared" si="11"/>
        <v>1.1022019545741288E-4</v>
      </c>
      <c r="CR41" s="351">
        <f t="shared" si="12"/>
        <v>0.24291624851497512</v>
      </c>
      <c r="CS41" s="351">
        <f t="shared" si="13"/>
        <v>0.56067980339652712</v>
      </c>
      <c r="CT41" s="351">
        <f t="shared" si="14"/>
        <v>0.19629372789304023</v>
      </c>
      <c r="CU41" s="351">
        <f t="shared" si="15"/>
        <v>0</v>
      </c>
      <c r="CV41" s="75">
        <f t="shared" si="16"/>
        <v>0.99999999999999989</v>
      </c>
      <c r="CX41" s="424">
        <f t="shared" si="24"/>
        <v>1997</v>
      </c>
      <c r="CY41" s="88">
        <f t="shared" si="2"/>
        <v>35587</v>
      </c>
      <c r="CZ41" s="88">
        <f t="shared" ref="CZ41:CZ54" si="64">CN41</f>
        <v>33618.813093330748</v>
      </c>
      <c r="DA41" s="177">
        <f t="shared" si="61"/>
        <v>0.94469365479896439</v>
      </c>
      <c r="DB41" s="373">
        <f t="shared" si="62"/>
        <v>0</v>
      </c>
      <c r="DF41" s="1"/>
      <c r="DG41" s="42"/>
      <c r="DH41" s="1"/>
      <c r="DI41" s="1"/>
      <c r="DJ41" s="1"/>
      <c r="DK41" s="1"/>
      <c r="DL41" s="1"/>
      <c r="DM41" s="1"/>
      <c r="DN41" s="1"/>
      <c r="DO41" s="1"/>
    </row>
    <row r="42" spans="1:255" x14ac:dyDescent="0.2">
      <c r="A42" s="1">
        <v>1998</v>
      </c>
      <c r="B42" s="54">
        <v>15556</v>
      </c>
      <c r="C42" s="5" t="s">
        <v>408</v>
      </c>
      <c r="D42" s="7">
        <v>15409</v>
      </c>
      <c r="E42" s="230">
        <v>35962</v>
      </c>
      <c r="F42" s="365">
        <v>21</v>
      </c>
      <c r="G42" s="119" t="s">
        <v>413</v>
      </c>
      <c r="H42" s="119"/>
      <c r="I42" s="125"/>
      <c r="J42" s="125"/>
      <c r="K42" s="1" t="s">
        <v>215</v>
      </c>
      <c r="L42" s="262">
        <f t="shared" ref="L42:M47" si="65">L$18</f>
        <v>0.48684460222878428</v>
      </c>
      <c r="M42" s="259">
        <f t="shared" si="65"/>
        <v>-2121.431533196388</v>
      </c>
      <c r="N42" s="69">
        <f>(B42-M42)/L42</f>
        <v>36310.213674484126</v>
      </c>
      <c r="O42" s="430">
        <f t="shared" si="4"/>
        <v>15</v>
      </c>
      <c r="P42" t="s">
        <v>350</v>
      </c>
      <c r="Q42" s="33" t="s">
        <v>34</v>
      </c>
      <c r="R42" t="s">
        <v>525</v>
      </c>
      <c r="S42" t="s">
        <v>247</v>
      </c>
      <c r="T42" s="39">
        <v>0</v>
      </c>
      <c r="U42" s="39">
        <v>0.2884012539184953</v>
      </c>
      <c r="V42" s="39">
        <v>0.42633228840125392</v>
      </c>
      <c r="W42" s="39">
        <v>0.28213166144200624</v>
      </c>
      <c r="X42" s="39">
        <v>3.134796238244514E-3</v>
      </c>
      <c r="Y42" s="39">
        <f t="shared" si="47"/>
        <v>0.99999999999999989</v>
      </c>
      <c r="Z42" s="40">
        <v>319</v>
      </c>
      <c r="AA42" s="22"/>
      <c r="AB42" s="14">
        <f t="shared" si="48"/>
        <v>0</v>
      </c>
      <c r="AC42" s="14">
        <f t="shared" si="49"/>
        <v>10471.911153769717</v>
      </c>
      <c r="AD42" s="14">
        <f t="shared" si="50"/>
        <v>15480.216488181321</v>
      </c>
      <c r="AE42" s="14">
        <f t="shared" si="51"/>
        <v>10244.260911296462</v>
      </c>
      <c r="AF42" s="14">
        <f t="shared" si="52"/>
        <v>113.82512123662735</v>
      </c>
      <c r="AG42" s="14">
        <f t="shared" si="53"/>
        <v>36310.213674484134</v>
      </c>
      <c r="AI42" s="52"/>
      <c r="AJ42" s="52"/>
      <c r="AK42" s="40">
        <v>3384</v>
      </c>
      <c r="AL42" t="s">
        <v>36</v>
      </c>
      <c r="AM42" s="14">
        <f>$AK42*AM64</f>
        <v>0</v>
      </c>
      <c r="AN42" s="14">
        <f>$AK42*AN64</f>
        <v>0</v>
      </c>
      <c r="AO42" s="14">
        <f>$AK42*AO64</f>
        <v>0</v>
      </c>
      <c r="AP42" s="14">
        <f>$AK42*AP64</f>
        <v>0</v>
      </c>
      <c r="AQ42" s="14">
        <f>$AK42*AQ64</f>
        <v>0</v>
      </c>
      <c r="AR42" s="14">
        <f t="shared" ref="AR42:AR47" si="66">SUM(AM42:AQ42)</f>
        <v>0</v>
      </c>
      <c r="AT42" s="40">
        <v>1027</v>
      </c>
      <c r="AU42" s="40">
        <v>2547</v>
      </c>
      <c r="AV42" s="40">
        <v>83</v>
      </c>
      <c r="AW42" s="40">
        <f t="shared" si="25"/>
        <v>3657</v>
      </c>
      <c r="AX42" s="40">
        <v>62830</v>
      </c>
      <c r="AY42" s="40">
        <f>B42</f>
        <v>15556</v>
      </c>
      <c r="AZ42" s="289">
        <f t="shared" si="60"/>
        <v>0.24758873149769217</v>
      </c>
      <c r="BA42" s="40">
        <f t="shared" si="36"/>
        <v>905.43199108706028</v>
      </c>
      <c r="BB42" s="57">
        <v>0</v>
      </c>
      <c r="BC42" s="57">
        <v>0.435</v>
      </c>
      <c r="BD42" s="57">
        <v>0.32800000000000001</v>
      </c>
      <c r="BE42" s="57">
        <v>0.221</v>
      </c>
      <c r="BF42" s="57">
        <v>4.0000000000000001E-3</v>
      </c>
      <c r="BG42" s="238">
        <f t="shared" si="26"/>
        <v>0.98799999999999999</v>
      </c>
      <c r="BH42" s="52">
        <v>262</v>
      </c>
      <c r="BI42" s="1" t="s">
        <v>445</v>
      </c>
      <c r="BJ42" s="18" t="s">
        <v>413</v>
      </c>
      <c r="BL42" s="14">
        <f t="shared" si="55"/>
        <v>0</v>
      </c>
      <c r="BM42" s="14">
        <f t="shared" si="56"/>
        <v>393.86291612287124</v>
      </c>
      <c r="BN42" s="14">
        <f t="shared" si="57"/>
        <v>296.98169307655576</v>
      </c>
      <c r="BO42" s="14">
        <f t="shared" si="58"/>
        <v>200.10047003024033</v>
      </c>
      <c r="BP42" s="14">
        <f t="shared" si="59"/>
        <v>3.6217279643482412</v>
      </c>
      <c r="BQ42" s="14">
        <f t="shared" si="37"/>
        <v>894.5668071940155</v>
      </c>
      <c r="BS42" s="1">
        <f t="shared" si="0"/>
        <v>1998</v>
      </c>
      <c r="BT42" s="88">
        <f t="shared" si="27"/>
        <v>0</v>
      </c>
      <c r="BU42" s="88">
        <f t="shared" si="38"/>
        <v>10865.774069892588</v>
      </c>
      <c r="BV42" s="88">
        <f t="shared" si="28"/>
        <v>15777.198181257876</v>
      </c>
      <c r="BW42" s="88">
        <f t="shared" si="29"/>
        <v>10444.361381326702</v>
      </c>
      <c r="BX42" s="88">
        <f t="shared" si="30"/>
        <v>117.44684920097559</v>
      </c>
      <c r="BY42" s="88">
        <f t="shared" si="39"/>
        <v>37204.780481678143</v>
      </c>
      <c r="BZ42" s="438">
        <f t="shared" si="40"/>
        <v>37087.333632477166</v>
      </c>
      <c r="CA42" s="89">
        <f t="shared" si="41"/>
        <v>0</v>
      </c>
      <c r="CB42" s="89">
        <f t="shared" si="42"/>
        <v>0.29205316975982548</v>
      </c>
      <c r="CC42" s="89">
        <f t="shared" si="43"/>
        <v>0.42406373527798424</v>
      </c>
      <c r="CD42" s="89">
        <f t="shared" si="44"/>
        <v>0.2807263272651247</v>
      </c>
      <c r="CE42" s="89">
        <f t="shared" si="45"/>
        <v>3.1567676970655273E-3</v>
      </c>
      <c r="CF42" s="89">
        <f t="shared" si="46"/>
        <v>1</v>
      </c>
      <c r="CG42" s="14"/>
      <c r="CH42" s="42">
        <v>1998</v>
      </c>
      <c r="CI42" s="260">
        <f t="shared" si="5"/>
        <v>480.60074969852849</v>
      </c>
      <c r="CJ42" s="260">
        <f t="shared" si="1"/>
        <v>8842.0571426269289</v>
      </c>
      <c r="CK42" s="260">
        <f t="shared" ref="CK42:CK54" si="67">BV47</f>
        <v>22762.063505990678</v>
      </c>
      <c r="CL42" s="260">
        <f t="shared" si="63"/>
        <v>10056.530401669592</v>
      </c>
      <c r="CM42" s="260">
        <f t="shared" si="8"/>
        <v>0</v>
      </c>
      <c r="CN42" s="260">
        <f t="shared" si="9"/>
        <v>42141.251799985723</v>
      </c>
      <c r="CO42" s="14"/>
      <c r="CP42" s="13">
        <f t="shared" si="10"/>
        <v>1998</v>
      </c>
      <c r="CQ42" s="351">
        <f t="shared" ref="CQ42:CU43" si="68">CI42/$CN42</f>
        <v>1.1404520017098574E-2</v>
      </c>
      <c r="CR42" s="351">
        <f t="shared" si="68"/>
        <v>0.20981951804834437</v>
      </c>
      <c r="CS42" s="351">
        <f t="shared" si="68"/>
        <v>0.54013733654676077</v>
      </c>
      <c r="CT42" s="351">
        <f t="shared" si="68"/>
        <v>0.23863862538779634</v>
      </c>
      <c r="CU42" s="351">
        <f t="shared" si="68"/>
        <v>0</v>
      </c>
      <c r="CV42" s="75">
        <f t="shared" ref="CV42:CV50" si="69">SUM(CQ42:CU42)</f>
        <v>1</v>
      </c>
      <c r="CX42" s="424">
        <f t="shared" si="24"/>
        <v>1998</v>
      </c>
      <c r="CY42" s="88">
        <f t="shared" si="2"/>
        <v>36310.213674484126</v>
      </c>
      <c r="CZ42" s="88">
        <f t="shared" si="64"/>
        <v>42141.251799985723</v>
      </c>
      <c r="DA42" s="177">
        <f t="shared" si="61"/>
        <v>1.1605894742943685</v>
      </c>
      <c r="DB42" s="373">
        <f t="shared" si="62"/>
        <v>5831.0381255015964</v>
      </c>
      <c r="DF42" s="1"/>
      <c r="DG42" s="88"/>
      <c r="DH42" s="88"/>
      <c r="DI42" s="88"/>
      <c r="DJ42" s="88"/>
      <c r="DK42" s="88"/>
      <c r="DL42" s="88"/>
      <c r="DM42" s="1"/>
      <c r="DN42" s="1"/>
      <c r="DO42" s="1"/>
    </row>
    <row r="43" spans="1:255" x14ac:dyDescent="0.2">
      <c r="A43" s="2">
        <v>1999</v>
      </c>
      <c r="B43" s="54">
        <v>12904</v>
      </c>
      <c r="C43" s="5" t="s">
        <v>408</v>
      </c>
      <c r="D43" s="7">
        <v>29649</v>
      </c>
      <c r="E43" s="230">
        <v>36309</v>
      </c>
      <c r="F43" s="7"/>
      <c r="G43" s="124" t="s">
        <v>37</v>
      </c>
      <c r="H43" s="124"/>
      <c r="I43" s="363">
        <v>561</v>
      </c>
      <c r="J43" s="126">
        <v>119</v>
      </c>
      <c r="K43" s="1" t="s">
        <v>214</v>
      </c>
      <c r="L43" s="42"/>
      <c r="M43" s="259"/>
      <c r="N43" s="86">
        <f t="shared" ref="N43:N50" si="70">D43-I43</f>
        <v>29088</v>
      </c>
      <c r="O43" s="430">
        <f t="shared" si="4"/>
        <v>21</v>
      </c>
      <c r="P43" t="s">
        <v>212</v>
      </c>
      <c r="Q43" s="33" t="s">
        <v>34</v>
      </c>
      <c r="R43" s="25" t="s">
        <v>417</v>
      </c>
      <c r="S43" s="25" t="s">
        <v>248</v>
      </c>
      <c r="T43" s="39">
        <v>0</v>
      </c>
      <c r="U43" s="39">
        <v>0.30499999999999999</v>
      </c>
      <c r="V43" s="39">
        <v>0.435</v>
      </c>
      <c r="W43" s="39">
        <v>0.25600000000000001</v>
      </c>
      <c r="X43" s="39">
        <v>2E-3</v>
      </c>
      <c r="Y43" s="39">
        <f t="shared" si="47"/>
        <v>0.998</v>
      </c>
      <c r="Z43" s="40">
        <v>446</v>
      </c>
      <c r="AA43" s="22"/>
      <c r="AB43" s="14">
        <f t="shared" si="48"/>
        <v>0</v>
      </c>
      <c r="AC43" s="14">
        <f t="shared" si="49"/>
        <v>8871.84</v>
      </c>
      <c r="AD43" s="14">
        <f t="shared" si="50"/>
        <v>12653.28</v>
      </c>
      <c r="AE43" s="14">
        <f t="shared" si="51"/>
        <v>7446.5280000000002</v>
      </c>
      <c r="AF43" s="14">
        <f t="shared" si="52"/>
        <v>58.176000000000002</v>
      </c>
      <c r="AG43" s="14">
        <f t="shared" si="53"/>
        <v>29029.824000000001</v>
      </c>
      <c r="AI43" s="52"/>
      <c r="AJ43" s="52"/>
      <c r="AK43" s="40">
        <f>2935+561</f>
        <v>3496</v>
      </c>
      <c r="AL43" t="s">
        <v>71</v>
      </c>
      <c r="AM43" s="14">
        <f t="shared" ref="AM43:AQ45" si="71">$AK43*T43</f>
        <v>0</v>
      </c>
      <c r="AN43" s="14">
        <f t="shared" si="71"/>
        <v>1066.28</v>
      </c>
      <c r="AO43" s="14">
        <f t="shared" si="71"/>
        <v>1520.76</v>
      </c>
      <c r="AP43" s="14">
        <f t="shared" si="71"/>
        <v>894.976</v>
      </c>
      <c r="AQ43" s="14">
        <f t="shared" si="71"/>
        <v>6.992</v>
      </c>
      <c r="AR43" s="14">
        <f t="shared" si="66"/>
        <v>3489.0080000000003</v>
      </c>
      <c r="AT43" s="40">
        <v>1230</v>
      </c>
      <c r="AU43" s="40">
        <v>2812</v>
      </c>
      <c r="AV43" s="40">
        <v>776</v>
      </c>
      <c r="AW43" s="40">
        <f t="shared" si="25"/>
        <v>4818</v>
      </c>
      <c r="AX43" s="40">
        <v>66924.185627886516</v>
      </c>
      <c r="AY43" s="40">
        <f>B43</f>
        <v>12904</v>
      </c>
      <c r="AZ43" s="289">
        <f t="shared" si="60"/>
        <v>0.19281519646348982</v>
      </c>
      <c r="BA43" s="40">
        <f t="shared" si="36"/>
        <v>928.98361656109398</v>
      </c>
      <c r="BB43" s="43">
        <v>0</v>
      </c>
      <c r="BC43" s="43">
        <v>0.4</v>
      </c>
      <c r="BD43" s="333">
        <v>0.46500000000000002</v>
      </c>
      <c r="BE43" s="43">
        <v>0.12</v>
      </c>
      <c r="BF43" s="43">
        <v>5.0000000000000001E-3</v>
      </c>
      <c r="BG43" s="56">
        <f t="shared" si="26"/>
        <v>0.99</v>
      </c>
      <c r="BH43" s="52">
        <v>200</v>
      </c>
      <c r="BI43" s="37" t="s">
        <v>445</v>
      </c>
      <c r="BJ43" s="51" t="s">
        <v>476</v>
      </c>
      <c r="BL43" s="14">
        <f t="shared" si="55"/>
        <v>0</v>
      </c>
      <c r="BM43" s="14">
        <f t="shared" si="56"/>
        <v>371.5934466244376</v>
      </c>
      <c r="BN43" s="14">
        <f t="shared" si="57"/>
        <v>431.97738170090872</v>
      </c>
      <c r="BO43" s="14">
        <f t="shared" si="58"/>
        <v>111.47803398733127</v>
      </c>
      <c r="BP43" s="14">
        <f t="shared" si="59"/>
        <v>4.6449180828054697</v>
      </c>
      <c r="BQ43" s="14">
        <f t="shared" si="37"/>
        <v>919.69378039548315</v>
      </c>
      <c r="BS43" s="1">
        <f t="shared" si="0"/>
        <v>1999</v>
      </c>
      <c r="BT43" s="88">
        <f t="shared" si="27"/>
        <v>0</v>
      </c>
      <c r="BU43" s="88">
        <f t="shared" si="38"/>
        <v>10309.713446624437</v>
      </c>
      <c r="BV43" s="88">
        <f t="shared" si="28"/>
        <v>14606.017381700909</v>
      </c>
      <c r="BW43" s="88">
        <f t="shared" si="29"/>
        <v>8452.9820339873313</v>
      </c>
      <c r="BX43" s="88">
        <f t="shared" si="30"/>
        <v>69.812918082805467</v>
      </c>
      <c r="BY43" s="88">
        <f t="shared" si="39"/>
        <v>33438.525780395481</v>
      </c>
      <c r="BZ43" s="438">
        <f t="shared" si="40"/>
        <v>33368.712862312677</v>
      </c>
      <c r="CA43" s="89">
        <f t="shared" si="41"/>
        <v>0</v>
      </c>
      <c r="CB43" s="89">
        <f t="shared" si="42"/>
        <v>0.3083184203254819</v>
      </c>
      <c r="CC43" s="89">
        <f t="shared" si="43"/>
        <v>0.43680207308254609</v>
      </c>
      <c r="CD43" s="89">
        <f t="shared" si="44"/>
        <v>0.25279170766981574</v>
      </c>
      <c r="CE43" s="89">
        <f t="shared" si="45"/>
        <v>2.0877989221563041E-3</v>
      </c>
      <c r="CF43" s="89">
        <f t="shared" si="46"/>
        <v>1</v>
      </c>
      <c r="CG43" s="14"/>
      <c r="CH43" s="43">
        <v>1999</v>
      </c>
      <c r="CI43" s="260">
        <f t="shared" si="5"/>
        <v>533.65507922804193</v>
      </c>
      <c r="CJ43" s="260">
        <f t="shared" ref="CJ43:CJ55" si="72">BU47</f>
        <v>16832.450323757814</v>
      </c>
      <c r="CK43" s="260">
        <f t="shared" si="67"/>
        <v>44248.733767346203</v>
      </c>
      <c r="CL43" s="260">
        <f t="shared" si="63"/>
        <v>5290.0263156526171</v>
      </c>
      <c r="CM43" s="260">
        <f t="shared" si="8"/>
        <v>0</v>
      </c>
      <c r="CN43" s="260">
        <f t="shared" si="9"/>
        <v>66904.865485984672</v>
      </c>
      <c r="CO43" s="14"/>
      <c r="CP43" s="13">
        <f t="shared" si="10"/>
        <v>1999</v>
      </c>
      <c r="CQ43" s="351">
        <f t="shared" si="68"/>
        <v>7.9763269136208445E-3</v>
      </c>
      <c r="CR43" s="351">
        <f t="shared" si="68"/>
        <v>0.25158783597411011</v>
      </c>
      <c r="CS43" s="351">
        <f t="shared" si="68"/>
        <v>0.66136795053590669</v>
      </c>
      <c r="CT43" s="351">
        <f t="shared" si="68"/>
        <v>7.9067886576362365E-2</v>
      </c>
      <c r="CU43" s="351">
        <f t="shared" si="68"/>
        <v>0</v>
      </c>
      <c r="CV43" s="75">
        <f t="shared" si="69"/>
        <v>1</v>
      </c>
      <c r="CX43" s="424">
        <f t="shared" si="24"/>
        <v>1999</v>
      </c>
      <c r="CY43" s="88">
        <f t="shared" si="2"/>
        <v>29088</v>
      </c>
      <c r="CZ43" s="88">
        <f t="shared" si="64"/>
        <v>66904.865485984672</v>
      </c>
      <c r="DA43" s="177">
        <f t="shared" si="61"/>
        <v>2.3000847595566789</v>
      </c>
      <c r="DB43" s="373">
        <f t="shared" si="62"/>
        <v>37816.865485984672</v>
      </c>
      <c r="DF43" s="1"/>
      <c r="DG43" s="1"/>
      <c r="DH43" s="1"/>
      <c r="DI43" s="1"/>
      <c r="DJ43" s="1"/>
      <c r="DK43" s="1"/>
      <c r="DL43" s="1"/>
      <c r="DM43" s="1"/>
      <c r="DN43" s="1"/>
      <c r="DO43" s="1"/>
    </row>
    <row r="44" spans="1:255" x14ac:dyDescent="0.2">
      <c r="A44" s="2">
        <v>2000</v>
      </c>
      <c r="B44" s="54"/>
      <c r="C44" s="5" t="s">
        <v>593</v>
      </c>
      <c r="D44" s="7">
        <v>35242</v>
      </c>
      <c r="E44" s="230">
        <v>36678</v>
      </c>
      <c r="F44" s="7"/>
      <c r="G44" s="121" t="s">
        <v>33</v>
      </c>
      <c r="H44">
        <v>275</v>
      </c>
      <c r="I44" s="363">
        <v>1277</v>
      </c>
      <c r="J44" s="126">
        <v>214</v>
      </c>
      <c r="K44" s="3" t="s">
        <v>213</v>
      </c>
      <c r="L44" s="262">
        <f t="shared" si="65"/>
        <v>0.48684460222878428</v>
      </c>
      <c r="M44" s="259">
        <f t="shared" si="65"/>
        <v>-2121.431533196388</v>
      </c>
      <c r="N44" s="86">
        <f t="shared" si="70"/>
        <v>33965</v>
      </c>
      <c r="O44" s="430">
        <f t="shared" si="4"/>
        <v>19</v>
      </c>
      <c r="P44" t="s">
        <v>212</v>
      </c>
      <c r="Q44" s="33" t="s">
        <v>34</v>
      </c>
      <c r="R44" s="25" t="s">
        <v>417</v>
      </c>
      <c r="S44" s="25" t="s">
        <v>72</v>
      </c>
      <c r="T44" s="39">
        <v>0</v>
      </c>
      <c r="U44" s="39">
        <v>0.1072961373390558</v>
      </c>
      <c r="V44" s="39">
        <v>0.79184549356223177</v>
      </c>
      <c r="W44" s="39">
        <v>0.10085836909871244</v>
      </c>
      <c r="X44" s="39">
        <v>0</v>
      </c>
      <c r="Y44" s="39">
        <f t="shared" si="47"/>
        <v>1</v>
      </c>
      <c r="Z44" s="40">
        <v>466</v>
      </c>
      <c r="AA44" s="22"/>
      <c r="AB44" s="14">
        <f t="shared" si="48"/>
        <v>0</v>
      </c>
      <c r="AC44" s="14">
        <f t="shared" si="49"/>
        <v>3644.3133047210304</v>
      </c>
      <c r="AD44" s="14">
        <f t="shared" si="50"/>
        <v>26895.032188841204</v>
      </c>
      <c r="AE44" s="14">
        <f t="shared" si="51"/>
        <v>3425.6545064377683</v>
      </c>
      <c r="AF44" s="14">
        <f t="shared" si="52"/>
        <v>0</v>
      </c>
      <c r="AG44" s="14">
        <f t="shared" si="53"/>
        <v>33965.000000000007</v>
      </c>
      <c r="AI44" s="52"/>
      <c r="AJ44" s="52"/>
      <c r="AK44" s="52">
        <f>5799+1277</f>
        <v>7076</v>
      </c>
      <c r="AL44" t="s">
        <v>71</v>
      </c>
      <c r="AM44" s="14">
        <f t="shared" si="71"/>
        <v>0</v>
      </c>
      <c r="AN44" s="14">
        <f t="shared" si="71"/>
        <v>759.22746781115882</v>
      </c>
      <c r="AO44" s="14">
        <f t="shared" si="71"/>
        <v>5603.0987124463518</v>
      </c>
      <c r="AP44" s="14">
        <f t="shared" si="71"/>
        <v>713.67381974248929</v>
      </c>
      <c r="AQ44" s="14">
        <f t="shared" si="71"/>
        <v>0</v>
      </c>
      <c r="AR44" s="14">
        <f t="shared" si="66"/>
        <v>7076</v>
      </c>
      <c r="AT44" s="40">
        <v>1157</v>
      </c>
      <c r="AU44" s="40">
        <v>2307</v>
      </c>
      <c r="AV44" s="40">
        <v>778</v>
      </c>
      <c r="AW44" s="40">
        <f t="shared" si="25"/>
        <v>4242</v>
      </c>
      <c r="AX44" s="44">
        <v>51639.154271883766</v>
      </c>
      <c r="AY44" s="400">
        <f>D44*L44+M44</f>
        <v>15035.945938550427</v>
      </c>
      <c r="AZ44" s="289">
        <f t="shared" si="60"/>
        <v>0.29117335770808944</v>
      </c>
      <c r="BA44" s="40">
        <f t="shared" si="36"/>
        <v>1235.1573833977154</v>
      </c>
      <c r="BB44" s="58">
        <v>3.0000000000000001E-3</v>
      </c>
      <c r="BC44" s="58">
        <v>0.20300000000000001</v>
      </c>
      <c r="BD44" s="58">
        <v>0.56999999999999995</v>
      </c>
      <c r="BE44" s="58">
        <v>0.224</v>
      </c>
      <c r="BF44" s="58">
        <v>0</v>
      </c>
      <c r="BG44" s="56">
        <f t="shared" ref="BG44:BG49" si="73">SUM(BB44:BF44)</f>
        <v>1</v>
      </c>
      <c r="BH44" s="52">
        <v>370</v>
      </c>
      <c r="BI44" s="1" t="s">
        <v>445</v>
      </c>
      <c r="BJ44" t="s">
        <v>474</v>
      </c>
      <c r="BL44" s="14">
        <f t="shared" si="55"/>
        <v>3.7054721501931462</v>
      </c>
      <c r="BM44" s="14">
        <f t="shared" si="56"/>
        <v>250.73694882973624</v>
      </c>
      <c r="BN44" s="14">
        <f t="shared" si="57"/>
        <v>704.03970853669773</v>
      </c>
      <c r="BO44" s="14">
        <f t="shared" si="58"/>
        <v>276.67525388108828</v>
      </c>
      <c r="BP44" s="14">
        <f t="shared" si="59"/>
        <v>0</v>
      </c>
      <c r="BQ44" s="14">
        <f t="shared" si="37"/>
        <v>1235.1573833977154</v>
      </c>
      <c r="BS44" s="1">
        <f t="shared" si="0"/>
        <v>2000</v>
      </c>
      <c r="BT44" s="88">
        <f t="shared" si="27"/>
        <v>3.7054721501931462</v>
      </c>
      <c r="BU44" s="88">
        <f t="shared" si="38"/>
        <v>4654.2777213619256</v>
      </c>
      <c r="BV44" s="88">
        <f t="shared" si="28"/>
        <v>33202.17060982425</v>
      </c>
      <c r="BW44" s="88">
        <f t="shared" si="29"/>
        <v>4416.0035800613459</v>
      </c>
      <c r="BX44" s="88">
        <f t="shared" si="30"/>
        <v>0</v>
      </c>
      <c r="BY44" s="88">
        <f t="shared" si="39"/>
        <v>42276.157383397716</v>
      </c>
      <c r="BZ44" s="438">
        <f t="shared" si="40"/>
        <v>42272.451911247525</v>
      </c>
      <c r="CA44" s="89">
        <f t="shared" si="41"/>
        <v>8.7649218366481039E-5</v>
      </c>
      <c r="CB44" s="89">
        <f t="shared" si="42"/>
        <v>0.11009226025801741</v>
      </c>
      <c r="CC44" s="89">
        <f t="shared" si="43"/>
        <v>0.78536396552594645</v>
      </c>
      <c r="CD44" s="89">
        <f t="shared" si="44"/>
        <v>0.10445612499766964</v>
      </c>
      <c r="CE44" s="89">
        <f t="shared" si="45"/>
        <v>0</v>
      </c>
      <c r="CF44" s="89">
        <f t="shared" si="46"/>
        <v>1</v>
      </c>
      <c r="CG44" s="14"/>
      <c r="CH44" s="43">
        <v>2000</v>
      </c>
      <c r="CI44" s="260">
        <f t="shared" ref="CI44:CI49" si="74">BT47</f>
        <v>478.19461147039237</v>
      </c>
      <c r="CJ44" s="260">
        <f t="shared" si="72"/>
        <v>12067.836482003508</v>
      </c>
      <c r="CK44" s="260">
        <f t="shared" si="67"/>
        <v>25806.749999332358</v>
      </c>
      <c r="CL44" s="260">
        <f t="shared" si="63"/>
        <v>8509.3427271220298</v>
      </c>
      <c r="CM44" s="260">
        <f t="shared" si="8"/>
        <v>0</v>
      </c>
      <c r="CN44" s="260">
        <f t="shared" si="9"/>
        <v>46862.123819928282</v>
      </c>
      <c r="CO44" s="14"/>
      <c r="CP44" s="13">
        <f t="shared" si="10"/>
        <v>2000</v>
      </c>
      <c r="CQ44" s="351">
        <f t="shared" ref="CQ44:CU45" si="75">CI44/$CN44</f>
        <v>1.0204288079385733E-2</v>
      </c>
      <c r="CR44" s="351">
        <f t="shared" si="75"/>
        <v>0.25751791635341159</v>
      </c>
      <c r="CS44" s="351">
        <f t="shared" si="75"/>
        <v>0.55069527148400277</v>
      </c>
      <c r="CT44" s="351">
        <f t="shared" si="75"/>
        <v>0.18158252408320005</v>
      </c>
      <c r="CU44" s="351">
        <f t="shared" si="75"/>
        <v>0</v>
      </c>
      <c r="CV44" s="75">
        <f t="shared" si="69"/>
        <v>1.0000000000000002</v>
      </c>
      <c r="CX44" s="424">
        <f t="shared" si="24"/>
        <v>2000</v>
      </c>
      <c r="CY44" s="88">
        <f t="shared" si="2"/>
        <v>33965</v>
      </c>
      <c r="CZ44" s="88">
        <f t="shared" si="64"/>
        <v>46862.123819928282</v>
      </c>
      <c r="DA44" s="177">
        <f t="shared" si="61"/>
        <v>1.3797180574099304</v>
      </c>
      <c r="DB44" s="373">
        <f t="shared" si="62"/>
        <v>12897.123819928282</v>
      </c>
      <c r="DF44" s="1"/>
      <c r="DG44" s="1"/>
      <c r="DH44" s="1"/>
      <c r="DI44" s="1"/>
      <c r="DJ44" s="1"/>
      <c r="DK44" s="1"/>
      <c r="DL44" s="1"/>
      <c r="DM44" s="1"/>
      <c r="DN44" s="1"/>
      <c r="DO44" s="1"/>
    </row>
    <row r="45" spans="1:255" x14ac:dyDescent="0.2">
      <c r="A45">
        <v>2001</v>
      </c>
      <c r="C45" s="5" t="s">
        <v>593</v>
      </c>
      <c r="D45" s="7">
        <v>29004</v>
      </c>
      <c r="E45" s="230">
        <v>37046</v>
      </c>
      <c r="F45" s="13">
        <v>0</v>
      </c>
      <c r="H45">
        <v>300</v>
      </c>
      <c r="I45" s="86">
        <v>1038</v>
      </c>
      <c r="J45" s="38">
        <v>193</v>
      </c>
      <c r="K45" s="3" t="s">
        <v>213</v>
      </c>
      <c r="L45" s="262">
        <f t="shared" si="65"/>
        <v>0.48684460222878428</v>
      </c>
      <c r="M45" s="259">
        <f t="shared" si="65"/>
        <v>-2121.431533196388</v>
      </c>
      <c r="N45" s="86">
        <f t="shared" si="70"/>
        <v>27966</v>
      </c>
      <c r="O45" s="430">
        <f t="shared" si="4"/>
        <v>23</v>
      </c>
      <c r="P45" t="s">
        <v>212</v>
      </c>
      <c r="R45" s="25" t="s">
        <v>417</v>
      </c>
      <c r="S45" s="5" t="s">
        <v>73</v>
      </c>
      <c r="T45" s="39">
        <v>1.44E-2</v>
      </c>
      <c r="U45" s="39">
        <v>0.23669999999999999</v>
      </c>
      <c r="V45" s="39">
        <v>0.46610000000000001</v>
      </c>
      <c r="W45" s="39">
        <v>0.28270000000000001</v>
      </c>
      <c r="X45" s="38">
        <v>0</v>
      </c>
      <c r="Y45" s="39">
        <f t="shared" si="47"/>
        <v>0.99990000000000001</v>
      </c>
      <c r="Z45" s="40">
        <v>543</v>
      </c>
      <c r="AB45" s="40">
        <f t="shared" ref="AB45:AF46" si="76">T45*$N45</f>
        <v>402.71039999999999</v>
      </c>
      <c r="AC45" s="40">
        <f t="shared" si="76"/>
        <v>6619.5522000000001</v>
      </c>
      <c r="AD45" s="40">
        <f t="shared" si="76"/>
        <v>13034.952600000001</v>
      </c>
      <c r="AE45" s="40">
        <f t="shared" si="76"/>
        <v>7905.9881999999998</v>
      </c>
      <c r="AF45" s="40">
        <f t="shared" si="76"/>
        <v>0</v>
      </c>
      <c r="AG45" s="40">
        <f t="shared" ref="AG45:AG50" si="77">SUM(AB45:AF45)</f>
        <v>27963.203399999999</v>
      </c>
      <c r="AK45" s="40">
        <f>1038+3969</f>
        <v>5007</v>
      </c>
      <c r="AL45" t="s">
        <v>71</v>
      </c>
      <c r="AM45" s="40">
        <f t="shared" si="71"/>
        <v>72.100799999999992</v>
      </c>
      <c r="AN45" s="40">
        <f t="shared" si="71"/>
        <v>1185.1569</v>
      </c>
      <c r="AO45" s="40">
        <f t="shared" si="71"/>
        <v>2333.7627000000002</v>
      </c>
      <c r="AP45" s="40">
        <f t="shared" si="71"/>
        <v>1415.4789000000001</v>
      </c>
      <c r="AQ45" s="40">
        <f t="shared" si="71"/>
        <v>0</v>
      </c>
      <c r="AR45" s="14">
        <f t="shared" si="66"/>
        <v>5006.4993000000004</v>
      </c>
      <c r="AT45" s="40">
        <v>976</v>
      </c>
      <c r="AU45" s="40">
        <v>1811</v>
      </c>
      <c r="AV45" s="40">
        <v>651</v>
      </c>
      <c r="AW45" s="40">
        <f t="shared" si="25"/>
        <v>3438</v>
      </c>
      <c r="AX45" s="40">
        <v>57002.83601364003</v>
      </c>
      <c r="AY45" s="400">
        <f>D45*L45+M45</f>
        <v>11999.009309847272</v>
      </c>
      <c r="AZ45" s="289">
        <f t="shared" si="60"/>
        <v>0.21049846198838365</v>
      </c>
      <c r="BA45" s="40">
        <f t="shared" si="36"/>
        <v>723.69371231606294</v>
      </c>
      <c r="BB45" s="38">
        <v>8.0000000000000002E-3</v>
      </c>
      <c r="BC45" s="38">
        <v>0.5</v>
      </c>
      <c r="BD45" s="38">
        <v>0.29199999999999998</v>
      </c>
      <c r="BE45" s="38">
        <v>0.19600000000000001</v>
      </c>
      <c r="BF45" s="38">
        <v>4.0000000000000001E-3</v>
      </c>
      <c r="BG45" s="56">
        <f t="shared" si="73"/>
        <v>1</v>
      </c>
      <c r="BH45" s="52">
        <v>240</v>
      </c>
      <c r="BI45" t="s">
        <v>445</v>
      </c>
      <c r="BL45" s="14">
        <f t="shared" ref="BL45:BP46" si="78">BB45*$BA45</f>
        <v>5.7895496985285035</v>
      </c>
      <c r="BM45" s="14">
        <f t="shared" si="78"/>
        <v>361.84685615803147</v>
      </c>
      <c r="BN45" s="14">
        <f t="shared" si="78"/>
        <v>211.31856399629038</v>
      </c>
      <c r="BO45" s="14">
        <f t="shared" si="78"/>
        <v>141.84396761394834</v>
      </c>
      <c r="BP45" s="14">
        <f t="shared" si="78"/>
        <v>2.8947748492642518</v>
      </c>
      <c r="BQ45" s="14">
        <f t="shared" ref="BQ45:BQ50" si="79">SUM(BL45:BP45)</f>
        <v>723.69371231606283</v>
      </c>
      <c r="BS45" s="36">
        <f t="shared" si="0"/>
        <v>2001</v>
      </c>
      <c r="BT45" s="52">
        <f t="shared" si="27"/>
        <v>480.60074969852849</v>
      </c>
      <c r="BU45" s="52">
        <f t="shared" si="38"/>
        <v>8166.5559561580312</v>
      </c>
      <c r="BV45" s="52">
        <f t="shared" si="28"/>
        <v>15580.03386399629</v>
      </c>
      <c r="BW45" s="52">
        <f t="shared" si="29"/>
        <v>9463.3110676139477</v>
      </c>
      <c r="BX45" s="52">
        <f t="shared" si="30"/>
        <v>2.8947748492642518</v>
      </c>
      <c r="BY45" s="52">
        <f t="shared" si="39"/>
        <v>33693.396412316062</v>
      </c>
      <c r="BZ45" s="438">
        <f t="shared" si="40"/>
        <v>33209.900887768265</v>
      </c>
      <c r="CA45" s="356">
        <f t="shared" ref="CA45:CE46" si="80">BT45/$BY45</f>
        <v>1.4263944893452559E-2</v>
      </c>
      <c r="CB45" s="356">
        <f t="shared" si="80"/>
        <v>0.24237853187079952</v>
      </c>
      <c r="CC45" s="356">
        <f t="shared" si="80"/>
        <v>0.46240615440897692</v>
      </c>
      <c r="CD45" s="356">
        <f t="shared" si="80"/>
        <v>0.28086545362802284</v>
      </c>
      <c r="CE45" s="356">
        <f t="shared" si="80"/>
        <v>8.5915198748147422E-5</v>
      </c>
      <c r="CF45" s="356">
        <f t="shared" ref="CF45:CF50" si="81">SUM(CA45:CE45)</f>
        <v>0.99999999999999989</v>
      </c>
      <c r="CH45" s="43">
        <v>2001</v>
      </c>
      <c r="CI45" s="260">
        <f t="shared" si="74"/>
        <v>670.43536011130607</v>
      </c>
      <c r="CJ45" s="260">
        <f t="shared" si="72"/>
        <v>13037.412828610082</v>
      </c>
      <c r="CK45" s="260">
        <f t="shared" si="67"/>
        <v>21194.566607368764</v>
      </c>
      <c r="CL45" s="260">
        <f t="shared" si="63"/>
        <v>4765.1413819190093</v>
      </c>
      <c r="CM45" s="260">
        <f t="shared" si="8"/>
        <v>0</v>
      </c>
      <c r="CN45" s="260">
        <f t="shared" si="9"/>
        <v>39667.556178009167</v>
      </c>
      <c r="CO45" s="14"/>
      <c r="CP45" s="13">
        <f t="shared" si="10"/>
        <v>2001</v>
      </c>
      <c r="CQ45" s="351">
        <f t="shared" si="75"/>
        <v>1.6901352760495512E-2</v>
      </c>
      <c r="CR45" s="351">
        <f t="shared" si="75"/>
        <v>0.32866690274803823</v>
      </c>
      <c r="CS45" s="351">
        <f t="shared" si="75"/>
        <v>0.5343048236260789</v>
      </c>
      <c r="CT45" s="351">
        <f t="shared" si="75"/>
        <v>0.12012692086538722</v>
      </c>
      <c r="CU45" s="351">
        <f t="shared" si="75"/>
        <v>0</v>
      </c>
      <c r="CV45" s="75">
        <f t="shared" si="69"/>
        <v>0.99999999999999989</v>
      </c>
      <c r="CX45" s="424">
        <f t="shared" si="24"/>
        <v>2001</v>
      </c>
      <c r="CY45" s="52">
        <f t="shared" si="2"/>
        <v>27966</v>
      </c>
      <c r="CZ45" s="88">
        <f t="shared" si="64"/>
        <v>39667.556178009167</v>
      </c>
      <c r="DA45" s="177">
        <f t="shared" ref="DA45:DA52" si="82">CZ45/CY45</f>
        <v>1.4184208030468843</v>
      </c>
      <c r="DB45" s="373">
        <f t="shared" ref="DB45:DB52" si="83">IF((CZ45-CY45&lt;0),0,(CZ45-CY45))</f>
        <v>11701.556178009167</v>
      </c>
      <c r="DF45" s="1"/>
      <c r="DG45" s="1"/>
      <c r="DH45" s="1"/>
      <c r="DI45" s="1"/>
      <c r="DJ45" s="1"/>
      <c r="DK45" s="1"/>
      <c r="DL45" s="128"/>
      <c r="DM45" s="1"/>
      <c r="DN45" s="1"/>
      <c r="DO45" s="1"/>
    </row>
    <row r="46" spans="1:255" ht="13.5" customHeight="1" x14ac:dyDescent="0.2">
      <c r="A46" s="2">
        <v>2002</v>
      </c>
      <c r="B46" s="54">
        <v>8749</v>
      </c>
      <c r="C46" t="s">
        <v>408</v>
      </c>
      <c r="D46" s="7">
        <v>29428</v>
      </c>
      <c r="E46" s="230">
        <v>37406</v>
      </c>
      <c r="F46" s="13">
        <v>0</v>
      </c>
      <c r="H46">
        <v>381</v>
      </c>
      <c r="I46" s="86">
        <v>893</v>
      </c>
      <c r="J46" s="13">
        <v>295</v>
      </c>
      <c r="K46" s="1" t="s">
        <v>214</v>
      </c>
      <c r="L46" s="42"/>
      <c r="M46" s="259"/>
      <c r="N46" s="86">
        <f t="shared" si="70"/>
        <v>28535</v>
      </c>
      <c r="O46" s="430">
        <f t="shared" si="4"/>
        <v>22</v>
      </c>
      <c r="P46" t="s">
        <v>212</v>
      </c>
      <c r="R46" s="25" t="s">
        <v>417</v>
      </c>
      <c r="S46" s="5" t="s">
        <v>73</v>
      </c>
      <c r="T46" s="39">
        <v>1.6129032258064516E-2</v>
      </c>
      <c r="U46" s="39">
        <v>0.26344086021505375</v>
      </c>
      <c r="V46" s="39">
        <v>0.56451612903225812</v>
      </c>
      <c r="W46" s="39">
        <v>0.15591397849462366</v>
      </c>
      <c r="X46" s="38">
        <v>0</v>
      </c>
      <c r="Y46" s="39">
        <f t="shared" si="47"/>
        <v>1</v>
      </c>
      <c r="Z46" s="13">
        <v>558</v>
      </c>
      <c r="AB46" s="40">
        <f t="shared" ref="AB46:AB51" si="84">T46*$N46</f>
        <v>460.24193548387098</v>
      </c>
      <c r="AC46" s="40">
        <f t="shared" si="76"/>
        <v>7517.2849462365584</v>
      </c>
      <c r="AD46" s="40">
        <f t="shared" si="76"/>
        <v>16108.467741935485</v>
      </c>
      <c r="AE46" s="40">
        <f t="shared" si="76"/>
        <v>4449.0053763440865</v>
      </c>
      <c r="AF46" s="40">
        <f t="shared" si="76"/>
        <v>0</v>
      </c>
      <c r="AG46" s="40">
        <f t="shared" si="77"/>
        <v>28535</v>
      </c>
      <c r="AK46" s="14">
        <f>3615+893</f>
        <v>4508</v>
      </c>
      <c r="AL46" t="s">
        <v>71</v>
      </c>
      <c r="AM46" s="40">
        <f t="shared" ref="AM46:AQ47" si="85">$AK46*T46</f>
        <v>72.709677419354833</v>
      </c>
      <c r="AN46" s="40">
        <f t="shared" si="85"/>
        <v>1187.5913978494623</v>
      </c>
      <c r="AO46" s="40">
        <f t="shared" si="85"/>
        <v>2544.8387096774195</v>
      </c>
      <c r="AP46" s="40">
        <f t="shared" si="85"/>
        <v>702.86021505376345</v>
      </c>
      <c r="AQ46" s="40">
        <f t="shared" si="85"/>
        <v>0</v>
      </c>
      <c r="AR46" s="14">
        <f t="shared" si="66"/>
        <v>4508</v>
      </c>
      <c r="AT46" s="40">
        <v>1080</v>
      </c>
      <c r="AU46" s="40">
        <v>1895</v>
      </c>
      <c r="AV46" s="40">
        <v>537</v>
      </c>
      <c r="AW46" s="40">
        <f t="shared" si="25"/>
        <v>3512</v>
      </c>
      <c r="AX46" s="40">
        <v>69010</v>
      </c>
      <c r="AY46" s="40">
        <f>B46</f>
        <v>8749</v>
      </c>
      <c r="AZ46" s="289">
        <f t="shared" si="60"/>
        <v>0.12677872772062021</v>
      </c>
      <c r="BA46" s="40">
        <f t="shared" si="36"/>
        <v>445.24689175481819</v>
      </c>
      <c r="BB46" s="57">
        <v>1.5799466270131045E-3</v>
      </c>
      <c r="BC46" s="57">
        <v>0.30810051924281467</v>
      </c>
      <c r="BD46" s="57">
        <v>0.44039176378652356</v>
      </c>
      <c r="BE46" s="57">
        <v>0.24992777034364869</v>
      </c>
      <c r="BF46" s="57">
        <v>0</v>
      </c>
      <c r="BG46" s="56">
        <f t="shared" si="73"/>
        <v>1</v>
      </c>
      <c r="BH46" s="40">
        <v>222</v>
      </c>
      <c r="BI46" t="s">
        <v>445</v>
      </c>
      <c r="BL46" s="14">
        <f t="shared" si="78"/>
        <v>0.70346632481609384</v>
      </c>
      <c r="BM46" s="14">
        <f t="shared" si="78"/>
        <v>137.1807985409088</v>
      </c>
      <c r="BN46" s="14">
        <f t="shared" si="78"/>
        <v>196.08306398037172</v>
      </c>
      <c r="BO46" s="14">
        <f t="shared" si="78"/>
        <v>111.2795629087216</v>
      </c>
      <c r="BP46" s="14">
        <f t="shared" si="78"/>
        <v>0</v>
      </c>
      <c r="BQ46" s="14">
        <f t="shared" si="79"/>
        <v>445.24689175481819</v>
      </c>
      <c r="BS46" s="36">
        <f t="shared" si="0"/>
        <v>2002</v>
      </c>
      <c r="BT46" s="52">
        <f t="shared" si="27"/>
        <v>533.65507922804193</v>
      </c>
      <c r="BU46" s="52">
        <f t="shared" si="38"/>
        <v>8842.0571426269289</v>
      </c>
      <c r="BV46" s="52">
        <f t="shared" si="28"/>
        <v>18849.389515593277</v>
      </c>
      <c r="BW46" s="52">
        <f t="shared" si="29"/>
        <v>5263.1451543065714</v>
      </c>
      <c r="BX46" s="52">
        <f t="shared" si="30"/>
        <v>0</v>
      </c>
      <c r="BY46" s="52">
        <f t="shared" ref="BY46:BY53" si="86">SUM(BT46:BX46)</f>
        <v>33488.246891754818</v>
      </c>
      <c r="BZ46" s="438">
        <f t="shared" si="40"/>
        <v>32954.591812526778</v>
      </c>
      <c r="CA46" s="356">
        <f t="shared" si="80"/>
        <v>1.5935593193426731E-2</v>
      </c>
      <c r="CB46" s="356">
        <f t="shared" si="80"/>
        <v>0.26403463791960824</v>
      </c>
      <c r="CC46" s="356">
        <f t="shared" si="80"/>
        <v>0.56286581905946853</v>
      </c>
      <c r="CD46" s="356">
        <f t="shared" si="80"/>
        <v>0.15716394982749654</v>
      </c>
      <c r="CE46" s="356">
        <f t="shared" si="80"/>
        <v>0</v>
      </c>
      <c r="CF46" s="356">
        <f t="shared" si="81"/>
        <v>1</v>
      </c>
      <c r="CH46" s="43">
        <v>2002</v>
      </c>
      <c r="CI46" s="260">
        <f t="shared" si="74"/>
        <v>545.08717103852985</v>
      </c>
      <c r="CJ46" s="260">
        <f t="shared" si="72"/>
        <v>8745.7133584309759</v>
      </c>
      <c r="CK46" s="260">
        <f t="shared" si="67"/>
        <v>17092.354956883402</v>
      </c>
      <c r="CL46" s="260">
        <f t="shared" si="63"/>
        <v>4479.2149738152111</v>
      </c>
      <c r="CM46" s="260">
        <f t="shared" si="8"/>
        <v>0</v>
      </c>
      <c r="CN46" s="260">
        <f t="shared" si="9"/>
        <v>30862.37046016812</v>
      </c>
      <c r="CO46" s="14"/>
      <c r="CP46" s="13">
        <f t="shared" si="10"/>
        <v>2002</v>
      </c>
      <c r="CQ46" s="351">
        <f t="shared" ref="CQ46:CU48" si="87">CI46/$CN46</f>
        <v>1.766186987295857E-2</v>
      </c>
      <c r="CR46" s="351">
        <f t="shared" si="87"/>
        <v>0.28337788795965785</v>
      </c>
      <c r="CS46" s="351">
        <f t="shared" si="87"/>
        <v>0.55382508543675535</v>
      </c>
      <c r="CT46" s="351">
        <f t="shared" si="87"/>
        <v>0.14513515673062824</v>
      </c>
      <c r="CU46" s="351">
        <f t="shared" si="87"/>
        <v>0</v>
      </c>
      <c r="CV46" s="75">
        <f t="shared" si="69"/>
        <v>1</v>
      </c>
      <c r="CX46" s="424">
        <f t="shared" si="24"/>
        <v>2002</v>
      </c>
      <c r="CY46" s="52">
        <f t="shared" si="2"/>
        <v>28535</v>
      </c>
      <c r="CZ46" s="88">
        <f t="shared" si="64"/>
        <v>30862.37046016812</v>
      </c>
      <c r="DA46" s="177">
        <f t="shared" si="82"/>
        <v>1.0815619576018265</v>
      </c>
      <c r="DB46" s="373">
        <f t="shared" si="83"/>
        <v>2327.3704601681202</v>
      </c>
      <c r="DF46" s="1"/>
      <c r="DG46" s="1"/>
      <c r="DH46" s="1"/>
      <c r="DI46" s="1"/>
      <c r="DJ46" s="1"/>
      <c r="DK46" s="1"/>
      <c r="DL46" s="1"/>
      <c r="DM46" s="1"/>
      <c r="DN46" s="1"/>
      <c r="DO46" s="1"/>
    </row>
    <row r="47" spans="1:255" x14ac:dyDescent="0.2">
      <c r="A47">
        <v>2003</v>
      </c>
      <c r="C47" s="5" t="s">
        <v>593</v>
      </c>
      <c r="D47" s="7">
        <v>40069</v>
      </c>
      <c r="E47" s="230">
        <v>37763</v>
      </c>
      <c r="F47" s="13">
        <v>0</v>
      </c>
      <c r="H47">
        <v>573</v>
      </c>
      <c r="I47" s="86">
        <v>812</v>
      </c>
      <c r="K47" s="3" t="s">
        <v>213</v>
      </c>
      <c r="L47" s="262">
        <f t="shared" si="65"/>
        <v>0.48684460222878428</v>
      </c>
      <c r="M47" s="259">
        <f t="shared" si="65"/>
        <v>-2121.431533196388</v>
      </c>
      <c r="N47" s="86">
        <f t="shared" si="70"/>
        <v>39257</v>
      </c>
      <c r="O47" s="430">
        <f t="shared" si="4"/>
        <v>11</v>
      </c>
      <c r="P47" t="s">
        <v>212</v>
      </c>
      <c r="R47" s="25" t="s">
        <v>417</v>
      </c>
      <c r="S47" s="5" t="s">
        <v>326</v>
      </c>
      <c r="T47" s="39">
        <v>1.0245901639344262E-2</v>
      </c>
      <c r="U47" s="39">
        <v>0.36065573770491804</v>
      </c>
      <c r="V47" s="39">
        <v>0.48770491803278687</v>
      </c>
      <c r="W47" s="39">
        <f>0.137295081967213+0.0041</f>
        <v>0.14139508196721298</v>
      </c>
      <c r="X47" s="38">
        <v>0</v>
      </c>
      <c r="Y47" s="39">
        <f t="shared" si="47"/>
        <v>1.0000016393442621</v>
      </c>
      <c r="Z47" s="269">
        <v>488</v>
      </c>
      <c r="AB47" s="40">
        <f t="shared" si="84"/>
        <v>402.22336065573768</v>
      </c>
      <c r="AC47" s="40">
        <f t="shared" ref="AC47:AF49" si="88">U47*$N47</f>
        <v>14158.262295081968</v>
      </c>
      <c r="AD47" s="40">
        <f t="shared" si="88"/>
        <v>19145.831967213115</v>
      </c>
      <c r="AE47" s="40">
        <f t="shared" si="88"/>
        <v>5550.7467327868799</v>
      </c>
      <c r="AF47" s="40">
        <f t="shared" si="88"/>
        <v>0</v>
      </c>
      <c r="AG47" s="40">
        <f t="shared" si="77"/>
        <v>39257.064355737704</v>
      </c>
      <c r="AK47" s="364">
        <f>812+5793</f>
        <v>6605</v>
      </c>
      <c r="AL47" t="s">
        <v>71</v>
      </c>
      <c r="AM47" s="40">
        <f t="shared" si="85"/>
        <v>67.674180327868854</v>
      </c>
      <c r="AN47" s="40">
        <f t="shared" si="85"/>
        <v>2382.1311475409839</v>
      </c>
      <c r="AO47" s="40">
        <f t="shared" si="85"/>
        <v>3221.2909836065573</v>
      </c>
      <c r="AP47" s="40">
        <f t="shared" si="85"/>
        <v>933.91451639344177</v>
      </c>
      <c r="AQ47" s="40">
        <f t="shared" si="85"/>
        <v>0</v>
      </c>
      <c r="AR47" s="40">
        <f t="shared" si="66"/>
        <v>6605.0108278688522</v>
      </c>
      <c r="AT47" s="40">
        <v>1183</v>
      </c>
      <c r="AU47" s="40">
        <v>1670</v>
      </c>
      <c r="AV47" s="40">
        <v>504</v>
      </c>
      <c r="AW47" s="40">
        <f t="shared" si="25"/>
        <v>3357</v>
      </c>
      <c r="AX47" s="40">
        <v>72073.405181454757</v>
      </c>
      <c r="AY47" s="400">
        <f>D47*L47+M47</f>
        <v>17385.944833508769</v>
      </c>
      <c r="AZ47" s="289">
        <f t="shared" si="60"/>
        <v>0.24122552264232902</v>
      </c>
      <c r="BA47" s="40">
        <f t="shared" si="36"/>
        <v>809.7940795102985</v>
      </c>
      <c r="BB47" s="57">
        <f t="shared" ref="BB47:BF48" si="89">T47</f>
        <v>1.0245901639344262E-2</v>
      </c>
      <c r="BC47" s="57">
        <f t="shared" si="89"/>
        <v>0.36065573770491804</v>
      </c>
      <c r="BD47" s="57">
        <f t="shared" si="89"/>
        <v>0.48770491803278687</v>
      </c>
      <c r="BE47" s="57">
        <f t="shared" si="89"/>
        <v>0.14139508196721298</v>
      </c>
      <c r="BF47" s="57">
        <f t="shared" si="89"/>
        <v>0</v>
      </c>
      <c r="BG47" s="56">
        <f t="shared" si="73"/>
        <v>1.0000016393442621</v>
      </c>
      <c r="BH47" s="14">
        <f>Z47</f>
        <v>488</v>
      </c>
      <c r="BI47" t="s">
        <v>74</v>
      </c>
      <c r="BL47" s="14">
        <f t="shared" ref="BL47:BP49" si="90">BB47*$BA47</f>
        <v>8.2970704867858451</v>
      </c>
      <c r="BM47" s="14">
        <f t="shared" si="90"/>
        <v>292.05688113486178</v>
      </c>
      <c r="BN47" s="14">
        <f t="shared" si="90"/>
        <v>394.94055517100622</v>
      </c>
      <c r="BO47" s="14">
        <f t="shared" si="90"/>
        <v>114.50090024892245</v>
      </c>
      <c r="BP47" s="14">
        <f t="shared" si="90"/>
        <v>0</v>
      </c>
      <c r="BQ47" s="14">
        <f t="shared" si="79"/>
        <v>809.79540704157637</v>
      </c>
      <c r="BS47" s="36">
        <f t="shared" si="0"/>
        <v>2003</v>
      </c>
      <c r="BT47" s="52">
        <f t="shared" si="27"/>
        <v>478.19461147039237</v>
      </c>
      <c r="BU47" s="52">
        <f t="shared" si="38"/>
        <v>16832.450323757814</v>
      </c>
      <c r="BV47" s="52">
        <f t="shared" si="28"/>
        <v>22762.063505990678</v>
      </c>
      <c r="BW47" s="52">
        <f t="shared" si="29"/>
        <v>6599.162149429244</v>
      </c>
      <c r="BX47" s="52">
        <f t="shared" si="30"/>
        <v>0</v>
      </c>
      <c r="BY47" s="52">
        <f t="shared" si="86"/>
        <v>46671.870590648126</v>
      </c>
      <c r="BZ47" s="438">
        <f t="shared" si="40"/>
        <v>46193.675979177737</v>
      </c>
      <c r="CA47" s="356">
        <f t="shared" ref="CA47:CE49" si="91">BT47/$BY47</f>
        <v>1.0245884842811734E-2</v>
      </c>
      <c r="CB47" s="356">
        <f t="shared" si="91"/>
        <v>0.36065514646697311</v>
      </c>
      <c r="CC47" s="356">
        <f t="shared" si="91"/>
        <v>0.48770411851783857</v>
      </c>
      <c r="CD47" s="356">
        <f t="shared" si="91"/>
        <v>0.14139485017237666</v>
      </c>
      <c r="CE47" s="356">
        <f t="shared" si="91"/>
        <v>0</v>
      </c>
      <c r="CF47" s="356">
        <f t="shared" si="81"/>
        <v>1.0000000000000002</v>
      </c>
      <c r="CH47" s="43">
        <v>2003</v>
      </c>
      <c r="CI47" s="260">
        <f t="shared" si="74"/>
        <v>0</v>
      </c>
      <c r="CJ47" s="260">
        <f t="shared" si="72"/>
        <v>2175.3906308760697</v>
      </c>
      <c r="CK47" s="260">
        <f t="shared" si="67"/>
        <v>3667.7979848126706</v>
      </c>
      <c r="CL47" s="260">
        <f t="shared" si="63"/>
        <v>1153.8472837686768</v>
      </c>
      <c r="CM47" s="260">
        <f t="shared" si="8"/>
        <v>0</v>
      </c>
      <c r="CN47" s="260">
        <f t="shared" si="9"/>
        <v>6997.0358994574171</v>
      </c>
      <c r="CO47" s="14"/>
      <c r="CP47" s="13">
        <f>CH47</f>
        <v>2003</v>
      </c>
      <c r="CQ47" s="351">
        <f t="shared" si="87"/>
        <v>0</v>
      </c>
      <c r="CR47" s="351">
        <f t="shared" si="87"/>
        <v>0.31090173927001857</v>
      </c>
      <c r="CS47" s="351">
        <f t="shared" si="87"/>
        <v>0.52419310655488971</v>
      </c>
      <c r="CT47" s="351">
        <f t="shared" si="87"/>
        <v>0.16490515417509169</v>
      </c>
      <c r="CU47" s="351">
        <f t="shared" si="87"/>
        <v>0</v>
      </c>
      <c r="CV47" s="75">
        <f t="shared" si="69"/>
        <v>1</v>
      </c>
      <c r="CX47" s="424">
        <f t="shared" ref="CX47:CX54" si="92">+CX46+1</f>
        <v>2003</v>
      </c>
      <c r="CY47" s="52">
        <f t="shared" si="2"/>
        <v>39257</v>
      </c>
      <c r="CZ47" s="88">
        <f t="shared" si="64"/>
        <v>6997.0358994574171</v>
      </c>
      <c r="DA47" s="177">
        <f t="shared" si="82"/>
        <v>0.17823664313262391</v>
      </c>
      <c r="DB47" s="373">
        <f t="shared" si="83"/>
        <v>0</v>
      </c>
      <c r="DC47" s="404"/>
      <c r="DF47" s="1"/>
      <c r="DG47" s="1"/>
      <c r="DH47" s="1"/>
      <c r="DI47" s="1"/>
      <c r="DJ47" s="1"/>
      <c r="DK47" s="1"/>
      <c r="DL47" s="1"/>
      <c r="DM47" s="1"/>
      <c r="DN47" s="1"/>
      <c r="DO47" s="1"/>
    </row>
    <row r="48" spans="1:255" x14ac:dyDescent="0.2">
      <c r="A48" s="2">
        <v>2004</v>
      </c>
      <c r="B48" s="267">
        <v>28778</v>
      </c>
      <c r="C48" t="s">
        <v>408</v>
      </c>
      <c r="D48" s="7">
        <v>57934</v>
      </c>
      <c r="E48" s="230">
        <v>38128</v>
      </c>
      <c r="F48" s="13">
        <v>0</v>
      </c>
      <c r="H48">
        <v>604</v>
      </c>
      <c r="I48" s="86">
        <f>1275</f>
        <v>1275</v>
      </c>
      <c r="K48" s="1" t="s">
        <v>214</v>
      </c>
      <c r="L48" s="126"/>
      <c r="M48" s="13"/>
      <c r="N48" s="86">
        <f t="shared" si="70"/>
        <v>56659</v>
      </c>
      <c r="O48" s="430">
        <f t="shared" si="4"/>
        <v>3</v>
      </c>
      <c r="P48" t="s">
        <v>212</v>
      </c>
      <c r="R48" s="25" t="s">
        <v>417</v>
      </c>
      <c r="S48" s="5" t="s">
        <v>602</v>
      </c>
      <c r="T48" s="39">
        <v>0.01</v>
      </c>
      <c r="U48" s="39">
        <v>0.18</v>
      </c>
      <c r="V48" s="39">
        <v>0.66</v>
      </c>
      <c r="W48" s="39">
        <v>0.15</v>
      </c>
      <c r="X48" s="38">
        <v>0</v>
      </c>
      <c r="Y48" s="39">
        <f t="shared" si="47"/>
        <v>1</v>
      </c>
      <c r="Z48" s="429">
        <v>563</v>
      </c>
      <c r="AB48" s="40">
        <f t="shared" si="84"/>
        <v>566.59</v>
      </c>
      <c r="AC48" s="40">
        <f t="shared" si="88"/>
        <v>10198.619999999999</v>
      </c>
      <c r="AD48" s="40">
        <f t="shared" si="88"/>
        <v>37394.94</v>
      </c>
      <c r="AE48" s="40">
        <f t="shared" si="88"/>
        <v>8498.85</v>
      </c>
      <c r="AF48" s="40">
        <f t="shared" si="88"/>
        <v>0</v>
      </c>
      <c r="AG48" s="40">
        <f t="shared" si="77"/>
        <v>56659</v>
      </c>
      <c r="AI48" s="40"/>
      <c r="AJ48" s="40"/>
      <c r="AK48" s="40">
        <f>7775+1275</f>
        <v>9050</v>
      </c>
      <c r="AL48" t="s">
        <v>71</v>
      </c>
      <c r="AM48" s="40">
        <f t="shared" ref="AM48:AQ50" si="93">$AK48*T48</f>
        <v>90.5</v>
      </c>
      <c r="AN48" s="40">
        <f t="shared" si="93"/>
        <v>1629</v>
      </c>
      <c r="AO48" s="40">
        <f t="shared" si="93"/>
        <v>5973</v>
      </c>
      <c r="AP48" s="40">
        <f t="shared" si="93"/>
        <v>1357.5</v>
      </c>
      <c r="AQ48" s="40">
        <f t="shared" si="93"/>
        <v>0</v>
      </c>
      <c r="AR48" s="40">
        <f t="shared" ref="AR48:AR53" si="94">SUM(AM48:AQ48)</f>
        <v>9050</v>
      </c>
      <c r="AS48" s="5"/>
      <c r="AT48" s="40">
        <v>1345</v>
      </c>
      <c r="AU48" s="40">
        <v>2058</v>
      </c>
      <c r="AV48" s="40">
        <v>430</v>
      </c>
      <c r="AW48" s="40">
        <f t="shared" si="25"/>
        <v>3833</v>
      </c>
      <c r="AX48" s="40">
        <v>82655</v>
      </c>
      <c r="AY48" s="366">
        <f>B48</f>
        <v>28778</v>
      </c>
      <c r="AZ48" s="289">
        <f t="shared" si="60"/>
        <v>0.34817010465186621</v>
      </c>
      <c r="BA48" s="366">
        <f t="shared" si="36"/>
        <v>1334.5360111306031</v>
      </c>
      <c r="BB48" s="57">
        <f t="shared" si="89"/>
        <v>0.01</v>
      </c>
      <c r="BC48" s="57">
        <f t="shared" si="89"/>
        <v>0.18</v>
      </c>
      <c r="BD48" s="57">
        <f t="shared" si="89"/>
        <v>0.66</v>
      </c>
      <c r="BE48" s="57">
        <f t="shared" si="89"/>
        <v>0.15</v>
      </c>
      <c r="BF48" s="57">
        <f t="shared" si="89"/>
        <v>0</v>
      </c>
      <c r="BG48" s="56">
        <f t="shared" si="73"/>
        <v>1</v>
      </c>
      <c r="BH48" s="14"/>
      <c r="BI48" t="s">
        <v>74</v>
      </c>
      <c r="BL48" s="14">
        <f t="shared" si="90"/>
        <v>13.345360111306032</v>
      </c>
      <c r="BM48" s="14">
        <f t="shared" si="90"/>
        <v>240.21648200350856</v>
      </c>
      <c r="BN48" s="14">
        <f t="shared" si="90"/>
        <v>880.79376734619814</v>
      </c>
      <c r="BO48" s="14">
        <f t="shared" si="90"/>
        <v>200.18040166959045</v>
      </c>
      <c r="BP48" s="14">
        <f t="shared" si="90"/>
        <v>0</v>
      </c>
      <c r="BQ48" s="14">
        <f t="shared" si="79"/>
        <v>1334.5360111306034</v>
      </c>
      <c r="BS48" s="2">
        <f t="shared" si="0"/>
        <v>2004</v>
      </c>
      <c r="BT48" s="54">
        <f t="shared" si="27"/>
        <v>670.43536011130607</v>
      </c>
      <c r="BU48" s="54">
        <f t="shared" si="38"/>
        <v>12067.836482003508</v>
      </c>
      <c r="BV48" s="54">
        <f t="shared" si="28"/>
        <v>44248.733767346203</v>
      </c>
      <c r="BW48" s="54">
        <f t="shared" si="29"/>
        <v>10056.530401669592</v>
      </c>
      <c r="BX48" s="54">
        <f t="shared" si="30"/>
        <v>0</v>
      </c>
      <c r="BY48" s="54">
        <f t="shared" si="86"/>
        <v>67043.536011130607</v>
      </c>
      <c r="BZ48" s="438">
        <f t="shared" si="40"/>
        <v>66373.100651019296</v>
      </c>
      <c r="CA48" s="356">
        <f t="shared" si="91"/>
        <v>0.01</v>
      </c>
      <c r="CB48" s="356">
        <f t="shared" si="91"/>
        <v>0.17999999999999997</v>
      </c>
      <c r="CC48" s="356">
        <f t="shared" si="91"/>
        <v>0.66</v>
      </c>
      <c r="CD48" s="356">
        <f t="shared" si="91"/>
        <v>0.15000000000000002</v>
      </c>
      <c r="CE48" s="356">
        <f t="shared" si="91"/>
        <v>0</v>
      </c>
      <c r="CF48" s="356">
        <f t="shared" si="81"/>
        <v>1</v>
      </c>
      <c r="CH48" s="43">
        <v>2004</v>
      </c>
      <c r="CI48" s="260">
        <f t="shared" si="74"/>
        <v>0</v>
      </c>
      <c r="CJ48" s="260">
        <f t="shared" si="72"/>
        <v>1512.7131009261634</v>
      </c>
      <c r="CK48" s="260">
        <f t="shared" si="67"/>
        <v>3064.62856295341</v>
      </c>
      <c r="CL48" s="260">
        <f t="shared" si="63"/>
        <v>1934.0126691041301</v>
      </c>
      <c r="CM48" s="260">
        <f t="shared" si="8"/>
        <v>0</v>
      </c>
      <c r="CN48" s="260">
        <f t="shared" si="9"/>
        <v>6511.354332983703</v>
      </c>
      <c r="CP48" s="13">
        <f>CH48</f>
        <v>2004</v>
      </c>
      <c r="CQ48" s="351">
        <f t="shared" si="87"/>
        <v>0</v>
      </c>
      <c r="CR48" s="351">
        <f t="shared" si="87"/>
        <v>0.23231927239213715</v>
      </c>
      <c r="CS48" s="351">
        <f t="shared" si="87"/>
        <v>0.47065916032695809</v>
      </c>
      <c r="CT48" s="351">
        <f t="shared" ref="CT48:CU50" si="95">CL48/$CN48</f>
        <v>0.29702156728090484</v>
      </c>
      <c r="CU48" s="351">
        <f t="shared" si="95"/>
        <v>0</v>
      </c>
      <c r="CV48" s="75">
        <f t="shared" si="69"/>
        <v>1</v>
      </c>
      <c r="CX48" s="424">
        <f t="shared" si="92"/>
        <v>2004</v>
      </c>
      <c r="CY48" s="52">
        <f t="shared" ref="CY48:CY61" si="96">N48</f>
        <v>56659</v>
      </c>
      <c r="CZ48" s="421">
        <f t="shared" si="64"/>
        <v>6511.354332983703</v>
      </c>
      <c r="DA48" s="358">
        <f t="shared" si="82"/>
        <v>0.11492180117869541</v>
      </c>
      <c r="DB48" s="373">
        <f t="shared" si="83"/>
        <v>0</v>
      </c>
      <c r="DC48" s="404"/>
      <c r="DF48" s="1"/>
      <c r="DG48" s="1"/>
      <c r="DH48" s="1"/>
      <c r="DI48" s="1"/>
      <c r="DJ48" s="1"/>
      <c r="DK48" s="1"/>
      <c r="DL48" s="1"/>
      <c r="DM48" s="1"/>
      <c r="DN48" s="1"/>
      <c r="DO48" s="1"/>
    </row>
    <row r="49" spans="1:119" x14ac:dyDescent="0.2">
      <c r="A49">
        <v>2005</v>
      </c>
      <c r="B49" s="267">
        <v>11495</v>
      </c>
      <c r="C49" t="s">
        <v>408</v>
      </c>
      <c r="D49" s="7">
        <v>37725</v>
      </c>
      <c r="E49" s="230">
        <v>38499</v>
      </c>
      <c r="F49" s="13">
        <v>0</v>
      </c>
      <c r="H49">
        <v>535</v>
      </c>
      <c r="I49" s="40">
        <v>1292</v>
      </c>
      <c r="K49" s="1" t="s">
        <v>214</v>
      </c>
      <c r="N49" s="40">
        <f t="shared" si="70"/>
        <v>36433</v>
      </c>
      <c r="O49" s="430">
        <f t="shared" si="4"/>
        <v>14</v>
      </c>
      <c r="P49" t="s">
        <v>212</v>
      </c>
      <c r="R49" s="25" t="s">
        <v>417</v>
      </c>
      <c r="S49" s="5" t="s">
        <v>602</v>
      </c>
      <c r="T49" s="39">
        <v>1.2200000000000001E-2</v>
      </c>
      <c r="U49" s="39">
        <v>0.2918</v>
      </c>
      <c r="V49" s="39">
        <v>0.5776</v>
      </c>
      <c r="W49" s="39">
        <v>0.11840000000000001</v>
      </c>
      <c r="X49" s="38">
        <v>0</v>
      </c>
      <c r="Y49" s="39">
        <f t="shared" si="47"/>
        <v>1</v>
      </c>
      <c r="Z49" s="269">
        <v>490</v>
      </c>
      <c r="AB49" s="40">
        <f t="shared" si="84"/>
        <v>444.48260000000005</v>
      </c>
      <c r="AC49" s="40">
        <f t="shared" si="88"/>
        <v>10631.1494</v>
      </c>
      <c r="AD49" s="40">
        <f t="shared" si="88"/>
        <v>21043.700799999999</v>
      </c>
      <c r="AE49" s="40">
        <f t="shared" si="88"/>
        <v>4313.6671999999999</v>
      </c>
      <c r="AF49" s="40">
        <f t="shared" si="88"/>
        <v>0</v>
      </c>
      <c r="AG49" s="40">
        <f t="shared" si="77"/>
        <v>36433</v>
      </c>
      <c r="AK49" s="364">
        <f>1292+5749+291</f>
        <v>7332</v>
      </c>
      <c r="AL49" t="s">
        <v>71</v>
      </c>
      <c r="AM49" s="40">
        <f t="shared" si="93"/>
        <v>89.450400000000002</v>
      </c>
      <c r="AN49" s="40">
        <f t="shared" si="93"/>
        <v>2139.4776000000002</v>
      </c>
      <c r="AO49" s="40">
        <f t="shared" si="93"/>
        <v>4234.9632000000001</v>
      </c>
      <c r="AP49" s="40">
        <f t="shared" si="93"/>
        <v>868.10880000000009</v>
      </c>
      <c r="AQ49" s="40">
        <f t="shared" si="93"/>
        <v>0</v>
      </c>
      <c r="AR49" s="382">
        <f t="shared" si="94"/>
        <v>7332</v>
      </c>
      <c r="AT49" s="40">
        <v>982</v>
      </c>
      <c r="AU49" s="40">
        <v>3452</v>
      </c>
      <c r="AV49" s="40">
        <v>93</v>
      </c>
      <c r="AW49" s="40">
        <f t="shared" si="25"/>
        <v>4527</v>
      </c>
      <c r="AX49" s="40">
        <v>56917</v>
      </c>
      <c r="AY49" s="366">
        <f>B49</f>
        <v>11495</v>
      </c>
      <c r="AZ49" s="289">
        <f t="shared" si="60"/>
        <v>0.2019607498638368</v>
      </c>
      <c r="BA49" s="267">
        <f t="shared" si="36"/>
        <v>914.27631463358921</v>
      </c>
      <c r="BB49" s="57">
        <f t="shared" ref="BB49:BF50" si="97">T49</f>
        <v>1.2200000000000001E-2</v>
      </c>
      <c r="BC49" s="57">
        <f t="shared" si="97"/>
        <v>0.2918</v>
      </c>
      <c r="BD49" s="57">
        <f t="shared" si="97"/>
        <v>0.5776</v>
      </c>
      <c r="BE49" s="57">
        <f t="shared" si="97"/>
        <v>0.11840000000000001</v>
      </c>
      <c r="BF49" s="57">
        <f t="shared" si="97"/>
        <v>0</v>
      </c>
      <c r="BG49" s="56">
        <f t="shared" si="73"/>
        <v>1</v>
      </c>
      <c r="BH49" s="14">
        <f>Z49</f>
        <v>490</v>
      </c>
      <c r="BI49" t="s">
        <v>74</v>
      </c>
      <c r="BL49" s="14">
        <f t="shared" si="90"/>
        <v>11.154171038529789</v>
      </c>
      <c r="BM49" s="14">
        <f t="shared" si="90"/>
        <v>266.78582861008135</v>
      </c>
      <c r="BN49" s="14">
        <f t="shared" si="90"/>
        <v>528.0859993323611</v>
      </c>
      <c r="BO49" s="14">
        <f t="shared" si="90"/>
        <v>108.25031565261696</v>
      </c>
      <c r="BP49" s="14">
        <f t="shared" si="90"/>
        <v>0</v>
      </c>
      <c r="BQ49" s="14">
        <f t="shared" si="79"/>
        <v>914.27631463358921</v>
      </c>
      <c r="BS49" s="2">
        <f t="shared" si="0"/>
        <v>2005</v>
      </c>
      <c r="BT49" s="54">
        <f t="shared" ref="BT49:BX50" si="98">BL49+AM49+AB49</f>
        <v>545.08717103852985</v>
      </c>
      <c r="BU49" s="54">
        <f t="shared" si="98"/>
        <v>13037.412828610082</v>
      </c>
      <c r="BV49" s="54">
        <f t="shared" si="98"/>
        <v>25806.749999332358</v>
      </c>
      <c r="BW49" s="54">
        <f t="shared" si="98"/>
        <v>5290.0263156526171</v>
      </c>
      <c r="BX49" s="54">
        <f t="shared" si="98"/>
        <v>0</v>
      </c>
      <c r="BY49" s="401">
        <f t="shared" si="86"/>
        <v>44679.276314633593</v>
      </c>
      <c r="BZ49" s="438">
        <f t="shared" si="40"/>
        <v>44134.18914359506</v>
      </c>
      <c r="CA49" s="356">
        <f t="shared" si="91"/>
        <v>1.2200000000000001E-2</v>
      </c>
      <c r="CB49" s="356">
        <f t="shared" si="91"/>
        <v>0.2918</v>
      </c>
      <c r="CC49" s="356">
        <f t="shared" si="91"/>
        <v>0.57759999999999989</v>
      </c>
      <c r="CD49" s="356">
        <f t="shared" si="91"/>
        <v>0.11839999999999999</v>
      </c>
      <c r="CE49" s="356">
        <f t="shared" si="91"/>
        <v>0</v>
      </c>
      <c r="CF49" s="356">
        <f t="shared" si="81"/>
        <v>0.99999999999999989</v>
      </c>
      <c r="CH49" s="43">
        <v>2005</v>
      </c>
      <c r="CI49" s="260">
        <f t="shared" si="74"/>
        <v>0</v>
      </c>
      <c r="CJ49" s="260">
        <f t="shared" si="72"/>
        <v>8503.103908169609</v>
      </c>
      <c r="CK49" s="260">
        <f t="shared" si="67"/>
        <v>15605.481536909188</v>
      </c>
      <c r="CL49" s="260">
        <f t="shared" si="63"/>
        <v>1556.3670777513205</v>
      </c>
      <c r="CM49" s="260">
        <f t="shared" si="8"/>
        <v>0</v>
      </c>
      <c r="CN49" s="260">
        <f t="shared" si="9"/>
        <v>25664.952522830117</v>
      </c>
      <c r="CP49" s="13">
        <f>CH49</f>
        <v>2005</v>
      </c>
      <c r="CQ49" s="351">
        <f t="shared" ref="CQ49:CS50" si="99">CI49/$CN49</f>
        <v>0</v>
      </c>
      <c r="CR49" s="351">
        <f t="shared" si="99"/>
        <v>0.33131188926243754</v>
      </c>
      <c r="CS49" s="351">
        <f t="shared" si="99"/>
        <v>0.60804638243641473</v>
      </c>
      <c r="CT49" s="351">
        <f t="shared" si="95"/>
        <v>6.0641728301147751E-2</v>
      </c>
      <c r="CU49" s="351">
        <f t="shared" si="95"/>
        <v>0</v>
      </c>
      <c r="CV49" s="75">
        <f t="shared" si="69"/>
        <v>1</v>
      </c>
      <c r="CX49" s="424">
        <f t="shared" si="92"/>
        <v>2005</v>
      </c>
      <c r="CY49" s="52">
        <f t="shared" si="96"/>
        <v>36433</v>
      </c>
      <c r="CZ49" s="421">
        <f t="shared" si="64"/>
        <v>25664.952522830117</v>
      </c>
      <c r="DA49" s="358">
        <f t="shared" si="82"/>
        <v>0.70444247036560581</v>
      </c>
      <c r="DB49" s="373">
        <f t="shared" si="83"/>
        <v>0</v>
      </c>
      <c r="DC49" s="404"/>
      <c r="DF49" s="1"/>
      <c r="DG49" s="1"/>
      <c r="DH49" s="1"/>
      <c r="DI49" s="1"/>
      <c r="DJ49" s="1"/>
      <c r="DK49" s="1"/>
      <c r="DL49" s="1"/>
      <c r="DM49" s="1"/>
      <c r="DN49" s="1"/>
      <c r="DO49" s="1"/>
    </row>
    <row r="50" spans="1:119" x14ac:dyDescent="0.2">
      <c r="A50" s="2">
        <v>2006</v>
      </c>
      <c r="B50" s="267">
        <v>6499</v>
      </c>
      <c r="C50" t="s">
        <v>408</v>
      </c>
      <c r="D50" s="7">
        <v>31150</v>
      </c>
      <c r="E50" s="230">
        <v>38863</v>
      </c>
      <c r="F50" s="13">
        <v>0</v>
      </c>
      <c r="H50">
        <v>871</v>
      </c>
      <c r="I50" s="40">
        <v>1228</v>
      </c>
      <c r="K50" s="1" t="s">
        <v>290</v>
      </c>
      <c r="N50" s="40">
        <f t="shared" si="70"/>
        <v>29922</v>
      </c>
      <c r="O50" s="430">
        <f t="shared" si="4"/>
        <v>20</v>
      </c>
      <c r="P50" t="s">
        <v>212</v>
      </c>
      <c r="R50" s="25" t="s">
        <v>417</v>
      </c>
      <c r="S50" s="5" t="s">
        <v>603</v>
      </c>
      <c r="T50" s="39">
        <v>0</v>
      </c>
      <c r="U50" s="39">
        <v>0.22745901639344263</v>
      </c>
      <c r="V50" s="39">
        <v>0.55122950819672134</v>
      </c>
      <c r="W50" s="39">
        <v>0.22131147540983606</v>
      </c>
      <c r="X50" s="39">
        <v>0</v>
      </c>
      <c r="Y50" s="39">
        <f t="shared" si="47"/>
        <v>1</v>
      </c>
      <c r="Z50" s="269">
        <v>488</v>
      </c>
      <c r="AB50" s="40">
        <f t="shared" si="84"/>
        <v>0</v>
      </c>
      <c r="AC50" s="40">
        <f t="shared" ref="AC50:AF51" si="100">U50*$N50</f>
        <v>6806.0286885245905</v>
      </c>
      <c r="AD50" s="40">
        <f t="shared" si="100"/>
        <v>16493.889344262298</v>
      </c>
      <c r="AE50" s="40">
        <f t="shared" si="100"/>
        <v>6622.0819672131147</v>
      </c>
      <c r="AF50" s="40">
        <f t="shared" si="100"/>
        <v>0</v>
      </c>
      <c r="AG50" s="40">
        <f t="shared" si="77"/>
        <v>29922.000000000004</v>
      </c>
      <c r="AK50" s="364">
        <f>6209+1228+316</f>
        <v>7753</v>
      </c>
      <c r="AL50" t="s">
        <v>71</v>
      </c>
      <c r="AM50" s="40">
        <f t="shared" si="93"/>
        <v>0</v>
      </c>
      <c r="AN50" s="40">
        <f t="shared" si="93"/>
        <v>1763.4897540983607</v>
      </c>
      <c r="AO50" s="40">
        <f t="shared" si="93"/>
        <v>4273.6823770491801</v>
      </c>
      <c r="AP50" s="40">
        <f t="shared" si="93"/>
        <v>1715.827868852459</v>
      </c>
      <c r="AQ50" s="40">
        <f t="shared" si="93"/>
        <v>0</v>
      </c>
      <c r="AR50" s="382">
        <f t="shared" si="94"/>
        <v>7753</v>
      </c>
      <c r="AT50" s="40">
        <v>943</v>
      </c>
      <c r="AU50" s="40">
        <v>4418</v>
      </c>
      <c r="AV50" s="40">
        <v>238</v>
      </c>
      <c r="AW50" s="40">
        <f t="shared" si="25"/>
        <v>5599</v>
      </c>
      <c r="AX50" s="40">
        <v>46975</v>
      </c>
      <c r="AY50" s="366">
        <f>B50</f>
        <v>6499</v>
      </c>
      <c r="AZ50" s="289">
        <f t="shared" si="60"/>
        <v>0.13835018626929219</v>
      </c>
      <c r="BA50" s="267">
        <f t="shared" si="36"/>
        <v>774.622692921767</v>
      </c>
      <c r="BB50" s="57">
        <f t="shared" si="97"/>
        <v>0</v>
      </c>
      <c r="BC50" s="57">
        <f t="shared" si="97"/>
        <v>0.22745901639344263</v>
      </c>
      <c r="BD50" s="57">
        <f t="shared" si="97"/>
        <v>0.55122950819672134</v>
      </c>
      <c r="BE50" s="57">
        <f t="shared" si="97"/>
        <v>0.22131147540983606</v>
      </c>
      <c r="BF50" s="57">
        <f t="shared" si="97"/>
        <v>0</v>
      </c>
      <c r="BG50" s="56">
        <f t="shared" ref="BG50:BG58" si="101">SUM(BB50:BF50)</f>
        <v>1</v>
      </c>
      <c r="BH50" s="14">
        <f t="shared" ref="BH50:BH58" si="102">Z50</f>
        <v>488</v>
      </c>
      <c r="BI50" t="s">
        <v>74</v>
      </c>
      <c r="BL50" s="14">
        <f t="shared" ref="BL50:BP51" si="103">BB50*$BA50</f>
        <v>0</v>
      </c>
      <c r="BM50" s="14">
        <f t="shared" si="103"/>
        <v>176.19491580802486</v>
      </c>
      <c r="BN50" s="14">
        <f t="shared" si="103"/>
        <v>426.9948860572855</v>
      </c>
      <c r="BO50" s="14">
        <f t="shared" si="103"/>
        <v>171.43289105645664</v>
      </c>
      <c r="BP50" s="14">
        <f t="shared" si="103"/>
        <v>0</v>
      </c>
      <c r="BQ50" s="14">
        <f t="shared" si="79"/>
        <v>774.62269292176688</v>
      </c>
      <c r="BS50" s="2">
        <f t="shared" si="0"/>
        <v>2006</v>
      </c>
      <c r="BT50" s="54">
        <f t="shared" si="98"/>
        <v>0</v>
      </c>
      <c r="BU50" s="54">
        <f t="shared" si="98"/>
        <v>8745.7133584309759</v>
      </c>
      <c r="BV50" s="54">
        <f t="shared" si="98"/>
        <v>21194.566607368764</v>
      </c>
      <c r="BW50" s="54">
        <f t="shared" si="98"/>
        <v>8509.3427271220298</v>
      </c>
      <c r="BX50" s="54">
        <f t="shared" si="98"/>
        <v>0</v>
      </c>
      <c r="BY50" s="401">
        <f t="shared" si="86"/>
        <v>38449.622692921766</v>
      </c>
      <c r="BZ50" s="438">
        <f t="shared" si="40"/>
        <v>38449.622692921766</v>
      </c>
      <c r="CA50" s="356">
        <f t="shared" ref="CA50:CE51" si="104">BT50/$BY50</f>
        <v>0</v>
      </c>
      <c r="CB50" s="356">
        <f t="shared" si="104"/>
        <v>0.22745901639344263</v>
      </c>
      <c r="CC50" s="356">
        <f t="shared" si="104"/>
        <v>0.55122950819672145</v>
      </c>
      <c r="CD50" s="356">
        <f t="shared" si="104"/>
        <v>0.22131147540983606</v>
      </c>
      <c r="CE50" s="356">
        <f t="shared" si="104"/>
        <v>0</v>
      </c>
      <c r="CF50" s="356">
        <f t="shared" si="81"/>
        <v>1</v>
      </c>
      <c r="CH50" s="43">
        <v>2006</v>
      </c>
      <c r="CI50" s="260">
        <f t="shared" ref="CI50:CI56" si="105">BT53</f>
        <v>0</v>
      </c>
      <c r="CJ50" s="260">
        <f t="shared" si="72"/>
        <v>4668.3064426651417</v>
      </c>
      <c r="CK50" s="260">
        <f t="shared" si="67"/>
        <v>14461.244097439354</v>
      </c>
      <c r="CL50" s="260">
        <f t="shared" si="63"/>
        <v>2453.1597696878553</v>
      </c>
      <c r="CM50" s="260">
        <f t="shared" si="8"/>
        <v>0</v>
      </c>
      <c r="CN50" s="260">
        <f t="shared" si="9"/>
        <v>21582.71030979235</v>
      </c>
      <c r="CP50" s="13">
        <v>2006</v>
      </c>
      <c r="CQ50" s="351">
        <f t="shared" si="99"/>
        <v>0</v>
      </c>
      <c r="CR50" s="351">
        <f t="shared" si="99"/>
        <v>0.21629843405473834</v>
      </c>
      <c r="CS50" s="351">
        <f t="shared" si="99"/>
        <v>0.67003837283949008</v>
      </c>
      <c r="CT50" s="351">
        <f t="shared" si="95"/>
        <v>0.1136631931057716</v>
      </c>
      <c r="CU50" s="351">
        <f t="shared" si="95"/>
        <v>0</v>
      </c>
      <c r="CV50" s="75">
        <f t="shared" si="69"/>
        <v>1</v>
      </c>
      <c r="CX50" s="424">
        <f t="shared" si="92"/>
        <v>2006</v>
      </c>
      <c r="CY50" s="52">
        <f t="shared" si="96"/>
        <v>29922</v>
      </c>
      <c r="CZ50" s="421">
        <f t="shared" si="64"/>
        <v>21582.71030979235</v>
      </c>
      <c r="DA50" s="358">
        <f t="shared" si="82"/>
        <v>0.72129905453486898</v>
      </c>
      <c r="DB50" s="373">
        <f t="shared" si="83"/>
        <v>0</v>
      </c>
      <c r="DC50" s="415"/>
      <c r="DF50" s="1"/>
      <c r="DG50" s="1"/>
      <c r="DH50" s="1"/>
      <c r="DI50" s="1"/>
      <c r="DJ50" s="1"/>
      <c r="DK50" s="1"/>
      <c r="DL50" s="1"/>
      <c r="DM50" s="1"/>
      <c r="DN50" s="1"/>
      <c r="DO50" s="1"/>
    </row>
    <row r="51" spans="1:119" x14ac:dyDescent="0.2">
      <c r="A51">
        <v>2007</v>
      </c>
      <c r="B51" s="267">
        <v>6712</v>
      </c>
      <c r="C51" t="s">
        <v>408</v>
      </c>
      <c r="D51" s="7">
        <v>18714</v>
      </c>
      <c r="E51" s="230">
        <v>39220</v>
      </c>
      <c r="F51" s="13">
        <v>0</v>
      </c>
      <c r="H51">
        <v>560</v>
      </c>
      <c r="I51" s="40">
        <v>1120</v>
      </c>
      <c r="K51" s="1" t="s">
        <v>214</v>
      </c>
      <c r="N51" s="40">
        <f t="shared" ref="N51:N58" si="106">D51-I51</f>
        <v>17594</v>
      </c>
      <c r="O51" s="430">
        <f t="shared" si="4"/>
        <v>33</v>
      </c>
      <c r="P51" t="s">
        <v>212</v>
      </c>
      <c r="R51" s="25" t="s">
        <v>417</v>
      </c>
      <c r="S51" s="5" t="s">
        <v>603</v>
      </c>
      <c r="T51" s="39">
        <v>0</v>
      </c>
      <c r="U51" s="39">
        <v>9.0517241379310345E-2</v>
      </c>
      <c r="V51" s="39">
        <v>0.71120689655172409</v>
      </c>
      <c r="W51" s="39">
        <v>0.19827586206896552</v>
      </c>
      <c r="X51" s="39">
        <v>0</v>
      </c>
      <c r="Y51" s="39">
        <f t="shared" si="47"/>
        <v>1</v>
      </c>
      <c r="Z51" s="269">
        <v>232</v>
      </c>
      <c r="AB51" s="40">
        <f t="shared" si="84"/>
        <v>0</v>
      </c>
      <c r="AC51" s="40">
        <f t="shared" si="100"/>
        <v>1592.5603448275863</v>
      </c>
      <c r="AD51" s="40">
        <f t="shared" si="100"/>
        <v>12512.974137931034</v>
      </c>
      <c r="AE51" s="40">
        <f t="shared" si="100"/>
        <v>3488.4655172413795</v>
      </c>
      <c r="AF51" s="40">
        <f t="shared" si="100"/>
        <v>0</v>
      </c>
      <c r="AG51" s="40">
        <f t="shared" ref="AG51:AG58" si="107">SUM(AB51:AF51)</f>
        <v>17594</v>
      </c>
      <c r="AK51" s="364">
        <f>4273+1120+303</f>
        <v>5696</v>
      </c>
      <c r="AL51" t="s">
        <v>71</v>
      </c>
      <c r="AM51" s="40">
        <f t="shared" ref="AM51:AQ52" si="108">$AK51*T51</f>
        <v>0</v>
      </c>
      <c r="AN51" s="40">
        <f t="shared" si="108"/>
        <v>515.58620689655174</v>
      </c>
      <c r="AO51" s="40">
        <f t="shared" si="108"/>
        <v>4051.0344827586205</v>
      </c>
      <c r="AP51" s="40">
        <f t="shared" si="108"/>
        <v>1129.3793103448277</v>
      </c>
      <c r="AQ51" s="40">
        <f t="shared" si="108"/>
        <v>0</v>
      </c>
      <c r="AR51" s="382">
        <f t="shared" si="94"/>
        <v>5696</v>
      </c>
      <c r="AT51" s="40">
        <v>1281</v>
      </c>
      <c r="AU51" s="40">
        <v>3822</v>
      </c>
      <c r="AV51" s="40">
        <v>43</v>
      </c>
      <c r="AW51" s="40">
        <f t="shared" si="25"/>
        <v>5146</v>
      </c>
      <c r="AX51" s="40">
        <v>46494.222418450467</v>
      </c>
      <c r="AY51" s="366">
        <f>B51</f>
        <v>6712</v>
      </c>
      <c r="AZ51" s="289">
        <f t="shared" si="60"/>
        <v>0.14436202286795216</v>
      </c>
      <c r="BA51" s="267">
        <f t="shared" si="36"/>
        <v>742.88696967848182</v>
      </c>
      <c r="BB51" s="57">
        <f t="shared" ref="BB51:BF54" si="109">T51</f>
        <v>0</v>
      </c>
      <c r="BC51" s="57">
        <f t="shared" si="109"/>
        <v>9.0517241379310345E-2</v>
      </c>
      <c r="BD51" s="57">
        <f t="shared" si="109"/>
        <v>0.71120689655172409</v>
      </c>
      <c r="BE51" s="57">
        <f t="shared" si="109"/>
        <v>0.19827586206896552</v>
      </c>
      <c r="BF51" s="57">
        <f t="shared" si="109"/>
        <v>0</v>
      </c>
      <c r="BG51" s="56">
        <f t="shared" si="101"/>
        <v>1</v>
      </c>
      <c r="BH51" s="14">
        <f t="shared" si="102"/>
        <v>232</v>
      </c>
      <c r="BI51" t="s">
        <v>74</v>
      </c>
      <c r="BL51" s="14">
        <f t="shared" si="103"/>
        <v>0</v>
      </c>
      <c r="BM51" s="14">
        <f t="shared" si="103"/>
        <v>67.244079151931544</v>
      </c>
      <c r="BN51" s="14">
        <f t="shared" si="103"/>
        <v>528.34633619374779</v>
      </c>
      <c r="BO51" s="14">
        <f t="shared" si="103"/>
        <v>147.29655433280243</v>
      </c>
      <c r="BP51" s="14">
        <f t="shared" si="103"/>
        <v>0</v>
      </c>
      <c r="BQ51" s="14">
        <f t="shared" ref="BQ51:BQ57" si="110">SUM(BL51:BP51)</f>
        <v>742.88696967848171</v>
      </c>
      <c r="BR51" s="387"/>
      <c r="BS51" s="2">
        <f t="shared" si="0"/>
        <v>2007</v>
      </c>
      <c r="BT51" s="54">
        <f>BL51+AM51+AB51</f>
        <v>0</v>
      </c>
      <c r="BU51" s="399">
        <f>BM51+AN51+AC51</f>
        <v>2175.3906308760697</v>
      </c>
      <c r="BV51" s="399">
        <f>BN51+AO51+AD51</f>
        <v>17092.354956883402</v>
      </c>
      <c r="BW51" s="399">
        <f>BO51+AP51+AE51</f>
        <v>4765.1413819190093</v>
      </c>
      <c r="BX51" s="399">
        <f>BP51+AQ51+AF51</f>
        <v>0</v>
      </c>
      <c r="BY51" s="401">
        <f t="shared" si="86"/>
        <v>24032.886969678482</v>
      </c>
      <c r="BZ51" s="438">
        <f t="shared" si="40"/>
        <v>24032.886969678482</v>
      </c>
      <c r="CA51" s="356">
        <f t="shared" si="104"/>
        <v>0</v>
      </c>
      <c r="CB51" s="356">
        <f t="shared" si="104"/>
        <v>9.0517241379310359E-2</v>
      </c>
      <c r="CC51" s="356">
        <f t="shared" si="104"/>
        <v>0.71120689655172409</v>
      </c>
      <c r="CD51" s="356">
        <f t="shared" si="104"/>
        <v>0.19827586206896552</v>
      </c>
      <c r="CE51" s="356">
        <f t="shared" si="104"/>
        <v>0</v>
      </c>
      <c r="CF51" s="356">
        <f t="shared" ref="CF51:CF56" si="111">SUM(CA51:CE51)</f>
        <v>1</v>
      </c>
      <c r="CH51" s="43">
        <v>2007</v>
      </c>
      <c r="CI51" s="260">
        <f t="shared" si="105"/>
        <v>200.07027611422035</v>
      </c>
      <c r="CJ51" s="260">
        <f t="shared" si="72"/>
        <v>6030.9224262863663</v>
      </c>
      <c r="CK51" s="260">
        <f t="shared" si="67"/>
        <v>4181.522334695208</v>
      </c>
      <c r="CL51" s="260">
        <f t="shared" si="63"/>
        <v>3281.817627527782</v>
      </c>
      <c r="CM51" s="260">
        <f t="shared" si="8"/>
        <v>0</v>
      </c>
      <c r="CN51" s="260">
        <f t="shared" si="9"/>
        <v>13694.332664623576</v>
      </c>
      <c r="CP51" s="13">
        <v>2007</v>
      </c>
      <c r="CQ51" s="351">
        <f>CI51/$CN51</f>
        <v>1.4609713449641818E-2</v>
      </c>
      <c r="CR51" s="351">
        <f>CJ51/$CN51</f>
        <v>0.4403954960044153</v>
      </c>
      <c r="CS51" s="351">
        <f>CK51/$CN51</f>
        <v>0.30534692248986256</v>
      </c>
      <c r="CT51" s="351">
        <f>CL51/$CN51</f>
        <v>0.23964786805608035</v>
      </c>
      <c r="CU51" s="351">
        <f>CM51/$CN51</f>
        <v>0</v>
      </c>
      <c r="CV51" s="75">
        <f>SUM(CQ51:CU51)</f>
        <v>1</v>
      </c>
      <c r="CX51" s="424">
        <f t="shared" si="92"/>
        <v>2007</v>
      </c>
      <c r="CY51" s="52">
        <f t="shared" si="96"/>
        <v>17594</v>
      </c>
      <c r="CZ51" s="421">
        <f t="shared" si="64"/>
        <v>13694.332664623576</v>
      </c>
      <c r="DA51" s="358">
        <f t="shared" si="82"/>
        <v>0.77835243063678394</v>
      </c>
      <c r="DB51" s="373">
        <f t="shared" si="83"/>
        <v>0</v>
      </c>
      <c r="DC51" s="415"/>
      <c r="DF51" s="1"/>
      <c r="DG51" s="1"/>
      <c r="DH51" s="1"/>
      <c r="DI51" s="1"/>
      <c r="DJ51" s="1"/>
      <c r="DK51" s="1"/>
      <c r="DL51" s="1"/>
      <c r="DM51" s="1"/>
      <c r="DN51" s="1"/>
      <c r="DO51" s="1"/>
    </row>
    <row r="52" spans="1:119" x14ac:dyDescent="0.2">
      <c r="A52" s="2">
        <v>2008</v>
      </c>
      <c r="B52" s="267"/>
      <c r="C52" s="5" t="s">
        <v>593</v>
      </c>
      <c r="D52" s="7">
        <v>7533</v>
      </c>
      <c r="E52" s="230">
        <v>39596</v>
      </c>
      <c r="F52" s="13">
        <v>0</v>
      </c>
      <c r="H52">
        <v>17</v>
      </c>
      <c r="I52" s="40">
        <v>249</v>
      </c>
      <c r="K52" s="3" t="s">
        <v>213</v>
      </c>
      <c r="L52" s="262">
        <f t="shared" ref="L52:M56" si="112">L$18</f>
        <v>0.48684460222878428</v>
      </c>
      <c r="M52" s="259">
        <f t="shared" si="112"/>
        <v>-2121.431533196388</v>
      </c>
      <c r="N52" s="40">
        <f t="shared" si="106"/>
        <v>7284</v>
      </c>
      <c r="O52" s="430">
        <f t="shared" si="4"/>
        <v>44</v>
      </c>
      <c r="P52" t="s">
        <v>212</v>
      </c>
      <c r="R52" s="25" t="s">
        <v>417</v>
      </c>
      <c r="S52" s="398" t="s">
        <v>155</v>
      </c>
      <c r="T52" s="39">
        <v>0</v>
      </c>
      <c r="U52" s="39">
        <v>0.15659999999999999</v>
      </c>
      <c r="V52" s="39">
        <v>0.37969999999999998</v>
      </c>
      <c r="W52" s="39">
        <v>0.4637</v>
      </c>
      <c r="X52" s="39">
        <v>0</v>
      </c>
      <c r="Y52" s="39">
        <f t="shared" si="47"/>
        <v>1</v>
      </c>
      <c r="Z52" s="269">
        <v>266</v>
      </c>
      <c r="AB52" s="40">
        <f t="shared" ref="AB52:AF53" si="113">T52*$N52</f>
        <v>0</v>
      </c>
      <c r="AC52" s="40">
        <f t="shared" si="113"/>
        <v>1140.6743999999999</v>
      </c>
      <c r="AD52" s="40">
        <f t="shared" si="113"/>
        <v>2765.7347999999997</v>
      </c>
      <c r="AE52" s="40">
        <f t="shared" si="113"/>
        <v>3377.5907999999999</v>
      </c>
      <c r="AF52" s="40">
        <f t="shared" si="113"/>
        <v>0</v>
      </c>
      <c r="AG52" s="40">
        <f t="shared" si="107"/>
        <v>7284</v>
      </c>
      <c r="AK52" s="364">
        <f>1787+249</f>
        <v>2036</v>
      </c>
      <c r="AL52" t="s">
        <v>71</v>
      </c>
      <c r="AM52" s="40">
        <f t="shared" si="108"/>
        <v>0</v>
      </c>
      <c r="AN52" s="40">
        <f t="shared" si="108"/>
        <v>318.83759999999995</v>
      </c>
      <c r="AO52" s="40">
        <f t="shared" si="108"/>
        <v>773.06919999999991</v>
      </c>
      <c r="AP52" s="40">
        <f t="shared" si="108"/>
        <v>944.09320000000002</v>
      </c>
      <c r="AQ52" s="40">
        <f t="shared" si="108"/>
        <v>0</v>
      </c>
      <c r="AR52" s="382">
        <f t="shared" si="94"/>
        <v>2035.9999999999998</v>
      </c>
      <c r="AT52" s="40">
        <v>1178</v>
      </c>
      <c r="AU52" s="40">
        <v>4027</v>
      </c>
      <c r="AV52" s="40">
        <v>231</v>
      </c>
      <c r="AW52" s="40">
        <f t="shared" si="25"/>
        <v>5436</v>
      </c>
      <c r="AX52" s="40">
        <v>24737.244793491147</v>
      </c>
      <c r="AY52" s="400">
        <f>D52*L52+M52</f>
        <v>1545.9688553930441</v>
      </c>
      <c r="AZ52" s="289">
        <f t="shared" si="60"/>
        <v>6.2495595944452906E-2</v>
      </c>
      <c r="BA52" s="267">
        <f t="shared" si="36"/>
        <v>339.726059554046</v>
      </c>
      <c r="BB52" s="57">
        <f t="shared" si="109"/>
        <v>0</v>
      </c>
      <c r="BC52" s="57">
        <f t="shared" si="109"/>
        <v>0.15659999999999999</v>
      </c>
      <c r="BD52" s="57">
        <f t="shared" si="109"/>
        <v>0.37969999999999998</v>
      </c>
      <c r="BE52" s="57">
        <f t="shared" si="109"/>
        <v>0.4637</v>
      </c>
      <c r="BF52" s="57">
        <f t="shared" si="109"/>
        <v>0</v>
      </c>
      <c r="BG52" s="56">
        <f t="shared" si="101"/>
        <v>1</v>
      </c>
      <c r="BH52" s="14">
        <f t="shared" si="102"/>
        <v>266</v>
      </c>
      <c r="BI52" t="s">
        <v>74</v>
      </c>
      <c r="BL52" s="14">
        <f t="shared" ref="BL52:BP54" si="114">BB52*$BA52</f>
        <v>0</v>
      </c>
      <c r="BM52" s="14">
        <f t="shared" si="114"/>
        <v>53.201100926163598</v>
      </c>
      <c r="BN52" s="14">
        <f t="shared" si="114"/>
        <v>128.99398481267127</v>
      </c>
      <c r="BO52" s="14">
        <f t="shared" si="114"/>
        <v>157.53097381521113</v>
      </c>
      <c r="BP52" s="14">
        <f t="shared" si="114"/>
        <v>0</v>
      </c>
      <c r="BQ52" s="14">
        <f t="shared" si="110"/>
        <v>339.726059554046</v>
      </c>
      <c r="BS52" s="2">
        <f t="shared" si="0"/>
        <v>2008</v>
      </c>
      <c r="BT52" s="401">
        <f t="shared" ref="BT52:BW53" si="115">BL52+AM52+AB52</f>
        <v>0</v>
      </c>
      <c r="BU52" s="399">
        <f t="shared" si="115"/>
        <v>1512.7131009261634</v>
      </c>
      <c r="BV52" s="399">
        <f t="shared" si="115"/>
        <v>3667.7979848126706</v>
      </c>
      <c r="BW52" s="399">
        <f t="shared" si="115"/>
        <v>4479.2149738152111</v>
      </c>
      <c r="BX52" s="399">
        <f t="shared" ref="BX52:BX58" si="116">BP52+AQ52+AF52</f>
        <v>0</v>
      </c>
      <c r="BY52" s="401">
        <f t="shared" si="86"/>
        <v>9659.7260595540447</v>
      </c>
      <c r="BZ52" s="438">
        <f t="shared" si="40"/>
        <v>9659.7260595540447</v>
      </c>
      <c r="CA52" s="356">
        <f t="shared" ref="CA52:CE53" si="117">BT52/$BY52</f>
        <v>0</v>
      </c>
      <c r="CB52" s="356">
        <f t="shared" si="117"/>
        <v>0.15659999999999999</v>
      </c>
      <c r="CC52" s="356">
        <f t="shared" si="117"/>
        <v>0.37969999999999998</v>
      </c>
      <c r="CD52" s="356">
        <f t="shared" si="117"/>
        <v>0.46370000000000006</v>
      </c>
      <c r="CE52" s="356">
        <f t="shared" si="117"/>
        <v>0</v>
      </c>
      <c r="CF52" s="356">
        <f t="shared" si="111"/>
        <v>1</v>
      </c>
      <c r="CH52" s="43">
        <v>2008</v>
      </c>
      <c r="CI52" s="260">
        <f t="shared" si="105"/>
        <v>518.78902591710687</v>
      </c>
      <c r="CJ52" s="260">
        <f t="shared" si="72"/>
        <v>8809.07371842457</v>
      </c>
      <c r="CK52" s="260">
        <f t="shared" si="67"/>
        <v>11682.391796439155</v>
      </c>
      <c r="CL52" s="260">
        <f t="shared" si="63"/>
        <v>2197.3688308901815</v>
      </c>
      <c r="CM52" s="260">
        <f t="shared" si="8"/>
        <v>0</v>
      </c>
      <c r="CN52" s="260">
        <f t="shared" si="9"/>
        <v>23207.623371671012</v>
      </c>
      <c r="CP52" s="13">
        <v>2008</v>
      </c>
      <c r="CQ52" s="351">
        <f t="shared" ref="CQ52" si="118">CI52/$CN52</f>
        <v>2.2354250480916549E-2</v>
      </c>
      <c r="CR52" s="351">
        <f t="shared" ref="CR52" si="119">CJ52/$CN52</f>
        <v>0.3795767268947321</v>
      </c>
      <c r="CS52" s="351">
        <f t="shared" ref="CS52" si="120">CK52/$CN52</f>
        <v>0.50338596112773748</v>
      </c>
      <c r="CT52" s="351">
        <f t="shared" ref="CT52" si="121">CL52/$CN52</f>
        <v>9.4683061496613943E-2</v>
      </c>
      <c r="CU52" s="351">
        <f t="shared" ref="CU52" si="122">CM52/$CN52</f>
        <v>0</v>
      </c>
      <c r="CV52" s="75">
        <f t="shared" ref="CV52" si="123">SUM(CQ52:CU52)</f>
        <v>1</v>
      </c>
      <c r="CX52" s="424">
        <f t="shared" si="92"/>
        <v>2008</v>
      </c>
      <c r="CY52" s="52">
        <f t="shared" si="96"/>
        <v>7284</v>
      </c>
      <c r="CZ52" s="421">
        <f t="shared" si="64"/>
        <v>23207.623371671012</v>
      </c>
      <c r="DA52" s="358">
        <f t="shared" si="82"/>
        <v>3.1861097435023353</v>
      </c>
      <c r="DB52" s="373">
        <f t="shared" si="83"/>
        <v>15923.623371671012</v>
      </c>
      <c r="DF52" s="1"/>
      <c r="DG52" s="1"/>
      <c r="DH52" s="1"/>
      <c r="DI52" s="1"/>
      <c r="DJ52" s="1"/>
      <c r="DK52" s="1"/>
      <c r="DL52" s="1"/>
      <c r="DM52" s="1"/>
      <c r="DN52" s="1"/>
      <c r="DO52" s="1"/>
    </row>
    <row r="53" spans="1:119" x14ac:dyDescent="0.2">
      <c r="A53" s="5">
        <v>2009</v>
      </c>
      <c r="B53" s="267">
        <v>3954</v>
      </c>
      <c r="C53" t="s">
        <v>408</v>
      </c>
      <c r="D53" s="7">
        <v>11960</v>
      </c>
      <c r="E53" s="230">
        <v>39954</v>
      </c>
      <c r="F53" s="13">
        <v>0</v>
      </c>
      <c r="H53">
        <v>1</v>
      </c>
      <c r="I53" s="40">
        <v>319</v>
      </c>
      <c r="K53" s="1" t="s">
        <v>214</v>
      </c>
      <c r="L53" s="262"/>
      <c r="M53" s="259"/>
      <c r="N53" s="40">
        <f t="shared" si="106"/>
        <v>11641</v>
      </c>
      <c r="O53" s="430">
        <f t="shared" si="4"/>
        <v>40</v>
      </c>
      <c r="P53" t="s">
        <v>212</v>
      </c>
      <c r="R53" s="25" t="s">
        <v>417</v>
      </c>
      <c r="S53" s="5" t="s">
        <v>603</v>
      </c>
      <c r="T53" s="39">
        <v>0</v>
      </c>
      <c r="U53" s="39">
        <v>0.66839999999999999</v>
      </c>
      <c r="V53" s="39">
        <v>0.2409</v>
      </c>
      <c r="W53" s="39">
        <v>9.0700000000000003E-2</v>
      </c>
      <c r="X53" s="39">
        <v>0</v>
      </c>
      <c r="Y53" s="39">
        <f t="shared" si="47"/>
        <v>1</v>
      </c>
      <c r="Z53" s="269">
        <v>386</v>
      </c>
      <c r="AA53" s="5"/>
      <c r="AB53" s="40">
        <f t="shared" si="113"/>
        <v>0</v>
      </c>
      <c r="AC53" s="40">
        <f t="shared" si="113"/>
        <v>7780.8444</v>
      </c>
      <c r="AD53" s="40">
        <f t="shared" si="113"/>
        <v>2804.3169000000003</v>
      </c>
      <c r="AE53" s="40">
        <f t="shared" si="113"/>
        <v>1055.8387</v>
      </c>
      <c r="AF53" s="40">
        <f t="shared" si="113"/>
        <v>0</v>
      </c>
      <c r="AG53" s="40">
        <f t="shared" si="107"/>
        <v>11641</v>
      </c>
      <c r="AK53" s="364">
        <f>404+319</f>
        <v>723</v>
      </c>
      <c r="AL53" t="s">
        <v>71</v>
      </c>
      <c r="AM53" s="40">
        <f t="shared" ref="AM53:AQ55" si="124">$AK53*T53</f>
        <v>0</v>
      </c>
      <c r="AN53" s="40">
        <f t="shared" si="124"/>
        <v>483.25319999999999</v>
      </c>
      <c r="AO53" s="40">
        <f t="shared" si="124"/>
        <v>174.17070000000001</v>
      </c>
      <c r="AP53" s="40">
        <f t="shared" si="124"/>
        <v>65.576099999999997</v>
      </c>
      <c r="AQ53" s="40">
        <f t="shared" si="124"/>
        <v>0</v>
      </c>
      <c r="AR53" s="382">
        <f t="shared" si="94"/>
        <v>723</v>
      </c>
      <c r="AT53" s="40">
        <v>636</v>
      </c>
      <c r="AU53" s="40">
        <v>1654</v>
      </c>
      <c r="AV53" s="40">
        <v>156</v>
      </c>
      <c r="AW53" s="40">
        <f t="shared" si="25"/>
        <v>2446</v>
      </c>
      <c r="AX53" s="40">
        <v>27047.068151073872</v>
      </c>
      <c r="AY53" s="366">
        <f>B53</f>
        <v>3954</v>
      </c>
      <c r="AZ53" s="289">
        <f t="shared" si="60"/>
        <v>0.14618959725743919</v>
      </c>
      <c r="BA53" s="267">
        <f t="shared" si="36"/>
        <v>357.57975489169627</v>
      </c>
      <c r="BB53" s="57">
        <f t="shared" si="109"/>
        <v>0</v>
      </c>
      <c r="BC53" s="57">
        <f t="shared" si="109"/>
        <v>0.66839999999999999</v>
      </c>
      <c r="BD53" s="57">
        <f t="shared" si="109"/>
        <v>0.2409</v>
      </c>
      <c r="BE53" s="57">
        <f t="shared" si="109"/>
        <v>9.0700000000000003E-2</v>
      </c>
      <c r="BF53" s="57">
        <f t="shared" si="109"/>
        <v>0</v>
      </c>
      <c r="BG53" s="56">
        <f t="shared" si="101"/>
        <v>1</v>
      </c>
      <c r="BH53" s="14">
        <f t="shared" si="102"/>
        <v>386</v>
      </c>
      <c r="BI53" t="s">
        <v>74</v>
      </c>
      <c r="BL53" s="14">
        <f t="shared" si="114"/>
        <v>0</v>
      </c>
      <c r="BM53" s="14">
        <f t="shared" si="114"/>
        <v>239.00630816960978</v>
      </c>
      <c r="BN53" s="14">
        <f t="shared" si="114"/>
        <v>86.140962953409627</v>
      </c>
      <c r="BO53" s="14">
        <f t="shared" si="114"/>
        <v>32.432483768676853</v>
      </c>
      <c r="BP53" s="14">
        <f t="shared" si="114"/>
        <v>0</v>
      </c>
      <c r="BQ53" s="14">
        <f t="shared" si="110"/>
        <v>357.57975489169627</v>
      </c>
      <c r="BR53" s="387"/>
      <c r="BS53" s="2">
        <f t="shared" si="0"/>
        <v>2009</v>
      </c>
      <c r="BT53" s="381">
        <f t="shared" si="115"/>
        <v>0</v>
      </c>
      <c r="BU53" s="399">
        <f t="shared" si="115"/>
        <v>8503.103908169609</v>
      </c>
      <c r="BV53" s="399">
        <f t="shared" si="115"/>
        <v>3064.62856295341</v>
      </c>
      <c r="BW53" s="399">
        <f t="shared" si="115"/>
        <v>1153.8472837686768</v>
      </c>
      <c r="BX53" s="399">
        <f t="shared" si="116"/>
        <v>0</v>
      </c>
      <c r="BY53" s="401">
        <f t="shared" si="86"/>
        <v>12721.579754891696</v>
      </c>
      <c r="BZ53" s="438">
        <f t="shared" si="40"/>
        <v>12721.579754891696</v>
      </c>
      <c r="CA53" s="356">
        <f t="shared" si="117"/>
        <v>0</v>
      </c>
      <c r="CB53" s="356">
        <f t="shared" si="117"/>
        <v>0.66839999999999999</v>
      </c>
      <c r="CC53" s="356">
        <f t="shared" si="117"/>
        <v>0.24090000000000003</v>
      </c>
      <c r="CD53" s="356">
        <f t="shared" si="117"/>
        <v>9.0699999999999989E-2</v>
      </c>
      <c r="CE53" s="356">
        <f t="shared" si="117"/>
        <v>0</v>
      </c>
      <c r="CF53" s="356">
        <f t="shared" si="111"/>
        <v>1</v>
      </c>
      <c r="CH53" s="43">
        <v>2009</v>
      </c>
      <c r="CI53" s="260">
        <f t="shared" si="105"/>
        <v>669.04357355123341</v>
      </c>
      <c r="CJ53" s="260">
        <f t="shared" si="72"/>
        <v>4277.8876007538311</v>
      </c>
      <c r="CK53" s="260">
        <f t="shared" si="67"/>
        <v>7107.6941322480016</v>
      </c>
      <c r="CL53" s="260">
        <f t="shared" si="63"/>
        <v>3331.9862658498459</v>
      </c>
      <c r="CM53" s="260">
        <f>BX60</f>
        <v>0</v>
      </c>
      <c r="CN53" s="260">
        <f t="shared" si="9"/>
        <v>15386.611572402911</v>
      </c>
      <c r="CP53" s="13">
        <v>2009</v>
      </c>
      <c r="CQ53" s="351">
        <f t="shared" ref="CQ53:CU54" si="125">CI53/$CN53</f>
        <v>4.3482190370699635E-2</v>
      </c>
      <c r="CR53" s="351">
        <f t="shared" si="125"/>
        <v>0.2780266194817419</v>
      </c>
      <c r="CS53" s="351">
        <f t="shared" si="125"/>
        <v>0.46194018083852884</v>
      </c>
      <c r="CT53" s="351">
        <f t="shared" si="125"/>
        <v>0.21655100930902962</v>
      </c>
      <c r="CU53" s="351">
        <f t="shared" si="125"/>
        <v>0</v>
      </c>
      <c r="CV53" s="75">
        <f>SUM(CQ53:CU53)</f>
        <v>0.99999999999999989</v>
      </c>
      <c r="CX53" s="424">
        <f t="shared" si="92"/>
        <v>2009</v>
      </c>
      <c r="CY53" s="52">
        <f t="shared" si="96"/>
        <v>11641</v>
      </c>
      <c r="CZ53" s="421">
        <f>CN53</f>
        <v>15386.611572402911</v>
      </c>
      <c r="DA53" s="358">
        <f t="shared" ref="DA53:DA54" si="126">CZ53/CY53</f>
        <v>1.3217602931365786</v>
      </c>
      <c r="DB53" s="373">
        <f t="shared" ref="DB53:DB54" si="127">IF((CZ53-CY53&lt;0),0,(CZ53-CY53))</f>
        <v>3745.6115724029114</v>
      </c>
      <c r="DF53" s="1"/>
      <c r="DG53" s="1"/>
      <c r="DH53" s="1"/>
      <c r="DI53" s="1"/>
      <c r="DJ53" s="1"/>
      <c r="DK53" s="1"/>
      <c r="DL53" s="1"/>
      <c r="DM53" s="1"/>
      <c r="DN53" s="1"/>
      <c r="DO53" s="1"/>
    </row>
    <row r="54" spans="1:119" ht="13.5" thickBot="1" x14ac:dyDescent="0.25">
      <c r="A54" s="5">
        <v>2010</v>
      </c>
      <c r="B54" s="267"/>
      <c r="C54" s="5" t="s">
        <v>593</v>
      </c>
      <c r="D54" s="7">
        <v>18594</v>
      </c>
      <c r="E54" s="230">
        <v>40319</v>
      </c>
      <c r="F54" s="13">
        <v>0</v>
      </c>
      <c r="G54" s="13">
        <v>0</v>
      </c>
      <c r="H54">
        <v>328</v>
      </c>
      <c r="I54" s="40">
        <v>371</v>
      </c>
      <c r="K54" s="3" t="s">
        <v>213</v>
      </c>
      <c r="L54" s="262">
        <f t="shared" si="112"/>
        <v>0.48684460222878428</v>
      </c>
      <c r="M54" s="259">
        <f t="shared" si="112"/>
        <v>-2121.431533196388</v>
      </c>
      <c r="N54" s="40">
        <f t="shared" si="106"/>
        <v>18223</v>
      </c>
      <c r="O54" s="430">
        <f t="shared" si="4"/>
        <v>32</v>
      </c>
      <c r="P54" t="s">
        <v>212</v>
      </c>
      <c r="R54" s="25" t="s">
        <v>417</v>
      </c>
      <c r="S54" s="73" t="s">
        <v>604</v>
      </c>
      <c r="T54" s="39">
        <v>8.9285714285714281E-3</v>
      </c>
      <c r="U54" s="39">
        <v>0.20833333333333331</v>
      </c>
      <c r="V54" s="39">
        <v>0.6964285714285714</v>
      </c>
      <c r="W54" s="39">
        <v>8.6309523809523808E-2</v>
      </c>
      <c r="X54" s="38">
        <v>0</v>
      </c>
      <c r="Y54" s="39">
        <f t="shared" si="47"/>
        <v>1</v>
      </c>
      <c r="Z54" s="13">
        <v>336</v>
      </c>
      <c r="AB54" s="405">
        <f t="shared" ref="AB54:AF55" si="128">T54*$N54</f>
        <v>162.70535714285714</v>
      </c>
      <c r="AC54" s="405">
        <f t="shared" si="128"/>
        <v>3796.458333333333</v>
      </c>
      <c r="AD54" s="405">
        <f t="shared" si="128"/>
        <v>12691.017857142857</v>
      </c>
      <c r="AE54" s="405">
        <f t="shared" si="128"/>
        <v>1572.8184523809523</v>
      </c>
      <c r="AF54" s="405">
        <f t="shared" si="128"/>
        <v>0</v>
      </c>
      <c r="AG54" s="405">
        <f t="shared" si="107"/>
        <v>18223</v>
      </c>
      <c r="AK54" s="364">
        <f>3010+371</f>
        <v>3381</v>
      </c>
      <c r="AL54" t="s">
        <v>71</v>
      </c>
      <c r="AM54" s="405">
        <f t="shared" si="124"/>
        <v>30.1875</v>
      </c>
      <c r="AN54" s="405">
        <f t="shared" si="124"/>
        <v>704.37499999999989</v>
      </c>
      <c r="AO54" s="405">
        <f t="shared" si="124"/>
        <v>2354.625</v>
      </c>
      <c r="AP54" s="405">
        <f t="shared" si="124"/>
        <v>291.8125</v>
      </c>
      <c r="AQ54" s="405">
        <f t="shared" si="124"/>
        <v>0</v>
      </c>
      <c r="AR54" s="406">
        <f t="shared" ref="AR54:AR59" si="129">SUM(AM54:AQ54)</f>
        <v>3381</v>
      </c>
      <c r="AT54" s="406">
        <v>843</v>
      </c>
      <c r="AU54" s="406">
        <v>1750</v>
      </c>
      <c r="AV54" s="406">
        <v>52</v>
      </c>
      <c r="AW54" s="40">
        <f t="shared" ref="AW54:AW58" si="130">SUM(AT54:AV54)</f>
        <v>2645</v>
      </c>
      <c r="AX54" s="40">
        <v>22805.130402540235</v>
      </c>
      <c r="AY54" s="400">
        <f>D54*L54+M54</f>
        <v>6930.957000645627</v>
      </c>
      <c r="AZ54" s="289">
        <f t="shared" si="60"/>
        <v>0.30392095455299817</v>
      </c>
      <c r="BA54" s="267">
        <f t="shared" si="36"/>
        <v>803.87092479268017</v>
      </c>
      <c r="BB54" s="57">
        <f t="shared" si="109"/>
        <v>8.9285714285714281E-3</v>
      </c>
      <c r="BC54" s="57">
        <f t="shared" si="109"/>
        <v>0.20833333333333331</v>
      </c>
      <c r="BD54" s="57">
        <f t="shared" si="109"/>
        <v>0.6964285714285714</v>
      </c>
      <c r="BE54" s="57">
        <f t="shared" si="109"/>
        <v>8.6309523809523808E-2</v>
      </c>
      <c r="BF54" s="57">
        <f t="shared" si="109"/>
        <v>0</v>
      </c>
      <c r="BG54" s="56">
        <f t="shared" si="101"/>
        <v>1</v>
      </c>
      <c r="BH54" s="14">
        <f t="shared" si="102"/>
        <v>336</v>
      </c>
      <c r="BI54" t="s">
        <v>74</v>
      </c>
      <c r="BL54" s="14">
        <f t="shared" si="114"/>
        <v>7.1774189713632151</v>
      </c>
      <c r="BM54" s="14">
        <f t="shared" si="114"/>
        <v>167.47310933180836</v>
      </c>
      <c r="BN54" s="14">
        <f t="shared" si="114"/>
        <v>559.83867976633076</v>
      </c>
      <c r="BO54" s="14">
        <f t="shared" si="114"/>
        <v>69.381716723177746</v>
      </c>
      <c r="BP54" s="14">
        <f t="shared" si="114"/>
        <v>0</v>
      </c>
      <c r="BQ54" s="45">
        <f t="shared" si="110"/>
        <v>803.87092479268006</v>
      </c>
      <c r="BS54" s="2">
        <f t="shared" si="0"/>
        <v>2010</v>
      </c>
      <c r="BT54" s="401">
        <f t="shared" ref="BT54:BW58" si="131">BL54+AM54+AB54</f>
        <v>200.07027611422035</v>
      </c>
      <c r="BU54" s="401">
        <f t="shared" si="131"/>
        <v>4668.3064426651417</v>
      </c>
      <c r="BV54" s="401">
        <f t="shared" si="131"/>
        <v>15605.481536909188</v>
      </c>
      <c r="BW54" s="401">
        <f t="shared" si="131"/>
        <v>1934.0126691041301</v>
      </c>
      <c r="BX54" s="401">
        <f t="shared" si="116"/>
        <v>0</v>
      </c>
      <c r="BY54" s="401">
        <f t="shared" ref="BY54:BY59" si="132">SUM(BT54:BX54)</f>
        <v>22407.870924792682</v>
      </c>
      <c r="BZ54" s="438">
        <f t="shared" si="40"/>
        <v>22207.800648678458</v>
      </c>
      <c r="CA54" s="356">
        <f t="shared" ref="CA54:CE55" si="133">BT54/$BY54</f>
        <v>8.9285714285714281E-3</v>
      </c>
      <c r="CB54" s="356">
        <f t="shared" si="133"/>
        <v>0.20833333333333331</v>
      </c>
      <c r="CC54" s="356">
        <f t="shared" si="133"/>
        <v>0.6964285714285714</v>
      </c>
      <c r="CD54" s="356">
        <f t="shared" si="133"/>
        <v>8.6309523809523794E-2</v>
      </c>
      <c r="CE54" s="356">
        <f t="shared" si="133"/>
        <v>0</v>
      </c>
      <c r="CF54" s="356">
        <f t="shared" si="111"/>
        <v>1</v>
      </c>
      <c r="CH54" s="43">
        <v>2010</v>
      </c>
      <c r="CI54" s="260">
        <f t="shared" si="105"/>
        <v>785.2816837006992</v>
      </c>
      <c r="CJ54" s="260">
        <f>BU58</f>
        <v>7046.1478976126245</v>
      </c>
      <c r="CK54" s="260">
        <f t="shared" si="67"/>
        <v>12763.307712485024</v>
      </c>
      <c r="CL54" s="260">
        <f>BW60</f>
        <v>1787.0790331391763</v>
      </c>
      <c r="CM54" s="260">
        <f>BX61</f>
        <v>0</v>
      </c>
      <c r="CN54" s="260">
        <f t="shared" si="9"/>
        <v>22381.816326937525</v>
      </c>
      <c r="CP54" s="13">
        <v>2010</v>
      </c>
      <c r="CQ54" s="351">
        <f t="shared" si="125"/>
        <v>3.5085699579956664E-2</v>
      </c>
      <c r="CR54" s="351">
        <f t="shared" si="125"/>
        <v>0.31481573231982374</v>
      </c>
      <c r="CS54" s="351">
        <f t="shared" si="125"/>
        <v>0.57025343815031704</v>
      </c>
      <c r="CT54" s="351">
        <f t="shared" si="125"/>
        <v>7.9845129949902505E-2</v>
      </c>
      <c r="CU54" s="351">
        <f t="shared" si="125"/>
        <v>0</v>
      </c>
      <c r="CV54" s="75">
        <f>SUM(CQ54:CU54)</f>
        <v>1</v>
      </c>
      <c r="CX54" s="425">
        <f t="shared" si="92"/>
        <v>2010</v>
      </c>
      <c r="CY54" s="200">
        <f t="shared" si="96"/>
        <v>18223</v>
      </c>
      <c r="CZ54" s="426">
        <f t="shared" si="64"/>
        <v>22381.816326937525</v>
      </c>
      <c r="DA54" s="427">
        <f t="shared" si="126"/>
        <v>1.2282179842472438</v>
      </c>
      <c r="DB54" s="428">
        <f t="shared" si="127"/>
        <v>4158.8163269375254</v>
      </c>
      <c r="DC54" s="73"/>
      <c r="DF54" s="1"/>
      <c r="DG54" s="1"/>
      <c r="DH54" s="1"/>
      <c r="DI54" s="1"/>
      <c r="DJ54" s="1"/>
      <c r="DK54" s="1"/>
      <c r="DL54" s="1"/>
      <c r="DM54" s="1"/>
      <c r="DN54" s="1"/>
      <c r="DO54" s="1"/>
    </row>
    <row r="55" spans="1:119" ht="13.5" thickBot="1" x14ac:dyDescent="0.25">
      <c r="A55" s="5">
        <v>2011</v>
      </c>
      <c r="B55" s="267">
        <v>7522</v>
      </c>
      <c r="C55" t="s">
        <v>408</v>
      </c>
      <c r="D55" s="7">
        <v>19026</v>
      </c>
      <c r="E55" s="230">
        <v>40687</v>
      </c>
      <c r="F55" s="13">
        <v>0</v>
      </c>
      <c r="H55">
        <v>312</v>
      </c>
      <c r="I55" s="40">
        <v>473</v>
      </c>
      <c r="K55" s="1" t="s">
        <v>214</v>
      </c>
      <c r="N55" s="40">
        <f t="shared" si="106"/>
        <v>18553</v>
      </c>
      <c r="O55" s="430">
        <f t="shared" si="4"/>
        <v>30</v>
      </c>
      <c r="P55" t="s">
        <v>212</v>
      </c>
      <c r="R55" s="25" t="s">
        <v>417</v>
      </c>
      <c r="S55" s="415" t="s">
        <v>594</v>
      </c>
      <c r="T55" s="39">
        <v>2.2988505747126436E-2</v>
      </c>
      <c r="U55" s="39">
        <v>0.26724137931034481</v>
      </c>
      <c r="V55" s="39">
        <v>0.64080459770114939</v>
      </c>
      <c r="W55" s="39">
        <v>6.8965517241379309E-2</v>
      </c>
      <c r="X55" s="39">
        <v>0</v>
      </c>
      <c r="Y55" s="39">
        <f t="shared" si="47"/>
        <v>1</v>
      </c>
      <c r="Z55" s="416">
        <v>347</v>
      </c>
      <c r="AA55" s="5"/>
      <c r="AB55" s="405">
        <f t="shared" si="128"/>
        <v>426.5057471264368</v>
      </c>
      <c r="AC55" s="405">
        <f t="shared" si="128"/>
        <v>4958.129310344827</v>
      </c>
      <c r="AD55" s="405">
        <f t="shared" si="128"/>
        <v>11888.847701149425</v>
      </c>
      <c r="AE55" s="405">
        <f t="shared" si="128"/>
        <v>1279.5172413793102</v>
      </c>
      <c r="AF55" s="405">
        <f t="shared" si="128"/>
        <v>0</v>
      </c>
      <c r="AG55" s="405">
        <f t="shared" si="107"/>
        <v>18553</v>
      </c>
      <c r="AK55" s="364">
        <v>3139</v>
      </c>
      <c r="AL55" t="s">
        <v>71</v>
      </c>
      <c r="AM55" s="405">
        <f t="shared" si="124"/>
        <v>72.160919540229884</v>
      </c>
      <c r="AN55" s="405">
        <f t="shared" si="124"/>
        <v>838.87068965517233</v>
      </c>
      <c r="AO55" s="405">
        <f t="shared" si="124"/>
        <v>2011.4856321839079</v>
      </c>
      <c r="AP55" s="405">
        <f t="shared" si="124"/>
        <v>216.48275862068965</v>
      </c>
      <c r="AQ55" s="405">
        <f t="shared" si="124"/>
        <v>0</v>
      </c>
      <c r="AR55" s="406">
        <f t="shared" si="129"/>
        <v>3139</v>
      </c>
      <c r="AS55" s="5"/>
      <c r="AT55" s="406">
        <v>595</v>
      </c>
      <c r="AU55" s="406">
        <v>2299</v>
      </c>
      <c r="AV55" s="406">
        <v>77</v>
      </c>
      <c r="AW55" s="40">
        <f t="shared" si="130"/>
        <v>2971</v>
      </c>
      <c r="AX55" s="40">
        <v>25531</v>
      </c>
      <c r="AY55" s="366">
        <f>B55</f>
        <v>7522</v>
      </c>
      <c r="AZ55" s="289">
        <f t="shared" si="60"/>
        <v>0.29462222396302534</v>
      </c>
      <c r="BA55" s="267">
        <f t="shared" si="36"/>
        <v>875.3226273941483</v>
      </c>
      <c r="BB55" s="57">
        <f t="shared" ref="BB55:BF57" si="134">T55</f>
        <v>2.2988505747126436E-2</v>
      </c>
      <c r="BC55" s="57">
        <f t="shared" si="134"/>
        <v>0.26724137931034481</v>
      </c>
      <c r="BD55" s="57">
        <f t="shared" si="134"/>
        <v>0.64080459770114939</v>
      </c>
      <c r="BE55" s="57">
        <f t="shared" si="134"/>
        <v>6.8965517241379309E-2</v>
      </c>
      <c r="BF55" s="57">
        <f t="shared" si="134"/>
        <v>0</v>
      </c>
      <c r="BG55" s="56">
        <f t="shared" si="101"/>
        <v>1</v>
      </c>
      <c r="BH55" s="14">
        <f t="shared" si="102"/>
        <v>347</v>
      </c>
      <c r="BI55" t="s">
        <v>74</v>
      </c>
      <c r="BL55" s="14">
        <f t="shared" ref="BL55:BP57" si="135">BB55*$BA55</f>
        <v>20.122359250440191</v>
      </c>
      <c r="BM55" s="14">
        <f t="shared" si="135"/>
        <v>233.9224262863672</v>
      </c>
      <c r="BN55" s="14">
        <f t="shared" si="135"/>
        <v>560.91076410602034</v>
      </c>
      <c r="BO55" s="14">
        <f t="shared" si="135"/>
        <v>60.367077751320572</v>
      </c>
      <c r="BP55" s="14">
        <f t="shared" si="135"/>
        <v>0</v>
      </c>
      <c r="BQ55" s="45">
        <f t="shared" si="110"/>
        <v>875.3226273941483</v>
      </c>
      <c r="BR55" s="435"/>
      <c r="BS55" s="2">
        <f t="shared" si="0"/>
        <v>2011</v>
      </c>
      <c r="BT55" s="401">
        <f t="shared" si="131"/>
        <v>518.78902591710687</v>
      </c>
      <c r="BU55" s="401">
        <f t="shared" si="131"/>
        <v>6030.9224262863663</v>
      </c>
      <c r="BV55" s="401">
        <f t="shared" si="131"/>
        <v>14461.244097439354</v>
      </c>
      <c r="BW55" s="401">
        <f t="shared" si="131"/>
        <v>1556.3670777513205</v>
      </c>
      <c r="BX55" s="401">
        <f t="shared" si="116"/>
        <v>0</v>
      </c>
      <c r="BY55" s="401">
        <f t="shared" si="132"/>
        <v>22567.322627394151</v>
      </c>
      <c r="BZ55" s="438">
        <f t="shared" si="40"/>
        <v>22048.53360147704</v>
      </c>
      <c r="CA55" s="356">
        <f t="shared" si="133"/>
        <v>2.2988505747126433E-2</v>
      </c>
      <c r="CB55" s="356">
        <f t="shared" si="133"/>
        <v>0.26724137931034475</v>
      </c>
      <c r="CC55" s="356">
        <f t="shared" si="133"/>
        <v>0.64080459770114939</v>
      </c>
      <c r="CD55" s="356">
        <f t="shared" si="133"/>
        <v>6.8965517241379296E-2</v>
      </c>
      <c r="CE55" s="356">
        <f t="shared" si="133"/>
        <v>0</v>
      </c>
      <c r="CF55" s="356">
        <f t="shared" si="111"/>
        <v>0.99999999999999989</v>
      </c>
      <c r="CH55" s="43">
        <v>2011</v>
      </c>
      <c r="CI55" s="260">
        <f t="shared" si="105"/>
        <v>1550.2217133674794</v>
      </c>
      <c r="CJ55" s="260">
        <f t="shared" si="72"/>
        <v>7211.3603991777436</v>
      </c>
      <c r="CK55" s="260">
        <f>BV60</f>
        <v>8947.9026572615876</v>
      </c>
      <c r="CL55" s="260">
        <f>BW61</f>
        <v>1312.5431080401859</v>
      </c>
      <c r="CN55" s="260">
        <f t="shared" si="9"/>
        <v>19022.027877846998</v>
      </c>
      <c r="CX55" s="440">
        <v>2011</v>
      </c>
      <c r="CY55" s="441">
        <f>N55</f>
        <v>18553</v>
      </c>
      <c r="CZ55" s="444">
        <f t="shared" ref="CZ55" si="136">CN55</f>
        <v>19022.027877846998</v>
      </c>
      <c r="DA55" s="445">
        <f t="shared" ref="DA55" si="137">CZ55/CY55</f>
        <v>1.0252804332370504</v>
      </c>
      <c r="DB55" s="446">
        <f t="shared" ref="DB55" si="138">IF((CZ55-CY55&lt;0),0,(CZ55-CY55))</f>
        <v>469.02787784699831</v>
      </c>
      <c r="DF55" s="1"/>
      <c r="DG55" s="1"/>
      <c r="DH55" s="1"/>
      <c r="DI55" s="1"/>
      <c r="DJ55" s="1"/>
      <c r="DK55" s="1"/>
      <c r="DL55" s="1"/>
      <c r="DM55" s="1"/>
      <c r="DN55" s="1"/>
      <c r="DO55" s="1"/>
    </row>
    <row r="56" spans="1:119" x14ac:dyDescent="0.2">
      <c r="A56" s="5">
        <v>2012</v>
      </c>
      <c r="B56" s="267"/>
      <c r="C56" s="404" t="s">
        <v>595</v>
      </c>
      <c r="D56" s="7">
        <v>14096</v>
      </c>
      <c r="E56" s="230">
        <v>41053</v>
      </c>
      <c r="F56" s="13">
        <v>0</v>
      </c>
      <c r="H56">
        <v>66</v>
      </c>
      <c r="I56" s="40">
        <v>144</v>
      </c>
      <c r="K56" s="3" t="s">
        <v>213</v>
      </c>
      <c r="L56" s="262">
        <f t="shared" si="112"/>
        <v>0.48684460222878428</v>
      </c>
      <c r="M56" s="259">
        <f t="shared" si="112"/>
        <v>-2121.431533196388</v>
      </c>
      <c r="N56" s="40">
        <f t="shared" si="106"/>
        <v>13952</v>
      </c>
      <c r="O56" s="430">
        <f t="shared" si="4"/>
        <v>39</v>
      </c>
      <c r="P56" t="s">
        <v>212</v>
      </c>
      <c r="R56" s="25" t="s">
        <v>417</v>
      </c>
      <c r="S56" s="415" t="s">
        <v>594</v>
      </c>
      <c r="T56" s="417">
        <v>4.1522491349480974E-2</v>
      </c>
      <c r="U56" s="417">
        <v>0.54671280276816603</v>
      </c>
      <c r="V56" s="417">
        <v>0.25951557093425603</v>
      </c>
      <c r="W56" s="417">
        <v>0.15224913494809689</v>
      </c>
      <c r="X56" s="38">
        <v>0</v>
      </c>
      <c r="Y56" s="39">
        <f t="shared" si="47"/>
        <v>0.99999999999999989</v>
      </c>
      <c r="Z56" s="44">
        <v>289</v>
      </c>
      <c r="AA56" s="5"/>
      <c r="AB56" s="405">
        <f t="shared" ref="AB56:AF57" si="139">T56*$N56</f>
        <v>579.3217993079586</v>
      </c>
      <c r="AC56" s="405">
        <f t="shared" si="139"/>
        <v>7627.7370242214529</v>
      </c>
      <c r="AD56" s="405">
        <f t="shared" si="139"/>
        <v>3620.7612456747402</v>
      </c>
      <c r="AE56" s="405">
        <f t="shared" si="139"/>
        <v>2124.1799307958477</v>
      </c>
      <c r="AF56" s="405">
        <f t="shared" si="139"/>
        <v>0</v>
      </c>
      <c r="AG56" s="405">
        <f t="shared" si="107"/>
        <v>13951.999999999998</v>
      </c>
      <c r="AK56" s="364">
        <f>1387+144+119</f>
        <v>1650</v>
      </c>
      <c r="AL56" t="s">
        <v>71</v>
      </c>
      <c r="AM56" s="405">
        <f t="shared" ref="AM56:AQ56" si="140">$AK56*T56</f>
        <v>68.512110726643613</v>
      </c>
      <c r="AN56" s="405">
        <f t="shared" si="140"/>
        <v>902.07612456747393</v>
      </c>
      <c r="AO56" s="405">
        <f t="shared" si="140"/>
        <v>428.20069204152247</v>
      </c>
      <c r="AP56" s="405">
        <f t="shared" si="140"/>
        <v>251.21107266435988</v>
      </c>
      <c r="AQ56" s="405">
        <f t="shared" si="140"/>
        <v>0</v>
      </c>
      <c r="AR56" s="406">
        <f t="shared" si="129"/>
        <v>1649.9999999999998</v>
      </c>
      <c r="AS56" s="5"/>
      <c r="AT56" s="406">
        <v>840</v>
      </c>
      <c r="AU56" s="406">
        <v>1049</v>
      </c>
      <c r="AV56" s="406">
        <v>65</v>
      </c>
      <c r="AW56" s="40">
        <f t="shared" si="130"/>
        <v>1954</v>
      </c>
      <c r="AX56" s="418">
        <v>18136.607142857141</v>
      </c>
      <c r="AY56" s="400">
        <f>D56*L56+M56</f>
        <v>4741.1299798205555</v>
      </c>
      <c r="AZ56" s="289">
        <f t="shared" ref="AZ56:AZ61" si="141">AY56/AX56</f>
        <v>0.26141217827987112</v>
      </c>
      <c r="BA56" s="267">
        <f t="shared" ref="BA56:BA61" si="142">AZ56*AW56</f>
        <v>510.79939635886819</v>
      </c>
      <c r="BB56" s="57">
        <f t="shared" si="134"/>
        <v>4.1522491349480974E-2</v>
      </c>
      <c r="BC56" s="57">
        <f t="shared" si="134"/>
        <v>0.54671280276816603</v>
      </c>
      <c r="BD56" s="57">
        <f t="shared" si="134"/>
        <v>0.25951557093425603</v>
      </c>
      <c r="BE56" s="57">
        <f t="shared" si="134"/>
        <v>0.15224913494809689</v>
      </c>
      <c r="BF56" s="57">
        <f t="shared" si="134"/>
        <v>0</v>
      </c>
      <c r="BG56" s="56">
        <f t="shared" si="101"/>
        <v>0.99999999999999989</v>
      </c>
      <c r="BH56" s="14">
        <f t="shared" si="102"/>
        <v>289</v>
      </c>
      <c r="BI56" t="s">
        <v>74</v>
      </c>
      <c r="BL56" s="14">
        <f t="shared" si="135"/>
        <v>21.209663516631206</v>
      </c>
      <c r="BM56" s="14">
        <f t="shared" si="135"/>
        <v>279.26056963564417</v>
      </c>
      <c r="BN56" s="14">
        <f t="shared" si="135"/>
        <v>132.56039697894502</v>
      </c>
      <c r="BO56" s="14">
        <f t="shared" si="135"/>
        <v>77.76876622764776</v>
      </c>
      <c r="BP56" s="14">
        <f t="shared" si="135"/>
        <v>0</v>
      </c>
      <c r="BQ56" s="45">
        <f t="shared" si="110"/>
        <v>510.79939635886814</v>
      </c>
      <c r="BR56" s="436"/>
      <c r="BS56" s="437">
        <f t="shared" si="0"/>
        <v>2012</v>
      </c>
      <c r="BT56" s="438">
        <f t="shared" si="131"/>
        <v>669.04357355123341</v>
      </c>
      <c r="BU56" s="438">
        <f t="shared" si="131"/>
        <v>8809.07371842457</v>
      </c>
      <c r="BV56" s="438">
        <f t="shared" si="131"/>
        <v>4181.522334695208</v>
      </c>
      <c r="BW56" s="438">
        <f t="shared" si="131"/>
        <v>2453.1597696878553</v>
      </c>
      <c r="BX56" s="438">
        <f t="shared" si="116"/>
        <v>0</v>
      </c>
      <c r="BY56" s="438">
        <f t="shared" si="132"/>
        <v>16112.799396358867</v>
      </c>
      <c r="BZ56" s="438">
        <f t="shared" si="40"/>
        <v>15443.755822807634</v>
      </c>
      <c r="CA56" s="356">
        <f t="shared" ref="CA56:CE57" si="143">BT56/$BY56</f>
        <v>4.1522491349480981E-2</v>
      </c>
      <c r="CB56" s="356">
        <f t="shared" si="143"/>
        <v>0.54671280276816603</v>
      </c>
      <c r="CC56" s="356">
        <f t="shared" si="143"/>
        <v>0.25951557093425609</v>
      </c>
      <c r="CD56" s="356">
        <f t="shared" si="143"/>
        <v>0.15224913494809689</v>
      </c>
      <c r="CE56" s="356">
        <f t="shared" si="143"/>
        <v>0</v>
      </c>
      <c r="CF56" s="356">
        <f t="shared" si="111"/>
        <v>0.99999999999999989</v>
      </c>
      <c r="CH56" s="43">
        <v>2012</v>
      </c>
      <c r="CI56" s="260">
        <f t="shared" si="105"/>
        <v>2897.1637568857273</v>
      </c>
      <c r="CJ56" s="260">
        <f>BU60</f>
        <v>11021.083988374694</v>
      </c>
      <c r="CK56" s="260">
        <f>BV61</f>
        <v>9390.5935876749754</v>
      </c>
      <c r="CX56" s="13">
        <v>2012</v>
      </c>
      <c r="CY56" s="40">
        <f t="shared" si="96"/>
        <v>13952</v>
      </c>
      <c r="CZ56" s="421"/>
      <c r="DA56" s="421"/>
      <c r="DB56" s="421"/>
      <c r="DF56" s="1"/>
      <c r="DG56" s="1"/>
      <c r="DH56" s="1"/>
      <c r="DI56" s="1"/>
      <c r="DJ56" s="1"/>
      <c r="DK56" s="1"/>
      <c r="DL56" s="1"/>
      <c r="DM56" s="1"/>
      <c r="DN56" s="1"/>
      <c r="DO56" s="1"/>
    </row>
    <row r="57" spans="1:119" x14ac:dyDescent="0.2">
      <c r="A57" s="5">
        <v>2013</v>
      </c>
      <c r="B57" s="267">
        <v>8686</v>
      </c>
      <c r="C57" s="404" t="s">
        <v>408</v>
      </c>
      <c r="D57" s="7">
        <v>18531</v>
      </c>
      <c r="E57" s="230">
        <v>41432</v>
      </c>
      <c r="F57" s="13">
        <v>0</v>
      </c>
      <c r="H57">
        <v>83</v>
      </c>
      <c r="I57" s="40">
        <v>153</v>
      </c>
      <c r="K57" s="2" t="s">
        <v>599</v>
      </c>
      <c r="L57" s="262"/>
      <c r="M57" s="259"/>
      <c r="N57" s="40">
        <f t="shared" si="106"/>
        <v>18378</v>
      </c>
      <c r="O57" s="430">
        <f t="shared" si="4"/>
        <v>31</v>
      </c>
      <c r="P57" t="s">
        <v>212</v>
      </c>
      <c r="R57" s="2" t="s">
        <v>417</v>
      </c>
      <c r="S57" s="415" t="s">
        <v>605</v>
      </c>
      <c r="T57" s="417">
        <v>3.9210407669101999E-2</v>
      </c>
      <c r="U57" s="417">
        <v>0.21360197273120865</v>
      </c>
      <c r="V57" s="417">
        <v>0.58332106095975189</v>
      </c>
      <c r="W57" s="417">
        <v>0.16386655863993752</v>
      </c>
      <c r="X57" s="38">
        <v>0</v>
      </c>
      <c r="Y57" s="39">
        <f t="shared" si="47"/>
        <v>1</v>
      </c>
      <c r="Z57" s="44">
        <v>250</v>
      </c>
      <c r="AA57" s="5"/>
      <c r="AB57" s="405">
        <f t="shared" si="139"/>
        <v>720.60887214275658</v>
      </c>
      <c r="AC57" s="405">
        <f t="shared" si="139"/>
        <v>3925.5770548541527</v>
      </c>
      <c r="AD57" s="405">
        <f t="shared" si="139"/>
        <v>10720.274458318319</v>
      </c>
      <c r="AE57" s="405">
        <f t="shared" si="139"/>
        <v>3011.5396146847715</v>
      </c>
      <c r="AF57" s="405">
        <f t="shared" si="139"/>
        <v>0</v>
      </c>
      <c r="AG57" s="405">
        <f t="shared" si="107"/>
        <v>18378</v>
      </c>
      <c r="AK57" s="364">
        <v>1087</v>
      </c>
      <c r="AL57" t="s">
        <v>71</v>
      </c>
      <c r="AM57" s="405">
        <f t="shared" ref="AM57" si="144">$AK57*T57</f>
        <v>42.621713136313872</v>
      </c>
      <c r="AN57" s="405">
        <f t="shared" ref="AN57" si="145">$AK57*U57</f>
        <v>232.18534435882381</v>
      </c>
      <c r="AO57" s="405">
        <f t="shared" ref="AO57" si="146">$AK57*V57</f>
        <v>634.06999326325035</v>
      </c>
      <c r="AP57" s="405">
        <f t="shared" ref="AP57" si="147">$AK57*W57</f>
        <v>178.12294924161208</v>
      </c>
      <c r="AQ57" s="405">
        <f t="shared" ref="AQ57" si="148">$AK57*X57</f>
        <v>0</v>
      </c>
      <c r="AR57" s="406">
        <f t="shared" si="129"/>
        <v>1087</v>
      </c>
      <c r="AS57" s="5"/>
      <c r="AT57" s="419">
        <v>813</v>
      </c>
      <c r="AU57" s="406">
        <v>1327</v>
      </c>
      <c r="AV57" s="406">
        <v>124</v>
      </c>
      <c r="AW57" s="40">
        <f t="shared" si="130"/>
        <v>2264</v>
      </c>
      <c r="AX57" s="418">
        <v>34967.724960992506</v>
      </c>
      <c r="AY57" s="86">
        <v>8686</v>
      </c>
      <c r="AZ57" s="289">
        <f t="shared" si="141"/>
        <v>0.24840048958545288</v>
      </c>
      <c r="BA57" s="267">
        <f t="shared" si="142"/>
        <v>562.37870842146538</v>
      </c>
      <c r="BB57" s="57">
        <f t="shared" si="134"/>
        <v>3.9210407669101999E-2</v>
      </c>
      <c r="BC57" s="57">
        <f t="shared" si="134"/>
        <v>0.21360197273120865</v>
      </c>
      <c r="BD57" s="57">
        <f t="shared" si="134"/>
        <v>0.58332106095975189</v>
      </c>
      <c r="BE57" s="57">
        <f t="shared" si="134"/>
        <v>0.16386655863993752</v>
      </c>
      <c r="BF57" s="57">
        <f t="shared" si="134"/>
        <v>0</v>
      </c>
      <c r="BG57" s="56">
        <f t="shared" si="101"/>
        <v>1</v>
      </c>
      <c r="BH57" s="14">
        <f t="shared" si="102"/>
        <v>250</v>
      </c>
      <c r="BI57" t="s">
        <v>74</v>
      </c>
      <c r="BL57" s="14">
        <f t="shared" si="135"/>
        <v>22.051098421628701</v>
      </c>
      <c r="BM57" s="14">
        <f t="shared" si="135"/>
        <v>120.12520154085419</v>
      </c>
      <c r="BN57" s="14">
        <f t="shared" si="135"/>
        <v>328.04734485758416</v>
      </c>
      <c r="BO57" s="14">
        <f t="shared" si="135"/>
        <v>92.155063601398382</v>
      </c>
      <c r="BP57" s="14">
        <f t="shared" si="135"/>
        <v>0</v>
      </c>
      <c r="BQ57" s="45">
        <f t="shared" si="110"/>
        <v>562.37870842146549</v>
      </c>
      <c r="BR57" s="180"/>
      <c r="BS57" s="437">
        <f t="shared" si="0"/>
        <v>2013</v>
      </c>
      <c r="BT57" s="438">
        <f t="shared" si="131"/>
        <v>785.2816837006992</v>
      </c>
      <c r="BU57" s="438">
        <f t="shared" si="131"/>
        <v>4277.8876007538311</v>
      </c>
      <c r="BV57" s="438">
        <f t="shared" si="131"/>
        <v>11682.391796439155</v>
      </c>
      <c r="BW57" s="438">
        <f t="shared" si="131"/>
        <v>3281.817627527782</v>
      </c>
      <c r="BX57" s="438">
        <f t="shared" si="116"/>
        <v>0</v>
      </c>
      <c r="BY57" s="438">
        <f t="shared" si="132"/>
        <v>20027.378708421464</v>
      </c>
      <c r="BZ57" s="438">
        <f t="shared" si="40"/>
        <v>19242.097024720766</v>
      </c>
      <c r="CA57" s="356">
        <f t="shared" si="143"/>
        <v>3.9210407669102006E-2</v>
      </c>
      <c r="CB57" s="356">
        <f t="shared" si="143"/>
        <v>0.21360197273120871</v>
      </c>
      <c r="CC57" s="356">
        <f t="shared" si="143"/>
        <v>0.583321060959752</v>
      </c>
      <c r="CD57" s="356">
        <f t="shared" si="143"/>
        <v>0.16386655863993752</v>
      </c>
      <c r="CE57" s="356">
        <f t="shared" si="143"/>
        <v>0</v>
      </c>
      <c r="CF57" s="356">
        <f>SUM(CA57:CE57)</f>
        <v>1.0000000000000002</v>
      </c>
      <c r="CH57" s="43">
        <v>2013</v>
      </c>
      <c r="CI57" s="260">
        <f>BT60</f>
        <v>4029.1808561538896</v>
      </c>
      <c r="CJ57" s="260">
        <f>BU61</f>
        <v>1705.9746181052706</v>
      </c>
      <c r="CX57" s="13">
        <v>2013</v>
      </c>
      <c r="CY57" s="40">
        <f t="shared" si="96"/>
        <v>18378</v>
      </c>
      <c r="DF57" s="1"/>
      <c r="DG57" s="1"/>
      <c r="DH57" s="1"/>
      <c r="DI57" s="1"/>
      <c r="DJ57" s="1"/>
      <c r="DK57" s="1"/>
      <c r="DL57" s="1"/>
      <c r="DM57" s="1"/>
      <c r="DN57" s="1"/>
      <c r="DO57" s="1"/>
    </row>
    <row r="58" spans="1:119" x14ac:dyDescent="0.2">
      <c r="A58" s="5">
        <v>2014</v>
      </c>
      <c r="B58" s="386"/>
      <c r="C58" s="73" t="s">
        <v>593</v>
      </c>
      <c r="D58" s="7">
        <v>16335</v>
      </c>
      <c r="E58" s="230">
        <v>41774</v>
      </c>
      <c r="F58" s="38">
        <v>2</v>
      </c>
      <c r="G58" s="5"/>
      <c r="H58" s="5">
        <v>257</v>
      </c>
      <c r="I58" s="430">
        <v>236</v>
      </c>
      <c r="J58" s="5"/>
      <c r="K58" s="8" t="s">
        <v>601</v>
      </c>
      <c r="L58" s="402"/>
      <c r="M58" s="431"/>
      <c r="N58" s="40">
        <f t="shared" si="106"/>
        <v>16099</v>
      </c>
      <c r="O58" s="430">
        <f t="shared" si="4"/>
        <v>35</v>
      </c>
      <c r="P58" t="s">
        <v>212</v>
      </c>
      <c r="Q58" s="5"/>
      <c r="R58" s="2" t="s">
        <v>417</v>
      </c>
      <c r="S58" s="415" t="s">
        <v>606</v>
      </c>
      <c r="T58" s="417">
        <v>8.6776859504132234E-2</v>
      </c>
      <c r="U58" s="417">
        <v>0.39669421487603307</v>
      </c>
      <c r="V58" s="417">
        <v>0.39669421487603307</v>
      </c>
      <c r="W58" s="417">
        <v>0.11983471074380166</v>
      </c>
      <c r="X58" s="38">
        <v>0</v>
      </c>
      <c r="Y58" s="39">
        <f t="shared" si="47"/>
        <v>1</v>
      </c>
      <c r="Z58" s="44">
        <v>242</v>
      </c>
      <c r="AA58" s="5"/>
      <c r="AB58" s="405">
        <f t="shared" ref="AB58:AF59" si="149">T58*$N58</f>
        <v>1397.0206611570247</v>
      </c>
      <c r="AC58" s="405">
        <f t="shared" si="149"/>
        <v>6386.3801652892562</v>
      </c>
      <c r="AD58" s="405">
        <f t="shared" si="149"/>
        <v>6386.3801652892562</v>
      </c>
      <c r="AE58" s="405">
        <f t="shared" si="149"/>
        <v>1929.2190082644629</v>
      </c>
      <c r="AF58" s="405">
        <f t="shared" si="149"/>
        <v>0</v>
      </c>
      <c r="AG58" s="405">
        <f t="shared" si="107"/>
        <v>16099</v>
      </c>
      <c r="AH58" s="5"/>
      <c r="AI58" s="5"/>
      <c r="AJ58" s="5"/>
      <c r="AK58" s="364">
        <f>1093+236</f>
        <v>1329</v>
      </c>
      <c r="AL58" t="s">
        <v>71</v>
      </c>
      <c r="AM58" s="405">
        <f t="shared" ref="AM58" si="150">$AK58*T58</f>
        <v>115.32644628099173</v>
      </c>
      <c r="AN58" s="405">
        <f t="shared" ref="AN58" si="151">$AK58*U58</f>
        <v>527.2066115702479</v>
      </c>
      <c r="AO58" s="405">
        <f t="shared" ref="AO58" si="152">$AK58*V58</f>
        <v>527.2066115702479</v>
      </c>
      <c r="AP58" s="405">
        <f t="shared" ref="AP58" si="153">$AK58*W58</f>
        <v>159.2603305785124</v>
      </c>
      <c r="AQ58" s="405">
        <f t="shared" ref="AQ58" si="154">$AK58*X58</f>
        <v>0</v>
      </c>
      <c r="AR58" s="406">
        <f t="shared" si="129"/>
        <v>1329</v>
      </c>
      <c r="AS58" s="5"/>
      <c r="AT58" s="419">
        <v>714</v>
      </c>
      <c r="AU58" s="406">
        <v>1434</v>
      </c>
      <c r="AV58" s="406">
        <v>118</v>
      </c>
      <c r="AW58" s="430">
        <f t="shared" si="130"/>
        <v>2266</v>
      </c>
      <c r="AX58" s="418">
        <v>28813.648966603887</v>
      </c>
      <c r="AY58" s="400">
        <v>6020</v>
      </c>
      <c r="AZ58" s="289">
        <f t="shared" si="141"/>
        <v>0.20892876174681688</v>
      </c>
      <c r="BA58" s="267">
        <f t="shared" si="142"/>
        <v>473.43257411828705</v>
      </c>
      <c r="BB58" s="57">
        <v>0.08</v>
      </c>
      <c r="BC58" s="57">
        <v>0.28000000000000003</v>
      </c>
      <c r="BD58" s="57">
        <v>0.41</v>
      </c>
      <c r="BE58" s="57">
        <v>0.23</v>
      </c>
      <c r="BF58" s="57">
        <v>0</v>
      </c>
      <c r="BG58" s="56">
        <f t="shared" si="101"/>
        <v>1</v>
      </c>
      <c r="BH58" s="432">
        <f t="shared" si="102"/>
        <v>242</v>
      </c>
      <c r="BI58" s="36" t="s">
        <v>74</v>
      </c>
      <c r="BJ58" s="36"/>
      <c r="BK58" s="36"/>
      <c r="BL58" s="14">
        <f t="shared" ref="BL58:BP59" si="155">BB58*$BA58</f>
        <v>37.874605929462966</v>
      </c>
      <c r="BM58" s="14">
        <f t="shared" si="155"/>
        <v>132.56112075312038</v>
      </c>
      <c r="BN58" s="14">
        <f t="shared" si="155"/>
        <v>194.10735538849767</v>
      </c>
      <c r="BO58" s="14">
        <f t="shared" si="155"/>
        <v>108.88949204720602</v>
      </c>
      <c r="BP58" s="14">
        <f t="shared" si="155"/>
        <v>0</v>
      </c>
      <c r="BQ58" s="45">
        <f>SUM(BL58:BP58)</f>
        <v>473.43257411828705</v>
      </c>
      <c r="BS58" s="437">
        <f t="shared" si="0"/>
        <v>2014</v>
      </c>
      <c r="BT58" s="438">
        <f>BL58+AM58+AB58</f>
        <v>1550.2217133674794</v>
      </c>
      <c r="BU58" s="438">
        <f t="shared" si="131"/>
        <v>7046.1478976126245</v>
      </c>
      <c r="BV58" s="438">
        <f t="shared" si="131"/>
        <v>7107.6941322480016</v>
      </c>
      <c r="BW58" s="438">
        <f t="shared" si="131"/>
        <v>2197.3688308901815</v>
      </c>
      <c r="BX58" s="438">
        <f t="shared" si="116"/>
        <v>0</v>
      </c>
      <c r="BY58" s="438">
        <f t="shared" si="132"/>
        <v>17901.432574118287</v>
      </c>
      <c r="BZ58" s="438">
        <f t="shared" si="40"/>
        <v>16351.210860750807</v>
      </c>
      <c r="CA58" s="356">
        <f t="shared" ref="CA58:CE59" si="156">BT58/$BY58</f>
        <v>8.6597634404342289E-2</v>
      </c>
      <c r="CB58" s="356">
        <f t="shared" si="156"/>
        <v>0.39360804608452815</v>
      </c>
      <c r="CC58" s="356">
        <f t="shared" si="156"/>
        <v>0.39704610805976692</v>
      </c>
      <c r="CD58" s="356">
        <f t="shared" si="156"/>
        <v>0.12274821145136258</v>
      </c>
      <c r="CE58" s="356">
        <f t="shared" si="156"/>
        <v>0</v>
      </c>
      <c r="CF58" s="356">
        <f>SUM(CA58:CE58)</f>
        <v>1</v>
      </c>
      <c r="CH58" s="43">
        <v>2014</v>
      </c>
      <c r="CI58" s="260">
        <f>BT61</f>
        <v>1161.6330332532664</v>
      </c>
      <c r="CJ58" s="260"/>
      <c r="CK58" s="5"/>
      <c r="CL58" s="5"/>
      <c r="CM58" s="5"/>
      <c r="CN58" s="5"/>
      <c r="CX58" s="13">
        <v>2014</v>
      </c>
      <c r="CY58" s="40">
        <f t="shared" si="96"/>
        <v>16099</v>
      </c>
      <c r="DF58" s="1"/>
      <c r="DG58" s="1"/>
      <c r="DH58" s="1"/>
      <c r="DI58" s="1"/>
      <c r="DJ58" s="1"/>
      <c r="DK58" s="1"/>
      <c r="DL58" s="1"/>
      <c r="DM58" s="1"/>
      <c r="DN58" s="1"/>
      <c r="DO58" s="1"/>
    </row>
    <row r="59" spans="1:119" x14ac:dyDescent="0.2">
      <c r="A59" s="5">
        <v>2015</v>
      </c>
      <c r="B59" s="386"/>
      <c r="C59" s="404" t="s">
        <v>595</v>
      </c>
      <c r="D59" s="7">
        <v>24316</v>
      </c>
      <c r="E59" s="230">
        <v>42144</v>
      </c>
      <c r="F59" s="38">
        <v>0</v>
      </c>
      <c r="G59" s="5"/>
      <c r="H59" s="5">
        <v>135</v>
      </c>
      <c r="I59" s="430">
        <v>689</v>
      </c>
      <c r="J59" s="5"/>
      <c r="K59" s="1" t="s">
        <v>214</v>
      </c>
      <c r="L59" s="262">
        <f t="shared" ref="L59:M61" si="157">L$18</f>
        <v>0.48684460222878428</v>
      </c>
      <c r="M59" s="259">
        <f t="shared" si="157"/>
        <v>-2121.431533196388</v>
      </c>
      <c r="N59" s="430">
        <f>D59-I59</f>
        <v>23627</v>
      </c>
      <c r="O59" s="430">
        <f t="shared" si="4"/>
        <v>24</v>
      </c>
      <c r="P59" s="73" t="s">
        <v>598</v>
      </c>
      <c r="Q59" s="5"/>
      <c r="R59" s="2" t="s">
        <v>417</v>
      </c>
      <c r="S59" s="415" t="s">
        <v>611</v>
      </c>
      <c r="T59" s="417">
        <v>0.10955979638123101</v>
      </c>
      <c r="U59" s="417">
        <v>0.27126628321931828</v>
      </c>
      <c r="V59" s="417">
        <v>0.49132683374334962</v>
      </c>
      <c r="W59" s="417">
        <v>0.12784708665610128</v>
      </c>
      <c r="X59" s="38">
        <v>0</v>
      </c>
      <c r="Y59" s="39">
        <f>SUM(T59:X59)</f>
        <v>1.0000000000000002</v>
      </c>
      <c r="Z59" s="44">
        <v>336</v>
      </c>
      <c r="AA59" s="5"/>
      <c r="AB59" s="405">
        <f t="shared" si="149"/>
        <v>2588.569309099345</v>
      </c>
      <c r="AC59" s="405">
        <f t="shared" si="149"/>
        <v>6409.2084736228335</v>
      </c>
      <c r="AD59" s="405">
        <f t="shared" si="149"/>
        <v>11608.579100854122</v>
      </c>
      <c r="AE59" s="405">
        <f t="shared" si="149"/>
        <v>3020.6431164237051</v>
      </c>
      <c r="AF59" s="405">
        <f t="shared" si="149"/>
        <v>0</v>
      </c>
      <c r="AG59" s="405">
        <f t="shared" ref="AG59:AG60" si="158">SUM(AB59:AF59)</f>
        <v>23627.000000000004</v>
      </c>
      <c r="AH59" s="5"/>
      <c r="AI59" s="5"/>
      <c r="AJ59" s="5"/>
      <c r="AK59" s="364">
        <v>1927</v>
      </c>
      <c r="AL59" t="s">
        <v>71</v>
      </c>
      <c r="AM59" s="405">
        <f>$AK59*T59</f>
        <v>211.12172762663215</v>
      </c>
      <c r="AN59" s="405">
        <f t="shared" ref="AN59" si="159">$AK59*U59</f>
        <v>522.73012776362634</v>
      </c>
      <c r="AO59" s="405">
        <f t="shared" ref="AO59" si="160">$AK59*V59</f>
        <v>946.78680862343469</v>
      </c>
      <c r="AP59" s="405">
        <f t="shared" ref="AP59" si="161">$AK59*W59</f>
        <v>246.36133598630718</v>
      </c>
      <c r="AQ59" s="405">
        <f t="shared" ref="AQ59" si="162">$AK59*X59</f>
        <v>0</v>
      </c>
      <c r="AR59" s="406">
        <f t="shared" si="129"/>
        <v>1927.0000000000005</v>
      </c>
      <c r="AS59" s="5"/>
      <c r="AT59" s="419">
        <v>929</v>
      </c>
      <c r="AU59" s="406">
        <v>1784</v>
      </c>
      <c r="AV59" s="406">
        <v>79</v>
      </c>
      <c r="AW59" s="430">
        <f>SUM(AT59:AV59)</f>
        <v>2792</v>
      </c>
      <c r="AX59" s="418">
        <v>41748.566545435555</v>
      </c>
      <c r="AY59" s="400">
        <f>D59*L59+M59</f>
        <v>9716.6818145987309</v>
      </c>
      <c r="AZ59" s="289">
        <f t="shared" si="141"/>
        <v>0.23274288481315708</v>
      </c>
      <c r="BA59" s="267">
        <f t="shared" si="142"/>
        <v>649.81813439833456</v>
      </c>
      <c r="BB59" s="57">
        <v>0.15</v>
      </c>
      <c r="BC59" s="57">
        <v>0.43</v>
      </c>
      <c r="BD59" s="57">
        <v>0.32</v>
      </c>
      <c r="BE59" s="57">
        <v>0.1</v>
      </c>
      <c r="BF59" s="57">
        <v>0</v>
      </c>
      <c r="BG59" s="56">
        <f t="shared" ref="BG59:BG61" si="163">SUM(BB59:BF59)</f>
        <v>0.99999999999999989</v>
      </c>
      <c r="BH59" s="474">
        <f t="shared" ref="BH59:BH61" si="164">Z59</f>
        <v>336</v>
      </c>
      <c r="BI59" s="36" t="s">
        <v>449</v>
      </c>
      <c r="BJ59" s="36"/>
      <c r="BK59" s="36"/>
      <c r="BL59" s="14">
        <f t="shared" si="155"/>
        <v>97.472720159750182</v>
      </c>
      <c r="BM59" s="14">
        <f t="shared" si="155"/>
        <v>279.42179779128384</v>
      </c>
      <c r="BN59" s="14">
        <f t="shared" si="155"/>
        <v>207.94180300746706</v>
      </c>
      <c r="BO59" s="14">
        <f t="shared" si="155"/>
        <v>64.981813439833459</v>
      </c>
      <c r="BP59" s="14">
        <f t="shared" si="155"/>
        <v>0</v>
      </c>
      <c r="BQ59" s="45">
        <f>SUM(BL59:BP59)</f>
        <v>649.81813439833456</v>
      </c>
      <c r="BS59" s="437">
        <f t="shared" ref="BS59" si="165">A59</f>
        <v>2015</v>
      </c>
      <c r="BT59" s="438">
        <f>BL59+AM59+AB59</f>
        <v>2897.1637568857273</v>
      </c>
      <c r="BU59" s="438">
        <f t="shared" ref="BU59" si="166">BM59+AN59+AC59</f>
        <v>7211.3603991777436</v>
      </c>
      <c r="BV59" s="438">
        <f t="shared" ref="BV59" si="167">BN59+AO59+AD59</f>
        <v>12763.307712485024</v>
      </c>
      <c r="BW59" s="438">
        <f t="shared" ref="BW59" si="168">BO59+AP59+AE59</f>
        <v>3331.9862658498459</v>
      </c>
      <c r="BX59" s="438">
        <f t="shared" ref="BX59" si="169">BP59+AQ59+AF59</f>
        <v>0</v>
      </c>
      <c r="BY59" s="438">
        <f t="shared" si="132"/>
        <v>26203.818134398341</v>
      </c>
      <c r="BZ59" s="438">
        <f t="shared" si="40"/>
        <v>23306.654377512612</v>
      </c>
      <c r="CA59" s="356">
        <f t="shared" si="156"/>
        <v>0.11056265701533606</v>
      </c>
      <c r="CB59" s="356">
        <f t="shared" si="156"/>
        <v>0.27520265795583537</v>
      </c>
      <c r="CC59" s="356">
        <f t="shared" si="156"/>
        <v>0.48707816727404102</v>
      </c>
      <c r="CD59" s="356">
        <f t="shared" si="156"/>
        <v>0.12715651775478753</v>
      </c>
      <c r="CE59" s="356">
        <f t="shared" si="156"/>
        <v>0</v>
      </c>
      <c r="CF59" s="356">
        <f>SUM(CA59:CE59)</f>
        <v>1</v>
      </c>
      <c r="CH59" s="43">
        <v>2015</v>
      </c>
      <c r="CI59" s="260"/>
      <c r="CJ59" s="260"/>
      <c r="CK59" s="5"/>
      <c r="CL59" s="5"/>
      <c r="CM59" s="5"/>
      <c r="CN59" s="5"/>
      <c r="CX59" s="13">
        <v>2015</v>
      </c>
      <c r="CY59" s="40">
        <f t="shared" si="96"/>
        <v>23627</v>
      </c>
      <c r="DF59" s="1"/>
      <c r="DG59" s="1"/>
      <c r="DH59" s="1"/>
      <c r="DI59" s="1"/>
      <c r="DJ59" s="1"/>
      <c r="DK59" s="1"/>
      <c r="DL59" s="1"/>
      <c r="DM59" s="1"/>
      <c r="DN59" s="1"/>
      <c r="DO59" s="1"/>
    </row>
    <row r="60" spans="1:119" s="5" customFormat="1" x14ac:dyDescent="0.2">
      <c r="A60" s="5">
        <v>2016</v>
      </c>
      <c r="B60" s="386"/>
      <c r="D60" s="7">
        <v>22874</v>
      </c>
      <c r="E60" s="230"/>
      <c r="F60" s="38"/>
      <c r="H60" s="5">
        <v>184</v>
      </c>
      <c r="I60" s="40">
        <v>775</v>
      </c>
      <c r="K60" s="36"/>
      <c r="L60" s="402">
        <f t="shared" si="157"/>
        <v>0.48684460222878428</v>
      </c>
      <c r="M60" s="431">
        <f t="shared" si="157"/>
        <v>-2121.431533196388</v>
      </c>
      <c r="N60" s="40">
        <f>D60-I60</f>
        <v>22099</v>
      </c>
      <c r="O60" s="430">
        <f t="shared" si="4"/>
        <v>27</v>
      </c>
      <c r="P60" s="73" t="s">
        <v>598</v>
      </c>
      <c r="R60" s="2" t="s">
        <v>417</v>
      </c>
      <c r="T60" s="36">
        <v>0.160919540229885</v>
      </c>
      <c r="U60" s="36">
        <v>0.42988505747126399</v>
      </c>
      <c r="V60" s="36">
        <v>0.34022988505747098</v>
      </c>
      <c r="W60" s="36">
        <v>6.8965517241379296E-2</v>
      </c>
      <c r="X60" s="38">
        <v>0</v>
      </c>
      <c r="Y60" s="39">
        <f t="shared" si="47"/>
        <v>0.99999999999999933</v>
      </c>
      <c r="Z60" s="38">
        <v>435</v>
      </c>
      <c r="AB60" s="405">
        <f t="shared" ref="AB60" si="170">T60*$N60</f>
        <v>3556.1609195402284</v>
      </c>
      <c r="AC60" s="405">
        <f t="shared" ref="AC60" si="171">U60*$N60</f>
        <v>9500.0298850574636</v>
      </c>
      <c r="AD60" s="405">
        <f t="shared" ref="AD60" si="172">V60*$N60</f>
        <v>7518.7402298850511</v>
      </c>
      <c r="AE60" s="405">
        <f t="shared" ref="AE60" si="173">W60*$N60</f>
        <v>1524.0689655172409</v>
      </c>
      <c r="AF60" s="405">
        <f t="shared" ref="AF60" si="174">X60*$N60</f>
        <v>0</v>
      </c>
      <c r="AG60" s="405">
        <f t="shared" si="158"/>
        <v>22098.999999999985</v>
      </c>
      <c r="AK60" s="447">
        <v>2890</v>
      </c>
      <c r="AL60" s="5" t="s">
        <v>71</v>
      </c>
      <c r="AM60" s="405">
        <f>$AK60*T60</f>
        <v>465.05747126436768</v>
      </c>
      <c r="AN60" s="405">
        <f t="shared" ref="AN60:AN61" si="175">$AK60*U60</f>
        <v>1242.3678160919528</v>
      </c>
      <c r="AO60" s="405">
        <f t="shared" ref="AO60:AO61" si="176">$AK60*V60</f>
        <v>983.26436781609118</v>
      </c>
      <c r="AP60" s="405">
        <f t="shared" ref="AP60:AP61" si="177">$AK60*W60</f>
        <v>199.31034482758616</v>
      </c>
      <c r="AQ60" s="405">
        <f t="shared" ref="AQ60:AQ61" si="178">$AK60*X60</f>
        <v>0</v>
      </c>
      <c r="AR60" s="406">
        <f t="shared" ref="AR60:AR61" si="179">SUM(AM60:AQ60)</f>
        <v>2889.9999999999977</v>
      </c>
      <c r="AT60" s="406">
        <v>805</v>
      </c>
      <c r="AU60" s="406">
        <v>2200</v>
      </c>
      <c r="AV60" s="406">
        <f>AVERAGE(AV55:AV59)</f>
        <v>92.6</v>
      </c>
      <c r="AW60" s="430">
        <f>SUM(AT60:AV60)</f>
        <v>3097.6</v>
      </c>
      <c r="AX60" s="367">
        <v>35069.271255660016</v>
      </c>
      <c r="AY60" s="86">
        <f>D60*L60+M60</f>
        <v>9014.6518981848239</v>
      </c>
      <c r="AZ60" s="289">
        <f t="shared" si="141"/>
        <v>0.25705272950973856</v>
      </c>
      <c r="BA60" s="386">
        <f t="shared" si="142"/>
        <v>796.24653492936613</v>
      </c>
      <c r="BB60" s="57">
        <v>0.01</v>
      </c>
      <c r="BC60" s="57">
        <v>0.35</v>
      </c>
      <c r="BD60" s="57">
        <v>0.56000000000000005</v>
      </c>
      <c r="BE60" s="57">
        <v>0.08</v>
      </c>
      <c r="BF60" s="57">
        <v>0</v>
      </c>
      <c r="BG60" s="56">
        <f t="shared" si="163"/>
        <v>1</v>
      </c>
      <c r="BH60" s="38">
        <f t="shared" si="164"/>
        <v>435</v>
      </c>
      <c r="BL60" s="40">
        <f t="shared" ref="BL60" si="180">BB60*$BA60</f>
        <v>7.9624653492936615</v>
      </c>
      <c r="BM60" s="40">
        <f t="shared" ref="BM60" si="181">BC60*$BA60</f>
        <v>278.68628722527814</v>
      </c>
      <c r="BN60" s="40">
        <f t="shared" ref="BN60" si="182">BD60*$BA60</f>
        <v>445.89805956044506</v>
      </c>
      <c r="BO60" s="40">
        <f t="shared" ref="BO60" si="183">BE60*$BA60</f>
        <v>63.699722794349292</v>
      </c>
      <c r="BP60" s="40">
        <f t="shared" ref="BP60:BP61" si="184">BF60*$BA60</f>
        <v>0</v>
      </c>
      <c r="BQ60" s="364">
        <f>SUM(BL60:BP60)</f>
        <v>796.24653492936613</v>
      </c>
      <c r="BR60" s="180"/>
      <c r="BS60" s="437">
        <f t="shared" si="0"/>
        <v>2016</v>
      </c>
      <c r="BT60" s="448">
        <f t="shared" ref="BT60" si="185">BL60+AM60+AB60</f>
        <v>4029.1808561538896</v>
      </c>
      <c r="BU60" s="448">
        <f t="shared" ref="BU60" si="186">BM60+AN60+AC60</f>
        <v>11021.083988374694</v>
      </c>
      <c r="BV60" s="448">
        <f t="shared" ref="BV60" si="187">BN60+AO60+AD60</f>
        <v>8947.9026572615876</v>
      </c>
      <c r="BW60" s="448">
        <f t="shared" ref="BW60" si="188">BO60+AP60+AE60</f>
        <v>1787.0790331391763</v>
      </c>
      <c r="BX60" s="448">
        <f t="shared" ref="BX60" si="189">BP60+AQ60+AF60</f>
        <v>0</v>
      </c>
      <c r="BY60" s="448">
        <f t="shared" ref="BY60" si="190">SUM(BT60:BX60)</f>
        <v>25785.246534929349</v>
      </c>
      <c r="BZ60" s="448">
        <f>SUM(BU60:BW60)</f>
        <v>21756.065678775456</v>
      </c>
      <c r="CA60" s="356">
        <f t="shared" ref="CA60" si="191">BT60/$BY60</f>
        <v>0.15625915581981575</v>
      </c>
      <c r="CB60" s="356">
        <f t="shared" ref="CB60" si="192">BU60/$BY60</f>
        <v>0.42741821271498237</v>
      </c>
      <c r="CC60" s="356">
        <f t="shared" ref="CC60" si="193">BV60/$BY60</f>
        <v>0.3470163701999332</v>
      </c>
      <c r="CD60" s="356">
        <f t="shared" ref="CD60" si="194">BW60/$BY60</f>
        <v>6.9306261265268634E-2</v>
      </c>
      <c r="CE60" s="356">
        <f t="shared" ref="CE60" si="195">BX60/$BY60</f>
        <v>0</v>
      </c>
      <c r="CF60" s="356">
        <f>SUM(CA60:CE60)</f>
        <v>1</v>
      </c>
      <c r="CH60" s="43">
        <v>2016</v>
      </c>
      <c r="CI60" s="40"/>
      <c r="CJ60" s="40"/>
      <c r="CX60" s="38">
        <v>2016</v>
      </c>
      <c r="CY60" s="40">
        <f t="shared" si="96"/>
        <v>22099</v>
      </c>
      <c r="DF60" s="36"/>
      <c r="DG60" s="36"/>
      <c r="DH60" s="36"/>
      <c r="DI60" s="36"/>
      <c r="DJ60" s="36"/>
      <c r="DK60" s="36"/>
      <c r="DL60" s="36"/>
      <c r="DM60" s="36"/>
      <c r="DN60" s="36"/>
      <c r="DO60" s="36"/>
    </row>
    <row r="61" spans="1:119" s="449" customFormat="1" x14ac:dyDescent="0.2">
      <c r="A61" s="449">
        <v>2017</v>
      </c>
      <c r="B61" s="450"/>
      <c r="D61" s="451">
        <v>11383</v>
      </c>
      <c r="E61" s="452"/>
      <c r="F61" s="453"/>
      <c r="H61" s="449">
        <v>125</v>
      </c>
      <c r="I61" s="454"/>
      <c r="K61" s="455"/>
      <c r="L61" s="456">
        <f t="shared" si="157"/>
        <v>0.48684460222878428</v>
      </c>
      <c r="M61" s="457">
        <f t="shared" si="157"/>
        <v>-2121.431533196388</v>
      </c>
      <c r="N61" s="454">
        <f>D61-H61</f>
        <v>11258</v>
      </c>
      <c r="O61" s="430">
        <f t="shared" si="4"/>
        <v>41</v>
      </c>
      <c r="P61" s="475" t="s">
        <v>598</v>
      </c>
      <c r="R61" s="459"/>
      <c r="T61" s="455">
        <v>8.7866108786610872E-2</v>
      </c>
      <c r="U61" s="455">
        <v>0.11715481171548117</v>
      </c>
      <c r="V61" s="455">
        <v>0.70292887029288698</v>
      </c>
      <c r="W61" s="455">
        <v>9.2050209205020925E-2</v>
      </c>
      <c r="X61" s="453">
        <v>0</v>
      </c>
      <c r="Y61" s="460">
        <f t="shared" si="47"/>
        <v>0.99999999999999989</v>
      </c>
      <c r="Z61" s="453">
        <v>239</v>
      </c>
      <c r="AB61" s="461">
        <f t="shared" ref="AB61" si="196">T61*$N61</f>
        <v>989.19665271966517</v>
      </c>
      <c r="AC61" s="461">
        <f t="shared" ref="AC61" si="197">U61*$N61</f>
        <v>1318.928870292887</v>
      </c>
      <c r="AD61" s="461">
        <f t="shared" ref="AD61" si="198">V61*$N61</f>
        <v>7913.5732217573213</v>
      </c>
      <c r="AE61" s="461">
        <f t="shared" ref="AE61" si="199">W61*$N61</f>
        <v>1036.3012552301257</v>
      </c>
      <c r="AF61" s="461">
        <f t="shared" ref="AF61" si="200">X61*$N61</f>
        <v>0</v>
      </c>
      <c r="AG61" s="461">
        <f t="shared" ref="AG61" si="201">SUM(AB61:AF61)</f>
        <v>11258</v>
      </c>
      <c r="AK61" s="462">
        <v>1500</v>
      </c>
      <c r="AL61" s="449" t="s">
        <v>71</v>
      </c>
      <c r="AM61" s="461">
        <f>$AK61*T61</f>
        <v>131.79916317991632</v>
      </c>
      <c r="AN61" s="461">
        <f t="shared" si="175"/>
        <v>175.73221757322176</v>
      </c>
      <c r="AO61" s="461">
        <f t="shared" si="176"/>
        <v>1054.3933054393306</v>
      </c>
      <c r="AP61" s="461">
        <f t="shared" si="177"/>
        <v>138.07531380753139</v>
      </c>
      <c r="AQ61" s="461">
        <f t="shared" si="178"/>
        <v>0</v>
      </c>
      <c r="AR61" s="463">
        <f t="shared" si="179"/>
        <v>1500</v>
      </c>
      <c r="AT61" s="463">
        <f>AVERAGE(AT56:AT60)</f>
        <v>820.2</v>
      </c>
      <c r="AU61" s="463">
        <v>1927</v>
      </c>
      <c r="AV61" s="463">
        <v>95</v>
      </c>
      <c r="AW61" s="458">
        <f>SUM(AT61:AV61)</f>
        <v>2842.2</v>
      </c>
      <c r="AX61" s="464">
        <v>11961</v>
      </c>
      <c r="AY61" s="465">
        <f>D61*L61+M61</f>
        <v>3420.3205739738632</v>
      </c>
      <c r="AZ61" s="466">
        <f t="shared" si="141"/>
        <v>0.2859560717309475</v>
      </c>
      <c r="BA61" s="450">
        <f t="shared" si="142"/>
        <v>812.74434707369892</v>
      </c>
      <c r="BB61" s="467">
        <v>0.05</v>
      </c>
      <c r="BC61" s="467">
        <v>0.26</v>
      </c>
      <c r="BD61" s="467">
        <v>0.52</v>
      </c>
      <c r="BE61" s="467">
        <v>0.17</v>
      </c>
      <c r="BF61" s="467">
        <v>0</v>
      </c>
      <c r="BG61" s="468">
        <f t="shared" si="163"/>
        <v>1</v>
      </c>
      <c r="BH61" s="453">
        <f t="shared" si="164"/>
        <v>239</v>
      </c>
      <c r="BL61" s="454">
        <f t="shared" ref="BL61" si="202">BB61*$BA61</f>
        <v>40.637217353684946</v>
      </c>
      <c r="BM61" s="454">
        <f t="shared" ref="BM61" si="203">BC61*$BA61</f>
        <v>211.31353023916174</v>
      </c>
      <c r="BN61" s="454">
        <f t="shared" ref="BN61" si="204">BD61*$BA61</f>
        <v>422.62706047832347</v>
      </c>
      <c r="BO61" s="454">
        <f t="shared" ref="BO61" si="205">BE61*$BA61</f>
        <v>138.16653900252882</v>
      </c>
      <c r="BP61" s="454">
        <f t="shared" si="184"/>
        <v>0</v>
      </c>
      <c r="BQ61" s="469">
        <f>SUM(BL61:BP61)</f>
        <v>812.74434707369892</v>
      </c>
      <c r="BR61" s="470" t="s">
        <v>597</v>
      </c>
      <c r="BS61" s="470">
        <v>2017</v>
      </c>
      <c r="BT61" s="471">
        <f t="shared" ref="BT61" si="206">BL61+AM61+AB61</f>
        <v>1161.6330332532664</v>
      </c>
      <c r="BU61" s="471">
        <f t="shared" ref="BU61" si="207">BM61+AN61+AC61</f>
        <v>1705.9746181052706</v>
      </c>
      <c r="BV61" s="471">
        <f t="shared" ref="BV61" si="208">BN61+AO61+AD61</f>
        <v>9390.5935876749754</v>
      </c>
      <c r="BW61" s="471">
        <f t="shared" ref="BW61" si="209">BO61+AP61+AE61</f>
        <v>1312.5431080401859</v>
      </c>
      <c r="BX61" s="471">
        <f t="shared" ref="BX61" si="210">BP61+AQ61+AF61</f>
        <v>0</v>
      </c>
      <c r="BY61" s="471">
        <f t="shared" ref="BY61" si="211">SUM(BT61:BX61)</f>
        <v>13570.744347073698</v>
      </c>
      <c r="BZ61" s="471">
        <f>SUM(BU61:BW61)</f>
        <v>12409.111313820431</v>
      </c>
      <c r="CA61" s="472">
        <f t="shared" ref="CA61" si="212">BT61/$BY61</f>
        <v>8.5598328547376465E-2</v>
      </c>
      <c r="CB61" s="472">
        <f t="shared" ref="CB61" si="213">BU61/$BY61</f>
        <v>0.12570973076160963</v>
      </c>
      <c r="CC61" s="472">
        <f t="shared" ref="CC61" si="214">BV61/$BY61</f>
        <v>0.69197336177804414</v>
      </c>
      <c r="CD61" s="472">
        <f t="shared" ref="CD61" si="215">BW61/$BY61</f>
        <v>9.6718578912969769E-2</v>
      </c>
      <c r="CE61" s="472">
        <f t="shared" ref="CE61" si="216">BX61/$BY61</f>
        <v>0</v>
      </c>
      <c r="CF61" s="472">
        <f>SUM(CA61:CE61)</f>
        <v>1</v>
      </c>
      <c r="CH61" s="473">
        <v>2017</v>
      </c>
      <c r="CI61" s="454"/>
      <c r="CJ61" s="454"/>
      <c r="CX61" s="453">
        <v>2017</v>
      </c>
      <c r="CY61" s="454">
        <f t="shared" si="96"/>
        <v>11258</v>
      </c>
      <c r="DF61" s="455"/>
      <c r="DG61" s="455"/>
      <c r="DH61" s="455"/>
      <c r="DI61" s="455"/>
      <c r="DJ61" s="455"/>
      <c r="DK61" s="455"/>
      <c r="DL61" s="455"/>
      <c r="DM61" s="455"/>
      <c r="DN61" s="455"/>
      <c r="DO61" s="455"/>
    </row>
    <row r="62" spans="1:119" x14ac:dyDescent="0.2">
      <c r="A62" s="5"/>
      <c r="B62" s="267"/>
      <c r="D62" s="267"/>
      <c r="E62" s="230"/>
      <c r="F62" s="13"/>
      <c r="H62" s="14"/>
      <c r="I62" s="14"/>
      <c r="J62" s="409"/>
      <c r="N62" s="40"/>
      <c r="O62" s="40"/>
      <c r="S62" s="5"/>
      <c r="T62" s="39"/>
      <c r="U62" s="39"/>
      <c r="V62" s="442"/>
      <c r="W62" s="39"/>
      <c r="X62" s="38"/>
      <c r="Y62" s="39"/>
      <c r="AB62" s="40"/>
      <c r="AC62" s="40"/>
      <c r="AD62" s="40"/>
      <c r="AF62" s="40"/>
      <c r="AI62" s="403"/>
      <c r="AK62" s="364"/>
      <c r="AL62" s="391"/>
      <c r="AR62" s="33"/>
      <c r="AT62" s="367"/>
      <c r="AU62" s="367"/>
      <c r="AV62" s="367"/>
      <c r="AW62" s="367"/>
      <c r="AX62" s="367"/>
      <c r="AZ62" s="411"/>
      <c r="BA62" s="128"/>
      <c r="BB62" s="1"/>
      <c r="BC62" s="1"/>
      <c r="BD62" s="1"/>
      <c r="BQ62" s="41"/>
      <c r="BR62" s="15"/>
      <c r="BS62" s="180"/>
      <c r="BT62" s="381"/>
      <c r="BU62" s="381"/>
      <c r="BV62" s="381"/>
      <c r="BW62" s="381"/>
      <c r="BX62" s="439"/>
      <c r="BY62" s="381"/>
      <c r="BZ62" s="1"/>
      <c r="CH62" s="43"/>
      <c r="CX62" s="13"/>
      <c r="DF62" s="1"/>
      <c r="DG62" s="1"/>
      <c r="DH62" s="1"/>
      <c r="DI62" s="1"/>
      <c r="DJ62" s="1"/>
      <c r="DK62" s="1"/>
      <c r="DL62" s="1"/>
      <c r="DM62" s="1"/>
      <c r="DN62" s="1"/>
      <c r="DO62" s="1"/>
    </row>
    <row r="63" spans="1:119" x14ac:dyDescent="0.2">
      <c r="D63" s="7"/>
      <c r="E63" s="230"/>
      <c r="F63" s="13"/>
      <c r="I63" s="40"/>
      <c r="K63" s="3"/>
      <c r="L63" s="3"/>
      <c r="M63" s="3"/>
      <c r="O63" s="41"/>
      <c r="P63" s="410"/>
      <c r="AE63" s="269"/>
      <c r="AJ63" s="443"/>
      <c r="AK63" s="41"/>
      <c r="AM63" s="11"/>
      <c r="AN63" s="11"/>
      <c r="AO63" s="11"/>
      <c r="AP63" s="11"/>
      <c r="AQ63" s="11"/>
      <c r="AR63" s="11"/>
      <c r="AS63" s="11"/>
      <c r="AT63" s="41"/>
      <c r="AU63" s="41"/>
      <c r="AV63" s="412"/>
      <c r="AW63" s="41"/>
      <c r="AX63" s="412"/>
      <c r="AZ63" s="239"/>
      <c r="BA63" s="14"/>
      <c r="BB63" s="412"/>
      <c r="BQ63" s="41"/>
      <c r="BT63" s="13"/>
      <c r="BU63" s="13"/>
      <c r="BV63" s="13"/>
      <c r="BW63" s="13"/>
      <c r="BX63" s="13"/>
      <c r="CA63" s="41"/>
      <c r="CH63" s="43"/>
      <c r="CX63" s="13"/>
      <c r="DF63" s="1"/>
      <c r="DG63" s="1"/>
      <c r="DH63" s="1"/>
      <c r="DI63" s="1"/>
      <c r="DJ63" s="1"/>
      <c r="DK63" s="1"/>
      <c r="DL63" s="1"/>
      <c r="DM63" s="1"/>
      <c r="DN63" s="1"/>
      <c r="DO63" s="1"/>
    </row>
    <row r="64" spans="1:119" x14ac:dyDescent="0.2">
      <c r="D64" s="7"/>
      <c r="E64" s="410"/>
      <c r="N64" s="41"/>
      <c r="O64" s="41"/>
      <c r="P64" s="410"/>
      <c r="AH64" s="33"/>
      <c r="AK64" s="41"/>
      <c r="AM64" s="39"/>
      <c r="AN64" s="39"/>
      <c r="AO64" s="39"/>
      <c r="AP64" s="39"/>
      <c r="AQ64" s="23"/>
      <c r="AR64" s="39"/>
      <c r="AT64" s="215"/>
      <c r="AU64" s="41"/>
      <c r="AV64" s="33"/>
      <c r="AY64" s="33"/>
      <c r="BA64" s="45"/>
      <c r="BB64" s="410"/>
      <c r="BC64" s="1"/>
      <c r="BD64" s="417"/>
      <c r="BU64" s="41"/>
      <c r="CP64" s="359"/>
      <c r="CQ64" s="11"/>
      <c r="CR64" s="11"/>
      <c r="CS64" s="11"/>
      <c r="CT64" s="11"/>
      <c r="CU64" s="11"/>
      <c r="CV64" s="11"/>
      <c r="DF64" s="1"/>
      <c r="DG64" s="1"/>
      <c r="DH64" s="1"/>
      <c r="DI64" s="1"/>
      <c r="DJ64" s="1"/>
      <c r="DK64" s="1"/>
      <c r="DL64" s="1"/>
      <c r="DM64" s="1"/>
      <c r="DN64" s="1"/>
      <c r="DO64" s="1"/>
    </row>
    <row r="65" spans="1:119" x14ac:dyDescent="0.2">
      <c r="B65" s="41">
        <f>AVERAGE(B18:B23,B26:B32,B34:B47)</f>
        <v>14965</v>
      </c>
      <c r="C65" s="33" t="s">
        <v>9</v>
      </c>
      <c r="N65" s="41">
        <f>MEDIAN(N18:N59)</f>
        <v>28811.5</v>
      </c>
      <c r="O65" s="41"/>
      <c r="P65" t="s">
        <v>527</v>
      </c>
      <c r="AH65" t="s">
        <v>25</v>
      </c>
      <c r="AU65" s="41">
        <f>AVERAGE(AU30:AU36)</f>
        <v>10678.714285714286</v>
      </c>
      <c r="AV65" s="33" t="s">
        <v>221</v>
      </c>
      <c r="BA65" s="45">
        <f>AVERAGE(BA37:BA58)</f>
        <v>707.3265590036973</v>
      </c>
      <c r="BB65" s="410" t="s">
        <v>615</v>
      </c>
      <c r="BD65" s="417"/>
      <c r="BO65" s="344"/>
      <c r="BQ65" s="344"/>
      <c r="BR65" s="258" t="s">
        <v>202</v>
      </c>
      <c r="BS65" s="261" t="s">
        <v>24</v>
      </c>
      <c r="BT65" s="41">
        <f>AVERAGE(BT23:BT58)</f>
        <v>311.65977428358269</v>
      </c>
      <c r="BU65" s="41">
        <f>AVERAGE(BU23:BU58)</f>
        <v>7311.1594484174066</v>
      </c>
      <c r="BV65" s="41">
        <f>AVERAGE(BV23:BV58)</f>
        <v>16880.902297001612</v>
      </c>
      <c r="BW65" s="41">
        <f>AVERAGE(BW23:BW58)</f>
        <v>9813.7339191814044</v>
      </c>
      <c r="BX65" s="41">
        <f>AVERAGE(BX23:BX55)</f>
        <v>68.550124899349171</v>
      </c>
      <c r="BY65" s="41">
        <f>AVERAGE(BY23:BY58)</f>
        <v>34380.29305337507</v>
      </c>
      <c r="BZ65" s="41"/>
      <c r="CA65" s="81">
        <f>AVERAGE(CA22:CA58)</f>
        <v>1.1594106673001477E-2</v>
      </c>
      <c r="CB65" s="81">
        <f>AVERAGE(CB22:CB58)</f>
        <v>0.2371721515589432</v>
      </c>
      <c r="CC65" s="81">
        <f>AVERAGE(CC22:CC58)</f>
        <v>0.47540566989085892</v>
      </c>
      <c r="CD65" s="81">
        <f>AVERAGE(CD22:CD58)</f>
        <v>0.27389682897293999</v>
      </c>
      <c r="CE65" s="81">
        <f>AVERAGE(CE22:CE58)</f>
        <v>1.9312429042564769E-3</v>
      </c>
      <c r="CG65" s="335" t="s">
        <v>303</v>
      </c>
      <c r="CH65" t="s">
        <v>24</v>
      </c>
      <c r="CI65" s="41">
        <f t="shared" ref="CI65:CN65" si="217">AVERAGE(CI23:CI47)</f>
        <v>299.85382406232958</v>
      </c>
      <c r="CJ65" s="41">
        <f t="shared" si="217"/>
        <v>8224.321998158015</v>
      </c>
      <c r="CK65" s="41">
        <f t="shared" si="217"/>
        <v>17411.223950151532</v>
      </c>
      <c r="CL65" s="41">
        <f t="shared" si="217"/>
        <v>9797.8364749112225</v>
      </c>
      <c r="CM65" s="41">
        <f t="shared" si="217"/>
        <v>89.508429480362253</v>
      </c>
      <c r="CN65" s="41">
        <f t="shared" si="217"/>
        <v>35822.744676763454</v>
      </c>
      <c r="CP65" t="s">
        <v>24</v>
      </c>
      <c r="CQ65" s="47">
        <f t="shared" ref="CQ65:CV65" si="218">AVERAGE(CQ23:CQ47)</f>
        <v>1.2625771257830971E-2</v>
      </c>
      <c r="CR65" s="47">
        <f t="shared" si="218"/>
        <v>0.23779639339592315</v>
      </c>
      <c r="CS65" s="47">
        <f t="shared" si="218"/>
        <v>0.4771359510142712</v>
      </c>
      <c r="CT65" s="47">
        <f t="shared" si="218"/>
        <v>0.27010497523763211</v>
      </c>
      <c r="CU65" s="413">
        <f t="shared" si="218"/>
        <v>2.3369090943425601E-3</v>
      </c>
      <c r="CV65" s="47">
        <f t="shared" si="218"/>
        <v>1</v>
      </c>
      <c r="DF65" s="1"/>
      <c r="DG65" s="1"/>
      <c r="DH65" s="1"/>
      <c r="DI65" s="1"/>
      <c r="DJ65" s="1"/>
      <c r="DK65" s="1"/>
      <c r="DL65" s="1"/>
      <c r="DM65" s="1"/>
      <c r="DN65" s="1"/>
      <c r="DO65" s="1"/>
    </row>
    <row r="66" spans="1:119" x14ac:dyDescent="0.2">
      <c r="C66" t="s">
        <v>264</v>
      </c>
      <c r="N66" s="41">
        <f>MIN(N18:N59)</f>
        <v>7284</v>
      </c>
      <c r="O66" s="41"/>
      <c r="P66" t="s">
        <v>552</v>
      </c>
      <c r="AU66" s="41">
        <f>AVERAGE(AU37:AU55)</f>
        <v>2643.9473684210525</v>
      </c>
      <c r="AV66" s="410" t="s">
        <v>590</v>
      </c>
      <c r="BA66" s="45">
        <f>AVERAGE(BA53:BA58)</f>
        <v>597.2306643295243</v>
      </c>
      <c r="BB66" s="33" t="s">
        <v>613</v>
      </c>
      <c r="BD66" s="36"/>
      <c r="BO66" s="390"/>
      <c r="BQ66" s="344"/>
      <c r="BR66" s="408" t="s">
        <v>609</v>
      </c>
      <c r="BS66" s="233" t="s">
        <v>527</v>
      </c>
      <c r="BT66" s="41">
        <f t="shared" ref="BT66:BY66" si="219">MEDIAN(BT23:BT58)</f>
        <v>13.160001837443541</v>
      </c>
      <c r="BU66" s="41">
        <f t="shared" si="219"/>
        <v>7077.3925424934623</v>
      </c>
      <c r="BV66" s="41">
        <f t="shared" si="219"/>
        <v>15691.339859083531</v>
      </c>
      <c r="BW66" s="41">
        <f t="shared" si="219"/>
        <v>8481.1623805546806</v>
      </c>
      <c r="BX66" s="41">
        <f t="shared" si="219"/>
        <v>0</v>
      </c>
      <c r="BY66" s="41">
        <f t="shared" si="219"/>
        <v>33707.793039465731</v>
      </c>
      <c r="CA66" s="81">
        <f>MEDIAN(CA22:CA58)</f>
        <v>5.2182162595800874E-4</v>
      </c>
      <c r="CB66" s="81">
        <f>MEDIAN(CB22:CB58)</f>
        <v>0.20904608446635892</v>
      </c>
      <c r="CC66" s="81">
        <f>MEDIAN(CC22:CC58)</f>
        <v>0.46036268557835058</v>
      </c>
      <c r="CD66" s="81">
        <f>MEDIAN(CD22:CD58)</f>
        <v>0.28079589044657377</v>
      </c>
      <c r="CE66" s="81">
        <f>MEDIAN(CE22:CE58)</f>
        <v>0</v>
      </c>
      <c r="CG66" s="335" t="s">
        <v>303</v>
      </c>
      <c r="CH66" t="s">
        <v>527</v>
      </c>
      <c r="CI66" s="41">
        <f t="shared" ref="CI66:CN66" si="220">MEDIAN(CI23:CI47)</f>
        <v>14.991663519195342</v>
      </c>
      <c r="CJ66" s="41">
        <f t="shared" si="220"/>
        <v>7746.659710414855</v>
      </c>
      <c r="CK66" s="41">
        <f t="shared" si="220"/>
        <v>17092.354956883402</v>
      </c>
      <c r="CL66" s="41">
        <f t="shared" si="220"/>
        <v>8452.9820339873313</v>
      </c>
      <c r="CM66" s="41">
        <f t="shared" si="220"/>
        <v>1.147653819448645</v>
      </c>
      <c r="CN66" s="41">
        <f t="shared" si="220"/>
        <v>35177.25963070451</v>
      </c>
      <c r="CO66" s="41"/>
      <c r="CP66" t="s">
        <v>527</v>
      </c>
      <c r="CQ66" s="47">
        <f t="shared" ref="CQ66:CV66" si="221">MEDIAN(CQ23:CQ47)</f>
        <v>4.6188190688675019E-4</v>
      </c>
      <c r="CR66" s="47">
        <f t="shared" si="221"/>
        <v>0.24291624851497512</v>
      </c>
      <c r="CS66" s="47">
        <f t="shared" si="221"/>
        <v>0.50117466132252564</v>
      </c>
      <c r="CT66" s="47">
        <f t="shared" si="221"/>
        <v>0.25190346279072834</v>
      </c>
      <c r="CU66" s="413">
        <f t="shared" si="221"/>
        <v>3.2624878444110358E-5</v>
      </c>
      <c r="CV66" s="47">
        <f t="shared" si="221"/>
        <v>1</v>
      </c>
      <c r="DF66" s="1"/>
      <c r="DG66" s="1"/>
      <c r="DH66" s="1"/>
      <c r="DI66" s="1"/>
      <c r="DJ66" s="1"/>
      <c r="DK66" s="1"/>
      <c r="DL66" s="1"/>
      <c r="DM66" s="1"/>
      <c r="DN66" s="1"/>
      <c r="DO66" s="1"/>
    </row>
    <row r="67" spans="1:119" x14ac:dyDescent="0.2">
      <c r="N67" s="41">
        <f>MAX(N18:N59)</f>
        <v>85783.90587469301</v>
      </c>
      <c r="O67" s="41"/>
      <c r="P67" t="s">
        <v>553</v>
      </c>
      <c r="R67" t="s">
        <v>85</v>
      </c>
      <c r="T67" s="434">
        <f>AVERAGE(T39:T59)</f>
        <v>1.8283884094145376E-2</v>
      </c>
      <c r="U67" s="21">
        <f>AVERAGE(U39:U59)</f>
        <v>0.29100572538993713</v>
      </c>
      <c r="V67" s="21">
        <f>AVERAGE(V39:V59)</f>
        <v>0.50886790873429</v>
      </c>
      <c r="W67" s="21">
        <f>AVERAGE(W39:W59)</f>
        <v>0.18035518859619987</v>
      </c>
      <c r="X67" s="21">
        <f>AVERAGE(X39:X59)</f>
        <v>9.5879982086878623E-4</v>
      </c>
      <c r="Y67" s="21">
        <f>SUM(T67:X67)</f>
        <v>0.99947150663544104</v>
      </c>
      <c r="AI67" s="403" t="s">
        <v>607</v>
      </c>
      <c r="AJ67" s="404" t="s">
        <v>596</v>
      </c>
      <c r="AK67" s="41">
        <f>AVERAGE(AK52:AK57)</f>
        <v>2002.6666666666667</v>
      </c>
      <c r="AL67" s="41"/>
      <c r="AU67" s="41">
        <f>AVERAGE(AU49:AU55)</f>
        <v>3060.2857142857142</v>
      </c>
      <c r="AV67" s="410" t="s">
        <v>591</v>
      </c>
      <c r="AZ67" t="s">
        <v>480</v>
      </c>
      <c r="BD67" s="36"/>
      <c r="BR67" s="370"/>
      <c r="BS67" s="233" t="s">
        <v>552</v>
      </c>
      <c r="BT67" s="41">
        <f t="shared" ref="BT67:BY67" si="222">MIN(BT23:BT58)</f>
        <v>0</v>
      </c>
      <c r="BU67" s="41">
        <f t="shared" si="222"/>
        <v>1512.7131009261634</v>
      </c>
      <c r="BV67" s="41">
        <f t="shared" si="222"/>
        <v>3064.62856295341</v>
      </c>
      <c r="BW67" s="41">
        <f t="shared" si="222"/>
        <v>1153.8472837686768</v>
      </c>
      <c r="BX67" s="41">
        <f t="shared" si="222"/>
        <v>0</v>
      </c>
      <c r="BY67" s="41">
        <f t="shared" si="222"/>
        <v>9659.7260595540447</v>
      </c>
      <c r="CA67" s="81">
        <f>MIN(CA22:CA58)</f>
        <v>0</v>
      </c>
      <c r="CB67" s="81">
        <f>MIN(CB22:CB58)</f>
        <v>6.9999999999999993E-2</v>
      </c>
      <c r="CC67" s="81">
        <f>MIN(CC22:CC58)</f>
        <v>0.24090000000000003</v>
      </c>
      <c r="CD67" s="81">
        <f>MIN(CD22:CD58)</f>
        <v>6.8965517241379296E-2</v>
      </c>
      <c r="CE67" s="81">
        <f>MIN(CE22:CE58)</f>
        <v>0</v>
      </c>
      <c r="CG67" s="335" t="s">
        <v>303</v>
      </c>
      <c r="CH67" t="s">
        <v>552</v>
      </c>
      <c r="CI67" s="41">
        <f t="shared" ref="CI67:CN67" si="223">MIN(CI23:CI47)</f>
        <v>0</v>
      </c>
      <c r="CJ67" s="41">
        <f t="shared" si="223"/>
        <v>1730.4936380593278</v>
      </c>
      <c r="CK67" s="41">
        <f t="shared" si="223"/>
        <v>3098.7645462437235</v>
      </c>
      <c r="CL67" s="41">
        <f t="shared" si="223"/>
        <v>1153.8472837686768</v>
      </c>
      <c r="CM67" s="41">
        <f t="shared" si="223"/>
        <v>0</v>
      </c>
      <c r="CN67" s="41">
        <f t="shared" si="223"/>
        <v>6846.1434121709262</v>
      </c>
      <c r="CO67" s="41"/>
      <c r="CP67" t="s">
        <v>552</v>
      </c>
      <c r="CQ67" s="47">
        <f t="shared" ref="CQ67:CV67" si="224">MIN(CQ23:CQ47)</f>
        <v>0</v>
      </c>
      <c r="CR67" s="47">
        <f t="shared" si="224"/>
        <v>0.1609060253770471</v>
      </c>
      <c r="CS67" s="47">
        <f t="shared" si="224"/>
        <v>0.2493757275327638</v>
      </c>
      <c r="CT67" s="47">
        <f t="shared" si="224"/>
        <v>7.9067886576362365E-2</v>
      </c>
      <c r="CU67" s="413">
        <f t="shared" si="224"/>
        <v>0</v>
      </c>
      <c r="CV67" s="47">
        <f t="shared" si="224"/>
        <v>0.99999999999999989</v>
      </c>
      <c r="DF67" s="1"/>
      <c r="DG67" s="1"/>
      <c r="DH67" s="1"/>
      <c r="DI67" s="1"/>
      <c r="DJ67" s="1"/>
      <c r="DK67" s="1"/>
      <c r="DL67" s="1"/>
      <c r="DM67" s="1"/>
      <c r="DN67" s="1"/>
      <c r="DO67" s="1"/>
    </row>
    <row r="68" spans="1:119" x14ac:dyDescent="0.2">
      <c r="B68" s="41">
        <f>MIN(B18:B48)</f>
        <v>2665</v>
      </c>
      <c r="C68" t="s">
        <v>552</v>
      </c>
      <c r="N68" s="41">
        <f>AVERAGE(N18:N23,N26:N32,N34:N59)</f>
        <v>30781.444052900028</v>
      </c>
      <c r="O68" s="41"/>
      <c r="P68" t="s">
        <v>208</v>
      </c>
      <c r="R68" t="s">
        <v>216</v>
      </c>
      <c r="T68" s="21">
        <f>AVERAGE(T23:T33,T35:T38,AM64)</f>
        <v>9.0666666666666673E-3</v>
      </c>
      <c r="U68" s="21">
        <f>AVERAGE(U23:U33,U35:U38,AN64)</f>
        <v>0.16726666666666665</v>
      </c>
      <c r="V68" s="21">
        <f>AVERAGE(V23:V33,V35:V38,AO64)</f>
        <v>0.43266666666666664</v>
      </c>
      <c r="W68" s="21">
        <f>AVERAGE(W23:W33,W35:W38,AP64)</f>
        <v>0.38700000000000007</v>
      </c>
      <c r="X68" s="21">
        <f>AVERAGE(X23:X33,X35:X38,AQ64)</f>
        <v>2.8E-3</v>
      </c>
      <c r="Z68" s="21"/>
      <c r="AQ68" s="11">
        <v>2009</v>
      </c>
      <c r="AR68" s="11"/>
      <c r="AZ68" s="410" t="s">
        <v>589</v>
      </c>
      <c r="BR68" s="371"/>
      <c r="BS68" s="236" t="s">
        <v>553</v>
      </c>
      <c r="BT68" s="41">
        <f>MAX(BT23:BT55)</f>
        <v>3041.0043261762562</v>
      </c>
      <c r="BU68" s="41">
        <f>MAX(BU23:BU55)</f>
        <v>19192.455588049419</v>
      </c>
      <c r="BV68" s="41">
        <f>MAX(BV23:BV55)</f>
        <v>44248.733767346203</v>
      </c>
      <c r="BW68" s="41">
        <f>MAX(BW23:BW55)</f>
        <v>31446.764835646642</v>
      </c>
      <c r="BX68" s="41">
        <f>MAX(BX23:BX55)</f>
        <v>1016.7732471517627</v>
      </c>
      <c r="BY68" s="41">
        <f>MAX(BY23:BY58)</f>
        <v>67043.536011130607</v>
      </c>
      <c r="BZ68" s="41"/>
      <c r="CA68" s="81">
        <f>MAX(CA22:CA58)</f>
        <v>0.10699122504432836</v>
      </c>
      <c r="CB68" s="81">
        <f>MAX(CB22:CB58)</f>
        <v>0.66839999999999999</v>
      </c>
      <c r="CC68" s="81">
        <f>MAX(CC22:CC58)</f>
        <v>0.78536396552594645</v>
      </c>
      <c r="CD68" s="81">
        <f>MAX(CD22:CD58)</f>
        <v>0.59747270620017812</v>
      </c>
      <c r="CE68" s="81">
        <f>MAX(CE22:CE58)</f>
        <v>1.9318180001749431E-2</v>
      </c>
      <c r="CF68" s="41"/>
      <c r="CG68" s="335" t="s">
        <v>303</v>
      </c>
      <c r="CH68" t="s">
        <v>553</v>
      </c>
      <c r="CI68" s="41">
        <f t="shared" ref="CI68:CN68" si="225">MAX(CI23:CI47)</f>
        <v>3041.0043261762562</v>
      </c>
      <c r="CJ68" s="41">
        <f t="shared" si="225"/>
        <v>19192.455588049419</v>
      </c>
      <c r="CK68" s="41">
        <f t="shared" si="225"/>
        <v>44248.733767346203</v>
      </c>
      <c r="CL68" s="41">
        <f t="shared" si="225"/>
        <v>31446.764835646642</v>
      </c>
      <c r="CM68" s="41">
        <f t="shared" si="225"/>
        <v>1016.7732471517627</v>
      </c>
      <c r="CN68" s="41">
        <f t="shared" si="225"/>
        <v>75424.532250373843</v>
      </c>
      <c r="CO68" s="41"/>
      <c r="CP68" t="s">
        <v>553</v>
      </c>
      <c r="CQ68" s="47">
        <f t="shared" ref="CQ68:CV68" si="226">MAX(CQ23:CQ47)</f>
        <v>0.19465457744415554</v>
      </c>
      <c r="CR68" s="47">
        <f t="shared" si="226"/>
        <v>0.36254832684718452</v>
      </c>
      <c r="CS68" s="47">
        <f t="shared" si="226"/>
        <v>0.66136795053590669</v>
      </c>
      <c r="CT68" s="47">
        <f t="shared" si="226"/>
        <v>0.5678006496527902</v>
      </c>
      <c r="CU68" s="413">
        <f t="shared" si="226"/>
        <v>2.2623735331651806E-2</v>
      </c>
      <c r="CV68" s="47">
        <f t="shared" si="226"/>
        <v>1.0000000000000002</v>
      </c>
      <c r="CX68" t="s">
        <v>304</v>
      </c>
      <c r="CZ68" s="41">
        <f>AVERAGE(CZ18:CZ45)</f>
        <v>38350.50375207558</v>
      </c>
      <c r="DA68" s="47">
        <f>AVERAGE(DA18:DA45)</f>
        <v>1.4995106479290397</v>
      </c>
      <c r="DF68" s="1"/>
      <c r="DG68" s="1"/>
      <c r="DH68" s="1"/>
      <c r="DI68" s="1"/>
      <c r="DJ68" s="1"/>
      <c r="DK68" s="1"/>
      <c r="DL68" s="1"/>
      <c r="DM68" s="1"/>
      <c r="DN68" s="1"/>
      <c r="DO68" s="1"/>
    </row>
    <row r="69" spans="1:119" x14ac:dyDescent="0.2">
      <c r="B69" s="41">
        <f>MAX(B18:B47)</f>
        <v>39642</v>
      </c>
      <c r="C69" t="s">
        <v>553</v>
      </c>
      <c r="N69" s="41"/>
      <c r="O69" s="41"/>
      <c r="P69" t="s">
        <v>89</v>
      </c>
      <c r="T69" s="21"/>
      <c r="U69" s="21"/>
      <c r="V69" s="21"/>
      <c r="W69" s="21"/>
      <c r="X69" s="21"/>
      <c r="Z69" s="21"/>
      <c r="AQ69" t="s">
        <v>477</v>
      </c>
      <c r="AR69">
        <v>81</v>
      </c>
      <c r="BU69" s="41"/>
      <c r="BV69" s="41"/>
      <c r="BW69" s="41"/>
      <c r="BX69" s="41"/>
      <c r="BY69" s="41"/>
      <c r="BZ69" s="41"/>
      <c r="CA69" s="81"/>
      <c r="CB69" s="81"/>
      <c r="CC69" s="81"/>
      <c r="CD69" s="81"/>
      <c r="CE69" s="81"/>
      <c r="CF69" s="41"/>
      <c r="CN69" s="41"/>
      <c r="CO69" s="41"/>
      <c r="CP69" s="164" t="s">
        <v>284</v>
      </c>
      <c r="CQ69" s="164"/>
      <c r="CR69" s="164"/>
      <c r="CS69" s="164"/>
      <c r="CT69" s="164"/>
      <c r="CU69" s="164"/>
      <c r="CV69" s="41"/>
      <c r="CX69" s="404" t="s">
        <v>608</v>
      </c>
      <c r="CZ69" s="41">
        <f>AVERAGE(CZ39:CZ51)</f>
        <v>31767.693725447789</v>
      </c>
      <c r="DA69" s="47">
        <f>AVERAGE(DA39:DA51)</f>
        <v>1.3716526215383218</v>
      </c>
      <c r="DF69" s="1"/>
      <c r="DG69" s="1"/>
      <c r="DH69" s="1"/>
      <c r="DI69" s="1"/>
      <c r="DJ69" s="1"/>
      <c r="DK69" s="1"/>
      <c r="DL69" s="1"/>
      <c r="DM69" s="1"/>
      <c r="DN69" s="1"/>
      <c r="DO69" s="1"/>
    </row>
    <row r="70" spans="1:119" x14ac:dyDescent="0.2">
      <c r="B70" s="407">
        <f>B69/B68</f>
        <v>14.875046904315196</v>
      </c>
      <c r="C70" t="s">
        <v>302</v>
      </c>
      <c r="N70" s="368">
        <f>N67/N66</f>
        <v>11.777032657151704</v>
      </c>
      <c r="O70" s="41"/>
      <c r="P70" t="s">
        <v>302</v>
      </c>
      <c r="T70" s="21"/>
      <c r="U70" s="21"/>
      <c r="V70" s="21"/>
      <c r="W70" s="21"/>
      <c r="X70" s="21"/>
      <c r="Z70" s="21"/>
      <c r="AQ70" t="s">
        <v>478</v>
      </c>
      <c r="AR70">
        <v>486</v>
      </c>
      <c r="AU70" s="87">
        <f>AU67/AU66</f>
        <v>1.1574684696213511</v>
      </c>
      <c r="AV70" s="410" t="s">
        <v>592</v>
      </c>
      <c r="BR70" s="369" t="s">
        <v>267</v>
      </c>
      <c r="BS70" s="261" t="s">
        <v>24</v>
      </c>
      <c r="BT70" s="41">
        <f t="shared" ref="BT70:BY70" si="227">AVERAGE(BT23:BT38)</f>
        <v>286.5506253178674</v>
      </c>
      <c r="BU70" s="41">
        <f t="shared" si="227"/>
        <v>6834.5348226251235</v>
      </c>
      <c r="BV70" s="41">
        <f t="shared" si="227"/>
        <v>17901.329797943654</v>
      </c>
      <c r="BW70" s="41">
        <f t="shared" si="227"/>
        <v>15722.825205959143</v>
      </c>
      <c r="BX70" s="41">
        <f t="shared" si="227"/>
        <v>119.05684892688539</v>
      </c>
      <c r="BY70" s="41">
        <f t="shared" si="227"/>
        <v>40864.297300772661</v>
      </c>
      <c r="BZ70" s="41"/>
      <c r="CF70" s="41"/>
      <c r="CG70" s="41" t="s">
        <v>284</v>
      </c>
      <c r="CH70" t="s">
        <v>24</v>
      </c>
      <c r="CI70" s="41">
        <f>AVERAGE(CI36:CI47)</f>
        <v>242.62796637269673</v>
      </c>
      <c r="CJ70" s="41">
        <f>AVERAGE(CJ35:CJ47)</f>
        <v>8692.3867604758725</v>
      </c>
      <c r="CK70" s="41">
        <f>AVERAGE(CK34:CK47)</f>
        <v>18942.017390305376</v>
      </c>
      <c r="CL70" s="41">
        <f>AVERAGE(CL33:CL47)</f>
        <v>6020.4327880148612</v>
      </c>
      <c r="CM70" s="41">
        <f>AVERAGE(CM32:CM47)</f>
        <v>22.327783678022293</v>
      </c>
      <c r="CN70" s="41">
        <f>AVERAGE(CN36:CN47)</f>
        <v>37277.985054785189</v>
      </c>
      <c r="CO70" s="41"/>
      <c r="CP70" t="s">
        <v>24</v>
      </c>
      <c r="CQ70" s="47">
        <f>AVERAGE(CQ36:CQ47)</f>
        <v>5.8264246682460273E-3</v>
      </c>
      <c r="CR70" s="47">
        <f>AVERAGE(CR35:CR47)</f>
        <v>0.25029127018763031</v>
      </c>
      <c r="CS70" s="47">
        <f>AVERAGE(CS34:CS47)</f>
        <v>0.53899110440979181</v>
      </c>
      <c r="CT70" s="47">
        <f>AVERAGE(CT33:CT47)</f>
        <v>0.20520767569267223</v>
      </c>
      <c r="CU70" s="413">
        <f>AVERAGE(CU32:CU47)</f>
        <v>1.0786365247118295E-3</v>
      </c>
      <c r="CV70" s="47">
        <f>AVERAGE(CV36:CV47)</f>
        <v>1</v>
      </c>
      <c r="DA70" s="47"/>
      <c r="DF70" s="1"/>
      <c r="DG70" s="1"/>
      <c r="DH70" s="1"/>
      <c r="DI70" s="1"/>
      <c r="DJ70" s="1"/>
      <c r="DK70" s="1"/>
      <c r="DL70" s="1"/>
      <c r="DM70" s="1"/>
      <c r="DN70" s="1"/>
      <c r="DO70" s="1"/>
    </row>
    <row r="71" spans="1:119" x14ac:dyDescent="0.2">
      <c r="N71" s="41"/>
      <c r="O71" s="41"/>
      <c r="T71" s="21"/>
      <c r="U71" s="21"/>
      <c r="V71" s="21"/>
      <c r="W71" s="21"/>
      <c r="X71" s="21"/>
      <c r="Z71" s="21"/>
      <c r="AQ71" t="s">
        <v>479</v>
      </c>
      <c r="AR71">
        <v>741</v>
      </c>
      <c r="BR71" s="408" t="s">
        <v>588</v>
      </c>
      <c r="BS71" s="233" t="s">
        <v>527</v>
      </c>
      <c r="BT71" s="41">
        <f t="shared" ref="BT71:BY71" si="228">MEDIAN(BT23:BT38)</f>
        <v>1.5810548870168351</v>
      </c>
      <c r="BU71" s="41">
        <f t="shared" si="228"/>
        <v>6131.7042999973655</v>
      </c>
      <c r="BV71" s="41">
        <f t="shared" si="228"/>
        <v>19796.607688992961</v>
      </c>
      <c r="BW71" s="41">
        <f t="shared" si="228"/>
        <v>15941.833810336029</v>
      </c>
      <c r="BX71" s="41">
        <f t="shared" si="228"/>
        <v>12.207994982492867</v>
      </c>
      <c r="BY71" s="41">
        <f t="shared" si="228"/>
        <v>44041.842018140283</v>
      </c>
      <c r="BZ71" s="41"/>
      <c r="CF71" s="41"/>
      <c r="CH71" t="s">
        <v>527</v>
      </c>
      <c r="CI71" s="41">
        <f>MEDIAN(CI36:CI47)</f>
        <v>94.264406309838591</v>
      </c>
      <c r="CJ71" s="41">
        <f>MEDIAN(CJ35:CJ47)</f>
        <v>8745.7133584309759</v>
      </c>
      <c r="CK71" s="41">
        <f>MEDIAN(CK34:CK47)</f>
        <v>17970.872236238341</v>
      </c>
      <c r="CL71" s="41">
        <f>MEDIAN(CL33:CL47)</f>
        <v>5290.0263156526171</v>
      </c>
      <c r="CM71" s="41">
        <f>MEDIAN(CM32:CM47)</f>
        <v>0</v>
      </c>
      <c r="CN71" s="41">
        <f>MEDIAN(CN36:CN47)</f>
        <v>36643.184635669953</v>
      </c>
      <c r="CO71" s="41"/>
      <c r="CP71" t="s">
        <v>527</v>
      </c>
      <c r="CQ71" s="47">
        <f>MEDIAN(CQ36:CQ47)</f>
        <v>2.6427956292236973E-3</v>
      </c>
      <c r="CR71" s="47">
        <f>MEDIAN(CR35:CR47)</f>
        <v>0.25158783597411011</v>
      </c>
      <c r="CS71" s="47">
        <f>MEDIAN(CS34:CS47)</f>
        <v>0.54541630401538177</v>
      </c>
      <c r="CT71" s="47">
        <f>MEDIAN(CT33:CT47)</f>
        <v>0.19629372789304023</v>
      </c>
      <c r="CU71" s="413">
        <f>MEDIAN(CU32:CU47)</f>
        <v>0</v>
      </c>
      <c r="CV71" s="47">
        <f>MEDIAN(CV36:CV47)</f>
        <v>1</v>
      </c>
      <c r="DA71" s="47" t="s">
        <v>396</v>
      </c>
      <c r="DF71" s="1"/>
      <c r="DG71" s="1"/>
      <c r="DH71" s="1"/>
      <c r="DI71" s="1"/>
      <c r="DJ71" s="1"/>
      <c r="DK71" s="1"/>
      <c r="DL71" s="1"/>
      <c r="DM71" s="1"/>
      <c r="DN71" s="1"/>
      <c r="DO71" s="1"/>
    </row>
    <row r="72" spans="1:119" s="1" customFormat="1" x14ac:dyDescent="0.2">
      <c r="I72" s="9">
        <f>AVERAGE(I43:I56)</f>
        <v>789.42857142857144</v>
      </c>
      <c r="J72" s="215" t="s">
        <v>600</v>
      </c>
      <c r="N72" s="128">
        <f>AVERAGE(N$39:N$41,N$43:N$59)</f>
        <v>24358</v>
      </c>
      <c r="O72" s="128"/>
      <c r="P72" s="411" t="s">
        <v>612</v>
      </c>
      <c r="T72" s="22"/>
      <c r="U72" s="22"/>
      <c r="V72" s="22"/>
      <c r="W72" s="22"/>
      <c r="X72" s="22"/>
      <c r="Z72" s="22"/>
      <c r="AR72" s="1">
        <f>SUM(AR69:AR71)</f>
        <v>1308</v>
      </c>
      <c r="BR72" s="232"/>
      <c r="BS72" s="233" t="s">
        <v>552</v>
      </c>
      <c r="BT72" s="128">
        <f t="shared" ref="BT72:BY72" si="229">MIN(BT23:BT38)</f>
        <v>0</v>
      </c>
      <c r="BU72" s="128">
        <f t="shared" si="229"/>
        <v>1730.4936380593278</v>
      </c>
      <c r="BV72" s="128">
        <f t="shared" si="229"/>
        <v>4583.8690687893459</v>
      </c>
      <c r="BW72" s="128">
        <f t="shared" si="229"/>
        <v>4305.4615651202876</v>
      </c>
      <c r="BX72" s="128">
        <f t="shared" si="229"/>
        <v>0</v>
      </c>
      <c r="BY72" s="128">
        <f t="shared" si="229"/>
        <v>10724.345034765525</v>
      </c>
      <c r="BZ72" s="128"/>
      <c r="CF72" s="128"/>
      <c r="CH72" t="s">
        <v>552</v>
      </c>
      <c r="CI72" s="128">
        <f>MIN(CI36:CI47)</f>
        <v>0</v>
      </c>
      <c r="CJ72" s="128">
        <f>MIN(CJ35:CJ47)</f>
        <v>2175.3906308760697</v>
      </c>
      <c r="CK72" s="128">
        <f>MIN(CK34:CK47)</f>
        <v>3098.7645462437235</v>
      </c>
      <c r="CL72" s="128">
        <f>MIN(CL33:CL47)</f>
        <v>1153.8472837686768</v>
      </c>
      <c r="CM72" s="128">
        <f>MIN(CM32:CM47)</f>
        <v>0</v>
      </c>
      <c r="CN72" s="128">
        <f>MIN(CN36:CN44)</f>
        <v>25497.456739664787</v>
      </c>
      <c r="CO72" s="128"/>
      <c r="CP72" t="s">
        <v>552</v>
      </c>
      <c r="CQ72" s="265">
        <f>MIN(CQ36:CQ47)</f>
        <v>0</v>
      </c>
      <c r="CR72" s="265">
        <f>MIN(CR35:CR47)</f>
        <v>0.17145043701992874</v>
      </c>
      <c r="CS72" s="265">
        <f>MIN(CS34:CS47)</f>
        <v>0.35118123654768679</v>
      </c>
      <c r="CT72" s="265">
        <f>MIN(CT33:CT47)</f>
        <v>7.9067886576362365E-2</v>
      </c>
      <c r="CU72" s="414">
        <f>MIN(CU32:CU47)</f>
        <v>0</v>
      </c>
      <c r="CV72" s="265">
        <f>MIN(CV36:CV44)</f>
        <v>0.99999999999999989</v>
      </c>
      <c r="DA72" s="265"/>
    </row>
    <row r="73" spans="1:119" s="1" customFormat="1" x14ac:dyDescent="0.2">
      <c r="N73" s="128"/>
      <c r="O73" s="128"/>
      <c r="T73" s="22"/>
      <c r="U73" s="22"/>
      <c r="V73" s="22"/>
      <c r="W73" s="22"/>
      <c r="X73" s="22"/>
      <c r="Z73" s="22"/>
      <c r="BR73" s="235"/>
      <c r="BS73" s="236" t="s">
        <v>553</v>
      </c>
      <c r="BT73" s="128">
        <f t="shared" ref="BT73:BY73" si="230">MAX(BT23:BT38)</f>
        <v>3041.0043261762562</v>
      </c>
      <c r="BU73" s="128">
        <f t="shared" si="230"/>
        <v>19192.455588049419</v>
      </c>
      <c r="BV73" s="128">
        <f t="shared" si="230"/>
        <v>38601.723907352149</v>
      </c>
      <c r="BW73" s="128">
        <f t="shared" si="230"/>
        <v>31446.764835646642</v>
      </c>
      <c r="BX73" s="128">
        <f t="shared" si="230"/>
        <v>1016.7732471517627</v>
      </c>
      <c r="BY73" s="128">
        <f t="shared" si="230"/>
        <v>64336.206512253586</v>
      </c>
      <c r="BZ73" s="128"/>
      <c r="CF73" s="128"/>
      <c r="CH73" t="s">
        <v>553</v>
      </c>
      <c r="CI73" s="128">
        <f>MAX(CI36:CI47)</f>
        <v>670.43536011130607</v>
      </c>
      <c r="CJ73" s="128">
        <f>MAX(CJ35:CJ44)</f>
        <v>16832.450323757814</v>
      </c>
      <c r="CK73" s="128">
        <f>MAX(CK34:CK44)</f>
        <v>44248.733767346203</v>
      </c>
      <c r="CL73" s="128">
        <f>MAX(CL33:CL44)</f>
        <v>10444.361381326702</v>
      </c>
      <c r="CM73" s="128">
        <f>MAX(CM32:CM44)</f>
        <v>167.08999671531134</v>
      </c>
      <c r="CN73" s="128">
        <f>MAX(CN36:CN44)</f>
        <v>66904.865485984672</v>
      </c>
      <c r="CO73" s="128"/>
      <c r="CP73" t="s">
        <v>553</v>
      </c>
      <c r="CQ73" s="265">
        <f>MAX(CQ36:CQ47)</f>
        <v>1.766186987295857E-2</v>
      </c>
      <c r="CR73" s="265">
        <f>MAX(CR35:CR44)</f>
        <v>0.36254832684718452</v>
      </c>
      <c r="CS73" s="265">
        <f>MAX(CS34:CS44)</f>
        <v>0.66136795053590669</v>
      </c>
      <c r="CT73" s="265">
        <f>MAX(CT33:CT44)</f>
        <v>0.38529438701623592</v>
      </c>
      <c r="CU73" s="414">
        <f>MAX(CU32:CU44)</f>
        <v>8.0757495331985445E-3</v>
      </c>
      <c r="CV73" s="265">
        <f>MAX(CV36:CV44)</f>
        <v>1.0000000000000002</v>
      </c>
      <c r="CZ73" s="17" t="s">
        <v>398</v>
      </c>
      <c r="DA73" s="271" t="s">
        <v>397</v>
      </c>
      <c r="DB73" s="17" t="s">
        <v>292</v>
      </c>
    </row>
    <row r="74" spans="1:119" s="1" customFormat="1" ht="18" x14ac:dyDescent="0.25">
      <c r="N74" s="128"/>
      <c r="O74" s="128"/>
      <c r="T74" s="22"/>
      <c r="U74" s="22"/>
      <c r="V74" s="22"/>
      <c r="W74" s="22"/>
      <c r="X74" s="22"/>
      <c r="Z74" s="22"/>
      <c r="BT74" s="264"/>
      <c r="BU74" s="128"/>
      <c r="BV74" s="128"/>
      <c r="BW74" s="128"/>
      <c r="BX74" s="128"/>
      <c r="BY74" s="128"/>
      <c r="BZ74" s="128"/>
      <c r="CA74" s="264"/>
      <c r="CB74" s="177"/>
      <c r="CC74" s="177"/>
      <c r="CD74" s="177"/>
      <c r="CE74" s="177"/>
      <c r="CF74" s="128"/>
      <c r="CI74" s="264"/>
      <c r="CN74" s="128"/>
      <c r="CO74" s="128"/>
      <c r="CP74" s="128"/>
      <c r="CQ74" s="128"/>
      <c r="CR74" s="128"/>
      <c r="CS74" s="128"/>
      <c r="CT74" s="128"/>
      <c r="CU74" s="128"/>
      <c r="CV74" s="128"/>
      <c r="CY74" s="264"/>
      <c r="CZ74" s="265">
        <f>SUM(DA$74:DA74)</f>
        <v>0.05</v>
      </c>
      <c r="DA74" s="265">
        <f>COUNT(DB74:DB74)/DB$95</f>
        <v>0.05</v>
      </c>
      <c r="DB74" s="88">
        <v>6174.8473880473466</v>
      </c>
    </row>
    <row r="75" spans="1:119" s="1" customFormat="1" ht="18" x14ac:dyDescent="0.25">
      <c r="N75" s="128"/>
      <c r="O75" s="128"/>
      <c r="R75" s="264"/>
      <c r="S75" s="42"/>
      <c r="T75" s="42"/>
      <c r="U75" s="42"/>
      <c r="V75" s="42"/>
      <c r="W75" s="42"/>
      <c r="Y75" s="42"/>
      <c r="Z75" s="42"/>
      <c r="AA75" s="42"/>
      <c r="AB75" s="264"/>
      <c r="AI75" s="264"/>
      <c r="AN75" s="264"/>
      <c r="AV75" s="264"/>
      <c r="BB75" s="264"/>
      <c r="BM75" s="264"/>
      <c r="BR75" s="433" t="s">
        <v>284</v>
      </c>
      <c r="BS75" s="374" t="s">
        <v>24</v>
      </c>
      <c r="BT75" s="375">
        <f t="shared" ref="BT75:BY75" si="231">AVERAGE(BT39:BT58)</f>
        <v>331.74709345615503</v>
      </c>
      <c r="BU75" s="375">
        <f t="shared" si="231"/>
        <v>7692.4591490512321</v>
      </c>
      <c r="BV75" s="375">
        <f t="shared" si="231"/>
        <v>16064.560296247975</v>
      </c>
      <c r="BW75" s="375">
        <f t="shared" si="231"/>
        <v>5086.4608897592097</v>
      </c>
      <c r="BX75" s="375">
        <f t="shared" si="231"/>
        <v>17.862226942417834</v>
      </c>
      <c r="BY75" s="375">
        <f t="shared" si="231"/>
        <v>29193.089655456995</v>
      </c>
      <c r="BZ75" s="128"/>
      <c r="CA75" s="81">
        <f>AVERAGE(CA39:CA58)</f>
        <v>1.3755090700446716E-2</v>
      </c>
      <c r="CB75" s="81">
        <f>AVERAGE(CB39:CB58)</f>
        <v>0.29270191320135097</v>
      </c>
      <c r="CC75" s="81">
        <f>AVERAGE(CC39:CC58)</f>
        <v>0.50915036155898385</v>
      </c>
      <c r="CD75" s="81">
        <f>AVERAGE(CD39:CD58)</f>
        <v>0.1833468249193928</v>
      </c>
      <c r="CE75" s="81">
        <f>AVERAGE(CE39:CE58)</f>
        <v>1.0458096198257634E-3</v>
      </c>
      <c r="CF75" s="128"/>
      <c r="CN75" s="128"/>
      <c r="CO75" s="128"/>
      <c r="CP75" s="128"/>
      <c r="CQ75" s="128"/>
      <c r="CR75" s="128"/>
      <c r="CS75" s="128"/>
      <c r="CT75" s="128"/>
      <c r="CU75" s="128"/>
      <c r="CV75" s="128"/>
      <c r="CZ75" s="265">
        <f>SUM(DA$74:DA75)</f>
        <v>0.1</v>
      </c>
      <c r="DA75" s="265">
        <f t="shared" ref="DA75:DA93" si="232">COUNT(DB75:DB75)/DB$95</f>
        <v>0.05</v>
      </c>
      <c r="DB75" s="88">
        <v>12516.125030273333</v>
      </c>
    </row>
    <row r="76" spans="1:119" s="1" customFormat="1" x14ac:dyDescent="0.2">
      <c r="N76" s="128"/>
      <c r="O76" s="128"/>
      <c r="R76" s="42"/>
      <c r="S76" s="42"/>
      <c r="T76" s="266"/>
      <c r="U76" s="42"/>
      <c r="V76" s="42"/>
      <c r="W76" s="42"/>
      <c r="X76" s="42"/>
      <c r="Y76" s="42"/>
      <c r="Z76" s="42"/>
      <c r="AA76" s="42"/>
      <c r="AB76" s="42"/>
      <c r="AC76" s="15"/>
      <c r="AI76" s="15"/>
      <c r="AN76" s="15"/>
      <c r="BR76" s="408" t="s">
        <v>610</v>
      </c>
      <c r="BS76" s="233" t="s">
        <v>527</v>
      </c>
      <c r="BT76" s="128">
        <f t="shared" ref="BT76:BY76" si="233">MEDIAN(BT39:BT58)</f>
        <v>154.36763723593802</v>
      </c>
      <c r="BU76" s="128">
        <f t="shared" si="233"/>
        <v>7637.5965717661657</v>
      </c>
      <c r="BV76" s="128">
        <f t="shared" si="233"/>
        <v>15592.757700452739</v>
      </c>
      <c r="BW76" s="128">
        <f t="shared" si="233"/>
        <v>4622.1781778671102</v>
      </c>
      <c r="BX76" s="128">
        <f t="shared" si="233"/>
        <v>0</v>
      </c>
      <c r="BY76" s="128">
        <f t="shared" si="233"/>
        <v>28735.706375036982</v>
      </c>
      <c r="CA76" s="81">
        <f>MEDIAN(CA39:CA58)</f>
        <v>9.4642857142857133E-3</v>
      </c>
      <c r="CB76" s="81">
        <f>MEDIAN(CB39:CB58)</f>
        <v>0.2656380086149765</v>
      </c>
      <c r="CC76" s="81">
        <f>MEDIAN(CC39:CC58)</f>
        <v>0.51946681335727996</v>
      </c>
      <c r="CD76" s="81">
        <f>MEDIAN(CD39:CD58)</f>
        <v>0.15470654238779671</v>
      </c>
      <c r="CE76" s="81">
        <f>MEDIAN(CE39:CE58)</f>
        <v>0</v>
      </c>
      <c r="CZ76" s="265">
        <f>SUM(DA$74:DA76)</f>
        <v>0.15000000000000002</v>
      </c>
      <c r="DA76" s="265">
        <f t="shared" si="232"/>
        <v>0.05</v>
      </c>
      <c r="DB76" s="88">
        <v>15843.577126772643</v>
      </c>
    </row>
    <row r="77" spans="1:119" s="1" customFormat="1" x14ac:dyDescent="0.2">
      <c r="R77" s="42"/>
      <c r="S77" s="42"/>
      <c r="T77" s="42"/>
      <c r="U77" s="42"/>
      <c r="V77" s="42"/>
      <c r="W77" s="42"/>
      <c r="X77" s="42"/>
      <c r="Y77" s="42"/>
      <c r="Z77" s="42"/>
      <c r="AA77" s="42"/>
      <c r="AB77" s="42"/>
      <c r="BR77" s="232"/>
      <c r="BS77" s="233" t="s">
        <v>552</v>
      </c>
      <c r="BT77" s="128">
        <f t="shared" ref="BT77:BY77" si="234">MIN(BT39:BT58)</f>
        <v>0</v>
      </c>
      <c r="BU77" s="128">
        <f t="shared" si="234"/>
        <v>1512.7131009261634</v>
      </c>
      <c r="BV77" s="128">
        <f t="shared" si="234"/>
        <v>3064.62856295341</v>
      </c>
      <c r="BW77" s="128">
        <f t="shared" si="234"/>
        <v>1153.8472837686768</v>
      </c>
      <c r="BX77" s="128">
        <f t="shared" si="234"/>
        <v>0</v>
      </c>
      <c r="BY77" s="128">
        <f t="shared" si="234"/>
        <v>9659.7260595540447</v>
      </c>
      <c r="CA77" s="81">
        <f>MIN(CA39:CA58)</f>
        <v>0</v>
      </c>
      <c r="CB77" s="81">
        <f>MIN(CB39:CB58)</f>
        <v>9.0517241379310359E-2</v>
      </c>
      <c r="CC77" s="81">
        <f>MIN(CC39:CC58)</f>
        <v>0.24090000000000003</v>
      </c>
      <c r="CD77" s="81">
        <f>MIN(CD39:CD58)</f>
        <v>6.8965517241379296E-2</v>
      </c>
      <c r="CE77" s="81">
        <f>MIN(CE39:CE58)</f>
        <v>0</v>
      </c>
      <c r="CZ77" s="265">
        <f>SUM(DA$74:DA77)</f>
        <v>0.2</v>
      </c>
      <c r="DA77" s="265">
        <f t="shared" si="232"/>
        <v>0.05</v>
      </c>
      <c r="DB77" s="88">
        <v>16297.612737818887</v>
      </c>
    </row>
    <row r="78" spans="1:119" s="1" customFormat="1" x14ac:dyDescent="0.2">
      <c r="R78" s="42"/>
      <c r="S78" s="42"/>
      <c r="T78" s="109"/>
      <c r="U78" s="42"/>
      <c r="V78" s="42"/>
      <c r="W78" s="42"/>
      <c r="X78" s="42"/>
      <c r="Y78" s="42"/>
      <c r="Z78" s="42"/>
      <c r="AA78" s="42"/>
      <c r="AB78" s="42"/>
      <c r="BR78" s="235"/>
      <c r="BS78" s="236" t="s">
        <v>553</v>
      </c>
      <c r="BT78" s="128">
        <f t="shared" ref="BT78:BY78" si="235">MAX(BT39:BT58)</f>
        <v>1550.2217133674794</v>
      </c>
      <c r="BU78" s="128">
        <f t="shared" si="235"/>
        <v>16832.450323757814</v>
      </c>
      <c r="BV78" s="128">
        <f t="shared" si="235"/>
        <v>44248.733767346203</v>
      </c>
      <c r="BW78" s="128">
        <f t="shared" si="235"/>
        <v>10444.361381326702</v>
      </c>
      <c r="BX78" s="128">
        <f t="shared" si="235"/>
        <v>167.08999671531134</v>
      </c>
      <c r="BY78" s="128">
        <f t="shared" si="235"/>
        <v>67043.536011130607</v>
      </c>
      <c r="CA78" s="81">
        <f>MAX(CA39:CA58)</f>
        <v>8.6597634404342289E-2</v>
      </c>
      <c r="CB78" s="81">
        <f>MAX(CB39:CB58)</f>
        <v>0.66839999999999999</v>
      </c>
      <c r="CC78" s="81">
        <f>MAX(CC39:CC58)</f>
        <v>0.78536396552594645</v>
      </c>
      <c r="CD78" s="81">
        <f>MAX(CD39:CD58)</f>
        <v>0.46370000000000006</v>
      </c>
      <c r="CE78" s="81">
        <f>MAX(CE39:CE58)</f>
        <v>1.5585710578545289E-2</v>
      </c>
      <c r="CZ78" s="265">
        <f>SUM(DA$74:DA78)</f>
        <v>0.25</v>
      </c>
      <c r="DA78" s="265">
        <f t="shared" si="232"/>
        <v>0.05</v>
      </c>
      <c r="DB78" s="88">
        <v>18539.006856012824</v>
      </c>
    </row>
    <row r="79" spans="1:119" s="1" customFormat="1" ht="18" x14ac:dyDescent="0.25">
      <c r="A79" s="264"/>
      <c r="R79" s="42"/>
      <c r="S79" s="42"/>
      <c r="T79" s="42"/>
      <c r="U79" s="42"/>
      <c r="V79" s="42"/>
      <c r="W79" s="42"/>
      <c r="X79" s="42"/>
      <c r="Y79" s="42"/>
      <c r="Z79" s="42"/>
      <c r="AA79" s="42"/>
      <c r="AB79" s="42"/>
      <c r="AC79" s="42"/>
      <c r="AD79" s="42"/>
      <c r="AE79" s="42"/>
      <c r="AF79" s="42"/>
      <c r="AG79" s="42"/>
      <c r="AM79" s="42"/>
      <c r="AN79" s="42"/>
      <c r="AO79" s="42"/>
      <c r="AP79" s="42"/>
      <c r="AQ79" s="42"/>
      <c r="AR79" s="42"/>
      <c r="BB79" s="42"/>
      <c r="BC79" s="42"/>
      <c r="BD79" s="42"/>
      <c r="BE79" s="42"/>
      <c r="BF79" s="42"/>
      <c r="BG79" s="42"/>
      <c r="BL79" s="42"/>
      <c r="BM79" s="42"/>
      <c r="BN79" s="42"/>
      <c r="BO79" s="42"/>
      <c r="BP79" s="42"/>
      <c r="BQ79" s="42"/>
      <c r="BT79" s="42"/>
      <c r="BU79" s="42"/>
      <c r="BV79" s="42"/>
      <c r="BW79" s="42"/>
      <c r="BX79" s="42"/>
      <c r="BY79" s="42"/>
      <c r="CA79" s="42"/>
      <c r="CB79" s="42"/>
      <c r="CC79" s="42"/>
      <c r="CD79" s="42"/>
      <c r="CE79" s="42"/>
      <c r="CI79" s="42"/>
      <c r="CJ79" s="42"/>
      <c r="CK79" s="42"/>
      <c r="CL79" s="42"/>
      <c r="CM79" s="42"/>
      <c r="CN79" s="42"/>
      <c r="CO79" s="42"/>
      <c r="CP79" s="42"/>
      <c r="CQ79" s="42"/>
      <c r="CR79" s="42"/>
      <c r="CS79" s="42"/>
      <c r="CT79" s="42"/>
      <c r="CU79" s="42"/>
      <c r="CV79" s="42"/>
      <c r="CZ79" s="265">
        <f>SUM(DA$74:DA79)</f>
        <v>0.3</v>
      </c>
      <c r="DA79" s="265">
        <f t="shared" si="232"/>
        <v>0.05</v>
      </c>
      <c r="DB79" s="88">
        <v>27365.171792105739</v>
      </c>
    </row>
    <row r="80" spans="1:119" s="1" customFormat="1" x14ac:dyDescent="0.2">
      <c r="CZ80" s="265">
        <f>SUM(DA$74:DA80)</f>
        <v>0.35</v>
      </c>
      <c r="DA80" s="265">
        <f t="shared" si="232"/>
        <v>0.05</v>
      </c>
      <c r="DB80" s="88">
        <v>29588.016849519066</v>
      </c>
    </row>
    <row r="81" spans="14:106" s="1" customFormat="1" x14ac:dyDescent="0.2">
      <c r="N81" s="88"/>
      <c r="O81" s="88"/>
      <c r="CI81" s="88"/>
      <c r="CJ81" s="88"/>
      <c r="CK81" s="88"/>
      <c r="CL81" s="88"/>
      <c r="CM81" s="88"/>
      <c r="CN81" s="88"/>
      <c r="CO81" s="88"/>
      <c r="CP81" s="88"/>
      <c r="CQ81" s="88"/>
      <c r="CR81" s="88"/>
      <c r="CS81" s="88"/>
      <c r="CT81" s="88"/>
      <c r="CU81" s="88"/>
      <c r="CV81" s="88"/>
      <c r="CY81" s="42"/>
      <c r="CZ81" s="265">
        <f>SUM(DA$74:DA81)</f>
        <v>0.39999999999999997</v>
      </c>
      <c r="DA81" s="265">
        <f t="shared" si="232"/>
        <v>0.05</v>
      </c>
      <c r="DB81" s="88">
        <v>30334.734481265274</v>
      </c>
    </row>
    <row r="82" spans="14:106" s="1" customFormat="1" x14ac:dyDescent="0.2">
      <c r="N82" s="88"/>
      <c r="O82" s="88"/>
      <c r="CI82" s="88"/>
      <c r="CJ82" s="88"/>
      <c r="CK82" s="88"/>
      <c r="CL82" s="52"/>
      <c r="CM82" s="88"/>
      <c r="CN82" s="88"/>
      <c r="CO82" s="88"/>
      <c r="CP82" s="88"/>
      <c r="CQ82" s="88"/>
      <c r="CR82" s="88"/>
      <c r="CS82" s="88"/>
      <c r="CT82" s="88"/>
      <c r="CU82" s="88"/>
      <c r="CV82" s="88"/>
      <c r="CY82" s="42"/>
      <c r="CZ82" s="265">
        <f>SUM(DA$74:DA82)</f>
        <v>0.44999999999999996</v>
      </c>
      <c r="DA82" s="265">
        <f t="shared" si="232"/>
        <v>0.05</v>
      </c>
      <c r="DB82" s="14">
        <v>32921.533059025242</v>
      </c>
    </row>
    <row r="83" spans="14:106" s="1" customFormat="1" x14ac:dyDescent="0.2">
      <c r="N83" s="88"/>
      <c r="O83" s="88"/>
      <c r="CI83" s="88"/>
      <c r="CJ83" s="88"/>
      <c r="CK83" s="88"/>
      <c r="CL83" s="88"/>
      <c r="CM83" s="88"/>
      <c r="CN83" s="88"/>
      <c r="CO83" s="88"/>
      <c r="CP83" s="88"/>
      <c r="CQ83" s="88"/>
      <c r="CR83" s="88"/>
      <c r="CS83" s="88"/>
      <c r="CT83" s="88"/>
      <c r="CU83" s="88"/>
      <c r="CV83" s="88"/>
      <c r="CY83" s="42"/>
      <c r="CZ83" s="265">
        <f>SUM(DA$74:DA83)</f>
        <v>0.49999999999999994</v>
      </c>
      <c r="DA83" s="265">
        <f t="shared" si="232"/>
        <v>0.05</v>
      </c>
      <c r="DB83" s="88">
        <v>35410.473737324464</v>
      </c>
    </row>
    <row r="84" spans="14:106" s="1" customFormat="1" x14ac:dyDescent="0.2">
      <c r="N84" s="88"/>
      <c r="O84" s="88"/>
      <c r="CI84" s="88"/>
      <c r="CJ84" s="88"/>
      <c r="CK84" s="88"/>
      <c r="CL84" s="88"/>
      <c r="CM84" s="88"/>
      <c r="CN84" s="88"/>
      <c r="CO84" s="88"/>
      <c r="CP84" s="88"/>
      <c r="CQ84" s="88"/>
      <c r="CR84" s="88"/>
      <c r="CS84" s="88"/>
      <c r="CT84" s="88"/>
      <c r="CU84" s="88"/>
      <c r="CV84" s="88"/>
      <c r="CY84" s="42"/>
      <c r="CZ84" s="265">
        <f>SUM(DA$74:DA84)</f>
        <v>0.54999999999999993</v>
      </c>
      <c r="DA84" s="265">
        <f t="shared" si="232"/>
        <v>0.05</v>
      </c>
      <c r="DB84" s="88">
        <v>36469.608247352677</v>
      </c>
    </row>
    <row r="85" spans="14:106" s="1" customFormat="1" x14ac:dyDescent="0.2">
      <c r="N85" s="88"/>
      <c r="O85" s="88"/>
      <c r="CI85" s="88"/>
      <c r="CJ85" s="88"/>
      <c r="CK85" s="88"/>
      <c r="CL85" s="88"/>
      <c r="CM85" s="88"/>
      <c r="CN85" s="88"/>
      <c r="CO85" s="88"/>
      <c r="CP85" s="88"/>
      <c r="CQ85" s="88"/>
      <c r="CR85" s="88"/>
      <c r="CS85" s="88"/>
      <c r="CT85" s="88"/>
      <c r="CU85" s="88"/>
      <c r="CV85" s="88"/>
      <c r="CY85" s="42"/>
      <c r="CZ85" s="265">
        <f>SUM(DA$74:DA85)</f>
        <v>0.6</v>
      </c>
      <c r="DA85" s="265">
        <f t="shared" si="232"/>
        <v>0.05</v>
      </c>
      <c r="DB85" s="88">
        <v>38021.943706715014</v>
      </c>
    </row>
    <row r="86" spans="14:106" s="1" customFormat="1" x14ac:dyDescent="0.2">
      <c r="N86" s="88"/>
      <c r="O86" s="88"/>
      <c r="CI86" s="88"/>
      <c r="CJ86" s="88"/>
      <c r="CK86" s="88"/>
      <c r="CL86" s="88"/>
      <c r="CM86" s="88"/>
      <c r="CN86" s="88"/>
      <c r="CO86" s="88"/>
      <c r="CP86" s="88"/>
      <c r="CQ86" s="88"/>
      <c r="CR86" s="88"/>
      <c r="CS86" s="88"/>
      <c r="CT86" s="88"/>
      <c r="CU86" s="88"/>
      <c r="CV86" s="88"/>
      <c r="CY86" s="42"/>
      <c r="CZ86" s="265">
        <f>SUM(DA$74:DA86)</f>
        <v>0.65</v>
      </c>
      <c r="DA86" s="265">
        <f t="shared" si="232"/>
        <v>0.05</v>
      </c>
      <c r="DB86" s="14">
        <v>39522.125257538268</v>
      </c>
    </row>
    <row r="87" spans="14:106" s="1" customFormat="1" x14ac:dyDescent="0.2">
      <c r="N87" s="88"/>
      <c r="O87" s="88"/>
      <c r="CI87" s="88"/>
      <c r="CJ87" s="88"/>
      <c r="CK87" s="88"/>
      <c r="CL87" s="88"/>
      <c r="CM87" s="88"/>
      <c r="CN87" s="88"/>
      <c r="CO87" s="88"/>
      <c r="CP87" s="88"/>
      <c r="CQ87" s="88"/>
      <c r="CR87" s="88"/>
      <c r="CS87" s="88"/>
      <c r="CT87" s="88"/>
      <c r="CU87" s="88"/>
      <c r="CV87" s="88"/>
      <c r="CY87" s="42"/>
      <c r="CZ87" s="265">
        <f>SUM(DA$74:DA87)</f>
        <v>0.70000000000000007</v>
      </c>
      <c r="DA87" s="265">
        <f t="shared" si="232"/>
        <v>0.05</v>
      </c>
      <c r="DB87" s="88">
        <v>41589.052491670329</v>
      </c>
    </row>
    <row r="88" spans="14:106" s="1" customFormat="1" x14ac:dyDescent="0.2">
      <c r="N88" s="88"/>
      <c r="O88" s="88"/>
      <c r="T88" s="42"/>
      <c r="U88" s="42"/>
      <c r="V88" s="42"/>
      <c r="W88" s="42"/>
      <c r="X88" s="42"/>
      <c r="AB88" s="88"/>
      <c r="AC88" s="88"/>
      <c r="AD88" s="88"/>
      <c r="AE88" s="88"/>
      <c r="AF88" s="88"/>
      <c r="AG88" s="128"/>
      <c r="BL88" s="88"/>
      <c r="BM88" s="88"/>
      <c r="BN88" s="88"/>
      <c r="BO88" s="88"/>
      <c r="BP88" s="88"/>
      <c r="BQ88" s="128"/>
      <c r="BT88" s="128"/>
      <c r="BU88" s="128"/>
      <c r="BV88" s="128"/>
      <c r="BW88" s="128"/>
      <c r="BX88" s="128"/>
      <c r="BY88" s="128"/>
      <c r="CI88" s="88"/>
      <c r="CJ88" s="88"/>
      <c r="CK88" s="88"/>
      <c r="CL88" s="88"/>
      <c r="CM88" s="88"/>
      <c r="CN88" s="88"/>
      <c r="CO88" s="88"/>
      <c r="CP88" s="88"/>
      <c r="CQ88" s="88"/>
      <c r="CR88" s="88"/>
      <c r="CS88" s="88"/>
      <c r="CT88" s="88"/>
      <c r="CU88" s="88"/>
      <c r="CV88" s="88"/>
      <c r="CY88" s="42"/>
      <c r="CZ88" s="265">
        <f>SUM(DA$74:DA88)</f>
        <v>0.75000000000000011</v>
      </c>
      <c r="DA88" s="265">
        <f t="shared" si="232"/>
        <v>0.05</v>
      </c>
      <c r="DB88" s="88">
        <v>41740.813970220537</v>
      </c>
    </row>
    <row r="89" spans="14:106" s="1" customFormat="1" x14ac:dyDescent="0.2">
      <c r="N89" s="88"/>
      <c r="O89" s="88"/>
      <c r="T89" s="42"/>
      <c r="U89" s="42"/>
      <c r="V89" s="42"/>
      <c r="W89" s="42"/>
      <c r="X89" s="42"/>
      <c r="AB89" s="88"/>
      <c r="AC89" s="88"/>
      <c r="AD89" s="88"/>
      <c r="AE89" s="88"/>
      <c r="AF89" s="88"/>
      <c r="AG89" s="128"/>
      <c r="BL89" s="88"/>
      <c r="BM89" s="88"/>
      <c r="BN89" s="88"/>
      <c r="BO89" s="88"/>
      <c r="BP89" s="88"/>
      <c r="BQ89" s="128"/>
      <c r="BT89" s="128"/>
      <c r="BU89" s="128"/>
      <c r="BV89" s="128"/>
      <c r="BW89" s="128"/>
      <c r="BX89" s="128"/>
      <c r="BY89" s="128"/>
      <c r="CI89" s="88"/>
      <c r="CJ89" s="88"/>
      <c r="CK89" s="88"/>
      <c r="CL89" s="88"/>
      <c r="CM89" s="88"/>
      <c r="CN89" s="88"/>
      <c r="CO89" s="88"/>
      <c r="CP89" s="88"/>
      <c r="CQ89" s="88"/>
      <c r="CR89" s="88"/>
      <c r="CS89" s="88"/>
      <c r="CT89" s="88"/>
      <c r="CU89" s="88"/>
      <c r="CV89" s="88"/>
      <c r="CY89" s="42"/>
      <c r="CZ89" s="265">
        <f>SUM(DA$74:DA89)</f>
        <v>0.80000000000000016</v>
      </c>
      <c r="DA89" s="265">
        <f t="shared" si="232"/>
        <v>0.05</v>
      </c>
      <c r="DB89" s="88">
        <v>42045.771724159742</v>
      </c>
    </row>
    <row r="90" spans="14:106" s="1" customFormat="1" x14ac:dyDescent="0.2">
      <c r="N90" s="88"/>
      <c r="O90" s="88"/>
      <c r="T90" s="42"/>
      <c r="U90" s="42"/>
      <c r="V90" s="42"/>
      <c r="W90" s="42"/>
      <c r="X90" s="42"/>
      <c r="AB90" s="88"/>
      <c r="AC90" s="88"/>
      <c r="AD90" s="88"/>
      <c r="AE90" s="88"/>
      <c r="AF90" s="88"/>
      <c r="AG90" s="128"/>
      <c r="BL90" s="88"/>
      <c r="BM90" s="88"/>
      <c r="BN90" s="88"/>
      <c r="BO90" s="88"/>
      <c r="BP90" s="88"/>
      <c r="BQ90" s="128"/>
      <c r="BT90" s="128"/>
      <c r="BU90" s="128"/>
      <c r="BV90" s="128"/>
      <c r="BW90" s="128"/>
      <c r="BX90" s="128"/>
      <c r="BY90" s="128"/>
      <c r="CI90" s="88"/>
      <c r="CJ90" s="88"/>
      <c r="CK90" s="88"/>
      <c r="CL90" s="88"/>
      <c r="CM90" s="88"/>
      <c r="CN90" s="88"/>
      <c r="CO90" s="88"/>
      <c r="CP90" s="88"/>
      <c r="CQ90" s="88"/>
      <c r="CR90" s="88"/>
      <c r="CS90" s="88"/>
      <c r="CT90" s="88"/>
      <c r="CU90" s="88"/>
      <c r="CV90" s="88"/>
      <c r="CY90" s="42"/>
      <c r="CZ90" s="265">
        <f>SUM(DA$74:DA90)</f>
        <v>0.8500000000000002</v>
      </c>
      <c r="DA90" s="265">
        <f t="shared" si="232"/>
        <v>0.05</v>
      </c>
      <c r="DB90" s="88">
        <v>42287.839157247923</v>
      </c>
    </row>
    <row r="91" spans="14:106" s="1" customFormat="1" x14ac:dyDescent="0.2">
      <c r="N91" s="88"/>
      <c r="O91" s="88"/>
      <c r="T91" s="42"/>
      <c r="U91" s="42"/>
      <c r="V91" s="42"/>
      <c r="W91" s="42"/>
      <c r="X91" s="42"/>
      <c r="AB91" s="88"/>
      <c r="AC91" s="88"/>
      <c r="AD91" s="88"/>
      <c r="AE91" s="88"/>
      <c r="AF91" s="88"/>
      <c r="AG91" s="128"/>
      <c r="BL91" s="88"/>
      <c r="BM91" s="88"/>
      <c r="BN91" s="88"/>
      <c r="BO91" s="88"/>
      <c r="BP91" s="88"/>
      <c r="BQ91" s="128"/>
      <c r="BT91" s="128"/>
      <c r="BU91" s="128"/>
      <c r="BV91" s="128"/>
      <c r="BW91" s="128"/>
      <c r="BX91" s="128"/>
      <c r="BY91" s="128"/>
      <c r="CI91" s="88"/>
      <c r="CJ91" s="88"/>
      <c r="CK91" s="88"/>
      <c r="CL91" s="88"/>
      <c r="CM91" s="88"/>
      <c r="CN91" s="88"/>
      <c r="CO91" s="88"/>
      <c r="CP91" s="88"/>
      <c r="CQ91" s="88"/>
      <c r="CR91" s="88"/>
      <c r="CS91" s="88"/>
      <c r="CT91" s="88"/>
      <c r="CU91" s="88"/>
      <c r="CV91" s="88"/>
      <c r="CY91" s="42"/>
      <c r="CZ91" s="265">
        <f>SUM(DA$74:DA91)</f>
        <v>0.90000000000000024</v>
      </c>
      <c r="DA91" s="265">
        <f t="shared" si="232"/>
        <v>0.05</v>
      </c>
      <c r="DB91" s="88">
        <v>45238.824661439525</v>
      </c>
    </row>
    <row r="92" spans="14:106" s="1" customFormat="1" x14ac:dyDescent="0.2">
      <c r="N92" s="88"/>
      <c r="O92" s="88"/>
      <c r="T92" s="42"/>
      <c r="U92" s="42"/>
      <c r="V92" s="42"/>
      <c r="W92" s="42"/>
      <c r="X92" s="42"/>
      <c r="AB92" s="88"/>
      <c r="AC92" s="88"/>
      <c r="AD92" s="88"/>
      <c r="AE92" s="88"/>
      <c r="AF92" s="88"/>
      <c r="AG92" s="128"/>
      <c r="BL92" s="88"/>
      <c r="BM92" s="88"/>
      <c r="BN92" s="88"/>
      <c r="BO92" s="88"/>
      <c r="BP92" s="88"/>
      <c r="BQ92" s="128"/>
      <c r="BT92" s="128"/>
      <c r="BU92" s="128"/>
      <c r="BV92" s="128"/>
      <c r="BW92" s="128"/>
      <c r="BX92" s="128"/>
      <c r="BY92" s="128"/>
      <c r="CI92" s="88"/>
      <c r="CJ92" s="88"/>
      <c r="CK92" s="88"/>
      <c r="CL92" s="88"/>
      <c r="CM92" s="88"/>
      <c r="CN92" s="88"/>
      <c r="CO92" s="88"/>
      <c r="CP92" s="88"/>
      <c r="CQ92" s="88"/>
      <c r="CR92" s="88"/>
      <c r="CS92" s="88"/>
      <c r="CT92" s="88"/>
      <c r="CU92" s="88"/>
      <c r="CV92" s="88"/>
      <c r="CY92" s="42"/>
      <c r="CZ92" s="265">
        <f>SUM(DA$74:DA92)</f>
        <v>0.95000000000000029</v>
      </c>
      <c r="DA92" s="265">
        <f t="shared" si="232"/>
        <v>0.05</v>
      </c>
      <c r="DB92" s="88">
        <v>48651.194158265003</v>
      </c>
    </row>
    <row r="93" spans="14:106" s="1" customFormat="1" x14ac:dyDescent="0.2">
      <c r="N93" s="88"/>
      <c r="O93" s="88"/>
      <c r="T93" s="42"/>
      <c r="U93" s="42"/>
      <c r="V93" s="42"/>
      <c r="W93" s="42"/>
      <c r="X93" s="42"/>
      <c r="AB93" s="88"/>
      <c r="AC93" s="88"/>
      <c r="AD93" s="88"/>
      <c r="AE93" s="88"/>
      <c r="AF93" s="88"/>
      <c r="AG93" s="128"/>
      <c r="BL93" s="88"/>
      <c r="BM93" s="88"/>
      <c r="BN93" s="88"/>
      <c r="BO93" s="88"/>
      <c r="BP93" s="88"/>
      <c r="BQ93" s="128"/>
      <c r="BT93" s="128"/>
      <c r="BU93" s="128"/>
      <c r="BV93" s="128"/>
      <c r="BW93" s="128"/>
      <c r="BX93" s="128"/>
      <c r="BY93" s="128"/>
      <c r="CI93" s="88"/>
      <c r="CJ93" s="88"/>
      <c r="CK93" s="88"/>
      <c r="CL93" s="88"/>
      <c r="CM93" s="88"/>
      <c r="CN93" s="88"/>
      <c r="CO93" s="88"/>
      <c r="CP93" s="88"/>
      <c r="CQ93" s="88"/>
      <c r="CR93" s="88"/>
      <c r="CS93" s="88"/>
      <c r="CT93" s="88"/>
      <c r="CU93" s="88"/>
      <c r="CV93" s="88"/>
      <c r="CY93" s="42"/>
      <c r="CZ93" s="265">
        <f>SUM(DA$74:DA93)</f>
        <v>1.0000000000000002</v>
      </c>
      <c r="DA93" s="265">
        <f t="shared" si="232"/>
        <v>0.05</v>
      </c>
      <c r="DB93" s="88">
        <v>70320.291685753124</v>
      </c>
    </row>
    <row r="94" spans="14:106" s="1" customFormat="1" x14ac:dyDescent="0.2">
      <c r="N94" s="88"/>
      <c r="O94" s="88"/>
      <c r="T94" s="42"/>
      <c r="U94" s="42"/>
      <c r="V94" s="42"/>
      <c r="W94" s="42"/>
      <c r="X94" s="42"/>
      <c r="AB94" s="88"/>
      <c r="AC94" s="88"/>
      <c r="AD94" s="88"/>
      <c r="AE94" s="88"/>
      <c r="AF94" s="88"/>
      <c r="AG94" s="128"/>
      <c r="BL94" s="88"/>
      <c r="BM94" s="88"/>
      <c r="BN94" s="88"/>
      <c r="BO94" s="88"/>
      <c r="BP94" s="88"/>
      <c r="BQ94" s="128"/>
      <c r="BT94" s="128"/>
      <c r="BU94" s="128"/>
      <c r="BV94" s="128"/>
      <c r="BW94" s="128"/>
      <c r="BX94" s="128"/>
      <c r="BY94" s="128"/>
      <c r="CI94" s="88"/>
      <c r="CJ94" s="88"/>
      <c r="CK94" s="88"/>
      <c r="CL94" s="88"/>
      <c r="CM94" s="88"/>
      <c r="CN94" s="88"/>
      <c r="CO94" s="88"/>
      <c r="CP94" s="88"/>
      <c r="CQ94" s="88"/>
      <c r="CR94" s="88"/>
      <c r="CS94" s="88"/>
      <c r="CT94" s="88"/>
      <c r="CU94" s="88"/>
      <c r="CV94" s="88"/>
      <c r="CY94" s="42"/>
      <c r="CZ94" s="267"/>
      <c r="DA94" s="42"/>
      <c r="DB94" s="267"/>
    </row>
    <row r="95" spans="14:106" s="1" customFormat="1" x14ac:dyDescent="0.2">
      <c r="N95" s="88"/>
      <c r="O95" s="88"/>
      <c r="T95" s="42"/>
      <c r="U95" s="42"/>
      <c r="V95" s="42"/>
      <c r="W95" s="42"/>
      <c r="X95" s="42"/>
      <c r="AB95" s="88"/>
      <c r="AC95" s="88"/>
      <c r="AD95" s="88"/>
      <c r="AE95" s="88"/>
      <c r="AF95" s="88"/>
      <c r="AG95" s="128"/>
      <c r="AM95" s="88"/>
      <c r="AN95" s="88"/>
      <c r="AO95" s="88"/>
      <c r="AP95" s="88"/>
      <c r="AQ95" s="88"/>
      <c r="AR95" s="88"/>
      <c r="BL95" s="88"/>
      <c r="BM95" s="88"/>
      <c r="BN95" s="88"/>
      <c r="BO95" s="88"/>
      <c r="BP95" s="88"/>
      <c r="BQ95" s="128"/>
      <c r="BT95" s="128"/>
      <c r="BU95" s="128"/>
      <c r="BV95" s="128"/>
      <c r="BW95" s="128"/>
      <c r="BX95" s="128"/>
      <c r="BY95" s="128"/>
      <c r="CI95" s="88"/>
      <c r="CJ95" s="88"/>
      <c r="CK95" s="88"/>
      <c r="CL95" s="88"/>
      <c r="CM95" s="88"/>
      <c r="CN95" s="88"/>
      <c r="CO95" s="88"/>
      <c r="CP95" s="88"/>
      <c r="CQ95" s="88"/>
      <c r="CR95" s="88"/>
      <c r="CS95" s="88"/>
      <c r="CT95" s="88"/>
      <c r="CU95" s="88"/>
      <c r="CV95" s="88"/>
      <c r="CY95" s="42"/>
      <c r="CZ95" s="267"/>
      <c r="DA95" t="s">
        <v>395</v>
      </c>
      <c r="DB95">
        <f>COUNT(CZ19:CZ38)</f>
        <v>20</v>
      </c>
    </row>
    <row r="96" spans="14:106" s="1" customFormat="1" x14ac:dyDescent="0.2">
      <c r="N96" s="88"/>
      <c r="O96" s="88"/>
      <c r="T96" s="42"/>
      <c r="U96" s="42"/>
      <c r="V96" s="42"/>
      <c r="W96" s="42"/>
      <c r="X96" s="42"/>
      <c r="AB96" s="88"/>
      <c r="AC96" s="88"/>
      <c r="AD96" s="88"/>
      <c r="AE96" s="88"/>
      <c r="AF96" s="88"/>
      <c r="AG96" s="128"/>
      <c r="AJ96" s="128"/>
      <c r="AK96" s="88"/>
      <c r="AM96" s="88"/>
      <c r="AN96" s="88"/>
      <c r="AO96" s="88"/>
      <c r="AP96" s="88"/>
      <c r="AQ96" s="88"/>
      <c r="AR96" s="88"/>
      <c r="BL96" s="88"/>
      <c r="BM96" s="88"/>
      <c r="BN96" s="88"/>
      <c r="BO96" s="88"/>
      <c r="BP96" s="88"/>
      <c r="BQ96" s="128"/>
      <c r="BT96" s="128"/>
      <c r="BU96" s="128"/>
      <c r="BV96" s="128"/>
      <c r="BW96" s="128"/>
      <c r="BX96" s="128"/>
      <c r="BY96" s="128"/>
      <c r="CI96" s="88"/>
      <c r="CJ96" s="88"/>
      <c r="CK96" s="88"/>
      <c r="CL96" s="88"/>
      <c r="CM96" s="88"/>
      <c r="CN96" s="88"/>
      <c r="CO96" s="88"/>
      <c r="CP96" s="88"/>
      <c r="CQ96" s="88"/>
      <c r="CR96" s="88"/>
      <c r="CS96" s="88"/>
      <c r="CT96" s="88"/>
      <c r="CU96" s="88"/>
      <c r="CV96" s="88"/>
      <c r="CY96" s="42"/>
      <c r="CZ96" s="267"/>
      <c r="DA96" s="42"/>
      <c r="DB96" s="267"/>
    </row>
    <row r="97" spans="14:106" s="1" customFormat="1" x14ac:dyDescent="0.2">
      <c r="N97" s="88"/>
      <c r="O97" s="88"/>
      <c r="T97" s="42"/>
      <c r="U97" s="42"/>
      <c r="V97" s="42"/>
      <c r="W97" s="42"/>
      <c r="X97" s="42"/>
      <c r="AB97" s="88"/>
      <c r="AC97" s="88"/>
      <c r="AD97" s="88"/>
      <c r="AE97" s="88"/>
      <c r="AF97" s="88"/>
      <c r="AG97" s="128"/>
      <c r="AJ97" s="128"/>
      <c r="AK97" s="88"/>
      <c r="AM97" s="88"/>
      <c r="AN97" s="88"/>
      <c r="AO97" s="88"/>
      <c r="AP97" s="88"/>
      <c r="AQ97" s="88"/>
      <c r="AR97" s="88"/>
      <c r="BL97" s="88"/>
      <c r="BM97" s="88"/>
      <c r="BN97" s="88"/>
      <c r="BO97" s="88"/>
      <c r="BP97" s="88"/>
      <c r="BQ97" s="128"/>
      <c r="BT97" s="128"/>
      <c r="BU97" s="128"/>
      <c r="BV97" s="128"/>
      <c r="BW97" s="128"/>
      <c r="BX97" s="128"/>
      <c r="BY97" s="128"/>
      <c r="CI97" s="88"/>
      <c r="CJ97" s="88"/>
      <c r="CK97" s="88"/>
      <c r="CL97" s="88"/>
      <c r="CM97" s="88"/>
      <c r="CN97" s="88"/>
      <c r="CO97" s="88"/>
      <c r="CP97" s="88"/>
      <c r="CQ97" s="88"/>
      <c r="CR97" s="88"/>
      <c r="CS97" s="88"/>
      <c r="CT97" s="88"/>
      <c r="CU97" s="88"/>
      <c r="CV97" s="88"/>
      <c r="CY97" s="42"/>
      <c r="CZ97" s="267"/>
      <c r="DA97" s="42"/>
      <c r="DB97" s="267"/>
    </row>
    <row r="98" spans="14:106" s="1" customFormat="1" x14ac:dyDescent="0.2">
      <c r="N98" s="88"/>
      <c r="O98" s="88"/>
      <c r="T98" s="42"/>
      <c r="U98" s="42"/>
      <c r="V98" s="42"/>
      <c r="W98" s="42"/>
      <c r="X98" s="42"/>
      <c r="AB98" s="88"/>
      <c r="AC98" s="88"/>
      <c r="AD98" s="88"/>
      <c r="AE98" s="88"/>
      <c r="AF98" s="88"/>
      <c r="AG98" s="128"/>
      <c r="AJ98" s="128"/>
      <c r="AK98" s="88"/>
      <c r="AM98" s="88"/>
      <c r="AN98" s="88"/>
      <c r="AO98" s="88"/>
      <c r="AP98" s="88"/>
      <c r="AQ98" s="88"/>
      <c r="AR98" s="88"/>
      <c r="BL98" s="88"/>
      <c r="BM98" s="88"/>
      <c r="BN98" s="88"/>
      <c r="BO98" s="88"/>
      <c r="BP98" s="88"/>
      <c r="BQ98" s="128"/>
      <c r="BT98" s="128"/>
      <c r="BU98" s="128"/>
      <c r="BV98" s="128"/>
      <c r="BW98" s="128"/>
      <c r="BX98" s="128"/>
      <c r="BY98" s="128"/>
      <c r="CI98" s="88"/>
      <c r="CJ98" s="88"/>
      <c r="CK98" s="88"/>
      <c r="CL98" s="88"/>
      <c r="CM98" s="88"/>
      <c r="CN98" s="88"/>
      <c r="CO98" s="88"/>
      <c r="CP98" s="88"/>
      <c r="CQ98" s="88"/>
      <c r="CR98" s="88"/>
      <c r="CS98" s="88"/>
      <c r="CT98" s="88"/>
      <c r="CU98" s="88"/>
      <c r="CV98" s="88"/>
      <c r="CY98" s="42"/>
      <c r="CZ98" s="267"/>
      <c r="DA98" s="42"/>
      <c r="DB98" s="267"/>
    </row>
    <row r="99" spans="14:106" s="1" customFormat="1" x14ac:dyDescent="0.2">
      <c r="N99" s="88"/>
      <c r="O99" s="88"/>
      <c r="T99" s="42"/>
      <c r="U99" s="42"/>
      <c r="V99" s="42"/>
      <c r="W99" s="42"/>
      <c r="X99" s="42"/>
      <c r="AB99" s="88"/>
      <c r="AC99" s="88"/>
      <c r="AD99" s="88"/>
      <c r="AE99" s="88"/>
      <c r="AF99" s="88"/>
      <c r="AG99" s="128"/>
      <c r="AJ99" s="128"/>
      <c r="AK99" s="88"/>
      <c r="AM99" s="88"/>
      <c r="AN99" s="88"/>
      <c r="AO99" s="88"/>
      <c r="AP99" s="88"/>
      <c r="AQ99" s="88"/>
      <c r="AR99" s="88"/>
      <c r="BL99" s="88"/>
      <c r="BM99" s="88"/>
      <c r="BN99" s="88"/>
      <c r="BO99" s="88"/>
      <c r="BP99" s="88"/>
      <c r="BQ99" s="128"/>
      <c r="BT99" s="128"/>
      <c r="BU99" s="128"/>
      <c r="BV99" s="128"/>
      <c r="BW99" s="128"/>
      <c r="BX99" s="128"/>
      <c r="BY99" s="128"/>
      <c r="CI99" s="88"/>
      <c r="CJ99" s="88"/>
      <c r="CK99" s="88"/>
      <c r="CL99" s="88"/>
      <c r="CM99" s="88"/>
      <c r="CN99" s="88"/>
      <c r="CO99" s="88"/>
      <c r="CP99" s="88"/>
      <c r="CQ99" s="88"/>
      <c r="CR99" s="88"/>
      <c r="CS99" s="88"/>
      <c r="CT99" s="88"/>
      <c r="CU99" s="88"/>
      <c r="CV99" s="88"/>
      <c r="CY99" s="42"/>
      <c r="CZ99" s="267"/>
      <c r="DA99" s="42"/>
      <c r="DB99" s="267"/>
    </row>
    <row r="100" spans="14:106" s="1" customFormat="1" x14ac:dyDescent="0.2">
      <c r="N100" s="88"/>
      <c r="O100" s="88"/>
      <c r="T100" s="42"/>
      <c r="U100" s="42"/>
      <c r="V100" s="42"/>
      <c r="W100" s="42"/>
      <c r="X100" s="42"/>
      <c r="AB100" s="88"/>
      <c r="AC100" s="88"/>
      <c r="AD100" s="88"/>
      <c r="AE100" s="88"/>
      <c r="AF100" s="88"/>
      <c r="AG100" s="128"/>
      <c r="AJ100" s="128"/>
      <c r="AK100" s="88"/>
      <c r="AM100" s="88"/>
      <c r="AN100" s="88"/>
      <c r="AO100" s="88"/>
      <c r="AP100" s="88"/>
      <c r="AQ100" s="88"/>
      <c r="AR100" s="88"/>
      <c r="BL100" s="88"/>
      <c r="BM100" s="88"/>
      <c r="BN100" s="88"/>
      <c r="BO100" s="88"/>
      <c r="BP100" s="88"/>
      <c r="BQ100" s="128"/>
      <c r="BT100" s="128"/>
      <c r="BU100" s="128"/>
      <c r="BV100" s="128"/>
      <c r="BW100" s="128"/>
      <c r="BX100" s="128"/>
      <c r="BY100" s="128"/>
      <c r="CI100" s="88"/>
      <c r="CJ100" s="88"/>
      <c r="CK100" s="88"/>
      <c r="CL100" s="88"/>
      <c r="CM100" s="88"/>
      <c r="CN100" s="88"/>
      <c r="CO100" s="88"/>
      <c r="CP100" s="88"/>
      <c r="CQ100" s="88"/>
      <c r="CR100" s="88"/>
      <c r="CS100" s="88"/>
      <c r="CT100" s="88"/>
      <c r="CU100" s="88"/>
      <c r="CV100" s="88"/>
      <c r="CY100" s="42"/>
      <c r="CZ100" s="267"/>
      <c r="DA100" s="42"/>
      <c r="DB100" s="267"/>
    </row>
    <row r="101" spans="14:106" s="1" customFormat="1" x14ac:dyDescent="0.2">
      <c r="N101" s="88"/>
      <c r="O101" s="88"/>
      <c r="T101" s="42"/>
      <c r="U101" s="42"/>
      <c r="V101" s="42"/>
      <c r="W101" s="42"/>
      <c r="X101" s="42"/>
      <c r="AB101" s="88"/>
      <c r="AC101" s="88"/>
      <c r="AD101" s="88"/>
      <c r="AE101" s="88"/>
      <c r="AF101" s="88"/>
      <c r="AG101" s="128"/>
      <c r="AJ101" s="128"/>
      <c r="AK101" s="88"/>
      <c r="AM101" s="88"/>
      <c r="AN101" s="88"/>
      <c r="AO101" s="88"/>
      <c r="AP101" s="88"/>
      <c r="AQ101" s="88"/>
      <c r="AR101" s="88"/>
      <c r="BL101" s="88"/>
      <c r="BM101" s="88"/>
      <c r="BN101" s="88"/>
      <c r="BO101" s="88"/>
      <c r="BP101" s="88"/>
      <c r="BQ101" s="128"/>
      <c r="BT101" s="128"/>
      <c r="BU101" s="128"/>
      <c r="BV101" s="128"/>
      <c r="BW101" s="128"/>
      <c r="BX101" s="128"/>
      <c r="BY101" s="128"/>
      <c r="CI101" s="52"/>
      <c r="CJ101" s="52"/>
      <c r="CK101" s="52"/>
      <c r="CL101" s="52"/>
      <c r="CM101" s="52"/>
      <c r="CN101" s="52"/>
      <c r="CO101" s="52"/>
      <c r="CP101" s="52"/>
      <c r="CQ101" s="52"/>
      <c r="CR101" s="52"/>
      <c r="CS101" s="52"/>
      <c r="CT101" s="52"/>
      <c r="CU101" s="52"/>
      <c r="CV101" s="52"/>
      <c r="CY101" s="42"/>
      <c r="CZ101" s="267"/>
      <c r="DA101" s="42"/>
      <c r="DB101" s="267"/>
    </row>
    <row r="102" spans="14:106" s="1" customFormat="1" x14ac:dyDescent="0.2">
      <c r="N102" s="88"/>
      <c r="O102" s="88"/>
      <c r="T102" s="42"/>
      <c r="U102" s="42"/>
      <c r="V102" s="42"/>
      <c r="W102" s="42"/>
      <c r="X102" s="42"/>
      <c r="AB102" s="88"/>
      <c r="AC102" s="88"/>
      <c r="AD102" s="88"/>
      <c r="AE102" s="88"/>
      <c r="AF102" s="88"/>
      <c r="AG102" s="128"/>
      <c r="AJ102" s="128"/>
      <c r="AK102" s="88"/>
      <c r="AM102" s="88"/>
      <c r="AN102" s="88"/>
      <c r="AO102" s="88"/>
      <c r="AP102" s="88"/>
      <c r="AQ102" s="88"/>
      <c r="AR102" s="88"/>
      <c r="BL102" s="88"/>
      <c r="BM102" s="88"/>
      <c r="BN102" s="88"/>
      <c r="BO102" s="88"/>
      <c r="BP102" s="88"/>
      <c r="BQ102" s="128"/>
      <c r="BT102" s="128"/>
      <c r="BU102" s="128"/>
      <c r="BV102" s="128"/>
      <c r="BW102" s="128"/>
      <c r="BX102" s="128"/>
      <c r="BY102" s="128"/>
      <c r="CI102" s="88"/>
      <c r="CJ102" s="88"/>
      <c r="CK102" s="88"/>
      <c r="CL102" s="52"/>
      <c r="CM102" s="88"/>
      <c r="CN102" s="88"/>
      <c r="CO102" s="88"/>
      <c r="CP102" s="88"/>
      <c r="CQ102" s="88"/>
      <c r="CR102" s="88"/>
      <c r="CS102" s="88"/>
      <c r="CT102" s="88"/>
      <c r="CU102" s="88"/>
      <c r="CV102" s="88"/>
      <c r="CY102" s="42"/>
      <c r="CZ102" s="267"/>
      <c r="DA102" s="42"/>
      <c r="DB102" s="267"/>
    </row>
    <row r="103" spans="14:106" s="1" customFormat="1" x14ac:dyDescent="0.2">
      <c r="N103" s="88"/>
      <c r="O103" s="88"/>
      <c r="T103" s="42"/>
      <c r="U103" s="42"/>
      <c r="V103" s="42"/>
      <c r="W103" s="42"/>
      <c r="X103" s="42"/>
      <c r="AB103" s="88"/>
      <c r="AC103" s="88"/>
      <c r="AD103" s="88"/>
      <c r="AE103" s="88"/>
      <c r="AF103" s="88"/>
      <c r="AG103" s="128"/>
      <c r="AJ103" s="128"/>
      <c r="AK103" s="88"/>
      <c r="AM103" s="88"/>
      <c r="AN103" s="88"/>
      <c r="AO103" s="88"/>
      <c r="AP103" s="88"/>
      <c r="AQ103" s="88"/>
      <c r="AR103" s="88"/>
      <c r="BL103" s="88"/>
      <c r="BM103" s="88"/>
      <c r="BN103" s="88"/>
      <c r="BO103" s="88"/>
      <c r="BP103" s="88"/>
      <c r="BQ103" s="128"/>
      <c r="BT103" s="128"/>
      <c r="BU103" s="128"/>
      <c r="BV103" s="128"/>
      <c r="BW103" s="128"/>
      <c r="BX103" s="128"/>
      <c r="BY103" s="128"/>
      <c r="CI103" s="88"/>
      <c r="CJ103" s="88"/>
      <c r="CK103" s="88"/>
      <c r="CL103" s="88"/>
      <c r="CM103" s="88"/>
      <c r="CN103" s="88"/>
      <c r="CO103" s="88"/>
      <c r="CP103" s="88"/>
      <c r="CQ103" s="88"/>
      <c r="CR103" s="88"/>
      <c r="CS103" s="88"/>
      <c r="CT103" s="88"/>
      <c r="CU103" s="88"/>
      <c r="CV103" s="88"/>
      <c r="CY103" s="42"/>
      <c r="CZ103" s="267"/>
      <c r="DA103" s="42"/>
      <c r="DB103" s="267"/>
    </row>
    <row r="104" spans="14:106" s="1" customFormat="1" x14ac:dyDescent="0.2">
      <c r="N104" s="88"/>
      <c r="O104" s="88"/>
      <c r="T104" s="42"/>
      <c r="U104" s="42"/>
      <c r="V104" s="42"/>
      <c r="W104" s="42"/>
      <c r="X104" s="42"/>
      <c r="AB104" s="88"/>
      <c r="AC104" s="88"/>
      <c r="AD104" s="88"/>
      <c r="AE104" s="88"/>
      <c r="AF104" s="88"/>
      <c r="AG104" s="128"/>
      <c r="AJ104" s="128"/>
      <c r="AK104" s="88"/>
      <c r="AM104" s="88"/>
      <c r="AN104" s="88"/>
      <c r="AO104" s="88"/>
      <c r="AP104" s="88"/>
      <c r="AQ104" s="88"/>
      <c r="AR104" s="88"/>
      <c r="BL104" s="88"/>
      <c r="BM104" s="88"/>
      <c r="BN104" s="88"/>
      <c r="BO104" s="88"/>
      <c r="BP104" s="88"/>
      <c r="BQ104" s="128"/>
      <c r="BT104" s="128"/>
      <c r="BU104" s="128"/>
      <c r="BV104" s="128"/>
      <c r="BW104" s="128"/>
      <c r="BX104" s="128"/>
      <c r="BY104" s="128"/>
      <c r="CI104" s="52"/>
      <c r="CJ104" s="52"/>
      <c r="CK104" s="52"/>
      <c r="CL104" s="52"/>
      <c r="CM104" s="52"/>
      <c r="CN104" s="52"/>
      <c r="CO104" s="52"/>
      <c r="CP104" s="52"/>
      <c r="CQ104" s="52"/>
      <c r="CR104" s="52"/>
      <c r="CS104" s="52"/>
      <c r="CT104" s="52"/>
      <c r="CU104" s="52"/>
      <c r="CV104" s="52"/>
      <c r="CY104" s="42"/>
      <c r="CZ104" s="267"/>
    </row>
    <row r="105" spans="14:106" s="1" customFormat="1" x14ac:dyDescent="0.2">
      <c r="N105" s="88"/>
      <c r="O105" s="88"/>
      <c r="T105" s="42"/>
      <c r="U105" s="42"/>
      <c r="V105" s="42"/>
      <c r="W105" s="42"/>
      <c r="X105" s="42"/>
      <c r="AB105" s="88"/>
      <c r="AC105" s="88"/>
      <c r="AD105" s="88"/>
      <c r="AE105" s="88"/>
      <c r="AF105" s="88"/>
      <c r="AG105" s="128"/>
      <c r="AJ105" s="128"/>
      <c r="AK105" s="88"/>
      <c r="AM105" s="88"/>
      <c r="AN105" s="88"/>
      <c r="AO105" s="88"/>
      <c r="AP105" s="88"/>
      <c r="AQ105" s="88"/>
      <c r="AR105" s="88"/>
      <c r="BL105" s="88"/>
      <c r="BM105" s="88"/>
      <c r="BN105" s="88"/>
      <c r="BO105" s="88"/>
      <c r="BP105" s="88"/>
      <c r="BQ105" s="128"/>
      <c r="BT105" s="128"/>
      <c r="BU105" s="128"/>
      <c r="BV105" s="128"/>
      <c r="BW105" s="128"/>
      <c r="BX105" s="128"/>
      <c r="BY105" s="128"/>
      <c r="CI105" s="52"/>
      <c r="CJ105" s="52"/>
      <c r="CK105" s="52"/>
      <c r="CL105" s="52"/>
      <c r="CM105" s="52"/>
      <c r="CN105" s="52"/>
      <c r="CO105" s="52"/>
      <c r="CP105" s="52"/>
      <c r="CQ105" s="52"/>
      <c r="CR105" s="52"/>
      <c r="CS105" s="52"/>
      <c r="CT105" s="52"/>
      <c r="CU105" s="52"/>
      <c r="CV105" s="52"/>
      <c r="CY105" s="42"/>
      <c r="CZ105" s="267"/>
    </row>
    <row r="106" spans="14:106" s="1" customFormat="1" x14ac:dyDescent="0.2">
      <c r="N106" s="88"/>
      <c r="O106" s="88"/>
      <c r="T106" s="42"/>
      <c r="U106" s="42"/>
      <c r="V106" s="42"/>
      <c r="W106" s="42"/>
      <c r="X106" s="42"/>
      <c r="AB106" s="88"/>
      <c r="AC106" s="88"/>
      <c r="AD106" s="88"/>
      <c r="AE106" s="88"/>
      <c r="AF106" s="88"/>
      <c r="AG106" s="128"/>
      <c r="AJ106" s="128"/>
      <c r="AK106" s="88"/>
      <c r="AM106" s="88"/>
      <c r="AN106" s="88"/>
      <c r="AO106" s="88"/>
      <c r="AP106" s="88"/>
      <c r="AQ106" s="88"/>
      <c r="AR106" s="88"/>
      <c r="BL106" s="88"/>
      <c r="BM106" s="88"/>
      <c r="BN106" s="88"/>
      <c r="BO106" s="88"/>
      <c r="BP106" s="88"/>
      <c r="BQ106" s="128"/>
      <c r="BT106" s="128"/>
      <c r="BU106" s="128"/>
      <c r="BV106" s="128"/>
      <c r="BW106" s="128"/>
      <c r="BX106" s="128"/>
      <c r="BY106" s="128"/>
      <c r="CI106" s="88"/>
      <c r="CJ106" s="88"/>
      <c r="CK106" s="88"/>
      <c r="CL106" s="88"/>
      <c r="CM106" s="88"/>
      <c r="CN106" s="88"/>
      <c r="CO106" s="88"/>
      <c r="CP106" s="88"/>
      <c r="CQ106" s="88"/>
      <c r="CR106" s="88"/>
      <c r="CS106" s="88"/>
      <c r="CT106" s="88"/>
      <c r="CU106" s="88"/>
      <c r="CV106" s="88"/>
      <c r="CY106" s="42"/>
      <c r="CZ106" s="267"/>
    </row>
    <row r="107" spans="14:106" s="1" customFormat="1" x14ac:dyDescent="0.2">
      <c r="N107" s="88"/>
      <c r="O107" s="88"/>
      <c r="T107" s="42"/>
      <c r="U107" s="42"/>
      <c r="V107" s="42"/>
      <c r="W107" s="42"/>
      <c r="X107" s="42"/>
      <c r="AB107" s="88"/>
      <c r="AC107" s="88"/>
      <c r="AD107" s="88"/>
      <c r="AE107" s="88"/>
      <c r="AF107" s="88"/>
      <c r="AG107" s="128"/>
      <c r="AJ107" s="128"/>
      <c r="AK107" s="88"/>
      <c r="AM107" s="88"/>
      <c r="AN107" s="88"/>
      <c r="AO107" s="88"/>
      <c r="AP107" s="88"/>
      <c r="AQ107" s="88"/>
      <c r="AR107" s="88"/>
      <c r="BL107" s="88"/>
      <c r="BM107" s="88"/>
      <c r="BN107" s="88"/>
      <c r="BO107" s="88"/>
      <c r="BP107" s="88"/>
      <c r="BQ107" s="128"/>
      <c r="BT107" s="128"/>
      <c r="BU107" s="128"/>
      <c r="BV107" s="128"/>
      <c r="BW107" s="128"/>
      <c r="BX107" s="128"/>
      <c r="BY107" s="128"/>
      <c r="CI107" s="88"/>
      <c r="CJ107" s="88"/>
      <c r="CK107" s="88"/>
      <c r="CL107" s="88"/>
      <c r="CM107" s="88"/>
      <c r="CN107" s="88"/>
      <c r="CO107" s="88"/>
      <c r="CP107" s="88"/>
      <c r="CQ107" s="88"/>
      <c r="CR107" s="88"/>
      <c r="CS107" s="88"/>
      <c r="CT107" s="88"/>
      <c r="CU107" s="88"/>
      <c r="CV107" s="88"/>
      <c r="CY107" s="42"/>
      <c r="CZ107" s="267"/>
    </row>
    <row r="108" spans="14:106" s="1" customFormat="1" x14ac:dyDescent="0.2">
      <c r="N108" s="88"/>
      <c r="O108" s="88"/>
      <c r="T108" s="42"/>
      <c r="U108" s="42"/>
      <c r="V108" s="42"/>
      <c r="W108" s="42"/>
      <c r="X108" s="42"/>
      <c r="AB108" s="88"/>
      <c r="AC108" s="88"/>
      <c r="AD108" s="88"/>
      <c r="AE108" s="88"/>
      <c r="AF108" s="88"/>
      <c r="AG108" s="128"/>
      <c r="AJ108" s="128"/>
      <c r="AK108" s="88"/>
      <c r="AM108" s="88"/>
      <c r="AN108" s="88"/>
      <c r="AO108" s="88"/>
      <c r="AP108" s="88"/>
      <c r="AQ108" s="88"/>
      <c r="AR108" s="88"/>
      <c r="BL108" s="88"/>
      <c r="BM108" s="88"/>
      <c r="BN108" s="88"/>
      <c r="BO108" s="88"/>
      <c r="BP108" s="88"/>
      <c r="BQ108" s="128"/>
      <c r="BT108" s="128"/>
      <c r="BU108" s="128"/>
      <c r="BV108" s="128"/>
      <c r="BW108" s="128"/>
      <c r="BX108" s="128"/>
      <c r="BY108" s="128"/>
      <c r="CI108" s="88"/>
      <c r="CJ108" s="88"/>
      <c r="CK108" s="88"/>
      <c r="CL108" s="88"/>
      <c r="CM108" s="88"/>
      <c r="CN108" s="88"/>
      <c r="CO108" s="88"/>
      <c r="CP108" s="88"/>
      <c r="CQ108" s="88"/>
      <c r="CR108" s="88"/>
      <c r="CS108" s="88"/>
      <c r="CT108" s="88"/>
      <c r="CU108" s="88"/>
      <c r="CV108" s="88"/>
      <c r="CY108" s="42"/>
      <c r="CZ108" s="267"/>
    </row>
    <row r="109" spans="14:106" s="1" customFormat="1" x14ac:dyDescent="0.2">
      <c r="N109" s="88"/>
      <c r="O109" s="88"/>
      <c r="T109" s="42"/>
      <c r="U109" s="42"/>
      <c r="V109" s="42"/>
      <c r="W109" s="42"/>
      <c r="X109" s="42"/>
      <c r="AB109" s="88"/>
      <c r="AC109" s="88"/>
      <c r="AD109" s="88"/>
      <c r="AE109" s="88"/>
      <c r="AF109" s="88"/>
      <c r="AG109" s="128"/>
      <c r="AJ109" s="128"/>
      <c r="AK109" s="88"/>
      <c r="AM109" s="88"/>
      <c r="AN109" s="88"/>
      <c r="AO109" s="88"/>
      <c r="AP109" s="88"/>
      <c r="AQ109" s="88"/>
      <c r="AR109" s="88"/>
      <c r="BL109" s="88"/>
      <c r="BM109" s="88"/>
      <c r="BN109" s="88"/>
      <c r="BO109" s="88"/>
      <c r="BP109" s="88"/>
      <c r="BQ109" s="128"/>
      <c r="BT109" s="128"/>
      <c r="BU109" s="128"/>
      <c r="BV109" s="128"/>
      <c r="BW109" s="128"/>
      <c r="BX109" s="128"/>
      <c r="BY109" s="128"/>
      <c r="CI109" s="88"/>
      <c r="CJ109" s="88"/>
      <c r="CK109" s="88"/>
      <c r="CL109" s="88"/>
      <c r="CM109" s="88"/>
      <c r="CN109" s="88"/>
      <c r="CO109" s="88"/>
      <c r="CP109" s="88"/>
      <c r="CQ109" s="88"/>
      <c r="CR109" s="88"/>
      <c r="CS109" s="88"/>
      <c r="CT109" s="88"/>
      <c r="CU109" s="88"/>
      <c r="CV109" s="88"/>
      <c r="CY109" s="42"/>
      <c r="CZ109" s="267"/>
    </row>
    <row r="110" spans="14:106" s="1" customFormat="1" x14ac:dyDescent="0.2">
      <c r="N110" s="88"/>
      <c r="O110" s="88"/>
      <c r="T110" s="42"/>
      <c r="U110" s="42"/>
      <c r="V110" s="42"/>
      <c r="W110" s="42"/>
      <c r="X110" s="42"/>
      <c r="AB110" s="88"/>
      <c r="AC110" s="88"/>
      <c r="AD110" s="88"/>
      <c r="AE110" s="88"/>
      <c r="AF110" s="88"/>
      <c r="AG110" s="128"/>
      <c r="BL110" s="88"/>
      <c r="BM110" s="88"/>
      <c r="BN110" s="88"/>
      <c r="BO110" s="88"/>
      <c r="BP110" s="88"/>
      <c r="BQ110" s="128"/>
    </row>
    <row r="111" spans="14:106" s="1" customFormat="1" x14ac:dyDescent="0.2">
      <c r="N111" s="88"/>
      <c r="O111" s="88"/>
    </row>
    <row r="112" spans="14:106" s="1" customFormat="1" x14ac:dyDescent="0.2"/>
    <row r="113" s="1" customFormat="1" x14ac:dyDescent="0.2"/>
    <row r="114" s="1" customFormat="1" x14ac:dyDescent="0.2"/>
  </sheetData>
  <phoneticPr fontId="0" type="noConversion"/>
  <hyperlinks>
    <hyperlink ref="BJ43" r:id="rId1" display="\\dfgpaqfs01.dfg.alaska.local\home\SF\SALMON\CHINOOK\NCICOM~1\Chinook Salmon Harvest\1999\99NCI_King_com_har_AWL.xls"/>
  </hyperlinks>
  <pageMargins left="0.75" right="0.75" top="1" bottom="1" header="0.5" footer="0.5"/>
  <pageSetup scale="78" orientation="portrait" r:id="rId2"/>
  <headerFooter alignWithMargins="0">
    <oddFooter>&amp;L&amp;F&amp;C&amp;A&amp;R&amp;D</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pageSetUpPr fitToPage="1"/>
  </sheetPr>
  <dimension ref="A3:BZ401"/>
  <sheetViews>
    <sheetView topLeftCell="A31" zoomScale="85" zoomScaleNormal="85" workbookViewId="0">
      <selection activeCell="J78" sqref="J78"/>
    </sheetView>
  </sheetViews>
  <sheetFormatPr defaultRowHeight="12.75" x14ac:dyDescent="0.2"/>
  <cols>
    <col min="3" max="3" width="28.5703125" customWidth="1"/>
    <col min="4" max="4" width="2" customWidth="1"/>
    <col min="5" max="5" width="10.140625" bestFit="1" customWidth="1"/>
    <col min="6" max="6" width="11.28515625" bestFit="1" customWidth="1"/>
    <col min="7" max="7" width="10.140625" bestFit="1" customWidth="1"/>
    <col min="8" max="8" width="13.42578125" bestFit="1" customWidth="1"/>
    <col min="9" max="9" width="2.42578125" customWidth="1"/>
    <col min="10" max="10" width="13" bestFit="1" customWidth="1"/>
    <col min="11" max="11" width="9.7109375" customWidth="1"/>
    <col min="12" max="12" width="10.85546875" bestFit="1" customWidth="1"/>
    <col min="13" max="14" width="14.42578125" bestFit="1" customWidth="1"/>
    <col min="15" max="15" width="11.28515625" bestFit="1" customWidth="1"/>
    <col min="16" max="16" width="9.42578125" bestFit="1" customWidth="1"/>
    <col min="17" max="17" width="10.28515625" customWidth="1"/>
    <col min="18" max="18" width="9.28515625" bestFit="1" customWidth="1"/>
    <col min="26" max="26" width="9.28515625" bestFit="1" customWidth="1"/>
    <col min="27" max="27" width="11.7109375" customWidth="1"/>
    <col min="28" max="28" width="1.42578125" bestFit="1" customWidth="1"/>
    <col min="29" max="29" width="7.28515625" customWidth="1"/>
    <col min="30" max="30" width="12.7109375" bestFit="1" customWidth="1"/>
    <col min="31" max="31" width="10.140625" customWidth="1"/>
    <col min="32" max="32" width="5.28515625" bestFit="1" customWidth="1"/>
    <col min="33" max="33" width="12.42578125" customWidth="1"/>
    <col min="34" max="34" width="9.28515625" bestFit="1" customWidth="1"/>
    <col min="35" max="35" width="1.5703125" customWidth="1"/>
    <col min="36" max="36" width="8" customWidth="1"/>
    <col min="37" max="37" width="5.28515625" bestFit="1" customWidth="1"/>
    <col min="38" max="38" width="8" customWidth="1"/>
    <col min="39" max="39" width="2" customWidth="1"/>
    <col min="40" max="40" width="8.140625" customWidth="1"/>
    <col min="41" max="41" width="2.28515625" customWidth="1"/>
    <col min="42" max="42" width="7.7109375" customWidth="1"/>
    <col min="43" max="43" width="2" customWidth="1"/>
    <col min="44" max="44" width="9.5703125" customWidth="1"/>
    <col min="45" max="45" width="1.7109375" customWidth="1"/>
    <col min="46" max="46" width="9.42578125" bestFit="1" customWidth="1"/>
    <col min="47" max="47" width="2.28515625" customWidth="1"/>
    <col min="48" max="48" width="12.7109375" bestFit="1" customWidth="1"/>
    <col min="49" max="49" width="10.28515625" customWidth="1"/>
    <col min="50" max="50" width="9.28515625" bestFit="1" customWidth="1"/>
    <col min="53" max="53" width="8.5703125" customWidth="1"/>
    <col min="56" max="56" width="6.42578125" customWidth="1"/>
    <col min="60" max="60" width="3.140625" style="36" customWidth="1"/>
    <col min="61" max="61" width="8.85546875" style="36" customWidth="1"/>
    <col min="62" max="62" width="9.7109375" style="36" customWidth="1"/>
    <col min="63" max="63" width="8.5703125" style="36" customWidth="1"/>
    <col min="64" max="64" width="10.7109375" style="36" bestFit="1" customWidth="1"/>
    <col min="65" max="65" width="3.7109375" style="36" customWidth="1"/>
    <col min="66" max="69" width="9.7109375" style="36" customWidth="1"/>
    <col min="70" max="70" width="9.42578125" style="36" customWidth="1"/>
    <col min="71" max="71" width="5.28515625" style="36" customWidth="1"/>
    <col min="72" max="72" width="9.7109375" style="36" customWidth="1"/>
    <col min="73" max="73" width="7.28515625" style="36" customWidth="1"/>
    <col min="74" max="74" width="8.85546875" style="36" customWidth="1"/>
    <col min="75" max="75" width="9.85546875" style="36" customWidth="1"/>
    <col min="76" max="78" width="8.85546875" style="36" customWidth="1"/>
  </cols>
  <sheetData>
    <row r="3" spans="1:76" ht="18" x14ac:dyDescent="0.25">
      <c r="A3" s="231" t="s">
        <v>509</v>
      </c>
      <c r="Z3" s="129" t="s">
        <v>41</v>
      </c>
      <c r="AA3" s="130" t="s">
        <v>47</v>
      </c>
      <c r="AB3" s="131"/>
      <c r="AC3" s="129"/>
      <c r="AD3" s="129"/>
      <c r="AE3" s="129"/>
      <c r="AF3" s="129"/>
      <c r="AG3" s="129"/>
      <c r="AH3" s="129"/>
      <c r="AI3" s="129"/>
      <c r="AJ3" s="129"/>
      <c r="AK3" s="131"/>
      <c r="AL3" s="131"/>
      <c r="AM3" s="131"/>
      <c r="AN3" s="131"/>
      <c r="AO3" s="131"/>
      <c r="AP3" s="131"/>
      <c r="AQ3" s="131"/>
      <c r="AR3" s="131"/>
      <c r="AS3" s="131"/>
      <c r="AT3" s="131"/>
      <c r="AZ3" s="19" t="s">
        <v>511</v>
      </c>
      <c r="BI3" s="180" t="s">
        <v>512</v>
      </c>
      <c r="BN3" s="180" t="s">
        <v>516</v>
      </c>
      <c r="BT3" s="180" t="s">
        <v>518</v>
      </c>
    </row>
    <row r="4" spans="1:76" ht="18" x14ac:dyDescent="0.25">
      <c r="A4" s="231" t="s">
        <v>510</v>
      </c>
      <c r="B4" s="1"/>
      <c r="C4" s="1"/>
      <c r="D4" s="1"/>
      <c r="E4" s="1"/>
      <c r="F4" s="1"/>
      <c r="G4" s="1"/>
      <c r="H4" s="1"/>
      <c r="I4" s="1"/>
      <c r="J4" s="1"/>
      <c r="Z4" s="129"/>
      <c r="AA4" s="130"/>
      <c r="AB4" s="131"/>
      <c r="AC4" s="129"/>
      <c r="AD4" s="129"/>
      <c r="AE4" s="129"/>
      <c r="AF4" s="129"/>
      <c r="AG4" s="129"/>
      <c r="AH4" s="129"/>
      <c r="AI4" s="129"/>
      <c r="AJ4" s="129"/>
      <c r="AK4" s="131"/>
      <c r="AL4" s="131"/>
      <c r="AM4" s="131"/>
      <c r="AN4" s="131"/>
      <c r="AO4" s="131"/>
      <c r="AP4" s="131"/>
      <c r="AQ4" s="131"/>
      <c r="AR4" s="131"/>
      <c r="AS4" s="131"/>
      <c r="AT4" s="131"/>
      <c r="BI4" s="273"/>
      <c r="BJ4" s="274"/>
      <c r="BK4" s="275"/>
      <c r="BL4" s="273"/>
      <c r="BM4" s="273"/>
      <c r="BN4" s="274" t="s">
        <v>514</v>
      </c>
      <c r="BO4" s="275"/>
      <c r="BP4" s="275"/>
      <c r="BQ4" s="275"/>
      <c r="BR4" s="275"/>
      <c r="BS4" s="275"/>
      <c r="BT4" s="275" t="s">
        <v>517</v>
      </c>
      <c r="BU4" s="275"/>
      <c r="BV4" s="275"/>
      <c r="BW4" s="275"/>
    </row>
    <row r="5" spans="1:76" x14ac:dyDescent="0.2">
      <c r="B5" s="1"/>
      <c r="C5" s="1"/>
      <c r="D5" s="1"/>
      <c r="E5" s="1"/>
      <c r="F5" s="1"/>
      <c r="G5" s="1"/>
      <c r="H5" s="1"/>
      <c r="I5" s="1"/>
      <c r="Q5" s="1"/>
      <c r="Z5" s="129"/>
      <c r="AA5" s="130"/>
      <c r="AB5" s="131"/>
      <c r="AC5" s="129"/>
      <c r="AD5" s="129"/>
      <c r="AE5" s="129"/>
      <c r="AF5" s="129"/>
      <c r="AG5" s="129"/>
      <c r="AH5" s="129"/>
      <c r="AI5" s="129"/>
      <c r="AJ5" s="129"/>
      <c r="AK5" s="131"/>
      <c r="AL5" s="131"/>
      <c r="AM5" s="131"/>
      <c r="AN5" s="131"/>
      <c r="AO5" s="131"/>
      <c r="AP5" s="131"/>
      <c r="AQ5" s="131"/>
      <c r="AR5" s="131"/>
      <c r="AS5" s="131"/>
      <c r="AT5" s="131"/>
      <c r="AZ5" s="33"/>
      <c r="BI5" s="273"/>
      <c r="BJ5" s="274"/>
      <c r="BK5" s="275"/>
      <c r="BL5" s="273"/>
      <c r="BM5" s="273"/>
      <c r="BN5" s="36" t="s">
        <v>520</v>
      </c>
      <c r="BO5" s="275"/>
      <c r="BP5" s="275"/>
      <c r="BQ5" s="275"/>
      <c r="BR5" s="275"/>
      <c r="BS5" s="275"/>
      <c r="BT5" s="36" t="s">
        <v>520</v>
      </c>
      <c r="BU5" s="275"/>
      <c r="BV5" s="275"/>
      <c r="BW5" s="275"/>
    </row>
    <row r="6" spans="1:76" x14ac:dyDescent="0.2">
      <c r="B6" s="1"/>
      <c r="C6" s="1"/>
      <c r="D6" s="1"/>
      <c r="E6" s="1"/>
      <c r="F6" s="1"/>
      <c r="G6" s="1"/>
      <c r="H6" s="1"/>
      <c r="I6" s="1"/>
      <c r="Q6" s="1"/>
      <c r="Z6" s="129"/>
      <c r="AA6" s="130"/>
      <c r="AB6" s="131"/>
      <c r="AC6" s="129"/>
      <c r="AD6" s="129"/>
      <c r="AE6" s="129"/>
      <c r="AF6" s="129"/>
      <c r="AG6" s="129"/>
      <c r="AH6" s="129"/>
      <c r="AI6" s="129"/>
      <c r="AJ6" s="129"/>
      <c r="AK6" s="131"/>
      <c r="AL6" s="131"/>
      <c r="AM6" s="131"/>
      <c r="AN6" s="131"/>
      <c r="AO6" s="131"/>
      <c r="AP6" s="131"/>
      <c r="AQ6" s="131"/>
      <c r="AR6" s="131"/>
      <c r="AS6" s="131"/>
      <c r="AT6" s="131"/>
      <c r="AZ6" s="1"/>
      <c r="BA6" s="1" t="s">
        <v>550</v>
      </c>
      <c r="BB6" s="1"/>
      <c r="BC6" s="1"/>
      <c r="BD6" s="1"/>
      <c r="BE6" s="1"/>
      <c r="BF6" s="1"/>
      <c r="BI6" s="273"/>
      <c r="BJ6" s="274"/>
      <c r="BK6" s="275"/>
      <c r="BL6" s="273"/>
      <c r="BM6" s="273"/>
      <c r="BN6" s="274" t="s">
        <v>515</v>
      </c>
      <c r="BO6" s="275"/>
      <c r="BP6" s="275"/>
      <c r="BQ6" s="275"/>
      <c r="BR6" s="275"/>
      <c r="BS6" s="275"/>
      <c r="BT6" s="275" t="s">
        <v>519</v>
      </c>
      <c r="BU6" s="275"/>
      <c r="BV6" s="275"/>
      <c r="BW6" s="275"/>
    </row>
    <row r="7" spans="1:76" x14ac:dyDescent="0.2">
      <c r="B7" s="1"/>
      <c r="C7" s="1"/>
      <c r="D7" s="1"/>
      <c r="E7" s="1"/>
      <c r="F7" s="1"/>
      <c r="G7" s="1"/>
      <c r="H7" s="1"/>
      <c r="I7" s="1"/>
      <c r="Q7" s="1"/>
      <c r="Z7" s="129"/>
      <c r="AA7" s="130"/>
      <c r="AB7" s="131"/>
      <c r="AC7" s="129"/>
      <c r="AD7" s="129"/>
      <c r="AE7" s="129"/>
      <c r="AF7" s="129"/>
      <c r="AG7" s="129"/>
      <c r="AH7" s="129"/>
      <c r="AI7" s="129"/>
      <c r="AJ7" s="129"/>
      <c r="AK7" s="131"/>
      <c r="AL7" s="131"/>
      <c r="AM7" s="131"/>
      <c r="AN7" s="131"/>
      <c r="AO7" s="131"/>
      <c r="AP7" s="131"/>
      <c r="AQ7" s="131"/>
      <c r="AR7" s="131"/>
      <c r="AS7" s="131"/>
      <c r="AT7" s="131"/>
      <c r="AZ7" s="1"/>
      <c r="BA7" s="1" t="s">
        <v>435</v>
      </c>
      <c r="BB7" s="1"/>
      <c r="BC7" s="1"/>
      <c r="BD7" s="1"/>
      <c r="BE7" s="1"/>
      <c r="BF7" s="1"/>
      <c r="BI7" s="273"/>
      <c r="BJ7" s="274"/>
      <c r="BK7" s="275"/>
      <c r="BL7" s="273"/>
      <c r="BM7" s="273"/>
      <c r="BN7" s="275"/>
      <c r="BO7" s="275"/>
      <c r="BP7" s="275"/>
      <c r="BQ7" s="275"/>
      <c r="BR7" s="275" t="s">
        <v>521</v>
      </c>
      <c r="BS7" s="275"/>
      <c r="BT7" s="275"/>
      <c r="BU7" s="275"/>
      <c r="BV7" s="275"/>
      <c r="BW7" s="275"/>
      <c r="BX7" s="275" t="s">
        <v>521</v>
      </c>
    </row>
    <row r="8" spans="1:76" ht="13.5" thickBot="1" x14ac:dyDescent="0.25">
      <c r="B8" s="1"/>
      <c r="C8" s="1"/>
      <c r="D8" s="1"/>
      <c r="E8" s="1"/>
      <c r="F8" s="1"/>
      <c r="G8" s="1"/>
      <c r="H8" s="1"/>
      <c r="I8" s="1"/>
      <c r="Q8" s="1"/>
      <c r="Z8" s="129"/>
      <c r="AA8" s="130"/>
      <c r="AB8" s="131"/>
      <c r="AC8" s="129"/>
      <c r="AD8" s="129"/>
      <c r="AE8" s="129"/>
      <c r="AF8" s="129"/>
      <c r="AG8" s="129"/>
      <c r="AH8" s="129"/>
      <c r="AI8" s="129"/>
      <c r="AJ8" s="129"/>
      <c r="AK8" s="131"/>
      <c r="AL8" s="131"/>
      <c r="AM8" s="131"/>
      <c r="AN8" s="131"/>
      <c r="AO8" s="131"/>
      <c r="AP8" s="131"/>
      <c r="AQ8" s="131"/>
      <c r="AR8" s="131"/>
      <c r="AS8" s="131"/>
      <c r="AT8" s="131"/>
      <c r="AZ8" s="217"/>
      <c r="BA8" s="217"/>
      <c r="BB8" s="217"/>
      <c r="BC8" s="217"/>
      <c r="BD8" s="217"/>
      <c r="BE8" s="217"/>
      <c r="BF8" s="217"/>
      <c r="BG8" s="217"/>
      <c r="BI8" s="273"/>
      <c r="BJ8" s="274"/>
      <c r="BK8" s="275"/>
      <c r="BL8" s="273"/>
      <c r="BM8" s="273"/>
      <c r="BN8" s="275"/>
      <c r="BO8" s="275"/>
      <c r="BP8" s="275"/>
      <c r="BQ8" s="275"/>
      <c r="BR8" s="275" t="s">
        <v>502</v>
      </c>
      <c r="BS8" s="275"/>
      <c r="BT8" s="275"/>
      <c r="BU8" s="275"/>
      <c r="BV8" s="275"/>
      <c r="BW8" s="275"/>
      <c r="BX8" s="275" t="s">
        <v>502</v>
      </c>
    </row>
    <row r="9" spans="1:76" ht="13.5" thickBot="1" x14ac:dyDescent="0.25">
      <c r="B9" s="1"/>
      <c r="C9" s="1"/>
      <c r="D9" s="1"/>
      <c r="E9" s="1"/>
      <c r="F9" s="1"/>
      <c r="G9" s="1"/>
      <c r="H9" s="1"/>
      <c r="I9" s="1"/>
      <c r="Q9" s="1"/>
      <c r="Z9" s="129"/>
      <c r="AA9" s="130"/>
      <c r="AB9" s="131"/>
      <c r="AC9" s="129"/>
      <c r="AD9" s="129"/>
      <c r="AE9" s="129"/>
      <c r="AF9" s="129"/>
      <c r="AG9" s="129"/>
      <c r="AH9" s="129"/>
      <c r="AI9" s="129"/>
      <c r="AJ9" s="129"/>
      <c r="AK9" s="131"/>
      <c r="AL9" s="131"/>
      <c r="AM9" s="131"/>
      <c r="AN9" s="131"/>
      <c r="AO9" s="131"/>
      <c r="AP9" s="131"/>
      <c r="AQ9" s="131"/>
      <c r="AR9" s="131"/>
      <c r="AS9" s="131"/>
      <c r="AT9" s="131"/>
      <c r="AZ9" s="1" t="s">
        <v>404</v>
      </c>
      <c r="BA9" s="353"/>
      <c r="BB9" s="353" t="s">
        <v>421</v>
      </c>
      <c r="BC9" s="353"/>
      <c r="BD9" s="353"/>
      <c r="BE9" s="353"/>
      <c r="BF9" s="42" t="s">
        <v>426</v>
      </c>
      <c r="BG9" s="13" t="s">
        <v>513</v>
      </c>
      <c r="BH9" s="1"/>
      <c r="BI9" s="217" t="s">
        <v>421</v>
      </c>
      <c r="BJ9" s="217"/>
      <c r="BK9" s="217"/>
      <c r="BL9" s="13" t="s">
        <v>513</v>
      </c>
      <c r="BN9" s="217" t="s">
        <v>421</v>
      </c>
      <c r="BO9" s="217"/>
      <c r="BP9" s="217"/>
      <c r="BQ9" s="13" t="s">
        <v>513</v>
      </c>
      <c r="BR9" s="13" t="s">
        <v>513</v>
      </c>
      <c r="BS9" s="275"/>
      <c r="BT9" s="217" t="s">
        <v>421</v>
      </c>
      <c r="BU9" s="217"/>
      <c r="BV9" s="217"/>
      <c r="BW9" s="13" t="s">
        <v>513</v>
      </c>
      <c r="BX9" s="13" t="s">
        <v>513</v>
      </c>
    </row>
    <row r="10" spans="1:76" ht="13.5" thickBot="1" x14ac:dyDescent="0.25">
      <c r="B10" s="1"/>
      <c r="C10" s="1"/>
      <c r="D10" s="1"/>
      <c r="E10" s="1"/>
      <c r="F10" s="1"/>
      <c r="G10" s="1"/>
      <c r="H10" s="1"/>
      <c r="I10" s="1"/>
      <c r="Q10" s="1"/>
      <c r="Z10" s="129"/>
      <c r="AA10" s="130"/>
      <c r="AB10" s="131"/>
      <c r="AC10" s="129"/>
      <c r="AD10" s="129"/>
      <c r="AE10" s="129"/>
      <c r="AF10" s="129"/>
      <c r="AG10" s="129"/>
      <c r="AH10" s="129"/>
      <c r="AI10" s="129"/>
      <c r="AJ10" s="129"/>
      <c r="AK10" s="131"/>
      <c r="AL10" s="131"/>
      <c r="AM10" s="131"/>
      <c r="AN10" s="131"/>
      <c r="AO10" s="131"/>
      <c r="AP10" s="131"/>
      <c r="AQ10" s="131"/>
      <c r="AR10" s="131"/>
      <c r="AS10" s="131"/>
      <c r="AT10" s="131"/>
      <c r="AZ10" s="217"/>
      <c r="BA10" s="334">
        <v>1.1000000000000001</v>
      </c>
      <c r="BB10" s="334">
        <v>1.2</v>
      </c>
      <c r="BC10" s="334" t="s">
        <v>321</v>
      </c>
      <c r="BD10" s="334" t="s">
        <v>322</v>
      </c>
      <c r="BE10" s="334" t="s">
        <v>323</v>
      </c>
      <c r="BF10" s="334" t="s">
        <v>487</v>
      </c>
      <c r="BG10" s="334" t="s">
        <v>426</v>
      </c>
      <c r="BH10" s="1"/>
      <c r="BI10" s="334">
        <v>1.2</v>
      </c>
      <c r="BJ10" s="334" t="s">
        <v>321</v>
      </c>
      <c r="BK10" s="334" t="s">
        <v>322</v>
      </c>
      <c r="BL10" s="334" t="s">
        <v>426</v>
      </c>
      <c r="BN10" s="334">
        <v>1.2</v>
      </c>
      <c r="BO10" s="334" t="s">
        <v>321</v>
      </c>
      <c r="BP10" s="334" t="s">
        <v>322</v>
      </c>
      <c r="BQ10" s="334" t="s">
        <v>426</v>
      </c>
      <c r="BR10" s="334" t="s">
        <v>426</v>
      </c>
      <c r="BS10" s="275"/>
      <c r="BT10" s="334">
        <v>1.2</v>
      </c>
      <c r="BU10" s="334" t="s">
        <v>321</v>
      </c>
      <c r="BV10" s="334" t="s">
        <v>322</v>
      </c>
      <c r="BW10" s="334" t="s">
        <v>426</v>
      </c>
      <c r="BX10" s="334" t="s">
        <v>426</v>
      </c>
    </row>
    <row r="11" spans="1:76" x14ac:dyDescent="0.2">
      <c r="B11" s="1"/>
      <c r="C11" s="1"/>
      <c r="D11" s="1"/>
      <c r="E11" s="1"/>
      <c r="F11" s="1"/>
      <c r="G11" s="1"/>
      <c r="H11" s="1"/>
      <c r="I11" s="1"/>
      <c r="Q11" s="1"/>
      <c r="Z11" s="129"/>
      <c r="AA11" s="130"/>
      <c r="AB11" s="131"/>
      <c r="AC11" s="129"/>
      <c r="AD11" s="129"/>
      <c r="AE11" s="129"/>
      <c r="AF11" s="129"/>
      <c r="AG11" s="129"/>
      <c r="AH11" s="129"/>
      <c r="AI11" s="129"/>
      <c r="AJ11" s="129"/>
      <c r="AK11" s="131"/>
      <c r="AL11" s="131"/>
      <c r="AM11" s="131"/>
      <c r="AN11" s="131"/>
      <c r="AO11" s="131"/>
      <c r="AP11" s="131"/>
      <c r="AQ11" s="131"/>
      <c r="AR11" s="131"/>
      <c r="AS11" s="131"/>
      <c r="AT11" s="131"/>
      <c r="AZ11" s="1"/>
      <c r="BA11" s="1"/>
      <c r="BB11" s="1"/>
      <c r="BC11" s="1"/>
      <c r="BD11" s="1"/>
      <c r="BE11" s="1"/>
      <c r="BF11" s="1"/>
      <c r="BI11" s="273"/>
      <c r="BJ11" s="274"/>
      <c r="BK11" s="275"/>
      <c r="BL11" s="273"/>
      <c r="BM11" s="273"/>
      <c r="BN11" s="275"/>
      <c r="BO11" s="275"/>
      <c r="BP11" s="275"/>
      <c r="BQ11" s="275"/>
      <c r="BR11" s="275"/>
      <c r="BS11" s="275"/>
      <c r="BT11" s="275"/>
      <c r="BU11" s="275"/>
      <c r="BV11" s="275"/>
      <c r="BW11" s="275"/>
    </row>
    <row r="12" spans="1:76" x14ac:dyDescent="0.2">
      <c r="B12" s="1"/>
      <c r="C12" s="1"/>
      <c r="D12" s="1"/>
      <c r="E12" s="1"/>
      <c r="F12" s="1"/>
      <c r="G12" s="1"/>
      <c r="H12" s="1"/>
      <c r="I12" s="1"/>
      <c r="Q12" s="1"/>
      <c r="Z12" s="129"/>
      <c r="AA12" s="130"/>
      <c r="AB12" s="131"/>
      <c r="AC12" s="129"/>
      <c r="AD12" s="129"/>
      <c r="AE12" s="129"/>
      <c r="AF12" s="129"/>
      <c r="AG12" s="129"/>
      <c r="AH12" s="129"/>
      <c r="AI12" s="129"/>
      <c r="AJ12" s="129"/>
      <c r="AK12" s="131"/>
      <c r="AL12" s="131"/>
      <c r="AM12" s="131"/>
      <c r="AN12" s="131"/>
      <c r="AO12" s="131"/>
      <c r="AP12" s="131"/>
      <c r="AQ12" s="131"/>
      <c r="AR12" s="131"/>
      <c r="AS12" s="131"/>
      <c r="AT12" s="131"/>
      <c r="AZ12" s="1">
        <v>1999</v>
      </c>
      <c r="BA12" s="88">
        <v>0</v>
      </c>
      <c r="BB12" s="88">
        <v>10306.81761992817</v>
      </c>
      <c r="BC12" s="88">
        <v>14602.650983166499</v>
      </c>
      <c r="BD12" s="88">
        <v>8452.113285978452</v>
      </c>
      <c r="BE12" s="88">
        <v>69.776720249102141</v>
      </c>
      <c r="BF12" s="88">
        <v>33431.358609322218</v>
      </c>
      <c r="BG12" s="41">
        <v>33361.581889073117</v>
      </c>
      <c r="BI12" s="41">
        <v>5937</v>
      </c>
      <c r="BJ12" s="41">
        <v>14244</v>
      </c>
      <c r="BK12" s="41">
        <v>6629</v>
      </c>
      <c r="BL12" s="41">
        <f>SUM(BI12:BK12)</f>
        <v>26810</v>
      </c>
      <c r="BM12" s="41"/>
      <c r="BN12" s="286">
        <f>BI12-BB12</f>
        <v>-4369.8176199281697</v>
      </c>
      <c r="BO12" s="286">
        <f t="shared" ref="BO12:BP16" si="0">BJ12-BC12</f>
        <v>-358.65098316649892</v>
      </c>
      <c r="BP12" s="286">
        <f t="shared" si="0"/>
        <v>-1823.113285978452</v>
      </c>
      <c r="BQ12" s="61">
        <f>SUM(BN12:BP12)</f>
        <v>-6551.5818890731207</v>
      </c>
      <c r="BR12" s="61">
        <f>ABS(BQ12)</f>
        <v>6551.5818890731207</v>
      </c>
      <c r="BS12" s="61"/>
      <c r="BT12" s="354">
        <f t="shared" ref="BT12:BV16" si="1">BN12/BB12</f>
        <v>-0.42397350773716552</v>
      </c>
      <c r="BU12" s="354">
        <f t="shared" si="1"/>
        <v>-2.4560676248438801E-2</v>
      </c>
      <c r="BV12" s="354">
        <f t="shared" si="1"/>
        <v>-0.21569910675509846</v>
      </c>
      <c r="BW12" s="354">
        <f>BQ12/BG12</f>
        <v>-0.19638103225611592</v>
      </c>
      <c r="BX12" s="355">
        <f>ABS(BW12)</f>
        <v>0.19638103225611592</v>
      </c>
    </row>
    <row r="13" spans="1:76" x14ac:dyDescent="0.2">
      <c r="B13" s="1"/>
      <c r="C13" s="1"/>
      <c r="D13" s="1"/>
      <c r="E13" s="1"/>
      <c r="F13" s="1"/>
      <c r="G13" s="1"/>
      <c r="H13" s="1"/>
      <c r="I13" s="1"/>
      <c r="Q13" s="1"/>
      <c r="Z13" s="129"/>
      <c r="AA13" s="130"/>
      <c r="AB13" s="131"/>
      <c r="AC13" s="129"/>
      <c r="AD13" s="129"/>
      <c r="AE13" s="129"/>
      <c r="AF13" s="129"/>
      <c r="AG13" s="129"/>
      <c r="AH13" s="129"/>
      <c r="AI13" s="129"/>
      <c r="AJ13" s="129"/>
      <c r="AK13" s="131"/>
      <c r="AL13" s="131"/>
      <c r="AM13" s="131"/>
      <c r="AN13" s="131"/>
      <c r="AO13" s="131"/>
      <c r="AP13" s="131"/>
      <c r="AQ13" s="131"/>
      <c r="AR13" s="131"/>
      <c r="AS13" s="131"/>
      <c r="AT13" s="131"/>
      <c r="AZ13" s="1">
        <v>2000</v>
      </c>
      <c r="BA13" s="88">
        <v>3.7702170092001053</v>
      </c>
      <c r="BB13" s="88">
        <v>4658.65879015473</v>
      </c>
      <c r="BC13" s="88">
        <v>33214.472133035575</v>
      </c>
      <c r="BD13" s="88">
        <v>4420.837862867199</v>
      </c>
      <c r="BE13" s="88">
        <v>0</v>
      </c>
      <c r="BF13" s="88">
        <v>42297.739003066708</v>
      </c>
      <c r="BG13" s="41">
        <v>42293.968786057507</v>
      </c>
      <c r="BI13" s="41">
        <v>8162</v>
      </c>
      <c r="BJ13" s="41">
        <v>15257</v>
      </c>
      <c r="BK13" s="41">
        <v>9918</v>
      </c>
      <c r="BL13" s="41">
        <f>SUM(BI13:BK13)</f>
        <v>33337</v>
      </c>
      <c r="BM13" s="41"/>
      <c r="BN13" s="286">
        <f>BI13-BB13</f>
        <v>3503.34120984527</v>
      </c>
      <c r="BO13" s="286">
        <f t="shared" si="0"/>
        <v>-17957.472133035575</v>
      </c>
      <c r="BP13" s="286">
        <f t="shared" si="0"/>
        <v>5497.162137132801</v>
      </c>
      <c r="BQ13" s="61">
        <f>SUM(BN13:BP13)</f>
        <v>-8956.9687860575032</v>
      </c>
      <c r="BR13" s="61">
        <f>ABS(BQ13)</f>
        <v>8956.9687860575032</v>
      </c>
      <c r="BS13" s="61"/>
      <c r="BT13" s="354">
        <f t="shared" si="1"/>
        <v>0.75200639661547564</v>
      </c>
      <c r="BU13" s="354">
        <f t="shared" si="1"/>
        <v>-0.54065204050540439</v>
      </c>
      <c r="BV13" s="354">
        <f t="shared" si="1"/>
        <v>1.2434661273841734</v>
      </c>
      <c r="BW13" s="354">
        <f>BQ13/BG13</f>
        <v>-0.21177886689627076</v>
      </c>
      <c r="BX13" s="355">
        <f>ABS(BW13)</f>
        <v>0.21177886689627076</v>
      </c>
    </row>
    <row r="14" spans="1:76" x14ac:dyDescent="0.2">
      <c r="B14" s="1"/>
      <c r="C14" s="1"/>
      <c r="D14" s="1"/>
      <c r="E14" s="1"/>
      <c r="F14" s="1"/>
      <c r="G14" s="1"/>
      <c r="H14" s="1"/>
      <c r="I14" s="1"/>
      <c r="Q14" s="1"/>
      <c r="Z14" s="129"/>
      <c r="AA14" s="130"/>
      <c r="AB14" s="131"/>
      <c r="AC14" s="129"/>
      <c r="AD14" s="129"/>
      <c r="AE14" s="129"/>
      <c r="AF14" s="129"/>
      <c r="AG14" s="129"/>
      <c r="AH14" s="129"/>
      <c r="AI14" s="129"/>
      <c r="AJ14" s="129"/>
      <c r="AK14" s="131"/>
      <c r="AL14" s="131"/>
      <c r="AM14" s="131"/>
      <c r="AN14" s="131"/>
      <c r="AO14" s="131"/>
      <c r="AP14" s="131"/>
      <c r="AQ14" s="131"/>
      <c r="AR14" s="131"/>
      <c r="AS14" s="131"/>
      <c r="AT14" s="131"/>
      <c r="AZ14" s="1">
        <v>2001</v>
      </c>
      <c r="BA14" s="88">
        <v>481.21143623824491</v>
      </c>
      <c r="BB14" s="88">
        <v>8204.7238648903076</v>
      </c>
      <c r="BC14" s="88">
        <v>15602.323922695941</v>
      </c>
      <c r="BD14" s="88">
        <v>9478.2728878369999</v>
      </c>
      <c r="BE14" s="88">
        <v>3.2001181191224601</v>
      </c>
      <c r="BF14" s="88">
        <v>33769.732229780617</v>
      </c>
      <c r="BG14" s="41">
        <v>33285.320675423252</v>
      </c>
      <c r="BI14" s="41">
        <v>8552</v>
      </c>
      <c r="BJ14" s="41">
        <v>9812</v>
      </c>
      <c r="BK14" s="41">
        <v>22389</v>
      </c>
      <c r="BL14" s="41">
        <f>SUM(BI14:BK14)</f>
        <v>40753</v>
      </c>
      <c r="BM14" s="41"/>
      <c r="BN14" s="286">
        <f>BI14-BB14</f>
        <v>347.2761351096924</v>
      </c>
      <c r="BO14" s="286">
        <f t="shared" si="0"/>
        <v>-5790.3239226959413</v>
      </c>
      <c r="BP14" s="286">
        <f t="shared" si="0"/>
        <v>12910.727112163</v>
      </c>
      <c r="BQ14" s="61">
        <f>SUM(BN14:BP14)</f>
        <v>7467.6793245767512</v>
      </c>
      <c r="BR14" s="61">
        <f>ABS(BQ14)</f>
        <v>7467.6793245767512</v>
      </c>
      <c r="BS14" s="61"/>
      <c r="BT14" s="354">
        <f t="shared" si="1"/>
        <v>4.2326364766004869E-2</v>
      </c>
      <c r="BU14" s="354">
        <f t="shared" si="1"/>
        <v>-0.37111932500472183</v>
      </c>
      <c r="BV14" s="354">
        <f t="shared" si="1"/>
        <v>1.3621392066829707</v>
      </c>
      <c r="BW14" s="354">
        <f>BQ14/BG14</f>
        <v>0.22435353402169958</v>
      </c>
      <c r="BX14" s="355">
        <f>ABS(BW14)</f>
        <v>0.22435353402169958</v>
      </c>
    </row>
    <row r="15" spans="1:76" x14ac:dyDescent="0.2">
      <c r="B15" s="1"/>
      <c r="C15" s="1"/>
      <c r="D15" s="1"/>
      <c r="E15" s="1"/>
      <c r="F15" s="1"/>
      <c r="G15" s="1"/>
      <c r="H15" s="1"/>
      <c r="I15" s="1"/>
      <c r="Q15" s="1"/>
      <c r="Z15" s="129"/>
      <c r="AA15" s="130"/>
      <c r="AB15" s="131"/>
      <c r="AC15" s="129"/>
      <c r="AD15" s="129"/>
      <c r="AE15" s="129"/>
      <c r="AF15" s="129"/>
      <c r="AG15" s="129"/>
      <c r="AH15" s="129"/>
      <c r="AI15" s="129"/>
      <c r="AJ15" s="129"/>
      <c r="AK15" s="131"/>
      <c r="AL15" s="131"/>
      <c r="AM15" s="131"/>
      <c r="AN15" s="131"/>
      <c r="AO15" s="131"/>
      <c r="AP15" s="131"/>
      <c r="AQ15" s="131"/>
      <c r="AR15" s="131"/>
      <c r="AS15" s="131"/>
      <c r="AT15" s="131"/>
      <c r="AZ15" s="1">
        <v>2002</v>
      </c>
      <c r="BA15" s="88">
        <v>534.79942062477687</v>
      </c>
      <c r="BB15" s="88">
        <v>8843.4619232023506</v>
      </c>
      <c r="BC15" s="88">
        <v>18812.217915666297</v>
      </c>
      <c r="BD15" s="88">
        <v>5262.7340546909145</v>
      </c>
      <c r="BE15" s="88">
        <v>0</v>
      </c>
      <c r="BF15" s="88">
        <v>33453.213314184337</v>
      </c>
      <c r="BG15" s="41">
        <v>32918.413893559562</v>
      </c>
      <c r="BI15" s="41">
        <v>9836</v>
      </c>
      <c r="BJ15" s="41">
        <v>24490</v>
      </c>
      <c r="BK15" s="41">
        <v>9479</v>
      </c>
      <c r="BL15" s="41">
        <f>SUM(BI15:BK15)</f>
        <v>43805</v>
      </c>
      <c r="BM15" s="41"/>
      <c r="BN15" s="286">
        <f>BI15-BB15</f>
        <v>992.53807679764941</v>
      </c>
      <c r="BO15" s="286">
        <f t="shared" si="0"/>
        <v>5677.7820843337031</v>
      </c>
      <c r="BP15" s="286">
        <f t="shared" si="0"/>
        <v>4216.2659453090855</v>
      </c>
      <c r="BQ15" s="61">
        <f>SUM(BN15:BP15)</f>
        <v>10886.586106440438</v>
      </c>
      <c r="BR15" s="61">
        <f>ABS(BQ15)</f>
        <v>10886.586106440438</v>
      </c>
      <c r="BS15" s="61"/>
      <c r="BT15" s="354">
        <f t="shared" si="1"/>
        <v>0.11223410983356577</v>
      </c>
      <c r="BU15" s="354">
        <f t="shared" si="1"/>
        <v>0.3018135399976099</v>
      </c>
      <c r="BV15" s="354">
        <f t="shared" si="1"/>
        <v>0.80115504631113477</v>
      </c>
      <c r="BW15" s="354">
        <f>BQ15/BG15</f>
        <v>0.33071417540473852</v>
      </c>
      <c r="BX15" s="355">
        <f>ABS(BW15)</f>
        <v>0.33071417540473852</v>
      </c>
    </row>
    <row r="16" spans="1:76" x14ac:dyDescent="0.2">
      <c r="B16" s="1"/>
      <c r="C16" s="1"/>
      <c r="D16" s="1"/>
      <c r="E16" s="1"/>
      <c r="F16" s="1"/>
      <c r="G16" s="1"/>
      <c r="H16" s="1"/>
      <c r="I16" s="1"/>
      <c r="Q16" s="1"/>
      <c r="Z16" s="129"/>
      <c r="AA16" s="130"/>
      <c r="AB16" s="131"/>
      <c r="AC16" s="129"/>
      <c r="AD16" s="129"/>
      <c r="AE16" s="129"/>
      <c r="AF16" s="129"/>
      <c r="AG16" s="129"/>
      <c r="AH16" s="129"/>
      <c r="AI16" s="129"/>
      <c r="AJ16" s="129"/>
      <c r="AK16" s="131"/>
      <c r="AL16" s="131"/>
      <c r="AM16" s="131"/>
      <c r="AN16" s="131"/>
      <c r="AO16" s="131"/>
      <c r="AP16" s="131"/>
      <c r="AQ16" s="131"/>
      <c r="AR16" s="131"/>
      <c r="AS16" s="131"/>
      <c r="AT16" s="131"/>
      <c r="AZ16" s="1">
        <v>2003</v>
      </c>
      <c r="BA16" s="88">
        <v>463.28463671394064</v>
      </c>
      <c r="BB16" s="88">
        <v>16307.619212330712</v>
      </c>
      <c r="BC16" s="88">
        <v>22052.348707583576</v>
      </c>
      <c r="BD16" s="88">
        <v>6393.4021121942496</v>
      </c>
      <c r="BE16" s="88">
        <v>0</v>
      </c>
      <c r="BF16" s="88">
        <v>45216.654668822477</v>
      </c>
      <c r="BG16" s="41">
        <v>44753.370032108534</v>
      </c>
      <c r="BI16" s="41">
        <v>8308</v>
      </c>
      <c r="BJ16" s="41">
        <v>21793</v>
      </c>
      <c r="BK16" s="41">
        <v>10940</v>
      </c>
      <c r="BL16" s="41">
        <f>SUM(BI16:BK16)</f>
        <v>41041</v>
      </c>
      <c r="BM16" s="41"/>
      <c r="BN16" s="286">
        <f>BI16-BB16</f>
        <v>-7999.6192123307119</v>
      </c>
      <c r="BO16" s="286">
        <f t="shared" si="0"/>
        <v>-259.34870758357647</v>
      </c>
      <c r="BP16" s="286">
        <f t="shared" si="0"/>
        <v>4546.5978878057504</v>
      </c>
      <c r="BQ16" s="61">
        <f>SUM(BN16:BP16)</f>
        <v>-3712.370032108538</v>
      </c>
      <c r="BR16" s="61">
        <f>ABS(BQ16)</f>
        <v>3712.370032108538</v>
      </c>
      <c r="BS16" s="61"/>
      <c r="BT16" s="354">
        <f t="shared" si="1"/>
        <v>-0.49054488629964721</v>
      </c>
      <c r="BU16" s="354">
        <f t="shared" si="1"/>
        <v>-1.1760593441658626E-2</v>
      </c>
      <c r="BV16" s="354">
        <f t="shared" si="1"/>
        <v>0.71113904741482525</v>
      </c>
      <c r="BW16" s="354">
        <f>BQ16/BG16</f>
        <v>-8.2951742616144422E-2</v>
      </c>
      <c r="BX16" s="355">
        <f>ABS(BW16)</f>
        <v>8.2951742616144422E-2</v>
      </c>
    </row>
    <row r="17" spans="1:77" ht="15.75" x14ac:dyDescent="0.2">
      <c r="B17" s="1"/>
      <c r="C17" s="1"/>
      <c r="D17" s="1"/>
      <c r="E17" s="1"/>
      <c r="F17" s="1"/>
      <c r="G17" s="1"/>
      <c r="H17" s="1"/>
      <c r="I17" s="1"/>
      <c r="Q17" s="1"/>
      <c r="Z17" s="129"/>
      <c r="AA17" s="130"/>
      <c r="AB17" s="131"/>
      <c r="AC17" s="129"/>
      <c r="AD17" s="129"/>
      <c r="AE17" s="129"/>
      <c r="AF17" s="129"/>
      <c r="AG17" s="129"/>
      <c r="AH17" s="129"/>
      <c r="AI17" s="129"/>
      <c r="AJ17" s="129"/>
      <c r="AK17" s="131"/>
      <c r="AL17" s="131"/>
      <c r="AM17" s="131"/>
      <c r="AN17" s="131"/>
      <c r="AO17" s="131"/>
      <c r="AP17" s="131"/>
      <c r="AQ17" s="131"/>
      <c r="AR17" s="131"/>
      <c r="AS17" s="131"/>
      <c r="AT17" s="131"/>
      <c r="BI17" s="285"/>
      <c r="BJ17" s="274"/>
      <c r="BN17" s="286"/>
      <c r="BO17" s="286"/>
      <c r="BP17" s="286"/>
      <c r="BQ17" s="287"/>
      <c r="BR17" s="275"/>
      <c r="BS17" s="275"/>
      <c r="BT17" s="275"/>
      <c r="BU17" s="275"/>
      <c r="BV17" s="275"/>
      <c r="BW17" s="275"/>
    </row>
    <row r="18" spans="1:77" ht="15.75" x14ac:dyDescent="0.2">
      <c r="B18" s="1"/>
      <c r="C18" s="1"/>
      <c r="D18" s="1"/>
      <c r="E18" s="1"/>
      <c r="F18" s="1"/>
      <c r="G18" s="1"/>
      <c r="H18" s="1"/>
      <c r="I18" s="1"/>
      <c r="Q18" s="1"/>
      <c r="Z18" s="129"/>
      <c r="AA18" s="130"/>
      <c r="AB18" s="131"/>
      <c r="AC18" s="129"/>
      <c r="AD18" s="129"/>
      <c r="AE18" s="129"/>
      <c r="AF18" s="129"/>
      <c r="AG18" s="129"/>
      <c r="AH18" s="129"/>
      <c r="AI18" s="129"/>
      <c r="AJ18" s="129"/>
      <c r="AK18" s="131"/>
      <c r="AL18" s="131"/>
      <c r="AM18" s="131"/>
      <c r="AN18" s="131"/>
      <c r="AO18" s="131"/>
      <c r="AP18" s="131"/>
      <c r="AQ18" s="131"/>
      <c r="AR18" s="131"/>
      <c r="AS18" s="131"/>
      <c r="AT18" s="131"/>
      <c r="BI18" s="285"/>
      <c r="BJ18" s="274"/>
      <c r="BL18" s="36" t="s">
        <v>449</v>
      </c>
      <c r="BN18" s="286">
        <f>AVERAGE(BN12:BN16)</f>
        <v>-1505.2562821012539</v>
      </c>
      <c r="BO18" s="286">
        <f t="shared" ref="BO18:BX18" si="2">AVERAGE(BO12:BO16)</f>
        <v>-3737.6027324295778</v>
      </c>
      <c r="BP18" s="286">
        <f t="shared" si="2"/>
        <v>5069.5279592864372</v>
      </c>
      <c r="BQ18" s="286">
        <f t="shared" si="2"/>
        <v>-173.33105524439452</v>
      </c>
      <c r="BR18" s="286">
        <f t="shared" si="2"/>
        <v>7515.0372276512699</v>
      </c>
      <c r="BS18" s="286"/>
      <c r="BT18" s="354">
        <f t="shared" si="2"/>
        <v>-1.5903045643532953E-3</v>
      </c>
      <c r="BU18" s="354">
        <f t="shared" si="2"/>
        <v>-0.12925581904052275</v>
      </c>
      <c r="BV18" s="354">
        <f t="shared" si="2"/>
        <v>0.78044006420760115</v>
      </c>
      <c r="BW18" s="354">
        <f t="shared" si="2"/>
        <v>1.2791213531581394E-2</v>
      </c>
      <c r="BX18" s="354">
        <f t="shared" si="2"/>
        <v>0.20923587023899382</v>
      </c>
    </row>
    <row r="19" spans="1:77" x14ac:dyDescent="0.2">
      <c r="B19" s="1"/>
      <c r="C19" s="1"/>
      <c r="D19" s="1"/>
      <c r="E19" s="1"/>
      <c r="F19" s="1"/>
      <c r="G19" s="1"/>
      <c r="H19" s="1"/>
      <c r="I19" s="1"/>
      <c r="Q19" s="1"/>
      <c r="Z19" s="129"/>
      <c r="AA19" s="130"/>
      <c r="AB19" s="131"/>
      <c r="AC19" s="129"/>
      <c r="AD19" s="129"/>
      <c r="AE19" s="129"/>
      <c r="AF19" s="129"/>
      <c r="AG19" s="129"/>
      <c r="AH19" s="129"/>
      <c r="AI19" s="129"/>
      <c r="AJ19" s="129"/>
      <c r="AK19" s="131"/>
      <c r="AL19" s="131"/>
      <c r="AM19" s="131"/>
      <c r="AN19" s="131"/>
      <c r="AO19" s="131"/>
      <c r="AP19" s="131"/>
      <c r="AQ19" s="131"/>
      <c r="AR19" s="131"/>
      <c r="AS19" s="131"/>
      <c r="AT19" s="131"/>
      <c r="AZ19" s="1"/>
      <c r="BA19" s="88"/>
      <c r="BB19" s="88"/>
      <c r="BC19" s="88"/>
      <c r="BD19" s="88"/>
      <c r="BE19" s="88"/>
      <c r="BF19" s="88"/>
      <c r="BG19" s="41"/>
      <c r="BI19" s="273"/>
      <c r="BJ19" s="274"/>
      <c r="BK19" s="275"/>
      <c r="BL19" s="273"/>
      <c r="BM19" s="273"/>
      <c r="BN19" s="275"/>
      <c r="BO19" s="275"/>
      <c r="BP19" s="275"/>
      <c r="BQ19" s="275"/>
      <c r="BR19" s="275"/>
      <c r="BS19" s="275"/>
      <c r="BT19" s="275"/>
      <c r="BU19" s="275"/>
      <c r="BV19" s="275"/>
      <c r="BW19" s="275"/>
    </row>
    <row r="20" spans="1:77" x14ac:dyDescent="0.2">
      <c r="B20" s="1"/>
      <c r="C20" s="1"/>
      <c r="D20" s="1"/>
      <c r="E20" s="1"/>
      <c r="F20" s="1"/>
      <c r="G20" s="1"/>
      <c r="H20" s="1"/>
      <c r="I20" s="1"/>
      <c r="Q20" s="1"/>
      <c r="Z20" s="129"/>
      <c r="AA20" s="130"/>
      <c r="AB20" s="131"/>
      <c r="AC20" s="129"/>
      <c r="AD20" s="129"/>
      <c r="AE20" s="129"/>
      <c r="AF20" s="129"/>
      <c r="AG20" s="129"/>
      <c r="AH20" s="129"/>
      <c r="AI20" s="129"/>
      <c r="AJ20" s="129"/>
      <c r="AK20" s="131"/>
      <c r="AL20" s="131"/>
      <c r="AM20" s="131"/>
      <c r="AN20" s="131"/>
      <c r="AO20" s="131"/>
      <c r="AP20" s="131"/>
      <c r="AQ20" s="131"/>
      <c r="AR20" s="131"/>
      <c r="AS20" s="131"/>
      <c r="AT20" s="131"/>
      <c r="AZ20" s="1"/>
      <c r="BA20" s="88"/>
      <c r="BB20" s="88"/>
      <c r="BC20" s="88"/>
      <c r="BD20" s="88"/>
      <c r="BE20" s="88"/>
      <c r="BF20" s="88"/>
      <c r="BG20" s="41"/>
      <c r="BI20" s="273"/>
      <c r="BJ20" s="274"/>
      <c r="BK20" s="275"/>
      <c r="BL20" s="273"/>
      <c r="BM20" s="273"/>
      <c r="BN20" s="275"/>
      <c r="BO20" s="275"/>
      <c r="BP20" s="275"/>
      <c r="BQ20" s="275"/>
      <c r="BR20" s="275"/>
      <c r="BS20" s="275"/>
      <c r="BT20" s="275"/>
      <c r="BU20" s="275"/>
      <c r="BV20" s="275"/>
      <c r="BW20" s="275"/>
    </row>
    <row r="21" spans="1:77" x14ac:dyDescent="0.2">
      <c r="A21" s="5"/>
      <c r="B21" s="306"/>
      <c r="C21" s="306"/>
      <c r="D21" s="306"/>
      <c r="E21" s="306"/>
      <c r="F21" s="306"/>
      <c r="G21" s="306"/>
      <c r="H21" s="306"/>
      <c r="I21" s="306"/>
      <c r="Q21" s="1"/>
      <c r="Z21" s="272" t="s">
        <v>394</v>
      </c>
      <c r="AA21" s="132"/>
      <c r="AB21" s="133"/>
      <c r="AC21" s="132"/>
      <c r="AD21" s="132"/>
      <c r="AE21" s="132"/>
      <c r="AF21" s="132"/>
      <c r="AG21" s="132"/>
      <c r="AH21" s="132"/>
      <c r="AI21" s="132"/>
      <c r="AJ21" s="132"/>
      <c r="AK21" s="133"/>
      <c r="AL21" s="133"/>
      <c r="AM21" s="133"/>
      <c r="AN21" s="133"/>
      <c r="AO21" s="133"/>
      <c r="AP21" s="133"/>
      <c r="AQ21" s="133"/>
      <c r="AR21" s="133"/>
      <c r="AS21" s="133"/>
      <c r="AT21" s="133"/>
      <c r="AU21" s="1"/>
      <c r="AV21" s="1"/>
      <c r="AZ21" s="1"/>
      <c r="BA21" s="88"/>
      <c r="BB21" s="88"/>
      <c r="BC21" s="88"/>
      <c r="BD21" s="88"/>
      <c r="BE21" s="88"/>
      <c r="BF21" s="88"/>
      <c r="BG21" s="41"/>
      <c r="BI21" s="274"/>
      <c r="BJ21"/>
      <c r="BP21"/>
      <c r="BQ21" s="275"/>
      <c r="BR21" s="275"/>
      <c r="BS21" s="275"/>
      <c r="BT21" s="275"/>
      <c r="BU21" s="275"/>
      <c r="BV21" s="275"/>
      <c r="BW21" s="275"/>
    </row>
    <row r="22" spans="1:77" x14ac:dyDescent="0.2">
      <c r="B22" s="1"/>
      <c r="C22" s="1"/>
      <c r="D22" s="1"/>
      <c r="E22" s="1"/>
      <c r="F22" s="1"/>
      <c r="G22" s="1"/>
      <c r="H22" s="1"/>
      <c r="I22" s="1"/>
      <c r="Q22" s="1"/>
      <c r="Z22" s="134"/>
      <c r="AA22" s="135">
        <v>17500</v>
      </c>
      <c r="AB22" s="136"/>
      <c r="AC22" s="134"/>
      <c r="AD22" s="136"/>
      <c r="AE22" s="136"/>
      <c r="AF22" s="136"/>
      <c r="AG22" s="136"/>
      <c r="AH22" s="136"/>
      <c r="AI22" s="136"/>
      <c r="AJ22" s="136"/>
      <c r="AK22" s="136"/>
      <c r="AL22" s="136"/>
      <c r="AM22" s="136"/>
      <c r="AN22" s="136"/>
      <c r="AO22" s="136"/>
      <c r="AP22" s="136"/>
      <c r="AQ22" s="136"/>
      <c r="AR22" s="136"/>
      <c r="AS22" s="136"/>
      <c r="AT22" s="136"/>
      <c r="AU22" s="1"/>
      <c r="AV22" s="1"/>
      <c r="AZ22" s="1"/>
      <c r="BA22" s="88"/>
      <c r="BB22" s="88"/>
      <c r="BC22" s="88"/>
      <c r="BD22" s="88"/>
      <c r="BE22" s="88"/>
      <c r="BF22" s="88"/>
      <c r="BG22" s="41"/>
      <c r="BI22" s="273"/>
      <c r="BJ22"/>
      <c r="BP22"/>
      <c r="BQ22" s="275"/>
      <c r="BR22" s="275"/>
      <c r="BS22" s="275"/>
      <c r="BT22" s="275"/>
      <c r="BU22" s="275"/>
      <c r="BV22" s="275"/>
      <c r="BW22" s="275"/>
    </row>
    <row r="23" spans="1:77" ht="18.75" x14ac:dyDescent="0.3">
      <c r="B23" s="1"/>
      <c r="C23" s="1"/>
      <c r="D23" s="1"/>
      <c r="E23" s="128"/>
      <c r="F23" s="1"/>
      <c r="G23" s="1"/>
      <c r="H23" s="1"/>
      <c r="I23" s="1"/>
      <c r="Q23" s="1"/>
      <c r="Z23" s="129"/>
      <c r="AA23" s="129"/>
      <c r="AB23" s="131"/>
      <c r="AC23" s="129"/>
      <c r="AD23" s="137" t="s">
        <v>48</v>
      </c>
      <c r="AE23" s="138"/>
      <c r="AF23" s="138"/>
      <c r="AG23" s="138"/>
      <c r="AH23" s="138"/>
      <c r="AI23" s="138"/>
      <c r="AJ23" s="138"/>
      <c r="AK23" s="138"/>
      <c r="AL23" s="138"/>
      <c r="AM23" s="140"/>
      <c r="AN23" s="140"/>
      <c r="AO23" s="140"/>
      <c r="AP23" s="140"/>
      <c r="AQ23" s="138"/>
      <c r="AR23" s="138"/>
      <c r="AS23" s="138"/>
      <c r="AT23" s="138"/>
      <c r="AU23" s="1"/>
      <c r="AZ23" s="1"/>
      <c r="BA23" s="88"/>
      <c r="BB23" s="88"/>
      <c r="BC23" s="88"/>
      <c r="BD23" s="88"/>
      <c r="BE23" s="88"/>
      <c r="BF23" s="88"/>
      <c r="BG23" s="41"/>
      <c r="BI23" s="273"/>
      <c r="BQ23" s="275"/>
      <c r="BR23" s="275"/>
      <c r="BS23" s="275"/>
      <c r="BT23" s="275"/>
      <c r="BU23" s="275"/>
      <c r="BV23" s="275"/>
      <c r="BW23" s="275"/>
    </row>
    <row r="24" spans="1:77" ht="15.75" x14ac:dyDescent="0.25">
      <c r="A24" s="1"/>
      <c r="B24" s="1"/>
      <c r="C24" s="1"/>
      <c r="D24" s="1"/>
      <c r="E24" s="1"/>
      <c r="F24" s="1"/>
      <c r="G24" s="1"/>
      <c r="H24" s="1"/>
      <c r="I24" s="1"/>
      <c r="Q24" s="1"/>
      <c r="Z24" s="129"/>
      <c r="AA24" s="129"/>
      <c r="AB24" s="131"/>
      <c r="AC24" s="129"/>
      <c r="AD24" s="139" t="s">
        <v>557</v>
      </c>
      <c r="AE24" s="140"/>
      <c r="AF24" s="140"/>
      <c r="AG24" s="140"/>
      <c r="AH24" s="140"/>
      <c r="AI24" s="131"/>
      <c r="AJ24" s="133"/>
      <c r="AK24" s="131"/>
      <c r="AL24" s="131"/>
      <c r="AM24" s="131"/>
      <c r="AN24" s="131"/>
      <c r="AO24" s="133"/>
      <c r="AP24" s="131"/>
      <c r="AQ24" s="133"/>
      <c r="AR24" s="133"/>
      <c r="AS24" s="131"/>
      <c r="AT24" s="131"/>
      <c r="AU24" s="131"/>
      <c r="AV24" s="131"/>
      <c r="AW24" s="160"/>
      <c r="AX24" s="160"/>
      <c r="AZ24" s="1"/>
      <c r="BA24" s="88"/>
      <c r="BB24" s="88"/>
      <c r="BC24" s="88"/>
      <c r="BD24" s="88"/>
      <c r="BE24" s="88"/>
      <c r="BF24" s="88"/>
      <c r="BG24" s="41"/>
      <c r="BI24" s="273"/>
      <c r="BQ24" s="276"/>
      <c r="BR24" s="276"/>
      <c r="BS24" s="276"/>
      <c r="BT24" s="276"/>
      <c r="BU24" s="276"/>
      <c r="BV24" s="276"/>
      <c r="BW24" s="276"/>
    </row>
    <row r="25" spans="1:77" ht="16.5" x14ac:dyDescent="0.25">
      <c r="A25" s="1"/>
      <c r="B25" s="1"/>
      <c r="C25" s="1"/>
      <c r="D25" s="1"/>
      <c r="E25" s="88"/>
      <c r="F25" s="88"/>
      <c r="G25" s="88"/>
      <c r="H25" s="128"/>
      <c r="I25" s="1"/>
      <c r="Q25" s="1"/>
      <c r="Z25" s="131"/>
      <c r="AA25" s="129"/>
      <c r="AB25" s="131"/>
      <c r="AC25" s="131"/>
      <c r="AD25" s="141" t="s">
        <v>565</v>
      </c>
      <c r="AE25" s="141"/>
      <c r="AF25" s="142" t="s">
        <v>566</v>
      </c>
      <c r="AG25" s="141" t="s">
        <v>567</v>
      </c>
      <c r="AH25" s="141"/>
      <c r="AI25" s="143" t="s">
        <v>568</v>
      </c>
      <c r="AJ25" s="11"/>
      <c r="AK25" s="161" t="s">
        <v>556</v>
      </c>
      <c r="AL25" s="11"/>
      <c r="AM25" s="139"/>
      <c r="AN25" s="136"/>
      <c r="AO25" s="136"/>
      <c r="AP25" s="162" t="s">
        <v>581</v>
      </c>
      <c r="AQ25" s="136"/>
      <c r="AR25" s="133"/>
      <c r="AS25" s="133"/>
      <c r="AT25" s="133"/>
      <c r="AU25" s="133"/>
      <c r="AV25" s="133"/>
      <c r="AZ25" s="1"/>
      <c r="BA25" s="88"/>
      <c r="BB25" s="88"/>
      <c r="BC25" s="88"/>
      <c r="BD25" s="88"/>
      <c r="BE25" s="88"/>
      <c r="BF25" s="88"/>
      <c r="BG25" s="41"/>
      <c r="BI25" s="273"/>
      <c r="BQ25" s="275"/>
      <c r="BR25" s="275"/>
      <c r="BS25" s="275"/>
      <c r="BT25" s="275"/>
      <c r="BU25" s="275"/>
      <c r="BV25" s="275"/>
      <c r="BW25" s="275"/>
    </row>
    <row r="26" spans="1:77" ht="16.5" x14ac:dyDescent="0.25">
      <c r="A26" s="1"/>
      <c r="B26" s="1"/>
      <c r="C26" s="1"/>
      <c r="D26" s="1"/>
      <c r="E26" s="88"/>
      <c r="F26" s="88"/>
      <c r="G26" s="88"/>
      <c r="H26" s="128"/>
      <c r="I26" s="1"/>
      <c r="Q26" s="1"/>
      <c r="Z26" s="129" t="s">
        <v>563</v>
      </c>
      <c r="AA26" s="129" t="s">
        <v>570</v>
      </c>
      <c r="AB26" s="131"/>
      <c r="AC26" s="129"/>
      <c r="AD26" s="138" t="s">
        <v>572</v>
      </c>
      <c r="AE26" s="138"/>
      <c r="AF26" s="129"/>
      <c r="AG26" s="138" t="s">
        <v>573</v>
      </c>
      <c r="AH26" s="138"/>
      <c r="AI26" s="131"/>
      <c r="AJ26" s="129" t="s">
        <v>52</v>
      </c>
      <c r="AK26" s="131"/>
      <c r="AL26" s="129" t="s">
        <v>485</v>
      </c>
      <c r="AM26" s="131"/>
      <c r="AN26" s="129" t="s">
        <v>42</v>
      </c>
      <c r="AO26" s="131"/>
      <c r="AP26" s="129" t="s">
        <v>49</v>
      </c>
      <c r="AQ26" s="131"/>
      <c r="AR26" s="139" t="s">
        <v>548</v>
      </c>
      <c r="AS26" s="139"/>
      <c r="AT26" s="138"/>
      <c r="AZ26" s="1"/>
      <c r="BA26" s="88"/>
      <c r="BB26" s="88"/>
      <c r="BC26" s="88"/>
      <c r="BD26" s="88"/>
      <c r="BE26" s="88"/>
      <c r="BF26" s="88"/>
      <c r="BG26" s="41"/>
      <c r="BI26" s="275"/>
      <c r="BQ26" s="275"/>
      <c r="BR26" s="278"/>
      <c r="BS26" s="278"/>
      <c r="BT26" s="278"/>
      <c r="BU26" s="275"/>
      <c r="BV26" s="280"/>
      <c r="BW26" s="275"/>
    </row>
    <row r="27" spans="1:77" ht="15.75" x14ac:dyDescent="0.25">
      <c r="A27" s="1"/>
      <c r="B27" s="1"/>
      <c r="C27" s="1"/>
      <c r="D27" s="1"/>
      <c r="E27" s="88"/>
      <c r="F27" s="88"/>
      <c r="G27" s="88"/>
      <c r="H27" s="128"/>
      <c r="I27" s="1"/>
      <c r="Z27" s="134" t="s">
        <v>416</v>
      </c>
      <c r="AA27" s="134" t="s">
        <v>402</v>
      </c>
      <c r="AB27" s="136"/>
      <c r="AC27" s="134" t="s">
        <v>531</v>
      </c>
      <c r="AD27" s="134" t="s">
        <v>577</v>
      </c>
      <c r="AE27" s="134" t="s">
        <v>578</v>
      </c>
      <c r="AF27" s="134"/>
      <c r="AG27" s="134" t="s">
        <v>577</v>
      </c>
      <c r="AH27" s="134" t="s">
        <v>578</v>
      </c>
      <c r="AI27" s="136"/>
      <c r="AJ27" s="134" t="s">
        <v>577</v>
      </c>
      <c r="AK27" s="131"/>
      <c r="AL27" s="134" t="s">
        <v>577</v>
      </c>
      <c r="AM27" s="136"/>
      <c r="AN27" s="134" t="s">
        <v>577</v>
      </c>
      <c r="AO27" s="136"/>
      <c r="AP27" s="134" t="s">
        <v>577</v>
      </c>
      <c r="AQ27" s="136"/>
      <c r="AR27" s="134" t="s">
        <v>577</v>
      </c>
      <c r="AS27" s="134"/>
      <c r="AT27" s="134" t="s">
        <v>578</v>
      </c>
      <c r="AZ27" s="1"/>
      <c r="BA27" s="88"/>
      <c r="BB27" s="88"/>
      <c r="BC27" s="88"/>
      <c r="BD27" s="88"/>
      <c r="BE27" s="88"/>
      <c r="BF27" s="88"/>
      <c r="BG27" s="41"/>
      <c r="BI27" s="273"/>
      <c r="BQ27" s="273"/>
      <c r="BR27" s="275"/>
      <c r="BS27" s="275"/>
      <c r="BT27" s="273"/>
      <c r="BU27" s="275"/>
      <c r="BV27" s="280"/>
      <c r="BW27" s="277"/>
      <c r="BX27" s="281"/>
      <c r="BY27" s="275"/>
    </row>
    <row r="28" spans="1:77" ht="15.75" x14ac:dyDescent="0.2">
      <c r="A28" s="1"/>
      <c r="B28" s="1"/>
      <c r="C28" s="1"/>
      <c r="D28" s="1"/>
      <c r="E28" s="88"/>
      <c r="F28" s="88"/>
      <c r="G28" s="88"/>
      <c r="H28" s="128"/>
      <c r="I28" s="1"/>
      <c r="Z28" s="129">
        <v>1995</v>
      </c>
      <c r="AA28" s="144">
        <v>10048</v>
      </c>
      <c r="AB28" s="145" t="s">
        <v>579</v>
      </c>
      <c r="AC28" s="144">
        <v>6</v>
      </c>
      <c r="AD28" s="144">
        <f>G53</f>
        <v>6727</v>
      </c>
      <c r="AE28" s="146">
        <f>AD28/AD$32</f>
        <v>0.24700741719908936</v>
      </c>
      <c r="AF28" s="129"/>
      <c r="AG28" s="144">
        <f>G54</f>
        <v>10058</v>
      </c>
      <c r="AH28" s="146">
        <f>AG28/AG$32</f>
        <v>0.26245335699188477</v>
      </c>
      <c r="AI28" s="129"/>
      <c r="AJ28" s="144">
        <f>G57</f>
        <v>14375</v>
      </c>
      <c r="AK28" s="131"/>
      <c r="AL28" s="144">
        <f>G55</f>
        <v>22389</v>
      </c>
      <c r="AM28" s="131"/>
      <c r="AN28" s="144">
        <f>G56</f>
        <v>19813</v>
      </c>
      <c r="AO28" s="131"/>
      <c r="AP28" s="144">
        <f>G58</f>
        <v>35555</v>
      </c>
      <c r="AQ28" s="131"/>
      <c r="AR28" s="144">
        <f>G60</f>
        <v>22389</v>
      </c>
      <c r="AS28" s="144"/>
      <c r="AT28" s="146">
        <f>AR28/AR$32</f>
        <v>0.54934916759701147</v>
      </c>
      <c r="AZ28" s="1"/>
      <c r="BA28" s="88"/>
      <c r="BB28" s="88"/>
      <c r="BC28" s="88"/>
      <c r="BD28" s="88"/>
      <c r="BE28" s="88"/>
      <c r="BF28" s="88"/>
      <c r="BG28" s="41"/>
      <c r="BI28" s="273"/>
      <c r="BQ28" s="273"/>
      <c r="BR28" s="275"/>
      <c r="BS28" s="275"/>
      <c r="BT28" s="273"/>
      <c r="BU28" s="275"/>
      <c r="BV28" s="273"/>
      <c r="BW28" s="273"/>
      <c r="BX28" s="273"/>
      <c r="BY28" s="273"/>
    </row>
    <row r="29" spans="1:77" ht="15.75" x14ac:dyDescent="0.2">
      <c r="A29" s="1"/>
      <c r="B29" s="1"/>
      <c r="C29" s="1"/>
      <c r="D29" s="1"/>
      <c r="E29" s="88"/>
      <c r="F29" s="88"/>
      <c r="G29" s="88"/>
      <c r="H29" s="128"/>
      <c r="I29" s="1"/>
      <c r="Z29" s="132">
        <v>1996</v>
      </c>
      <c r="AA29" s="147">
        <v>14354</v>
      </c>
      <c r="AB29" s="145" t="s">
        <v>579</v>
      </c>
      <c r="AC29" s="144">
        <v>5</v>
      </c>
      <c r="AD29" s="144">
        <f>F53</f>
        <v>12919</v>
      </c>
      <c r="AE29" s="146">
        <f>AD29/AD$32</f>
        <v>0.47437027245355073</v>
      </c>
      <c r="AF29" s="129"/>
      <c r="AG29" s="144">
        <f>F54</f>
        <v>18750</v>
      </c>
      <c r="AH29" s="146">
        <f>AG29/AG$32</f>
        <v>0.48926232288703914</v>
      </c>
      <c r="AI29" s="129"/>
      <c r="AJ29" s="144">
        <f>F57</f>
        <v>6237</v>
      </c>
      <c r="AK29" s="131"/>
      <c r="AL29" s="144">
        <f>F55</f>
        <v>9815</v>
      </c>
      <c r="AM29" s="131"/>
      <c r="AN29" s="144">
        <f>F56</f>
        <v>8956</v>
      </c>
      <c r="AO29" s="131"/>
      <c r="AP29" s="144">
        <f>F58</f>
        <v>15101</v>
      </c>
      <c r="AQ29" s="131"/>
      <c r="AR29" s="144">
        <f>F60</f>
        <v>9815</v>
      </c>
      <c r="AS29" s="144"/>
      <c r="AT29" s="146">
        <f>AR29/AR$32</f>
        <v>0.24082639152997756</v>
      </c>
      <c r="AV29" s="13" t="s">
        <v>56</v>
      </c>
      <c r="AW29" s="13" t="s">
        <v>57</v>
      </c>
      <c r="AZ29" s="1"/>
      <c r="BA29" s="88"/>
      <c r="BB29" s="88"/>
      <c r="BC29" s="88"/>
      <c r="BD29" s="88"/>
      <c r="BE29" s="88"/>
      <c r="BF29" s="88"/>
      <c r="BG29" s="41"/>
      <c r="BI29" s="273"/>
      <c r="BQ29" s="282"/>
      <c r="BR29" s="275"/>
      <c r="BS29" s="275"/>
      <c r="BT29" s="282"/>
      <c r="BU29" s="275"/>
      <c r="BV29" s="282"/>
      <c r="BW29" s="282"/>
      <c r="BX29" s="282"/>
      <c r="BY29" s="284"/>
    </row>
    <row r="30" spans="1:77" ht="15.75" x14ac:dyDescent="0.2">
      <c r="A30" s="1"/>
      <c r="B30" s="1"/>
      <c r="C30" s="1"/>
      <c r="D30" s="1"/>
      <c r="E30" s="1"/>
      <c r="F30" s="1"/>
      <c r="G30" s="1"/>
      <c r="H30" s="1"/>
      <c r="I30" s="1"/>
      <c r="Z30" s="132">
        <v>1997</v>
      </c>
      <c r="AA30" s="241">
        <v>35578</v>
      </c>
      <c r="AB30" s="242" t="s">
        <v>579</v>
      </c>
      <c r="AC30" s="147">
        <v>4</v>
      </c>
      <c r="AD30" s="149">
        <f>E53</f>
        <v>7588</v>
      </c>
      <c r="AE30" s="150">
        <f>AD30/AD$32</f>
        <v>0.2786223103473599</v>
      </c>
      <c r="AF30" s="134"/>
      <c r="AG30" s="149">
        <f>E54</f>
        <v>9515</v>
      </c>
      <c r="AH30" s="150">
        <f>AG30/AG$32</f>
        <v>0.24828432012107612</v>
      </c>
      <c r="AI30" s="134"/>
      <c r="AJ30" s="149" t="s">
        <v>46</v>
      </c>
      <c r="AK30" s="131"/>
      <c r="AL30" s="149" t="s">
        <v>46</v>
      </c>
      <c r="AM30" s="148"/>
      <c r="AN30" s="149" t="s">
        <v>46</v>
      </c>
      <c r="AO30" s="148"/>
      <c r="AP30" s="149" t="s">
        <v>46</v>
      </c>
      <c r="AQ30" s="148"/>
      <c r="AR30" s="149">
        <f>E60</f>
        <v>8551.5</v>
      </c>
      <c r="AS30" s="148" t="s">
        <v>580</v>
      </c>
      <c r="AT30" s="150">
        <f>AR30/AR$32</f>
        <v>0.209824440873011</v>
      </c>
      <c r="AV30" s="13" t="s">
        <v>55</v>
      </c>
      <c r="AW30" s="13" t="s">
        <v>55</v>
      </c>
      <c r="AZ30" s="1"/>
      <c r="BA30" s="88"/>
      <c r="BB30" s="88"/>
      <c r="BC30" s="88"/>
      <c r="BD30" s="88"/>
      <c r="BE30" s="88"/>
      <c r="BF30" s="88"/>
      <c r="BG30" s="41"/>
      <c r="BI30" s="273"/>
      <c r="BJ30" s="282"/>
      <c r="BQ30" s="282"/>
      <c r="BR30" s="275"/>
      <c r="BS30" s="275"/>
      <c r="BT30" s="282"/>
      <c r="BU30" s="275"/>
      <c r="BV30" s="282"/>
      <c r="BW30" s="282"/>
      <c r="BX30" s="282"/>
      <c r="BY30" s="284"/>
    </row>
    <row r="31" spans="1:77" ht="15.75" x14ac:dyDescent="0.2">
      <c r="A31" s="1"/>
      <c r="B31" s="1"/>
      <c r="C31" s="1"/>
      <c r="D31" s="1"/>
      <c r="E31" s="88"/>
      <c r="F31" s="88"/>
      <c r="G31" s="88"/>
      <c r="H31" s="128"/>
      <c r="I31" s="1"/>
      <c r="Z31" s="130" t="s">
        <v>582</v>
      </c>
      <c r="AA31" s="129"/>
      <c r="AB31" s="131"/>
      <c r="AC31" s="129"/>
      <c r="AD31" s="144">
        <f>AD29+AD28</f>
        <v>19646</v>
      </c>
      <c r="AE31" s="146">
        <f>AD31/AD32</f>
        <v>0.72137768965264004</v>
      </c>
      <c r="AF31" s="129"/>
      <c r="AG31" s="144">
        <f>AG29+AG28</f>
        <v>28808</v>
      </c>
      <c r="AH31" s="146">
        <f>AG31/AG32</f>
        <v>0.75171567987892385</v>
      </c>
      <c r="AI31" s="129"/>
      <c r="AJ31" s="144">
        <f>AJ29+AJ28</f>
        <v>20612</v>
      </c>
      <c r="AK31" s="131"/>
      <c r="AL31" s="144">
        <f>AL29+AL28</f>
        <v>32204</v>
      </c>
      <c r="AM31" s="131"/>
      <c r="AN31" s="144">
        <f>AN29+AN28</f>
        <v>28769</v>
      </c>
      <c r="AO31" s="131"/>
      <c r="AP31" s="144">
        <f>AP29+AP28</f>
        <v>50656</v>
      </c>
      <c r="AQ31" s="131"/>
      <c r="AR31" s="144">
        <f>AR29+AR28</f>
        <v>32204</v>
      </c>
      <c r="AS31" s="144"/>
      <c r="AT31" s="146">
        <f>AR31/AR32</f>
        <v>0.790175559126989</v>
      </c>
      <c r="AV31" s="10">
        <f>AJ31+AR30</f>
        <v>29163.5</v>
      </c>
      <c r="AW31" s="10">
        <f>AP31+AR30</f>
        <v>59207.5</v>
      </c>
      <c r="AZ31" s="1"/>
      <c r="BA31" s="88"/>
      <c r="BB31" s="88"/>
      <c r="BC31" s="88"/>
      <c r="BD31" s="88"/>
      <c r="BE31" s="88"/>
      <c r="BF31" s="88"/>
      <c r="BG31" s="41"/>
      <c r="BI31" s="273"/>
      <c r="BJ31" s="283"/>
      <c r="BQ31" s="282"/>
      <c r="BR31" s="279"/>
      <c r="BS31" s="279"/>
      <c r="BT31" s="282"/>
      <c r="BU31" s="279"/>
      <c r="BV31" s="282"/>
      <c r="BW31" s="279"/>
      <c r="BX31" s="282"/>
      <c r="BY31" s="284"/>
    </row>
    <row r="32" spans="1:77" x14ac:dyDescent="0.2">
      <c r="A32" s="1"/>
      <c r="B32" s="1"/>
      <c r="C32" s="1"/>
      <c r="D32" s="1"/>
      <c r="E32" s="88"/>
      <c r="F32" s="88"/>
      <c r="G32" s="88"/>
      <c r="H32" s="128"/>
      <c r="I32" s="1"/>
      <c r="Z32" s="151" t="s">
        <v>583</v>
      </c>
      <c r="AA32" s="152"/>
      <c r="AB32" s="136"/>
      <c r="AC32" s="134"/>
      <c r="AD32" s="153">
        <f>SUM(AD28:AD30)</f>
        <v>27234</v>
      </c>
      <c r="AE32" s="150">
        <f>SUM(AE28:AE30)</f>
        <v>1</v>
      </c>
      <c r="AF32" s="134"/>
      <c r="AG32" s="153">
        <f>SUM(AG28:AG30)</f>
        <v>38323</v>
      </c>
      <c r="AH32" s="150">
        <f>SUM(AH28:AH30)</f>
        <v>1</v>
      </c>
      <c r="AI32" s="134"/>
      <c r="AJ32" s="149" t="s">
        <v>46</v>
      </c>
      <c r="AK32" s="131"/>
      <c r="AL32" s="149" t="s">
        <v>46</v>
      </c>
      <c r="AM32" s="136"/>
      <c r="AN32" s="149" t="s">
        <v>46</v>
      </c>
      <c r="AO32" s="136"/>
      <c r="AP32" s="149" t="s">
        <v>46</v>
      </c>
      <c r="AQ32" s="136"/>
      <c r="AR32" s="153">
        <f>SUM(AR28:AR30)</f>
        <v>40755.5</v>
      </c>
      <c r="AS32" s="153"/>
      <c r="AT32" s="150">
        <f>SUM(AT28:AT30)</f>
        <v>1</v>
      </c>
      <c r="BY32" s="284"/>
    </row>
    <row r="33" spans="1:77" x14ac:dyDescent="0.2">
      <c r="A33" s="1"/>
      <c r="B33" s="1"/>
      <c r="C33" s="1"/>
      <c r="D33" s="1"/>
      <c r="E33" s="88"/>
      <c r="F33" s="88"/>
      <c r="G33" s="88"/>
      <c r="H33" s="128"/>
      <c r="I33" s="1"/>
      <c r="Z33" s="154" t="s">
        <v>584</v>
      </c>
      <c r="AA33" s="132"/>
      <c r="AB33" s="133"/>
      <c r="AC33" s="132"/>
      <c r="AD33" s="155">
        <f>AD31-17500</f>
        <v>2146</v>
      </c>
      <c r="AE33" s="156"/>
      <c r="AF33" s="132"/>
      <c r="AG33" s="155">
        <f>AG31-17500</f>
        <v>11308</v>
      </c>
      <c r="AH33" s="156"/>
      <c r="AI33" s="132"/>
      <c r="AJ33" s="155">
        <f>AJ31-17500</f>
        <v>3112</v>
      </c>
      <c r="AK33" s="131"/>
      <c r="AL33" s="155">
        <f>AL31-17500</f>
        <v>14704</v>
      </c>
      <c r="AM33" s="133"/>
      <c r="AN33" s="155">
        <f>AN31-17500</f>
        <v>11269</v>
      </c>
      <c r="AO33" s="133"/>
      <c r="AP33" s="155">
        <f>AP31-17500</f>
        <v>33156</v>
      </c>
      <c r="AQ33" s="133"/>
      <c r="AR33" s="155">
        <f>AR31-17500</f>
        <v>14704</v>
      </c>
      <c r="AS33" s="147"/>
      <c r="AT33" s="156"/>
      <c r="BY33" s="284"/>
    </row>
    <row r="34" spans="1:77" x14ac:dyDescent="0.2">
      <c r="A34" s="1"/>
      <c r="B34" s="306"/>
      <c r="C34" s="306"/>
      <c r="D34" s="306"/>
      <c r="E34" s="306"/>
      <c r="F34" s="306"/>
      <c r="G34" s="306"/>
      <c r="H34" s="306"/>
      <c r="I34" s="306"/>
      <c r="Z34" s="157" t="s">
        <v>585</v>
      </c>
      <c r="AA34" s="138"/>
      <c r="AB34" s="136"/>
      <c r="AC34" s="134"/>
      <c r="AD34" s="149">
        <f>AD32-17500</f>
        <v>9734</v>
      </c>
      <c r="AE34" s="134"/>
      <c r="AF34" s="134"/>
      <c r="AG34" s="149">
        <f>AG32-17500</f>
        <v>20823</v>
      </c>
      <c r="AH34" s="134"/>
      <c r="AI34" s="134"/>
      <c r="AJ34" s="149"/>
      <c r="AK34" s="131"/>
      <c r="AL34" s="149"/>
      <c r="AM34" s="136"/>
      <c r="AN34" s="149"/>
      <c r="AO34" s="136"/>
      <c r="AP34" s="149"/>
      <c r="AQ34" s="136"/>
      <c r="AR34" s="149">
        <f>AR32-17500</f>
        <v>23255.5</v>
      </c>
      <c r="AS34" s="149"/>
      <c r="AT34" s="136"/>
      <c r="AV34" s="147">
        <f>AV31-17500</f>
        <v>11663.5</v>
      </c>
      <c r="AW34" s="147">
        <f>AW31-17500</f>
        <v>41707.5</v>
      </c>
      <c r="BY34" s="284"/>
    </row>
    <row r="35" spans="1:77" ht="15.75" x14ac:dyDescent="0.2">
      <c r="B35" s="1"/>
      <c r="C35" s="1"/>
      <c r="D35" s="1"/>
      <c r="E35" s="1"/>
      <c r="F35" s="1"/>
      <c r="G35" s="1"/>
      <c r="H35" s="1"/>
      <c r="I35" s="1"/>
      <c r="Z35" s="158" t="s">
        <v>566</v>
      </c>
      <c r="AA35" s="159" t="s">
        <v>43</v>
      </c>
      <c r="AB35" s="129"/>
      <c r="AC35" s="129"/>
      <c r="AD35" s="129"/>
      <c r="AE35" s="129"/>
      <c r="AF35" s="129"/>
      <c r="AG35" s="129"/>
      <c r="AH35" s="129"/>
      <c r="AI35" s="129"/>
      <c r="AJ35" s="129"/>
      <c r="AK35" s="131"/>
      <c r="AL35" s="131"/>
      <c r="AM35" s="131"/>
      <c r="AN35" s="131"/>
      <c r="AO35" s="131"/>
      <c r="AP35" s="131"/>
      <c r="AQ35" s="131"/>
      <c r="AR35" s="131"/>
      <c r="AS35" s="133"/>
      <c r="AT35" s="131"/>
      <c r="BY35" s="275"/>
    </row>
    <row r="36" spans="1:77" ht="15.75" x14ac:dyDescent="0.2">
      <c r="B36" s="1"/>
      <c r="C36" s="1"/>
      <c r="D36" s="1"/>
      <c r="E36" s="1"/>
      <c r="F36" s="1"/>
      <c r="G36" s="1"/>
      <c r="H36" s="1"/>
      <c r="I36" s="1"/>
      <c r="Z36" s="158" t="s">
        <v>568</v>
      </c>
      <c r="AA36" s="159" t="s">
        <v>44</v>
      </c>
      <c r="AB36" s="129"/>
      <c r="AC36" s="129"/>
      <c r="AD36" s="129"/>
      <c r="AE36" s="129"/>
      <c r="AF36" s="129"/>
      <c r="AG36" s="129"/>
      <c r="AH36" s="129"/>
      <c r="AI36" s="129"/>
      <c r="AJ36" s="129"/>
      <c r="AK36" s="131"/>
      <c r="AL36" s="131"/>
      <c r="AM36" s="131"/>
      <c r="AN36" s="131"/>
      <c r="AO36" s="131"/>
      <c r="AP36" s="131"/>
      <c r="AQ36" s="131"/>
      <c r="AR36" s="131"/>
      <c r="AS36" s="131"/>
      <c r="AT36" s="131"/>
    </row>
    <row r="37" spans="1:77" ht="15.75" x14ac:dyDescent="0.2">
      <c r="B37" s="1"/>
      <c r="C37" s="1"/>
      <c r="D37" s="1"/>
      <c r="E37" s="88"/>
      <c r="F37" s="88"/>
      <c r="G37" s="88"/>
      <c r="H37" s="128"/>
      <c r="I37" s="1"/>
      <c r="Z37" s="158" t="s">
        <v>579</v>
      </c>
      <c r="AA37" s="130" t="s">
        <v>2</v>
      </c>
      <c r="AB37" s="129"/>
      <c r="AC37" s="129"/>
      <c r="AD37" s="129"/>
      <c r="AE37" s="129"/>
      <c r="AF37" s="129"/>
      <c r="AG37" s="129"/>
      <c r="AH37" s="129"/>
      <c r="AI37" s="129"/>
      <c r="AJ37" s="129"/>
      <c r="AK37" s="131"/>
      <c r="AL37" s="131"/>
      <c r="AM37" s="131"/>
      <c r="AN37" s="131"/>
      <c r="AO37" s="131"/>
      <c r="AP37" s="131"/>
      <c r="AQ37" s="131"/>
      <c r="AR37" s="131"/>
      <c r="AS37" s="131"/>
      <c r="AT37" s="131"/>
      <c r="AU37" s="1"/>
    </row>
    <row r="38" spans="1:77" ht="15.75" x14ac:dyDescent="0.2">
      <c r="B38" s="1"/>
      <c r="C38" s="1"/>
      <c r="D38" s="1"/>
      <c r="E38" s="88"/>
      <c r="F38" s="88"/>
      <c r="G38" s="88"/>
      <c r="H38" s="128"/>
      <c r="I38" s="1"/>
      <c r="Z38" s="158" t="s">
        <v>580</v>
      </c>
      <c r="AA38" s="159" t="s">
        <v>45</v>
      </c>
      <c r="AB38" s="129"/>
      <c r="AC38" s="129"/>
      <c r="AD38" s="129"/>
      <c r="AE38" s="129"/>
      <c r="AF38" s="129"/>
      <c r="AG38" s="129"/>
      <c r="AH38" s="129"/>
      <c r="AI38" s="129"/>
      <c r="AJ38" s="129"/>
      <c r="AK38" s="131"/>
      <c r="AL38" s="131"/>
      <c r="AM38" s="131"/>
      <c r="AN38" s="131"/>
      <c r="AO38" s="131"/>
      <c r="AP38" s="131"/>
      <c r="AQ38" s="131"/>
      <c r="AR38" s="131"/>
      <c r="AS38" s="131"/>
      <c r="AT38" s="131"/>
      <c r="AU38" s="1"/>
    </row>
    <row r="39" spans="1:77" ht="15.75" x14ac:dyDescent="0.2">
      <c r="B39" s="1"/>
      <c r="C39" s="1"/>
      <c r="D39" s="1"/>
      <c r="E39" s="88"/>
      <c r="F39" s="88"/>
      <c r="G39" s="88"/>
      <c r="H39" s="128"/>
      <c r="I39" s="1"/>
      <c r="Z39" s="158" t="s">
        <v>581</v>
      </c>
      <c r="AA39" s="159" t="s">
        <v>54</v>
      </c>
      <c r="AB39" s="129"/>
      <c r="AC39" s="129"/>
      <c r="AD39" s="129"/>
      <c r="AE39" s="131"/>
      <c r="AF39" s="129"/>
      <c r="AG39" s="129"/>
      <c r="AH39" s="129"/>
      <c r="AI39" s="129"/>
      <c r="AJ39" s="129"/>
      <c r="AK39" s="131"/>
      <c r="AL39" s="131"/>
      <c r="AM39" s="131"/>
      <c r="AN39" s="131"/>
      <c r="AO39" s="131"/>
      <c r="AP39" s="131"/>
      <c r="AQ39" s="131"/>
      <c r="AR39" s="131"/>
      <c r="AS39" s="131"/>
      <c r="AT39" s="131"/>
      <c r="BI39" s="285"/>
      <c r="BJ39" s="274"/>
      <c r="BN39" s="286"/>
      <c r="BO39" s="286"/>
      <c r="BP39" s="287"/>
      <c r="BQ39" s="287"/>
      <c r="BR39" s="275"/>
      <c r="BS39" s="275"/>
      <c r="BT39" s="275"/>
      <c r="BU39" s="275"/>
      <c r="BV39" s="275"/>
      <c r="BW39" s="275"/>
    </row>
    <row r="40" spans="1:77" ht="15.75" x14ac:dyDescent="0.2">
      <c r="B40" s="1"/>
      <c r="C40" s="1"/>
      <c r="D40" s="1"/>
      <c r="E40" s="88"/>
      <c r="F40" s="88"/>
      <c r="G40" s="88"/>
      <c r="H40" s="128"/>
      <c r="I40" s="1"/>
      <c r="Z40" s="158"/>
      <c r="AA40" s="159"/>
      <c r="AB40" s="129"/>
      <c r="AC40" s="129"/>
      <c r="AD40" s="129"/>
      <c r="AE40" s="131"/>
      <c r="AF40" s="129"/>
      <c r="AG40" s="129"/>
      <c r="AH40" s="129"/>
      <c r="AI40" s="129"/>
      <c r="AJ40" s="129"/>
      <c r="AK40" s="131"/>
      <c r="AL40" s="131"/>
      <c r="AM40" s="131"/>
      <c r="AN40" s="131"/>
      <c r="AO40" s="131"/>
      <c r="AP40" s="131"/>
      <c r="AQ40" s="131"/>
      <c r="AR40" s="131"/>
      <c r="AS40" s="131"/>
      <c r="AT40" s="131"/>
      <c r="BI40" s="285"/>
      <c r="BJ40" s="274"/>
      <c r="BP40" s="275"/>
      <c r="BQ40" s="275"/>
      <c r="BR40" s="275"/>
      <c r="BS40" s="275"/>
      <c r="BT40" s="275"/>
      <c r="BU40" s="275"/>
      <c r="BV40" s="275"/>
      <c r="BW40" s="275"/>
      <c r="BX40" s="287"/>
      <c r="BY40" s="288"/>
    </row>
    <row r="41" spans="1:77" ht="15.75" x14ac:dyDescent="0.2">
      <c r="B41" s="1"/>
      <c r="C41" s="1"/>
      <c r="D41" s="1"/>
      <c r="E41" s="88"/>
      <c r="F41" s="88"/>
      <c r="G41" s="88"/>
      <c r="H41" s="128"/>
      <c r="I41" s="1"/>
      <c r="Z41" s="158"/>
      <c r="AA41" s="159"/>
      <c r="AB41" s="129"/>
      <c r="AC41" s="129"/>
      <c r="AD41" s="129"/>
      <c r="AE41" s="131"/>
      <c r="AF41" s="129"/>
      <c r="AG41" s="129"/>
      <c r="AH41" s="129"/>
      <c r="AI41" s="129"/>
      <c r="AJ41" s="129"/>
      <c r="AK41" s="131"/>
      <c r="AL41" s="131"/>
      <c r="AM41" s="131"/>
      <c r="AN41" s="131"/>
      <c r="AO41" s="131"/>
      <c r="AP41" s="131"/>
      <c r="AQ41" s="131"/>
      <c r="AR41" s="131"/>
      <c r="AS41" s="131"/>
      <c r="AT41" s="131"/>
      <c r="BI41" s="285"/>
      <c r="BJ41" s="274"/>
      <c r="BP41" s="275"/>
      <c r="BQ41" s="275"/>
      <c r="BR41" s="275"/>
      <c r="BS41" s="275"/>
      <c r="BT41" s="275"/>
      <c r="BU41" s="275"/>
      <c r="BV41" s="275"/>
      <c r="BW41" s="275"/>
      <c r="BX41" s="287"/>
      <c r="BY41" s="275"/>
    </row>
    <row r="42" spans="1:77" x14ac:dyDescent="0.2">
      <c r="B42" s="1"/>
      <c r="C42" s="1"/>
      <c r="D42" s="1"/>
      <c r="E42" s="1"/>
      <c r="F42" s="1"/>
      <c r="G42" s="1"/>
      <c r="H42" s="1"/>
      <c r="I42" s="1"/>
      <c r="Z42" s="5" t="s">
        <v>16</v>
      </c>
      <c r="AA42" s="5"/>
      <c r="AB42" s="5"/>
      <c r="AC42" s="5"/>
      <c r="AD42" s="5"/>
      <c r="AE42" s="5"/>
      <c r="AF42" s="5"/>
      <c r="AG42" s="5"/>
      <c r="AH42" s="5"/>
      <c r="AI42" s="5"/>
      <c r="AJ42" s="5"/>
      <c r="AK42" s="5"/>
      <c r="AL42" s="5"/>
      <c r="AM42" s="5"/>
      <c r="AN42" s="5"/>
      <c r="AY42" s="36"/>
      <c r="BK42" s="290"/>
      <c r="BL42" s="179"/>
      <c r="BX42" s="275"/>
      <c r="BY42" s="275"/>
    </row>
    <row r="43" spans="1:77" x14ac:dyDescent="0.2">
      <c r="B43" s="1"/>
      <c r="C43" s="1"/>
      <c r="D43" s="1"/>
      <c r="E43" s="88"/>
      <c r="F43" s="88"/>
      <c r="G43" s="88"/>
      <c r="H43" s="128"/>
      <c r="I43" s="1"/>
      <c r="J43" s="1"/>
      <c r="Z43" s="5"/>
      <c r="AA43" s="5"/>
      <c r="AB43" s="5"/>
      <c r="AC43" s="5"/>
      <c r="AD43" s="5"/>
      <c r="AE43" s="5"/>
      <c r="AF43" s="5"/>
      <c r="AG43" s="5"/>
      <c r="AH43" s="5"/>
      <c r="AI43" s="5"/>
      <c r="AJ43" s="5"/>
      <c r="AK43" s="5"/>
      <c r="AL43" s="5"/>
      <c r="AM43" s="5"/>
      <c r="AN43" s="40"/>
      <c r="AY43" s="36"/>
      <c r="BK43" s="129"/>
      <c r="BL43" s="179"/>
      <c r="BX43" s="275"/>
      <c r="BY43" s="275"/>
    </row>
    <row r="44" spans="1:77" x14ac:dyDescent="0.2">
      <c r="B44" s="1"/>
      <c r="C44" s="1"/>
      <c r="D44" s="1"/>
      <c r="E44" s="88"/>
      <c r="F44" s="88"/>
      <c r="G44" s="88"/>
      <c r="H44" s="128"/>
      <c r="I44" s="1"/>
      <c r="J44" s="1"/>
      <c r="Z44" s="5"/>
      <c r="AA44" s="5"/>
      <c r="AB44" s="5"/>
      <c r="AC44" s="5"/>
      <c r="AD44" s="5"/>
      <c r="AE44" s="5"/>
      <c r="AF44" s="5"/>
      <c r="AG44" s="5"/>
      <c r="AH44" s="5"/>
      <c r="AI44" s="5"/>
      <c r="AJ44" s="5"/>
      <c r="AK44" s="5"/>
      <c r="AL44" s="5"/>
      <c r="AM44" s="5"/>
      <c r="AN44" s="40"/>
      <c r="AY44" s="36"/>
      <c r="BX44" s="275"/>
      <c r="BY44" s="275"/>
    </row>
    <row r="45" spans="1:77" x14ac:dyDescent="0.2">
      <c r="B45" s="1"/>
      <c r="C45" s="1"/>
      <c r="D45" s="1"/>
      <c r="E45" s="88"/>
      <c r="F45" s="88"/>
      <c r="G45" s="88"/>
      <c r="H45" s="128"/>
      <c r="I45" s="1"/>
      <c r="Z45" s="5"/>
      <c r="AA45" s="5"/>
      <c r="AB45" s="5"/>
      <c r="AC45" s="5"/>
      <c r="AD45" s="5"/>
      <c r="AE45" s="5"/>
      <c r="AF45" s="5"/>
      <c r="AG45" s="5"/>
      <c r="AH45" s="5"/>
      <c r="AI45" s="5"/>
      <c r="AJ45" s="5"/>
      <c r="AK45" s="5"/>
      <c r="AL45" s="5"/>
      <c r="AM45" s="5"/>
      <c r="AN45" s="40"/>
      <c r="AY45" s="36"/>
    </row>
    <row r="46" spans="1:77" x14ac:dyDescent="0.2">
      <c r="A46" s="307" t="s">
        <v>336</v>
      </c>
      <c r="B46" s="1"/>
      <c r="C46" s="1"/>
      <c r="D46" s="1"/>
      <c r="E46" s="88"/>
      <c r="F46" s="88"/>
      <c r="G46" s="88"/>
      <c r="H46" s="128"/>
      <c r="I46" s="1"/>
      <c r="Z46" s="13" t="s">
        <v>26</v>
      </c>
      <c r="AA46" s="91" t="s">
        <v>40</v>
      </c>
      <c r="AC46" s="13"/>
      <c r="AD46" s="13"/>
      <c r="AE46" s="13"/>
      <c r="AG46" s="13"/>
      <c r="AH46" s="13"/>
      <c r="AI46" s="13"/>
      <c r="AJ46" s="13"/>
      <c r="AK46" s="13"/>
      <c r="AL46" s="13"/>
      <c r="AM46" s="13"/>
      <c r="AN46" s="13"/>
      <c r="AY46" s="36"/>
    </row>
    <row r="47" spans="1:77" x14ac:dyDescent="0.2">
      <c r="A47" s="1"/>
      <c r="B47" s="1"/>
      <c r="C47" s="1"/>
      <c r="D47" s="1"/>
      <c r="E47" s="88"/>
      <c r="F47" s="88"/>
      <c r="G47" s="88"/>
      <c r="H47" s="128"/>
      <c r="I47" s="1"/>
      <c r="Z47" s="13"/>
      <c r="AA47" s="91" t="s">
        <v>13</v>
      </c>
      <c r="AC47" s="13"/>
      <c r="AD47" s="13"/>
      <c r="AE47" s="13"/>
      <c r="AG47" s="13"/>
      <c r="AH47" s="13"/>
      <c r="AI47" s="13"/>
      <c r="AJ47" s="13"/>
      <c r="AK47" s="13"/>
      <c r="AL47" s="13"/>
      <c r="AM47" s="13"/>
      <c r="AN47" s="13"/>
      <c r="AY47" s="36"/>
    </row>
    <row r="48" spans="1:77" x14ac:dyDescent="0.2">
      <c r="A48" s="1"/>
      <c r="B48" s="306"/>
      <c r="C48" s="306"/>
      <c r="D48" s="306"/>
      <c r="E48" s="306"/>
      <c r="F48" s="306"/>
      <c r="G48" s="306"/>
      <c r="H48" s="306"/>
      <c r="I48" s="306"/>
      <c r="Z48" s="17"/>
      <c r="AA48" s="17"/>
      <c r="AB48" s="11"/>
      <c r="AC48" s="17"/>
      <c r="AD48" s="17"/>
      <c r="AE48" s="17"/>
      <c r="AF48" s="11"/>
      <c r="AG48" s="17"/>
      <c r="AH48" s="17"/>
      <c r="AI48" s="17"/>
      <c r="AJ48" s="17"/>
      <c r="AK48" s="17"/>
      <c r="AL48" s="17"/>
      <c r="AM48" s="17"/>
      <c r="AN48" s="17"/>
      <c r="AO48" s="11"/>
      <c r="AP48" s="11"/>
      <c r="AQ48" s="11"/>
      <c r="AR48" s="11"/>
      <c r="AS48" s="11"/>
      <c r="AT48" s="11"/>
      <c r="AU48" s="11"/>
      <c r="AY48" s="36"/>
    </row>
    <row r="49" spans="1:56" ht="18" x14ac:dyDescent="0.25">
      <c r="A49" s="1"/>
      <c r="B49" s="1"/>
      <c r="C49" s="133" t="s">
        <v>374</v>
      </c>
      <c r="D49" s="133"/>
      <c r="E49" s="310"/>
      <c r="F49" s="310"/>
      <c r="G49" s="310"/>
      <c r="H49" s="321"/>
      <c r="I49" s="131"/>
      <c r="Z49" s="42"/>
      <c r="AA49" s="240">
        <v>17500</v>
      </c>
      <c r="AB49" s="1"/>
      <c r="AC49" s="42"/>
      <c r="AD49" s="42"/>
      <c r="AE49" s="42"/>
      <c r="AF49" s="1"/>
      <c r="AG49" s="92" t="s">
        <v>555</v>
      </c>
      <c r="AH49" s="93"/>
      <c r="AI49" s="93"/>
      <c r="AJ49" s="93"/>
      <c r="AK49" s="93"/>
      <c r="AL49" s="93"/>
      <c r="AM49" s="93"/>
      <c r="AN49" s="94"/>
      <c r="AO49" s="93"/>
      <c r="AP49" s="93"/>
      <c r="AQ49" s="95"/>
      <c r="AR49" s="95"/>
      <c r="AS49" s="95"/>
      <c r="AT49" s="95"/>
      <c r="AY49" s="36"/>
    </row>
    <row r="50" spans="1:56" ht="15.75" x14ac:dyDescent="0.25">
      <c r="A50" s="1"/>
      <c r="C50" s="136" t="s">
        <v>373</v>
      </c>
      <c r="D50" s="323"/>
      <c r="E50" s="323"/>
      <c r="F50" s="323"/>
      <c r="G50" s="323"/>
      <c r="H50" s="323"/>
      <c r="I50" s="324"/>
      <c r="J50" s="1"/>
      <c r="K50" s="1"/>
      <c r="Z50" s="13"/>
      <c r="AA50" s="13"/>
      <c r="AC50" s="13"/>
      <c r="AD50" s="13"/>
      <c r="AE50" s="13"/>
      <c r="AG50" s="17"/>
      <c r="AH50" s="13"/>
      <c r="AI50" s="13"/>
      <c r="AJ50" s="13"/>
      <c r="AK50" s="13"/>
      <c r="AM50" s="96" t="s">
        <v>556</v>
      </c>
      <c r="AN50" s="93"/>
      <c r="AO50" s="93"/>
      <c r="AP50" s="93"/>
      <c r="AQ50" s="95"/>
      <c r="AY50" s="36"/>
    </row>
    <row r="51" spans="1:56" ht="15.75" x14ac:dyDescent="0.25">
      <c r="A51" s="1"/>
      <c r="B51" s="25"/>
      <c r="C51" s="131"/>
      <c r="D51" s="131"/>
      <c r="E51" s="325"/>
      <c r="F51" s="316" t="s">
        <v>345</v>
      </c>
      <c r="G51" s="325"/>
      <c r="H51" s="325"/>
      <c r="I51" s="133"/>
      <c r="J51" s="1"/>
      <c r="K51" s="1"/>
      <c r="Z51" s="13"/>
      <c r="AA51" s="13"/>
      <c r="AC51" s="13"/>
      <c r="AD51" s="13"/>
      <c r="AE51" s="13"/>
      <c r="AG51" s="96" t="s">
        <v>557</v>
      </c>
      <c r="AH51" s="95"/>
      <c r="AI51" s="95"/>
      <c r="AJ51" s="95"/>
      <c r="AK51" s="95"/>
      <c r="AM51" s="97" t="s">
        <v>561</v>
      </c>
      <c r="AN51" s="32"/>
      <c r="AO51" s="98"/>
      <c r="AP51" s="32" t="s">
        <v>562</v>
      </c>
      <c r="AQ51" s="99"/>
      <c r="AR51" s="98"/>
      <c r="AY51" s="36"/>
    </row>
    <row r="52" spans="1:56" ht="14.25" x14ac:dyDescent="0.2">
      <c r="A52" s="1"/>
      <c r="B52" s="25"/>
      <c r="C52" s="136" t="s">
        <v>532</v>
      </c>
      <c r="D52" s="136"/>
      <c r="E52" s="136" t="s">
        <v>390</v>
      </c>
      <c r="F52" s="136" t="s">
        <v>391</v>
      </c>
      <c r="G52" s="136" t="s">
        <v>392</v>
      </c>
      <c r="H52" s="136" t="s">
        <v>426</v>
      </c>
      <c r="I52" s="133"/>
      <c r="J52" s="1"/>
      <c r="K52" s="1"/>
      <c r="AA52" s="13" t="s">
        <v>564</v>
      </c>
      <c r="AD52" s="118" t="s">
        <v>14</v>
      </c>
      <c r="AE52" s="118"/>
      <c r="AF52" s="118"/>
      <c r="AG52" s="32" t="s">
        <v>565</v>
      </c>
      <c r="AH52" s="32"/>
      <c r="AI52" s="98" t="s">
        <v>566</v>
      </c>
      <c r="AJ52" s="32" t="s">
        <v>567</v>
      </c>
      <c r="AK52" s="32"/>
      <c r="AL52" s="100" t="s">
        <v>568</v>
      </c>
      <c r="AM52" s="99" t="s">
        <v>569</v>
      </c>
      <c r="AN52" s="99"/>
      <c r="AO52" s="1"/>
      <c r="AP52" s="99" t="s">
        <v>569</v>
      </c>
      <c r="AQ52" s="99"/>
      <c r="AS52" s="1"/>
      <c r="AT52" s="1"/>
      <c r="AY52" s="36"/>
    </row>
    <row r="53" spans="1:56" ht="15.75" x14ac:dyDescent="0.25">
      <c r="A53" s="1"/>
      <c r="B53" s="25"/>
      <c r="C53" s="133" t="s">
        <v>381</v>
      </c>
      <c r="D53" s="133"/>
      <c r="E53" s="310">
        <v>7588</v>
      </c>
      <c r="F53" s="310">
        <v>12919</v>
      </c>
      <c r="G53" s="310">
        <v>6727</v>
      </c>
      <c r="H53" s="318">
        <f>SUM(E53:G53)</f>
        <v>27234</v>
      </c>
      <c r="I53" s="133"/>
      <c r="J53" s="89"/>
      <c r="K53" s="89"/>
      <c r="Z53" s="13" t="s">
        <v>563</v>
      </c>
      <c r="AA53" s="13" t="s">
        <v>570</v>
      </c>
      <c r="AC53" s="13" t="s">
        <v>571</v>
      </c>
      <c r="AD53" s="111"/>
      <c r="AE53" s="111"/>
      <c r="AF53" s="111" t="s">
        <v>22</v>
      </c>
      <c r="AG53" s="93" t="s">
        <v>572</v>
      </c>
      <c r="AH53" s="93"/>
      <c r="AI53" s="13"/>
      <c r="AJ53" s="93" t="s">
        <v>573</v>
      </c>
      <c r="AK53" s="93"/>
      <c r="AM53" s="93" t="s">
        <v>574</v>
      </c>
      <c r="AN53" s="93"/>
      <c r="AP53" s="93" t="s">
        <v>574</v>
      </c>
      <c r="AQ53" s="93"/>
      <c r="AS53" s="96" t="s">
        <v>575</v>
      </c>
      <c r="AT53" s="93"/>
      <c r="AU53" s="11"/>
      <c r="AY53" s="36"/>
    </row>
    <row r="54" spans="1:56" x14ac:dyDescent="0.2">
      <c r="A54" s="1"/>
      <c r="B54" s="25"/>
      <c r="C54" s="133" t="s">
        <v>382</v>
      </c>
      <c r="D54" s="133"/>
      <c r="E54" s="310">
        <v>9515</v>
      </c>
      <c r="F54" s="310">
        <v>18750</v>
      </c>
      <c r="G54" s="310">
        <v>10058</v>
      </c>
      <c r="H54" s="318">
        <f>SUM(E54:G54)</f>
        <v>38323</v>
      </c>
      <c r="I54" s="133"/>
      <c r="J54" s="89"/>
      <c r="K54" s="89"/>
      <c r="Z54" s="17" t="s">
        <v>416</v>
      </c>
      <c r="AA54" s="17" t="s">
        <v>402</v>
      </c>
      <c r="AB54" s="11"/>
      <c r="AC54" s="17" t="s">
        <v>576</v>
      </c>
      <c r="AD54" s="112" t="s">
        <v>15</v>
      </c>
      <c r="AE54" s="112"/>
      <c r="AF54" s="112" t="s">
        <v>23</v>
      </c>
      <c r="AG54" s="17" t="s">
        <v>577</v>
      </c>
      <c r="AH54" s="17" t="s">
        <v>578</v>
      </c>
      <c r="AI54" s="17"/>
      <c r="AJ54" s="17" t="s">
        <v>577</v>
      </c>
      <c r="AK54" s="17" t="s">
        <v>578</v>
      </c>
      <c r="AL54" s="11"/>
      <c r="AM54" s="17" t="s">
        <v>577</v>
      </c>
      <c r="AN54" s="17" t="s">
        <v>578</v>
      </c>
      <c r="AO54" s="11"/>
      <c r="AP54" s="17" t="s">
        <v>577</v>
      </c>
      <c r="AQ54" s="17" t="s">
        <v>578</v>
      </c>
      <c r="AR54" s="11"/>
      <c r="AS54" s="17" t="s">
        <v>577</v>
      </c>
      <c r="AT54" s="17" t="s">
        <v>578</v>
      </c>
      <c r="AU54" s="11"/>
      <c r="AY54" s="36"/>
    </row>
    <row r="55" spans="1:56" x14ac:dyDescent="0.2">
      <c r="A55" s="1"/>
      <c r="B55" s="25"/>
      <c r="C55" s="133" t="s">
        <v>331</v>
      </c>
      <c r="D55" s="133"/>
      <c r="E55" s="129" t="s">
        <v>356</v>
      </c>
      <c r="F55" s="310">
        <v>9815</v>
      </c>
      <c r="G55" s="310">
        <v>22389</v>
      </c>
      <c r="H55" s="318" t="s">
        <v>356</v>
      </c>
      <c r="I55" s="133"/>
      <c r="J55" s="89"/>
      <c r="K55" s="89"/>
      <c r="Z55" s="13"/>
      <c r="AA55" s="13"/>
      <c r="AC55" s="13"/>
      <c r="AD55" s="111"/>
      <c r="AE55" s="111"/>
      <c r="AF55" s="110"/>
      <c r="AG55" s="13"/>
      <c r="AH55" s="13"/>
      <c r="AI55" s="13"/>
      <c r="AJ55" s="13"/>
      <c r="AK55" s="13"/>
      <c r="AL55" s="13"/>
      <c r="AM55" s="13"/>
      <c r="AN55" s="13"/>
      <c r="AY55" s="36"/>
    </row>
    <row r="56" spans="1:56" ht="14.25" x14ac:dyDescent="0.2">
      <c r="A56" s="1"/>
      <c r="B56" s="25"/>
      <c r="C56" s="133" t="s">
        <v>547</v>
      </c>
      <c r="D56" s="133"/>
      <c r="E56" s="317" t="s">
        <v>356</v>
      </c>
      <c r="F56" s="310">
        <v>8956</v>
      </c>
      <c r="G56" s="310">
        <v>19813</v>
      </c>
      <c r="H56" s="318" t="s">
        <v>356</v>
      </c>
      <c r="I56" s="133"/>
      <c r="J56" s="1"/>
      <c r="K56" s="1"/>
      <c r="Z56" s="13">
        <v>1994</v>
      </c>
      <c r="AA56" s="10">
        <v>5330</v>
      </c>
      <c r="AB56" s="101" t="s">
        <v>579</v>
      </c>
      <c r="AC56" s="10">
        <v>6</v>
      </c>
      <c r="AD56" s="113">
        <f>Master!BW44</f>
        <v>4416.0035800613459</v>
      </c>
      <c r="AE56" s="113"/>
      <c r="AF56" s="116">
        <f>AD56/AD$60</f>
        <v>0.10446528129792183</v>
      </c>
      <c r="AG56" s="10">
        <v>4260.4405703930797</v>
      </c>
      <c r="AH56" s="62">
        <v>0.21275577599829906</v>
      </c>
      <c r="AI56" s="13"/>
      <c r="AJ56" s="10">
        <v>6580.4693304969323</v>
      </c>
      <c r="AK56" s="62">
        <v>0.2200462912945513</v>
      </c>
      <c r="AL56" s="13"/>
      <c r="AM56" s="10">
        <v>10895.688340085995</v>
      </c>
      <c r="AN56" s="62">
        <v>0.26952278858145423</v>
      </c>
      <c r="AP56" s="10">
        <v>9917.7668135370914</v>
      </c>
      <c r="AQ56" s="62">
        <v>0.26276495708441239</v>
      </c>
      <c r="AS56" s="10">
        <v>9917.7668135370914</v>
      </c>
      <c r="AT56" s="62">
        <v>0.29750849628590725</v>
      </c>
      <c r="AY56" s="36"/>
    </row>
    <row r="57" spans="1:56" ht="14.25" x14ac:dyDescent="0.2">
      <c r="A57" s="1"/>
      <c r="B57" s="25"/>
      <c r="C57" s="133" t="s">
        <v>332</v>
      </c>
      <c r="D57" s="133"/>
      <c r="E57" s="129" t="s">
        <v>356</v>
      </c>
      <c r="F57" s="318">
        <v>6237</v>
      </c>
      <c r="G57" s="318">
        <v>14375</v>
      </c>
      <c r="H57" s="318" t="s">
        <v>356</v>
      </c>
      <c r="I57" s="133"/>
      <c r="J57" s="89"/>
      <c r="K57" s="89"/>
      <c r="L57" s="1"/>
      <c r="Z57" s="13">
        <v>1995</v>
      </c>
      <c r="AA57" s="10">
        <v>10048</v>
      </c>
      <c r="AB57" s="101" t="s">
        <v>580</v>
      </c>
      <c r="AC57" s="10">
        <v>5</v>
      </c>
      <c r="AD57" s="113">
        <f>Master!BV44</f>
        <v>33202.17060982425</v>
      </c>
      <c r="AE57" s="113"/>
      <c r="AF57" s="116">
        <f>AD57/AD$60</f>
        <v>0.78543280809765559</v>
      </c>
      <c r="AG57" s="10">
        <v>10141.430916564137</v>
      </c>
      <c r="AH57" s="62">
        <v>0.5064377659392334</v>
      </c>
      <c r="AI57" s="13"/>
      <c r="AJ57" s="10">
        <v>15162.866496790693</v>
      </c>
      <c r="AK57" s="62">
        <v>0.50703564904560317</v>
      </c>
      <c r="AL57" s="13"/>
      <c r="AM57" s="10">
        <v>21368.567622507679</v>
      </c>
      <c r="AN57" s="62">
        <v>0.52858669905422317</v>
      </c>
      <c r="AP57" s="10">
        <v>19664.508876751348</v>
      </c>
      <c r="AQ57" s="62">
        <v>0.52099872161067629</v>
      </c>
      <c r="AS57" s="10">
        <v>15256.716492478366</v>
      </c>
      <c r="AT57" s="62">
        <v>0.45766379339976043</v>
      </c>
      <c r="AU57" s="100" t="s">
        <v>5</v>
      </c>
      <c r="AY57" s="36"/>
    </row>
    <row r="58" spans="1:56" ht="14.25" x14ac:dyDescent="0.2">
      <c r="A58" s="1"/>
      <c r="B58" s="25"/>
      <c r="C58" s="131" t="s">
        <v>333</v>
      </c>
      <c r="D58" s="131"/>
      <c r="E58" s="129" t="s">
        <v>356</v>
      </c>
      <c r="F58" s="318">
        <v>15101</v>
      </c>
      <c r="G58" s="318">
        <v>35555</v>
      </c>
      <c r="H58" s="318" t="s">
        <v>356</v>
      </c>
      <c r="I58" s="133"/>
      <c r="L58" s="1"/>
      <c r="Z58" s="17">
        <v>1996</v>
      </c>
      <c r="AA58" s="102">
        <v>14354</v>
      </c>
      <c r="AB58" s="103" t="s">
        <v>580</v>
      </c>
      <c r="AC58" s="102">
        <v>4</v>
      </c>
      <c r="AD58" s="114">
        <f>Master!BU44</f>
        <v>4654.2777213619256</v>
      </c>
      <c r="AE58" s="114"/>
      <c r="AF58" s="117">
        <f>AD58/AD$60</f>
        <v>0.11010191060442254</v>
      </c>
      <c r="AG58" s="102">
        <v>5623.1574477549511</v>
      </c>
      <c r="AH58" s="104">
        <v>0.28080645806246751</v>
      </c>
      <c r="AI58" s="17"/>
      <c r="AJ58" s="102">
        <v>8161.5959567631935</v>
      </c>
      <c r="AK58" s="104">
        <v>0.27291805965984556</v>
      </c>
      <c r="AL58" s="17"/>
      <c r="AM58" s="102">
        <v>8161.5959567631935</v>
      </c>
      <c r="AN58" s="104">
        <v>0.20189051236432265</v>
      </c>
      <c r="AO58" s="103" t="s">
        <v>581</v>
      </c>
      <c r="AP58" s="102">
        <v>8161.5959567631935</v>
      </c>
      <c r="AQ58" s="104">
        <v>0.21623632130491144</v>
      </c>
      <c r="AR58" s="103" t="s">
        <v>581</v>
      </c>
      <c r="AS58" s="102">
        <v>8161.5959567631935</v>
      </c>
      <c r="AT58" s="104">
        <v>0.24482771031433234</v>
      </c>
      <c r="AU58" s="100" t="s">
        <v>11</v>
      </c>
      <c r="AV58" t="s">
        <v>27</v>
      </c>
      <c r="AY58" s="36"/>
    </row>
    <row r="59" spans="1:56" x14ac:dyDescent="0.2">
      <c r="A59" s="1"/>
      <c r="B59" s="25"/>
      <c r="C59" s="131"/>
      <c r="D59" s="131"/>
      <c r="E59" s="131"/>
      <c r="F59" s="131"/>
      <c r="G59" s="131"/>
      <c r="H59" s="129"/>
      <c r="I59" s="133"/>
      <c r="L59" s="1"/>
      <c r="Z59" s="91" t="s">
        <v>582</v>
      </c>
      <c r="AA59" s="13"/>
      <c r="AC59" s="13"/>
      <c r="AD59" s="113">
        <f>SUM(AD56:AD57)</f>
        <v>37618.174189885598</v>
      </c>
      <c r="AE59" s="113"/>
      <c r="AF59" s="110"/>
      <c r="AG59" s="10">
        <v>14401.871486957218</v>
      </c>
      <c r="AH59" s="62">
        <v>0.71919354193753249</v>
      </c>
      <c r="AI59" s="13"/>
      <c r="AJ59" s="10">
        <v>21743.335827287625</v>
      </c>
      <c r="AK59" s="62">
        <v>0.7270819403401545</v>
      </c>
      <c r="AL59" s="13"/>
      <c r="AM59" s="10">
        <v>32264.255962593674</v>
      </c>
      <c r="AN59" s="62">
        <v>0.79810948763567735</v>
      </c>
      <c r="AP59" s="10">
        <v>29582.275690288439</v>
      </c>
      <c r="AQ59" s="62">
        <v>0.78376367869508867</v>
      </c>
      <c r="AS59" s="10">
        <v>25174.483306015456</v>
      </c>
      <c r="AT59" s="62">
        <v>0.75517228968566763</v>
      </c>
      <c r="AW59" s="26" t="s">
        <v>542</v>
      </c>
      <c r="AX59" s="26" t="s">
        <v>28</v>
      </c>
      <c r="AY59" s="36"/>
    </row>
    <row r="60" spans="1:56" ht="18.75" x14ac:dyDescent="0.25">
      <c r="A60" s="1"/>
      <c r="B60" s="25"/>
      <c r="C60" s="133" t="s">
        <v>313</v>
      </c>
      <c r="D60" s="133"/>
      <c r="E60" s="310">
        <f>AVERAGE(E53:E54)</f>
        <v>8551.5</v>
      </c>
      <c r="F60" s="310">
        <f>F55</f>
        <v>9815</v>
      </c>
      <c r="G60" s="310">
        <f>G55</f>
        <v>22389</v>
      </c>
      <c r="H60" s="318">
        <f>SUM(E60:G60)</f>
        <v>40755.5</v>
      </c>
      <c r="I60" s="133"/>
      <c r="J60" s="1"/>
      <c r="K60" s="1"/>
      <c r="L60" s="1"/>
      <c r="Z60" s="105" t="s">
        <v>583</v>
      </c>
      <c r="AA60" s="17"/>
      <c r="AB60" s="11"/>
      <c r="AC60" s="17"/>
      <c r="AD60" s="114">
        <f>SUM(AD56:AD58)</f>
        <v>42272.451911247525</v>
      </c>
      <c r="AE60" s="115" t="s">
        <v>21</v>
      </c>
      <c r="AF60" s="117">
        <f>SUM(AF56:AF59)</f>
        <v>1</v>
      </c>
      <c r="AG60" s="102">
        <v>20025.028934712169</v>
      </c>
      <c r="AH60" s="104">
        <v>1</v>
      </c>
      <c r="AI60" s="17"/>
      <c r="AJ60" s="102">
        <v>29904.931784050819</v>
      </c>
      <c r="AK60" s="104">
        <v>1</v>
      </c>
      <c r="AL60" s="17"/>
      <c r="AM60" s="102">
        <v>40425.851919356865</v>
      </c>
      <c r="AN60" s="104">
        <v>1</v>
      </c>
      <c r="AO60" s="11"/>
      <c r="AP60" s="102">
        <v>37743.87164705163</v>
      </c>
      <c r="AQ60" s="104">
        <v>1</v>
      </c>
      <c r="AR60" s="11"/>
      <c r="AS60" s="102">
        <v>33336.07926277865</v>
      </c>
      <c r="AT60" s="104">
        <v>1</v>
      </c>
      <c r="AU60" s="11"/>
      <c r="AV60" s="87">
        <f>AS60/AD60</f>
        <v>0.78860056030742909</v>
      </c>
      <c r="AW60" s="61">
        <f>AD60-AS60</f>
        <v>8936.3726484688741</v>
      </c>
      <c r="AX60" s="87">
        <f>AW60/AS60</f>
        <v>0.26806909648930333</v>
      </c>
      <c r="AY60" s="36"/>
    </row>
    <row r="61" spans="1:56" ht="18.75" x14ac:dyDescent="0.25">
      <c r="A61" s="1"/>
      <c r="B61" s="25"/>
      <c r="C61" s="131" t="s">
        <v>314</v>
      </c>
      <c r="D61" s="131"/>
      <c r="E61" s="318">
        <f>E60</f>
        <v>8551.5</v>
      </c>
      <c r="F61" s="318">
        <f>MIN(F57:F58)</f>
        <v>6237</v>
      </c>
      <c r="G61" s="318">
        <f>MIN(G57:G58)</f>
        <v>14375</v>
      </c>
      <c r="H61" s="318">
        <f>SUM(E61:G61)</f>
        <v>29163.5</v>
      </c>
      <c r="I61" s="133"/>
      <c r="J61" s="1"/>
      <c r="K61" s="1"/>
      <c r="L61" s="1"/>
      <c r="Z61" s="106" t="s">
        <v>584</v>
      </c>
      <c r="AA61" s="42"/>
      <c r="AB61" s="1"/>
      <c r="AC61" s="42"/>
      <c r="AD61" s="42"/>
      <c r="AE61" s="42"/>
      <c r="AF61" s="1"/>
      <c r="AG61" s="107">
        <v>0</v>
      </c>
      <c r="AH61" s="108"/>
      <c r="AI61" s="42"/>
      <c r="AJ61" s="107">
        <v>4243.3358272876249</v>
      </c>
      <c r="AK61" s="108"/>
      <c r="AL61" s="42"/>
      <c r="AM61" s="107">
        <v>14764.255962593674</v>
      </c>
      <c r="AN61" s="108"/>
      <c r="AO61" s="1"/>
      <c r="AP61" s="107">
        <v>12082.275690288439</v>
      </c>
      <c r="AQ61" s="108"/>
      <c r="AR61" s="1"/>
      <c r="AS61" s="107">
        <v>7674.483306015456</v>
      </c>
      <c r="AT61" s="108"/>
      <c r="AW61" t="s">
        <v>31</v>
      </c>
      <c r="AY61" s="36"/>
    </row>
    <row r="62" spans="1:56" ht="18.75" x14ac:dyDescent="0.25">
      <c r="A62" s="1"/>
      <c r="B62" s="25"/>
      <c r="C62" s="131" t="s">
        <v>309</v>
      </c>
      <c r="D62" s="131"/>
      <c r="E62" s="318">
        <f>E60</f>
        <v>8551.5</v>
      </c>
      <c r="F62" s="318">
        <f>MAX(F55:F58)</f>
        <v>15101</v>
      </c>
      <c r="G62" s="318">
        <f>MAX(G55:G58)</f>
        <v>35555</v>
      </c>
      <c r="H62" s="318">
        <f>SUM(E62:G62)</f>
        <v>59207.5</v>
      </c>
      <c r="I62" s="133"/>
      <c r="J62" s="1"/>
      <c r="K62" s="1"/>
      <c r="L62" s="1"/>
      <c r="Z62" s="105" t="s">
        <v>585</v>
      </c>
      <c r="AA62" s="93"/>
      <c r="AB62" s="11"/>
      <c r="AC62" s="17"/>
      <c r="AD62" s="17"/>
      <c r="AE62" s="17"/>
      <c r="AF62" s="11"/>
      <c r="AG62" s="102">
        <v>2525.0289347121688</v>
      </c>
      <c r="AH62" s="17"/>
      <c r="AI62" s="17"/>
      <c r="AJ62" s="102">
        <v>12404.931784050819</v>
      </c>
      <c r="AK62" s="17"/>
      <c r="AL62" s="17"/>
      <c r="AM62" s="102">
        <v>22925.851919356865</v>
      </c>
      <c r="AN62" s="17"/>
      <c r="AO62" s="11"/>
      <c r="AP62" s="102">
        <v>20243.87164705163</v>
      </c>
      <c r="AQ62" s="11"/>
      <c r="AR62" s="11"/>
      <c r="AS62" s="102">
        <v>15836.07926277865</v>
      </c>
      <c r="AT62" s="11"/>
      <c r="AU62" s="11"/>
      <c r="AV62" t="s">
        <v>29</v>
      </c>
      <c r="AW62" t="s">
        <v>30</v>
      </c>
      <c r="AY62" s="36"/>
      <c r="AZ62" s="1"/>
      <c r="BA62" s="1"/>
      <c r="BB62" s="1"/>
      <c r="BC62" s="1"/>
      <c r="BD62" s="1"/>
    </row>
    <row r="63" spans="1:56" ht="14.25" x14ac:dyDescent="0.2">
      <c r="A63" s="1"/>
      <c r="B63" s="25"/>
      <c r="C63" s="131"/>
      <c r="D63" s="131"/>
      <c r="E63" s="131"/>
      <c r="F63" s="131"/>
      <c r="G63" s="131"/>
      <c r="H63" s="129"/>
      <c r="I63" s="133"/>
      <c r="J63" s="1"/>
      <c r="K63" s="1"/>
      <c r="L63" s="1"/>
      <c r="Z63" s="101" t="s">
        <v>566</v>
      </c>
      <c r="AA63" s="109" t="s">
        <v>586</v>
      </c>
      <c r="AB63" s="13"/>
      <c r="AC63" s="13"/>
      <c r="AD63" s="13"/>
      <c r="AE63" s="13"/>
      <c r="AG63" s="13"/>
      <c r="AH63" s="13"/>
      <c r="AI63" s="13"/>
      <c r="AJ63" s="13"/>
      <c r="AK63" s="13"/>
      <c r="AL63" s="13"/>
      <c r="AM63" s="13"/>
      <c r="AN63" s="13"/>
      <c r="AV63">
        <v>17500</v>
      </c>
      <c r="AW63" s="41">
        <f>Master!N44-'old forecasts'!AV63</f>
        <v>16465</v>
      </c>
      <c r="AY63" s="36"/>
      <c r="AZ63" s="1"/>
      <c r="BA63" s="1"/>
      <c r="BB63" s="1"/>
      <c r="BC63" s="1"/>
      <c r="BD63" s="1"/>
    </row>
    <row r="64" spans="1:56" ht="14.25" x14ac:dyDescent="0.2">
      <c r="A64" s="1"/>
      <c r="B64" s="25"/>
      <c r="C64" s="133"/>
      <c r="D64" s="133"/>
      <c r="E64" s="319" t="s">
        <v>334</v>
      </c>
      <c r="F64" s="133"/>
      <c r="G64" s="133"/>
      <c r="H64" s="132"/>
      <c r="I64" s="133"/>
      <c r="J64" s="1"/>
      <c r="K64" s="1"/>
      <c r="L64" s="1"/>
      <c r="Z64" s="101" t="s">
        <v>568</v>
      </c>
      <c r="AA64" s="109" t="s">
        <v>0</v>
      </c>
      <c r="AB64" s="13"/>
      <c r="AC64" s="13"/>
      <c r="AD64" s="13"/>
      <c r="AE64" s="13"/>
      <c r="AG64" s="13"/>
      <c r="AH64" s="13"/>
      <c r="AI64" s="13"/>
      <c r="AJ64" s="13"/>
      <c r="AK64" s="13"/>
      <c r="AL64" s="13"/>
      <c r="AM64" s="13"/>
      <c r="AN64" s="13"/>
      <c r="AY64" s="36"/>
      <c r="AZ64" s="1"/>
      <c r="BA64" s="1"/>
      <c r="BB64" s="1"/>
      <c r="BC64" s="1"/>
      <c r="BD64" s="1"/>
    </row>
    <row r="65" spans="1:56" ht="18.75" x14ac:dyDescent="0.25">
      <c r="A65" s="1"/>
      <c r="B65" s="25"/>
      <c r="C65" s="131" t="s">
        <v>310</v>
      </c>
      <c r="D65" s="131"/>
      <c r="E65" s="131"/>
      <c r="F65" s="131"/>
      <c r="G65" s="131"/>
      <c r="H65" s="317">
        <f>Master!AK45</f>
        <v>5007</v>
      </c>
      <c r="I65" s="133"/>
      <c r="J65" s="1"/>
      <c r="K65" s="1"/>
      <c r="L65" s="1"/>
      <c r="Z65" s="101" t="s">
        <v>579</v>
      </c>
      <c r="AA65" s="91" t="s">
        <v>1</v>
      </c>
      <c r="AB65" s="91"/>
      <c r="AC65" s="13"/>
      <c r="AD65" s="13"/>
      <c r="AE65" s="13"/>
      <c r="AG65" s="13"/>
      <c r="AH65" s="13"/>
      <c r="AI65" s="13"/>
      <c r="AJ65" s="13"/>
      <c r="AK65" s="13"/>
      <c r="AL65" s="13"/>
      <c r="AM65" s="13"/>
      <c r="AN65" s="13"/>
      <c r="AY65" s="36"/>
      <c r="AZ65" s="1"/>
      <c r="BA65" s="1"/>
      <c r="BB65" s="1"/>
      <c r="BC65" s="1"/>
      <c r="BD65" s="1"/>
    </row>
    <row r="66" spans="1:56" ht="14.25" x14ac:dyDescent="0.2">
      <c r="A66" s="1"/>
      <c r="B66" s="25"/>
      <c r="C66" s="133" t="s">
        <v>327</v>
      </c>
      <c r="D66" s="133"/>
      <c r="E66" s="133"/>
      <c r="F66" s="133"/>
      <c r="G66" s="133"/>
      <c r="H66" s="326">
        <f>Master!BA45</f>
        <v>723.69371231606294</v>
      </c>
      <c r="I66" s="133"/>
      <c r="J66" s="1"/>
      <c r="K66" s="1"/>
      <c r="L66" s="1"/>
      <c r="Z66" s="101" t="s">
        <v>580</v>
      </c>
      <c r="AA66" s="91" t="s">
        <v>2</v>
      </c>
      <c r="AB66" s="13"/>
      <c r="AC66" s="13"/>
      <c r="AD66" s="13"/>
      <c r="AE66" s="13"/>
      <c r="AG66" s="13"/>
      <c r="AH66" s="13"/>
      <c r="AI66" s="13"/>
      <c r="AJ66" s="13"/>
      <c r="AK66" s="13"/>
      <c r="AL66" s="13"/>
      <c r="AM66" s="13"/>
      <c r="AN66" s="13"/>
      <c r="AY66" s="36"/>
      <c r="AZ66" s="1"/>
      <c r="BA66" s="1"/>
      <c r="BB66" s="1"/>
      <c r="BC66" s="1"/>
      <c r="BD66" s="1"/>
    </row>
    <row r="67" spans="1:56" ht="14.25" x14ac:dyDescent="0.2">
      <c r="A67" s="1"/>
      <c r="B67" s="25"/>
      <c r="C67" s="131" t="s">
        <v>328</v>
      </c>
      <c r="D67" s="131"/>
      <c r="E67" s="131"/>
      <c r="F67" s="131"/>
      <c r="G67" s="131"/>
      <c r="H67" s="317">
        <f>SUM(H65:H66)</f>
        <v>5730.6937123160633</v>
      </c>
      <c r="I67" s="133"/>
      <c r="J67" s="1"/>
      <c r="K67" s="1"/>
      <c r="L67" s="1"/>
      <c r="Z67" s="101" t="s">
        <v>581</v>
      </c>
      <c r="AA67" s="109" t="s">
        <v>3</v>
      </c>
      <c r="AB67" s="13"/>
      <c r="AC67" s="13"/>
      <c r="AD67" s="13"/>
      <c r="AE67" s="13"/>
      <c r="AG67" s="13"/>
      <c r="AH67" s="13"/>
      <c r="AI67" s="13"/>
      <c r="AJ67" s="13"/>
      <c r="AK67" s="13"/>
      <c r="AL67" s="13"/>
      <c r="AM67" s="13"/>
      <c r="AN67" s="13"/>
      <c r="AY67" s="36"/>
      <c r="AZ67" s="1"/>
      <c r="BA67" s="1"/>
      <c r="BB67" s="1"/>
      <c r="BC67" s="1"/>
      <c r="BD67" s="1"/>
    </row>
    <row r="68" spans="1:56" ht="14.25" x14ac:dyDescent="0.2">
      <c r="A68" s="1"/>
      <c r="B68" s="25"/>
      <c r="C68" s="131"/>
      <c r="D68" s="131"/>
      <c r="E68" s="131"/>
      <c r="F68" s="131"/>
      <c r="G68" s="131"/>
      <c r="H68" s="129"/>
      <c r="I68" s="133"/>
      <c r="J68" s="1"/>
      <c r="K68" s="1"/>
      <c r="L68" s="1"/>
      <c r="Z68" s="101"/>
      <c r="AA68" s="109" t="s">
        <v>4</v>
      </c>
      <c r="AB68" s="13"/>
      <c r="AC68" s="13"/>
      <c r="AD68" s="13"/>
      <c r="AE68" s="13"/>
      <c r="AG68" s="13"/>
      <c r="AH68" s="13"/>
      <c r="AI68" s="13"/>
      <c r="AJ68" s="13"/>
      <c r="AK68" s="13"/>
      <c r="AL68" s="13"/>
      <c r="AM68" s="13"/>
      <c r="AN68" s="13"/>
      <c r="AY68" s="36"/>
      <c r="AZ68" s="1"/>
      <c r="BA68" s="1"/>
      <c r="BB68" s="1"/>
      <c r="BC68" s="1"/>
      <c r="BD68" s="1"/>
    </row>
    <row r="69" spans="1:56" ht="14.25" x14ac:dyDescent="0.2">
      <c r="A69" s="1"/>
      <c r="B69" s="25"/>
      <c r="C69" s="320" t="s">
        <v>14</v>
      </c>
      <c r="D69" s="320"/>
      <c r="E69" s="131"/>
      <c r="F69" s="131"/>
      <c r="G69" s="131"/>
      <c r="H69" s="327">
        <f>Master!D45</f>
        <v>29004</v>
      </c>
      <c r="I69" s="133"/>
      <c r="J69" s="1"/>
      <c r="K69" s="1"/>
      <c r="L69" s="1"/>
      <c r="Z69" s="101" t="s">
        <v>5</v>
      </c>
      <c r="AA69" s="91" t="s">
        <v>6</v>
      </c>
      <c r="AB69" s="13"/>
      <c r="AC69" s="13"/>
      <c r="AD69" s="13"/>
      <c r="AE69" s="13"/>
      <c r="AG69" s="13"/>
      <c r="AH69" s="13"/>
      <c r="AI69" s="13"/>
      <c r="AJ69" s="13"/>
      <c r="AK69" s="13"/>
      <c r="AL69" s="13"/>
      <c r="AM69" s="13"/>
      <c r="AN69" s="13"/>
      <c r="AY69" s="36"/>
      <c r="AZ69" s="1"/>
      <c r="BA69" s="1"/>
      <c r="BB69" s="1"/>
      <c r="BC69" s="1"/>
      <c r="BD69" s="1"/>
    </row>
    <row r="70" spans="1:56" x14ac:dyDescent="0.2">
      <c r="A70" s="1"/>
      <c r="B70" s="25"/>
      <c r="C70" s="131" t="s">
        <v>358</v>
      </c>
      <c r="D70" s="131"/>
      <c r="E70" s="131"/>
      <c r="F70" s="131"/>
      <c r="G70" s="131"/>
      <c r="H70" s="310">
        <v>17500</v>
      </c>
      <c r="I70" s="133"/>
      <c r="J70" s="1"/>
      <c r="K70" s="1"/>
      <c r="L70" s="1"/>
      <c r="Z70" s="13"/>
      <c r="AA70" s="91" t="s">
        <v>7</v>
      </c>
      <c r="AB70" s="13"/>
      <c r="AC70" s="13"/>
      <c r="AD70" s="13"/>
      <c r="AE70" s="13"/>
      <c r="AG70" s="13"/>
      <c r="AH70" s="13"/>
      <c r="AI70" s="13"/>
      <c r="AJ70" s="13"/>
      <c r="AK70" s="13"/>
      <c r="AL70" s="13"/>
      <c r="AM70" s="13"/>
      <c r="AN70" s="13"/>
      <c r="AY70" s="36"/>
      <c r="AZ70" s="1"/>
      <c r="BA70" s="1"/>
      <c r="BB70" s="1"/>
      <c r="BC70" s="1"/>
      <c r="BD70" s="1"/>
    </row>
    <row r="71" spans="1:56" ht="18.75" x14ac:dyDescent="0.25">
      <c r="A71" s="1"/>
      <c r="B71" s="257"/>
      <c r="C71" s="316" t="s">
        <v>315</v>
      </c>
      <c r="D71" s="316"/>
      <c r="E71" s="328">
        <f>Master!BU45</f>
        <v>8166.5559561580312</v>
      </c>
      <c r="F71" s="328">
        <f>Master!BV45</f>
        <v>15580.03386399629</v>
      </c>
      <c r="G71" s="328">
        <f>Master!BW45</f>
        <v>9463.3110676139477</v>
      </c>
      <c r="H71" s="329">
        <f>Master!BY45</f>
        <v>33693.396412316062</v>
      </c>
      <c r="I71" s="133"/>
      <c r="J71" s="1"/>
      <c r="K71" s="1"/>
      <c r="L71" s="1"/>
      <c r="Z71" s="13"/>
      <c r="AA71" s="91" t="s">
        <v>8</v>
      </c>
      <c r="AB71" s="13"/>
      <c r="AC71" s="13"/>
      <c r="AD71" s="13"/>
      <c r="AE71" s="13"/>
      <c r="AG71" s="13"/>
      <c r="AH71" s="13"/>
      <c r="AI71" s="13"/>
      <c r="AJ71" s="13"/>
      <c r="AK71" s="13"/>
      <c r="AL71" s="13"/>
      <c r="AM71" s="13"/>
      <c r="AN71" s="13"/>
      <c r="AY71" s="36"/>
      <c r="AZ71" s="1"/>
      <c r="BA71" s="1"/>
      <c r="BB71" s="1"/>
      <c r="BC71" s="1"/>
      <c r="BD71" s="1"/>
    </row>
    <row r="72" spans="1:56" x14ac:dyDescent="0.2">
      <c r="A72" s="1"/>
      <c r="C72" s="133" t="s">
        <v>348</v>
      </c>
      <c r="D72" s="133"/>
      <c r="E72" s="133"/>
      <c r="F72" s="330"/>
      <c r="G72" s="330"/>
      <c r="H72" s="331"/>
      <c r="I72" s="133"/>
      <c r="J72" s="1"/>
      <c r="K72" s="1"/>
      <c r="L72" s="1"/>
      <c r="Z72" s="13"/>
      <c r="AA72" s="91" t="s">
        <v>10</v>
      </c>
      <c r="AB72" s="13"/>
      <c r="AC72" s="13"/>
      <c r="AD72" s="13"/>
      <c r="AE72" s="13"/>
      <c r="AG72" s="13"/>
      <c r="AH72" s="13"/>
      <c r="AI72" s="13"/>
      <c r="AJ72" s="13"/>
      <c r="AK72" s="13"/>
      <c r="AL72" s="13"/>
      <c r="AM72" s="13"/>
      <c r="AN72" s="13"/>
      <c r="AY72" s="36"/>
      <c r="AZ72" s="1"/>
      <c r="BA72" s="1"/>
      <c r="BB72" s="1"/>
      <c r="BC72" s="1"/>
      <c r="BD72" s="1"/>
    </row>
    <row r="73" spans="1:56" ht="14.25" x14ac:dyDescent="0.2">
      <c r="A73" s="1"/>
      <c r="C73" s="131" t="s">
        <v>347</v>
      </c>
      <c r="D73" s="133"/>
      <c r="E73" s="133"/>
      <c r="F73" s="330"/>
      <c r="G73" s="330"/>
      <c r="H73" s="331"/>
      <c r="I73" s="133"/>
      <c r="J73" s="1"/>
      <c r="K73" s="1"/>
      <c r="L73" s="1"/>
      <c r="Z73" s="101" t="s">
        <v>11</v>
      </c>
      <c r="AA73" s="109" t="s">
        <v>12</v>
      </c>
      <c r="AB73" s="13"/>
      <c r="AC73" s="13"/>
      <c r="AD73" s="13"/>
      <c r="AE73" s="13"/>
      <c r="AG73" s="13"/>
      <c r="AH73" s="13"/>
      <c r="AI73" s="13"/>
      <c r="AJ73" s="13"/>
      <c r="AK73" s="13"/>
      <c r="AL73" s="13"/>
      <c r="AM73" s="13"/>
      <c r="AN73" s="13"/>
      <c r="AY73" s="36"/>
      <c r="AZ73" s="1"/>
      <c r="BA73" s="1"/>
      <c r="BB73" s="1"/>
      <c r="BC73" s="1"/>
      <c r="BD73" s="1"/>
    </row>
    <row r="74" spans="1:56" ht="14.25" x14ac:dyDescent="0.2">
      <c r="A74" s="1"/>
      <c r="C74" s="133" t="s">
        <v>337</v>
      </c>
      <c r="D74" s="133"/>
      <c r="E74" s="319"/>
      <c r="F74" s="330"/>
      <c r="G74" s="330"/>
      <c r="H74" s="331"/>
      <c r="I74" s="133"/>
      <c r="J74" s="1"/>
      <c r="K74" s="1"/>
      <c r="L74" s="1"/>
      <c r="Z74" s="101" t="s">
        <v>21</v>
      </c>
      <c r="AA74" s="5" t="s">
        <v>38</v>
      </c>
      <c r="AB74" s="5"/>
      <c r="AC74" s="5"/>
      <c r="AD74" s="5"/>
      <c r="AE74" s="5"/>
      <c r="AF74" s="5"/>
      <c r="AG74" s="5"/>
      <c r="AH74" s="5"/>
      <c r="AI74" s="5"/>
      <c r="AJ74" s="5"/>
      <c r="AK74" s="5"/>
      <c r="AL74" s="5"/>
      <c r="AM74" s="5"/>
      <c r="AN74" s="5"/>
      <c r="AY74" s="36"/>
      <c r="AZ74" s="99"/>
      <c r="BA74" s="99"/>
      <c r="BB74" s="99"/>
      <c r="BC74" s="99"/>
      <c r="BD74" s="1"/>
    </row>
    <row r="75" spans="1:56" x14ac:dyDescent="0.2">
      <c r="A75" s="1"/>
      <c r="C75" s="133" t="s">
        <v>338</v>
      </c>
      <c r="D75" s="133"/>
      <c r="E75" s="319"/>
      <c r="F75" s="330"/>
      <c r="G75" s="330"/>
      <c r="H75" s="331"/>
      <c r="I75" s="133"/>
      <c r="J75" s="1"/>
      <c r="K75" s="1"/>
      <c r="L75" s="1"/>
      <c r="AY75" s="36"/>
      <c r="AZ75" s="99"/>
      <c r="BA75" s="1"/>
      <c r="BB75" s="1"/>
      <c r="BC75" s="1"/>
      <c r="BD75" s="1"/>
    </row>
    <row r="76" spans="1:56" ht="14.25" x14ac:dyDescent="0.2">
      <c r="A76" s="1"/>
      <c r="C76" s="133" t="s">
        <v>349</v>
      </c>
      <c r="D76" s="133"/>
      <c r="E76" s="319"/>
      <c r="F76" s="330"/>
      <c r="G76" s="330"/>
      <c r="H76" s="331"/>
      <c r="I76" s="133"/>
      <c r="J76" s="1"/>
      <c r="K76" s="1"/>
      <c r="L76" s="1"/>
      <c r="Z76" s="101"/>
      <c r="AA76" s="5"/>
      <c r="AB76" s="5"/>
      <c r="AC76" s="5"/>
      <c r="AD76" s="5"/>
      <c r="AE76" s="5"/>
      <c r="AF76" s="5"/>
      <c r="AG76" s="5"/>
      <c r="AH76" s="5"/>
      <c r="AI76" s="5"/>
      <c r="AJ76" s="5"/>
      <c r="AZ76" s="99"/>
      <c r="BA76" s="244"/>
      <c r="BB76" s="1"/>
      <c r="BC76" s="1"/>
      <c r="BD76" s="1"/>
    </row>
    <row r="77" spans="1:56" ht="14.25" x14ac:dyDescent="0.2">
      <c r="A77" s="1"/>
      <c r="C77" s="131" t="s">
        <v>318</v>
      </c>
      <c r="D77" s="133"/>
      <c r="E77" s="319"/>
      <c r="F77" s="330"/>
      <c r="G77" s="330"/>
      <c r="H77" s="331"/>
      <c r="I77" s="133"/>
      <c r="J77" s="1"/>
      <c r="K77" s="1"/>
      <c r="L77" s="1"/>
      <c r="AY77" s="101"/>
      <c r="AZ77" s="99"/>
      <c r="BA77" s="1"/>
      <c r="BB77" s="1"/>
      <c r="BC77" s="1"/>
      <c r="BD77" s="1"/>
    </row>
    <row r="78" spans="1:56" ht="15.75" x14ac:dyDescent="0.25">
      <c r="A78" s="1"/>
      <c r="C78" s="131" t="s">
        <v>339</v>
      </c>
      <c r="D78" s="131"/>
      <c r="E78" s="131"/>
      <c r="F78" s="131"/>
      <c r="G78" s="131"/>
      <c r="H78" s="131"/>
      <c r="I78" s="131"/>
      <c r="J78" s="1"/>
      <c r="K78" s="1"/>
      <c r="L78" s="1"/>
      <c r="AY78" s="101"/>
      <c r="AZ78" s="99"/>
      <c r="BA78" s="1"/>
      <c r="BB78" s="243"/>
      <c r="BC78" s="99"/>
      <c r="BD78" s="1"/>
    </row>
    <row r="79" spans="1:56" ht="14.25" x14ac:dyDescent="0.2">
      <c r="A79" s="1"/>
      <c r="C79" s="131"/>
      <c r="D79" s="131"/>
      <c r="E79" s="131"/>
      <c r="F79" s="131"/>
      <c r="G79" s="131"/>
      <c r="H79" s="131"/>
      <c r="I79" s="131"/>
      <c r="J79" s="1"/>
      <c r="K79" s="1"/>
      <c r="Z79" s="129"/>
      <c r="AA79" s="130" t="s">
        <v>289</v>
      </c>
      <c r="AB79" s="131"/>
      <c r="AC79" s="129"/>
      <c r="AD79" s="129"/>
      <c r="AE79" s="129"/>
      <c r="AF79" s="129"/>
      <c r="AG79" s="129"/>
      <c r="AH79" s="129"/>
      <c r="AI79" s="129"/>
      <c r="AJ79" s="129"/>
      <c r="AK79" s="131"/>
      <c r="AL79" s="131"/>
      <c r="AM79" s="131"/>
      <c r="AN79" s="131"/>
      <c r="AO79" s="131"/>
      <c r="AP79" s="131"/>
      <c r="AQ79" s="131"/>
      <c r="AR79" s="131"/>
      <c r="AS79" s="131"/>
      <c r="AT79" s="131"/>
      <c r="AY79" s="101"/>
      <c r="AZ79" s="42"/>
      <c r="BA79" s="1"/>
      <c r="BB79" s="42"/>
      <c r="BC79" s="42"/>
      <c r="BD79" s="1"/>
    </row>
    <row r="80" spans="1:56" ht="14.25" x14ac:dyDescent="0.2">
      <c r="A80" s="19" t="s">
        <v>335</v>
      </c>
      <c r="C80" s="127"/>
      <c r="D80" s="127"/>
      <c r="E80" s="127"/>
      <c r="F80" s="127"/>
      <c r="G80" s="127"/>
      <c r="H80" s="127"/>
      <c r="I80" s="127"/>
      <c r="J80" s="1"/>
      <c r="K80" s="1"/>
      <c r="Z80" s="129"/>
      <c r="AA80" s="130" t="s">
        <v>393</v>
      </c>
      <c r="AB80" s="131"/>
      <c r="AC80" s="129"/>
      <c r="AD80" s="129"/>
      <c r="AE80" s="129"/>
      <c r="AF80" s="129"/>
      <c r="AG80" s="129"/>
      <c r="AH80" s="129"/>
      <c r="AI80" s="129"/>
      <c r="AJ80" s="129"/>
      <c r="AK80" s="131"/>
      <c r="AL80" s="131"/>
      <c r="AM80" s="131"/>
      <c r="AN80" s="131"/>
      <c r="AO80" s="131"/>
      <c r="AP80" s="131"/>
      <c r="AQ80" s="131"/>
      <c r="AR80" s="131"/>
      <c r="AS80" s="131"/>
      <c r="AT80" s="131"/>
      <c r="AY80" s="101"/>
      <c r="AZ80" s="1"/>
      <c r="BA80" s="1"/>
      <c r="BB80" s="1"/>
      <c r="BC80" s="1"/>
      <c r="BD80" s="1"/>
    </row>
    <row r="81" spans="2:78" ht="14.25" x14ac:dyDescent="0.2">
      <c r="Z81" s="132"/>
      <c r="AA81" s="132"/>
      <c r="AB81" s="133"/>
      <c r="AC81" s="132"/>
      <c r="AD81" s="132"/>
      <c r="AE81" s="132"/>
      <c r="AF81" s="132"/>
      <c r="AG81" s="132"/>
      <c r="AH81" s="132"/>
      <c r="AI81" s="132"/>
      <c r="AJ81" s="132"/>
      <c r="AK81" s="133"/>
      <c r="AL81" s="133"/>
      <c r="AM81" s="133"/>
      <c r="AN81" s="133"/>
      <c r="AO81" s="133"/>
      <c r="AP81" s="133"/>
      <c r="AQ81" s="133"/>
      <c r="AR81" s="133"/>
      <c r="AS81" s="133"/>
      <c r="AT81" s="133"/>
      <c r="AY81" s="101"/>
      <c r="AZ81" s="108"/>
      <c r="BA81" s="1"/>
      <c r="BB81" s="246"/>
      <c r="BC81" s="108"/>
      <c r="BD81" s="1"/>
    </row>
    <row r="82" spans="2:78" ht="14.25" x14ac:dyDescent="0.2">
      <c r="C82" s="131" t="s">
        <v>319</v>
      </c>
      <c r="D82" s="131"/>
      <c r="E82" s="131"/>
      <c r="F82" s="131"/>
      <c r="G82" s="131"/>
      <c r="H82" s="131"/>
      <c r="J82" s="131" t="s">
        <v>353</v>
      </c>
      <c r="K82" s="131"/>
      <c r="L82" s="131"/>
      <c r="M82" s="275"/>
      <c r="N82" s="131"/>
      <c r="O82" s="131"/>
      <c r="P82" s="131"/>
      <c r="Q82" s="131"/>
      <c r="Z82" s="134"/>
      <c r="AA82" s="135">
        <v>17500</v>
      </c>
      <c r="AB82" s="136"/>
      <c r="AC82" s="134"/>
      <c r="AD82" s="136"/>
      <c r="AE82" s="136"/>
      <c r="AF82" s="136"/>
      <c r="AG82" s="136"/>
      <c r="AH82" s="136"/>
      <c r="AI82" s="136"/>
      <c r="AJ82" s="136"/>
      <c r="AK82" s="136"/>
      <c r="AL82" s="136"/>
      <c r="AM82" s="136"/>
      <c r="AN82" s="136"/>
      <c r="AO82" s="136"/>
      <c r="AP82" s="136"/>
      <c r="AQ82" s="136"/>
      <c r="AR82" s="136"/>
      <c r="AS82" s="136"/>
      <c r="AT82" s="136"/>
      <c r="AU82" s="11"/>
      <c r="AV82" s="11"/>
      <c r="AW82" s="11"/>
      <c r="AY82" s="101"/>
      <c r="AZ82" s="108"/>
      <c r="BA82" s="1"/>
      <c r="BB82" s="246"/>
      <c r="BC82" s="108"/>
      <c r="BD82" s="245"/>
    </row>
    <row r="83" spans="2:78" ht="18.75" x14ac:dyDescent="0.3">
      <c r="C83" s="131" t="s">
        <v>372</v>
      </c>
      <c r="D83" s="131"/>
      <c r="E83" s="131"/>
      <c r="F83" s="131"/>
      <c r="G83" s="131"/>
      <c r="H83" s="131"/>
      <c r="J83" s="136"/>
      <c r="K83" s="136"/>
      <c r="L83" s="136"/>
      <c r="M83" s="136"/>
      <c r="N83" s="295"/>
      <c r="O83" s="136"/>
      <c r="P83" s="136"/>
      <c r="Q83" s="295"/>
      <c r="Z83" s="129"/>
      <c r="AA83" s="129"/>
      <c r="AB83" s="131"/>
      <c r="AC83" s="129"/>
      <c r="AD83" s="137" t="s">
        <v>48</v>
      </c>
      <c r="AE83" s="138"/>
      <c r="AF83" s="138"/>
      <c r="AG83" s="138"/>
      <c r="AH83" s="138"/>
      <c r="AI83" s="138"/>
      <c r="AJ83" s="138"/>
      <c r="AK83" s="138"/>
      <c r="AL83" s="138"/>
      <c r="AM83" s="140"/>
      <c r="AN83" s="140"/>
      <c r="AO83" s="140"/>
      <c r="AP83" s="140"/>
      <c r="AQ83" s="138"/>
      <c r="AR83" s="138"/>
      <c r="AS83" s="138"/>
      <c r="AT83" s="138"/>
      <c r="AY83" s="101"/>
      <c r="AZ83" s="108"/>
      <c r="BA83" s="245"/>
      <c r="BB83" s="246"/>
      <c r="BC83" s="108"/>
      <c r="BD83" s="245"/>
    </row>
    <row r="84" spans="2:78" ht="15.75" x14ac:dyDescent="0.25">
      <c r="B84" s="1"/>
      <c r="C84" s="136" t="s">
        <v>357</v>
      </c>
      <c r="D84" s="315"/>
      <c r="E84" s="315"/>
      <c r="F84" s="315"/>
      <c r="G84" s="315"/>
      <c r="H84" s="315"/>
      <c r="I84" s="1"/>
      <c r="J84" s="275"/>
      <c r="K84" s="131"/>
      <c r="L84" s="131"/>
      <c r="M84" s="136" t="s">
        <v>342</v>
      </c>
      <c r="N84" s="136"/>
      <c r="O84" s="129" t="s">
        <v>485</v>
      </c>
      <c r="P84" s="295" t="s">
        <v>343</v>
      </c>
      <c r="Q84" s="136"/>
      <c r="R84" s="1"/>
      <c r="U84" s="13"/>
      <c r="V84" s="13"/>
      <c r="W84" s="13"/>
      <c r="Z84" s="129"/>
      <c r="AA84" s="129"/>
      <c r="AB84" s="131"/>
      <c r="AC84" s="129"/>
      <c r="AD84" s="139" t="s">
        <v>557</v>
      </c>
      <c r="AE84" s="140"/>
      <c r="AF84" s="140"/>
      <c r="AG84" s="140"/>
      <c r="AH84" s="140"/>
      <c r="AI84" s="131"/>
      <c r="AJ84" s="133"/>
      <c r="AK84" s="131"/>
      <c r="AL84" s="131"/>
      <c r="AM84" s="131"/>
      <c r="AN84" s="131"/>
      <c r="AO84" s="133"/>
      <c r="AP84" s="131"/>
      <c r="AQ84" s="133"/>
      <c r="AR84" s="133"/>
      <c r="AS84" s="131"/>
      <c r="AT84" s="131"/>
      <c r="AY84" s="42"/>
      <c r="AZ84" s="108"/>
      <c r="BA84" s="1"/>
      <c r="BB84" s="246"/>
      <c r="BC84" s="108"/>
      <c r="BD84" s="1"/>
    </row>
    <row r="85" spans="2:78" ht="16.5" x14ac:dyDescent="0.25">
      <c r="B85" s="25"/>
      <c r="C85" s="131"/>
      <c r="D85" s="131"/>
      <c r="E85" s="136"/>
      <c r="F85" s="316" t="s">
        <v>345</v>
      </c>
      <c r="G85" s="136"/>
      <c r="H85" s="136"/>
      <c r="I85" s="1"/>
      <c r="J85" s="129" t="s">
        <v>375</v>
      </c>
      <c r="K85" s="129" t="s">
        <v>563</v>
      </c>
      <c r="L85" s="129" t="s">
        <v>570</v>
      </c>
      <c r="M85" s="131" t="s">
        <v>545</v>
      </c>
      <c r="N85" s="131" t="s">
        <v>546</v>
      </c>
      <c r="O85" s="129" t="s">
        <v>531</v>
      </c>
      <c r="P85" s="131" t="s">
        <v>545</v>
      </c>
      <c r="Q85" s="131" t="s">
        <v>546</v>
      </c>
      <c r="R85" s="36"/>
      <c r="U85" s="17"/>
      <c r="V85" s="308"/>
      <c r="W85" s="17"/>
      <c r="X85" s="11"/>
      <c r="Z85" s="131"/>
      <c r="AA85" s="129"/>
      <c r="AB85" s="131"/>
      <c r="AC85" s="131"/>
      <c r="AD85" s="141" t="s">
        <v>565</v>
      </c>
      <c r="AE85" s="141"/>
      <c r="AF85" s="142" t="s">
        <v>566</v>
      </c>
      <c r="AG85" s="141" t="s">
        <v>567</v>
      </c>
      <c r="AH85" s="141"/>
      <c r="AI85" s="143" t="s">
        <v>568</v>
      </c>
      <c r="AJ85" s="11"/>
      <c r="AK85" s="161" t="s">
        <v>556</v>
      </c>
      <c r="AL85" s="11"/>
      <c r="AM85" s="139"/>
      <c r="AN85" s="136"/>
      <c r="AO85" s="136"/>
      <c r="AP85" s="162" t="s">
        <v>581</v>
      </c>
      <c r="AQ85" s="136"/>
      <c r="AR85" s="133"/>
      <c r="AS85" s="133"/>
      <c r="AT85" s="133"/>
      <c r="AY85" s="42"/>
      <c r="AZ85" s="108"/>
      <c r="BA85" s="1"/>
      <c r="BB85" s="246"/>
      <c r="BC85" s="108"/>
      <c r="BD85" s="1"/>
    </row>
    <row r="86" spans="2:78" ht="18.75" x14ac:dyDescent="0.25">
      <c r="B86" s="25"/>
      <c r="C86" s="136" t="s">
        <v>532</v>
      </c>
      <c r="D86" s="136"/>
      <c r="E86" s="136" t="s">
        <v>390</v>
      </c>
      <c r="F86" s="136" t="s">
        <v>391</v>
      </c>
      <c r="G86" s="136" t="s">
        <v>392</v>
      </c>
      <c r="H86" s="134" t="s">
        <v>426</v>
      </c>
      <c r="I86" s="1"/>
      <c r="J86" s="134">
        <v>2002</v>
      </c>
      <c r="K86" s="134" t="s">
        <v>416</v>
      </c>
      <c r="L86" s="134" t="s">
        <v>402</v>
      </c>
      <c r="M86" s="136" t="s">
        <v>305</v>
      </c>
      <c r="N86" s="136" t="s">
        <v>306</v>
      </c>
      <c r="O86" s="134" t="s">
        <v>376</v>
      </c>
      <c r="P86" s="136" t="s">
        <v>538</v>
      </c>
      <c r="Q86" s="136" t="s">
        <v>538</v>
      </c>
      <c r="R86" s="36"/>
      <c r="S86" s="14"/>
      <c r="T86" s="14"/>
      <c r="U86" s="13"/>
      <c r="V86" s="45"/>
      <c r="W86" s="42"/>
      <c r="X86" s="42"/>
      <c r="Z86" s="129" t="s">
        <v>563</v>
      </c>
      <c r="AA86" s="129" t="s">
        <v>570</v>
      </c>
      <c r="AB86" s="131"/>
      <c r="AC86" s="129"/>
      <c r="AD86" s="138" t="s">
        <v>572</v>
      </c>
      <c r="AE86" s="138"/>
      <c r="AF86" s="129"/>
      <c r="AG86" s="138" t="s">
        <v>573</v>
      </c>
      <c r="AH86" s="138"/>
      <c r="AI86" s="131"/>
      <c r="AJ86" s="129" t="s">
        <v>52</v>
      </c>
      <c r="AK86" s="131"/>
      <c r="AL86" s="129" t="s">
        <v>485</v>
      </c>
      <c r="AM86" s="131"/>
      <c r="AN86" s="129" t="s">
        <v>42</v>
      </c>
      <c r="AO86" s="131"/>
      <c r="AP86" s="129" t="s">
        <v>49</v>
      </c>
      <c r="AQ86" s="131"/>
      <c r="AR86" s="139" t="s">
        <v>548</v>
      </c>
      <c r="AS86" s="139"/>
      <c r="AT86" s="138"/>
      <c r="AV86" s="247" t="s">
        <v>505</v>
      </c>
      <c r="AW86" s="248"/>
      <c r="AY86" s="42"/>
      <c r="AZ86" s="108"/>
      <c r="BA86" s="1"/>
      <c r="BB86" s="246"/>
      <c r="BC86" s="108"/>
      <c r="BD86" s="1"/>
    </row>
    <row r="87" spans="2:78" ht="14.25" x14ac:dyDescent="0.2">
      <c r="B87" s="25"/>
      <c r="C87" s="133" t="s">
        <v>381</v>
      </c>
      <c r="D87" s="133"/>
      <c r="E87" s="317">
        <f>P87</f>
        <v>8469.1477171532661</v>
      </c>
      <c r="F87" s="317">
        <f>P88</f>
        <v>18560.944071139409</v>
      </c>
      <c r="G87" s="317">
        <f>P89</f>
        <v>6851.8864940796484</v>
      </c>
      <c r="H87" s="318">
        <f>SUM(E87:G87)</f>
        <v>33881.978282372322</v>
      </c>
      <c r="I87" s="1"/>
      <c r="J87" s="291">
        <v>1.2</v>
      </c>
      <c r="K87" s="132">
        <v>1998</v>
      </c>
      <c r="L87" s="241">
        <v>32356.48</v>
      </c>
      <c r="M87" s="310">
        <v>36215.17255653529</v>
      </c>
      <c r="N87" s="310">
        <v>48116.437851572933</v>
      </c>
      <c r="O87" s="311">
        <v>0.23385634029306721</v>
      </c>
      <c r="P87" s="283">
        <v>8469.1477171532661</v>
      </c>
      <c r="Q87" s="283">
        <v>11252.33406390766</v>
      </c>
      <c r="R87" s="36"/>
      <c r="S87" s="14"/>
      <c r="T87" s="14"/>
      <c r="U87" s="13"/>
      <c r="V87" s="45"/>
      <c r="W87" s="42"/>
      <c r="X87" s="42"/>
      <c r="Z87" s="134" t="s">
        <v>416</v>
      </c>
      <c r="AA87" s="134" t="s">
        <v>402</v>
      </c>
      <c r="AB87" s="136"/>
      <c r="AC87" s="134" t="s">
        <v>531</v>
      </c>
      <c r="AD87" s="134" t="s">
        <v>577</v>
      </c>
      <c r="AE87" s="134" t="s">
        <v>578</v>
      </c>
      <c r="AF87" s="134"/>
      <c r="AG87" s="134" t="s">
        <v>577</v>
      </c>
      <c r="AH87" s="134" t="s">
        <v>578</v>
      </c>
      <c r="AI87" s="136"/>
      <c r="AJ87" s="134" t="s">
        <v>577</v>
      </c>
      <c r="AK87" s="131"/>
      <c r="AL87" s="134" t="s">
        <v>577</v>
      </c>
      <c r="AM87" s="136"/>
      <c r="AN87" s="134" t="s">
        <v>577</v>
      </c>
      <c r="AO87" s="136"/>
      <c r="AP87" s="134" t="s">
        <v>577</v>
      </c>
      <c r="AQ87" s="136"/>
      <c r="AR87" s="134" t="s">
        <v>577</v>
      </c>
      <c r="AS87" s="134"/>
      <c r="AT87" s="134" t="s">
        <v>578</v>
      </c>
      <c r="AU87" s="11"/>
      <c r="AV87" s="249" t="s">
        <v>577</v>
      </c>
      <c r="AW87" s="249" t="s">
        <v>578</v>
      </c>
      <c r="AY87" s="101"/>
      <c r="AZ87" s="1"/>
      <c r="BA87" s="1"/>
      <c r="BB87" s="246"/>
      <c r="BC87" s="1"/>
      <c r="BD87" s="1"/>
    </row>
    <row r="88" spans="2:78" ht="15.75" x14ac:dyDescent="0.2">
      <c r="B88" s="25"/>
      <c r="C88" s="133" t="s">
        <v>382</v>
      </c>
      <c r="D88" s="133"/>
      <c r="E88" s="317">
        <f>Q87</f>
        <v>11252.33406390766</v>
      </c>
      <c r="F88" s="317">
        <f>Q88</f>
        <v>24220.428616399218</v>
      </c>
      <c r="G88" s="317">
        <f>Q89</f>
        <v>10064.620359991812</v>
      </c>
      <c r="H88" s="318">
        <f>SUM(E88:G88)</f>
        <v>45537.383040298693</v>
      </c>
      <c r="I88" s="1"/>
      <c r="J88" s="290">
        <v>1.3</v>
      </c>
      <c r="K88" s="132">
        <v>1997</v>
      </c>
      <c r="L88" s="147">
        <v>35587</v>
      </c>
      <c r="M88" s="310">
        <v>36207.339968181819</v>
      </c>
      <c r="N88" s="310">
        <v>47247.450869303328</v>
      </c>
      <c r="O88" s="311">
        <v>0.5126293201171459</v>
      </c>
      <c r="P88" s="283">
        <v>18560.944071139409</v>
      </c>
      <c r="Q88" s="283">
        <v>24220.428616399218</v>
      </c>
      <c r="R88" s="36"/>
      <c r="S88" s="14"/>
      <c r="T88" s="88"/>
      <c r="U88" s="13"/>
      <c r="V88" s="45"/>
      <c r="W88" s="42"/>
      <c r="X88" s="42"/>
      <c r="Z88" s="129">
        <v>1995</v>
      </c>
      <c r="AA88" s="144">
        <v>10048</v>
      </c>
      <c r="AB88" s="145" t="s">
        <v>579</v>
      </c>
      <c r="AC88" s="144">
        <v>6</v>
      </c>
      <c r="AD88" s="144">
        <v>6727</v>
      </c>
      <c r="AE88" s="146">
        <f>AD88/AD$32</f>
        <v>0.24700741719908936</v>
      </c>
      <c r="AF88" s="129"/>
      <c r="AG88" s="144">
        <v>10058</v>
      </c>
      <c r="AH88" s="146">
        <f>AG88/AG$32</f>
        <v>0.26245335699188477</v>
      </c>
      <c r="AI88" s="129"/>
      <c r="AJ88" s="144">
        <v>14375</v>
      </c>
      <c r="AK88" s="131"/>
      <c r="AL88" s="144">
        <v>22389</v>
      </c>
      <c r="AM88" s="131"/>
      <c r="AN88" s="144">
        <v>19813</v>
      </c>
      <c r="AO88" s="131"/>
      <c r="AP88" s="144">
        <v>35555</v>
      </c>
      <c r="AQ88" s="131"/>
      <c r="AR88" s="144">
        <v>22389</v>
      </c>
      <c r="AS88" s="144"/>
      <c r="AT88" s="146">
        <f>AR88/AR$32</f>
        <v>0.54934916759701147</v>
      </c>
      <c r="AV88" s="250">
        <f>G71</f>
        <v>9463.3110676139477</v>
      </c>
      <c r="AW88" s="251">
        <f>AV88/AV92</f>
        <v>0.28495451099341984</v>
      </c>
      <c r="AY88" s="101"/>
      <c r="AZ88" s="1"/>
      <c r="BA88" s="1"/>
      <c r="BB88" s="1"/>
      <c r="BF88" s="36"/>
      <c r="BG88" s="36"/>
      <c r="BY88"/>
      <c r="BZ88"/>
    </row>
    <row r="89" spans="2:78" ht="15.75" x14ac:dyDescent="0.2">
      <c r="B89" s="25"/>
      <c r="C89" s="133" t="s">
        <v>331</v>
      </c>
      <c r="D89" s="133"/>
      <c r="E89" s="129" t="s">
        <v>356</v>
      </c>
      <c r="F89" s="317">
        <f>Q104</f>
        <v>24490.3763</v>
      </c>
      <c r="G89" s="317">
        <f>Q105</f>
        <v>9478.7404799999986</v>
      </c>
      <c r="H89" s="318" t="s">
        <v>356</v>
      </c>
      <c r="I89" s="1"/>
      <c r="J89" s="290">
        <v>1.4</v>
      </c>
      <c r="K89" s="129">
        <v>1996</v>
      </c>
      <c r="L89" s="144">
        <v>14354</v>
      </c>
      <c r="M89" s="241">
        <v>27336.503249372105</v>
      </c>
      <c r="N89" s="241">
        <v>40154.127978088858</v>
      </c>
      <c r="O89" s="312">
        <v>0.25064970569112677</v>
      </c>
      <c r="P89" s="296">
        <v>6851.8864940796484</v>
      </c>
      <c r="Q89" s="296">
        <v>10064.620359991812</v>
      </c>
      <c r="R89" s="36"/>
      <c r="S89" s="283"/>
      <c r="T89" s="14"/>
      <c r="U89" s="13"/>
      <c r="V89" s="45"/>
      <c r="W89" s="42"/>
      <c r="X89" s="42"/>
      <c r="Z89" s="132">
        <v>1996</v>
      </c>
      <c r="AA89" s="147">
        <v>14354</v>
      </c>
      <c r="AB89" s="145" t="s">
        <v>579</v>
      </c>
      <c r="AC89" s="144">
        <v>5</v>
      </c>
      <c r="AD89" s="144">
        <v>12919</v>
      </c>
      <c r="AE89" s="146">
        <f>AD89/AD$32</f>
        <v>0.47437027245355073</v>
      </c>
      <c r="AF89" s="129"/>
      <c r="AG89" s="144">
        <v>18750</v>
      </c>
      <c r="AH89" s="146">
        <f>AG89/AG$32</f>
        <v>0.48926232288703914</v>
      </c>
      <c r="AI89" s="129"/>
      <c r="AJ89" s="144">
        <v>6237</v>
      </c>
      <c r="AK89" s="131"/>
      <c r="AL89" s="144">
        <v>9812</v>
      </c>
      <c r="AM89" s="131"/>
      <c r="AN89" s="144">
        <v>8956</v>
      </c>
      <c r="AO89" s="131"/>
      <c r="AP89" s="144">
        <v>15101</v>
      </c>
      <c r="AQ89" s="131"/>
      <c r="AR89" s="144">
        <v>9812</v>
      </c>
      <c r="AS89" s="144"/>
      <c r="AT89" s="146">
        <f>AR89/AR$32</f>
        <v>0.24075278183312682</v>
      </c>
      <c r="AV89" s="250">
        <f>F71</f>
        <v>15580.03386399629</v>
      </c>
      <c r="AW89" s="251">
        <f>AV89/AV92</f>
        <v>0.46913822226234531</v>
      </c>
      <c r="AY89" s="1"/>
      <c r="AZ89" s="1"/>
      <c r="BA89" s="1"/>
      <c r="BB89" s="1"/>
      <c r="BF89" s="36"/>
      <c r="BG89" s="36"/>
      <c r="BY89"/>
      <c r="BZ89"/>
    </row>
    <row r="90" spans="2:78" ht="15.75" x14ac:dyDescent="0.2">
      <c r="B90" s="25"/>
      <c r="C90" s="133" t="s">
        <v>332</v>
      </c>
      <c r="D90" s="133"/>
      <c r="E90" s="129" t="s">
        <v>356</v>
      </c>
      <c r="F90" s="318">
        <f>P104</f>
        <v>12985.674000000001</v>
      </c>
      <c r="G90" s="318">
        <f>P105</f>
        <v>5066.4044000000004</v>
      </c>
      <c r="H90" s="318" t="s">
        <v>356</v>
      </c>
      <c r="I90" s="1"/>
      <c r="J90" s="134" t="s">
        <v>426</v>
      </c>
      <c r="K90" s="136"/>
      <c r="L90" s="136"/>
      <c r="M90" s="313"/>
      <c r="N90" s="313"/>
      <c r="O90" s="312">
        <v>0.9971353661013399</v>
      </c>
      <c r="P90" s="296">
        <v>33881.978282372322</v>
      </c>
      <c r="Q90" s="296">
        <v>45537.383040298693</v>
      </c>
      <c r="R90" s="36"/>
      <c r="S90" s="14"/>
      <c r="T90" s="14"/>
      <c r="U90" s="13"/>
      <c r="V90" s="45"/>
      <c r="W90" s="42"/>
      <c r="X90" s="42"/>
      <c r="Z90" s="132">
        <v>1997</v>
      </c>
      <c r="AA90" s="241">
        <v>35578</v>
      </c>
      <c r="AB90" s="242" t="s">
        <v>579</v>
      </c>
      <c r="AC90" s="147">
        <v>4</v>
      </c>
      <c r="AD90" s="149">
        <v>7588</v>
      </c>
      <c r="AE90" s="150">
        <f>AD90/AD$32</f>
        <v>0.2786223103473599</v>
      </c>
      <c r="AF90" s="134"/>
      <c r="AG90" s="149">
        <v>9515</v>
      </c>
      <c r="AH90" s="150">
        <f>AG90/AG$32</f>
        <v>0.24828432012107612</v>
      </c>
      <c r="AI90" s="134"/>
      <c r="AJ90" s="149" t="s">
        <v>46</v>
      </c>
      <c r="AK90" s="131"/>
      <c r="AL90" s="149" t="s">
        <v>46</v>
      </c>
      <c r="AM90" s="148"/>
      <c r="AN90" s="149" t="s">
        <v>46</v>
      </c>
      <c r="AO90" s="148"/>
      <c r="AP90" s="149" t="s">
        <v>46</v>
      </c>
      <c r="AQ90" s="148"/>
      <c r="AR90" s="149">
        <v>8552</v>
      </c>
      <c r="AS90" s="148" t="s">
        <v>580</v>
      </c>
      <c r="AT90" s="150">
        <f>AR90/AR$32</f>
        <v>0.20983670915581945</v>
      </c>
      <c r="AU90" s="11"/>
      <c r="AV90" s="252">
        <f>E71</f>
        <v>8166.5559561580312</v>
      </c>
      <c r="AW90" s="253">
        <f>AV90/AV92</f>
        <v>0.24590726674423477</v>
      </c>
      <c r="AY90" s="1"/>
      <c r="AZ90" s="1"/>
      <c r="BA90" s="1"/>
      <c r="BB90" s="1"/>
      <c r="BF90" s="36"/>
      <c r="BG90" s="36"/>
      <c r="BY90"/>
      <c r="BZ90"/>
    </row>
    <row r="91" spans="2:78" x14ac:dyDescent="0.2">
      <c r="B91" s="25"/>
      <c r="C91" s="131" t="s">
        <v>333</v>
      </c>
      <c r="D91" s="131"/>
      <c r="E91" s="129" t="s">
        <v>356</v>
      </c>
      <c r="F91" s="318">
        <f>R104</f>
        <v>34381.7929</v>
      </c>
      <c r="G91" s="318">
        <f>R105</f>
        <v>18615.035039999999</v>
      </c>
      <c r="H91" s="318" t="s">
        <v>356</v>
      </c>
      <c r="I91" s="1"/>
      <c r="J91" s="133" t="s">
        <v>317</v>
      </c>
      <c r="K91" s="282"/>
      <c r="L91" s="273"/>
      <c r="M91" s="282"/>
      <c r="N91" s="282"/>
      <c r="O91" s="283"/>
      <c r="P91" s="282"/>
      <c r="Q91" s="275"/>
      <c r="R91" s="282"/>
      <c r="S91" s="283"/>
      <c r="T91" s="14"/>
      <c r="U91" s="13"/>
      <c r="V91" s="45"/>
      <c r="W91" s="42"/>
      <c r="X91" s="42"/>
      <c r="Z91" s="130" t="s">
        <v>582</v>
      </c>
      <c r="AA91" s="129"/>
      <c r="AB91" s="131"/>
      <c r="AC91" s="129"/>
      <c r="AD91" s="144">
        <f>AD89+AD88</f>
        <v>19646</v>
      </c>
      <c r="AE91" s="146">
        <f>AD91/AD92</f>
        <v>0.72137768965264004</v>
      </c>
      <c r="AF91" s="129"/>
      <c r="AG91" s="144">
        <f>AG89+AG88</f>
        <v>28808</v>
      </c>
      <c r="AH91" s="146">
        <f>AG91/AG92</f>
        <v>0.75171567987892385</v>
      </c>
      <c r="AI91" s="129"/>
      <c r="AJ91" s="144">
        <f>AJ89+AJ88</f>
        <v>20612</v>
      </c>
      <c r="AK91" s="131"/>
      <c r="AL91" s="144">
        <f>AL89+AL88</f>
        <v>32201</v>
      </c>
      <c r="AM91" s="131"/>
      <c r="AN91" s="144">
        <f>AN89+AN88</f>
        <v>28769</v>
      </c>
      <c r="AO91" s="131"/>
      <c r="AP91" s="144">
        <f>AP89+AP88</f>
        <v>50656</v>
      </c>
      <c r="AQ91" s="131"/>
      <c r="AR91" s="144">
        <f>AR89+AR88</f>
        <v>32201</v>
      </c>
      <c r="AS91" s="144"/>
      <c r="AT91" s="146">
        <f>AR91/AR92</f>
        <v>0.79015041837410738</v>
      </c>
      <c r="AV91" s="250">
        <f>AV89+AV88</f>
        <v>25043.344931610238</v>
      </c>
      <c r="AW91" s="251">
        <f>AV91/AV92</f>
        <v>0.7540927332557652</v>
      </c>
      <c r="AY91" s="1"/>
      <c r="AZ91" s="1"/>
      <c r="BA91" s="1"/>
      <c r="BB91" s="1"/>
      <c r="BF91" s="36"/>
      <c r="BG91" s="36"/>
      <c r="BY91"/>
      <c r="BZ91"/>
    </row>
    <row r="92" spans="2:78" x14ac:dyDescent="0.2">
      <c r="B92" s="25"/>
      <c r="C92" s="131"/>
      <c r="D92" s="131"/>
      <c r="E92" s="131"/>
      <c r="F92" s="131"/>
      <c r="G92" s="131"/>
      <c r="H92" s="131"/>
      <c r="I92" s="1"/>
      <c r="J92" s="133" t="s">
        <v>316</v>
      </c>
      <c r="K92" s="282"/>
      <c r="L92" s="275"/>
      <c r="M92" s="275"/>
      <c r="N92" s="275"/>
      <c r="O92" s="275"/>
      <c r="P92" s="275"/>
      <c r="Q92" s="275"/>
      <c r="R92" s="36"/>
      <c r="S92" s="52"/>
      <c r="T92" s="14"/>
      <c r="U92" s="13"/>
      <c r="V92" s="45"/>
      <c r="W92" s="42"/>
      <c r="X92" s="42"/>
      <c r="Z92" s="151" t="s">
        <v>583</v>
      </c>
      <c r="AA92" s="152"/>
      <c r="AB92" s="136"/>
      <c r="AC92" s="134"/>
      <c r="AD92" s="153">
        <f>SUM(AD88:AD90)</f>
        <v>27234</v>
      </c>
      <c r="AE92" s="150">
        <f>SUM(AE88:AE90)</f>
        <v>1</v>
      </c>
      <c r="AF92" s="134"/>
      <c r="AG92" s="153">
        <f>SUM(AG88:AG90)</f>
        <v>38323</v>
      </c>
      <c r="AH92" s="150">
        <f>SUM(AH88:AH90)</f>
        <v>1</v>
      </c>
      <c r="AI92" s="134"/>
      <c r="AJ92" s="149" t="s">
        <v>46</v>
      </c>
      <c r="AK92" s="131"/>
      <c r="AL92" s="149" t="s">
        <v>46</v>
      </c>
      <c r="AM92" s="136"/>
      <c r="AN92" s="149" t="s">
        <v>46</v>
      </c>
      <c r="AO92" s="136"/>
      <c r="AP92" s="149" t="s">
        <v>46</v>
      </c>
      <c r="AQ92" s="136"/>
      <c r="AR92" s="153">
        <f>SUM(AR88:AR90)</f>
        <v>40753</v>
      </c>
      <c r="AS92" s="153"/>
      <c r="AT92" s="150">
        <f>SUM(AT88:AT90)</f>
        <v>0.99993865858595765</v>
      </c>
      <c r="AU92" s="11"/>
      <c r="AV92" s="254">
        <f>SUM(AV88:AV90)</f>
        <v>33209.900887768272</v>
      </c>
      <c r="AW92" s="253">
        <f>SUM(AW88:AW90)</f>
        <v>1</v>
      </c>
      <c r="AZ92" s="1"/>
      <c r="BA92" s="1"/>
      <c r="BB92" s="1"/>
      <c r="BF92" s="36"/>
      <c r="BG92" s="36"/>
      <c r="BY92"/>
      <c r="BZ92"/>
    </row>
    <row r="93" spans="2:78" ht="18.75" x14ac:dyDescent="0.25">
      <c r="B93" s="15"/>
      <c r="C93" s="133" t="s">
        <v>307</v>
      </c>
      <c r="D93" s="133"/>
      <c r="E93" s="317">
        <f>AVERAGE(E87:E88)</f>
        <v>9860.7408905304619</v>
      </c>
      <c r="F93" s="317">
        <f>F89</f>
        <v>24490.3763</v>
      </c>
      <c r="G93" s="317">
        <f>G89</f>
        <v>9478.7404799999986</v>
      </c>
      <c r="H93" s="318">
        <f>SUM(E93:G93)</f>
        <v>43829.857670530466</v>
      </c>
      <c r="I93" s="1"/>
      <c r="J93" s="275"/>
      <c r="K93" s="273"/>
      <c r="L93" s="36"/>
      <c r="M93" s="36"/>
      <c r="N93" s="36"/>
      <c r="O93" s="36"/>
      <c r="P93" s="36"/>
      <c r="Q93" s="36"/>
      <c r="R93" s="36"/>
      <c r="S93" s="52"/>
      <c r="T93" s="14"/>
      <c r="U93" s="13"/>
      <c r="V93" s="45"/>
      <c r="W93" s="42"/>
      <c r="X93" s="42"/>
      <c r="Z93" s="154" t="s">
        <v>584</v>
      </c>
      <c r="AA93" s="132"/>
      <c r="AB93" s="133"/>
      <c r="AC93" s="132"/>
      <c r="AD93" s="155">
        <f>AD91-17500</f>
        <v>2146</v>
      </c>
      <c r="AE93" s="156"/>
      <c r="AF93" s="132"/>
      <c r="AG93" s="155">
        <f>AG91-17500</f>
        <v>11308</v>
      </c>
      <c r="AH93" s="156"/>
      <c r="AI93" s="132"/>
      <c r="AJ93" s="155">
        <f>AJ91-17500</f>
        <v>3112</v>
      </c>
      <c r="AK93" s="131"/>
      <c r="AL93" s="155">
        <f>AL91-17500</f>
        <v>14701</v>
      </c>
      <c r="AM93" s="133"/>
      <c r="AN93" s="155">
        <f>AN91-17500</f>
        <v>11269</v>
      </c>
      <c r="AO93" s="133"/>
      <c r="AP93" s="155">
        <f>AP91-17500</f>
        <v>33156</v>
      </c>
      <c r="AQ93" s="133"/>
      <c r="AR93" s="155">
        <f>AR91-17500</f>
        <v>14701</v>
      </c>
      <c r="AS93" s="147"/>
      <c r="AT93" s="156"/>
      <c r="AV93" s="255">
        <f>AV91-17500</f>
        <v>7543.3449316102378</v>
      </c>
      <c r="AW93" s="256"/>
      <c r="AZ93" s="1"/>
      <c r="BA93" s="1"/>
      <c r="BB93" s="1"/>
      <c r="BF93" s="36"/>
      <c r="BG93" s="36"/>
      <c r="BY93"/>
      <c r="BZ93"/>
    </row>
    <row r="94" spans="2:78" ht="18.75" x14ac:dyDescent="0.25">
      <c r="B94" s="1"/>
      <c r="C94" s="131" t="s">
        <v>308</v>
      </c>
      <c r="D94" s="131"/>
      <c r="E94" s="318">
        <f>MIN(E87:E88)</f>
        <v>8469.1477171532661</v>
      </c>
      <c r="F94" s="318">
        <f>MIN(F89:F91)</f>
        <v>12985.674000000001</v>
      </c>
      <c r="G94" s="318">
        <f>MIN(G89:G91)</f>
        <v>5066.4044000000004</v>
      </c>
      <c r="H94" s="318">
        <f>SUM(E94:G94)</f>
        <v>26521.226117153266</v>
      </c>
      <c r="I94" s="1"/>
      <c r="S94" s="14"/>
      <c r="T94" s="14"/>
      <c r="U94" s="13"/>
      <c r="V94" s="45"/>
      <c r="W94" s="42"/>
      <c r="X94" s="42"/>
      <c r="Z94" s="157" t="s">
        <v>585</v>
      </c>
      <c r="AA94" s="138"/>
      <c r="AB94" s="136"/>
      <c r="AC94" s="134"/>
      <c r="AD94" s="149">
        <f>AD92-17500</f>
        <v>9734</v>
      </c>
      <c r="AE94" s="134"/>
      <c r="AF94" s="134"/>
      <c r="AG94" s="149">
        <f>AG92-17500</f>
        <v>20823</v>
      </c>
      <c r="AH94" s="134"/>
      <c r="AI94" s="134"/>
      <c r="AJ94" s="149"/>
      <c r="AK94" s="131"/>
      <c r="AL94" s="149"/>
      <c r="AM94" s="136"/>
      <c r="AN94" s="149"/>
      <c r="AO94" s="136"/>
      <c r="AP94" s="149"/>
      <c r="AQ94" s="136"/>
      <c r="AR94" s="149">
        <f>AR92-17500</f>
        <v>23253</v>
      </c>
      <c r="AS94" s="149"/>
      <c r="AT94" s="136"/>
      <c r="AU94" s="11"/>
      <c r="AV94" s="252">
        <f>AV92-17500</f>
        <v>15709.900887768272</v>
      </c>
      <c r="AW94" s="248"/>
      <c r="AZ94" s="1"/>
      <c r="BA94" s="1"/>
      <c r="BB94" s="1"/>
      <c r="BF94" s="36"/>
      <c r="BG94" s="36"/>
      <c r="BY94"/>
      <c r="BZ94"/>
    </row>
    <row r="95" spans="2:78" ht="18.75" x14ac:dyDescent="0.25">
      <c r="C95" s="131" t="s">
        <v>309</v>
      </c>
      <c r="D95" s="131"/>
      <c r="E95" s="318">
        <f>MAX(E87:E91)</f>
        <v>11252.33406390766</v>
      </c>
      <c r="F95" s="318">
        <f>MAX(F87:F91)</f>
        <v>34381.7929</v>
      </c>
      <c r="G95" s="318">
        <f>MAX(G87:G91)</f>
        <v>18615.035039999999</v>
      </c>
      <c r="H95" s="318">
        <f>SUM(E95:G95)</f>
        <v>64249.162003907666</v>
      </c>
      <c r="I95" s="1"/>
      <c r="S95" s="14"/>
      <c r="T95" s="14"/>
      <c r="U95" s="13"/>
      <c r="V95" s="45"/>
      <c r="W95" s="42"/>
      <c r="X95" s="42"/>
      <c r="Z95" s="158" t="s">
        <v>566</v>
      </c>
      <c r="AA95" s="159" t="s">
        <v>43</v>
      </c>
      <c r="AB95" s="129"/>
      <c r="AC95" s="129"/>
      <c r="AD95" s="129"/>
      <c r="AE95" s="129"/>
      <c r="AF95" s="129"/>
      <c r="AG95" s="129"/>
      <c r="AH95" s="129"/>
      <c r="AI95" s="129"/>
      <c r="AJ95" s="129"/>
      <c r="AK95" s="131"/>
      <c r="AL95" s="131"/>
      <c r="AM95" s="131"/>
      <c r="AN95" s="131"/>
      <c r="AO95" s="131"/>
      <c r="AP95" s="131"/>
      <c r="AQ95" s="131"/>
      <c r="AR95" s="131"/>
      <c r="AS95" s="133"/>
      <c r="AT95" s="131"/>
      <c r="AZ95" s="1"/>
      <c r="BA95" s="1"/>
      <c r="BB95" s="1"/>
      <c r="BF95" s="36"/>
      <c r="BG95" s="36"/>
      <c r="BY95"/>
      <c r="BZ95"/>
    </row>
    <row r="96" spans="2:78" ht="15.75" x14ac:dyDescent="0.2">
      <c r="C96" s="133"/>
      <c r="D96" s="133"/>
      <c r="E96" s="241"/>
      <c r="F96" s="241"/>
      <c r="G96" s="241"/>
      <c r="H96" s="241"/>
      <c r="I96" s="88"/>
      <c r="S96" s="14"/>
      <c r="T96" s="14"/>
      <c r="U96" s="13"/>
      <c r="V96" s="45"/>
      <c r="W96" s="42"/>
      <c r="X96" s="42"/>
      <c r="Z96" s="158" t="s">
        <v>568</v>
      </c>
      <c r="AA96" s="159" t="s">
        <v>44</v>
      </c>
      <c r="AB96" s="129"/>
      <c r="AC96" s="129"/>
      <c r="AD96" s="129"/>
      <c r="AE96" s="129"/>
      <c r="AF96" s="129"/>
      <c r="AG96" s="129"/>
      <c r="AH96" s="129"/>
      <c r="AI96" s="129"/>
      <c r="AJ96" s="129"/>
      <c r="AK96" s="131"/>
      <c r="AL96" s="131"/>
      <c r="AM96" s="131"/>
      <c r="AN96" s="131"/>
      <c r="AO96" s="131"/>
      <c r="AP96" s="131"/>
      <c r="AQ96" s="131"/>
      <c r="AR96" s="131"/>
      <c r="AS96" s="131"/>
      <c r="AT96" s="131"/>
      <c r="AZ96" s="1"/>
      <c r="BA96" s="1"/>
      <c r="BB96" s="1"/>
      <c r="BF96" s="36"/>
      <c r="BG96" s="36"/>
      <c r="BY96"/>
      <c r="BZ96"/>
    </row>
    <row r="97" spans="2:78" ht="15.75" x14ac:dyDescent="0.2">
      <c r="B97" s="1"/>
      <c r="C97" s="133"/>
      <c r="D97" s="133"/>
      <c r="E97" s="319" t="s">
        <v>346</v>
      </c>
      <c r="F97" s="133"/>
      <c r="G97" s="133"/>
      <c r="H97" s="133"/>
      <c r="I97" s="1"/>
      <c r="S97" s="14"/>
      <c r="T97" s="14"/>
      <c r="U97" s="13"/>
      <c r="V97" s="45"/>
      <c r="W97" s="42"/>
      <c r="X97" s="42"/>
      <c r="Z97" s="158" t="s">
        <v>579</v>
      </c>
      <c r="AA97" s="130" t="s">
        <v>2</v>
      </c>
      <c r="AB97" s="129"/>
      <c r="AC97" s="129"/>
      <c r="AD97" s="129"/>
      <c r="AE97" s="129"/>
      <c r="AF97" s="129"/>
      <c r="AG97" s="129"/>
      <c r="AH97" s="129"/>
      <c r="AI97" s="129"/>
      <c r="AJ97" s="129"/>
      <c r="AK97" s="131"/>
      <c r="AL97" s="131"/>
      <c r="AM97" s="131"/>
      <c r="AN97" s="131"/>
      <c r="AO97" s="131"/>
      <c r="AP97" s="131"/>
      <c r="AQ97" s="131"/>
      <c r="AR97" s="131"/>
      <c r="AS97" s="131"/>
      <c r="AT97" s="131"/>
      <c r="AZ97" s="1"/>
      <c r="BA97" s="1"/>
      <c r="BB97" s="1"/>
      <c r="BF97" s="36"/>
      <c r="BG97" s="36"/>
      <c r="BY97"/>
      <c r="BZ97"/>
    </row>
    <row r="98" spans="2:78" ht="18.75" x14ac:dyDescent="0.25">
      <c r="B98" s="1"/>
      <c r="C98" s="131" t="s">
        <v>310</v>
      </c>
      <c r="D98" s="131"/>
      <c r="E98" s="131"/>
      <c r="F98" s="131"/>
      <c r="G98" s="131"/>
      <c r="H98" s="310">
        <v>7076</v>
      </c>
      <c r="I98" s="1"/>
      <c r="S98" s="14"/>
      <c r="T98" s="88"/>
      <c r="U98" s="13"/>
      <c r="V98" s="45"/>
      <c r="W98" s="42"/>
      <c r="X98" s="42"/>
      <c r="Z98" s="158" t="s">
        <v>580</v>
      </c>
      <c r="AA98" s="159" t="s">
        <v>45</v>
      </c>
      <c r="AB98" s="129"/>
      <c r="AC98" s="129"/>
      <c r="AD98" s="129"/>
      <c r="AE98" s="129"/>
      <c r="AF98" s="129"/>
      <c r="AG98" s="129"/>
      <c r="AH98" s="129"/>
      <c r="AI98" s="129"/>
      <c r="AJ98" s="129"/>
      <c r="AK98" s="131"/>
      <c r="AL98" s="131"/>
      <c r="AM98" s="131"/>
      <c r="AN98" s="131"/>
      <c r="AO98" s="131"/>
      <c r="AP98" s="131"/>
      <c r="AQ98" s="131"/>
      <c r="AR98" s="131"/>
      <c r="AS98" s="131"/>
      <c r="AT98" s="131"/>
      <c r="AZ98" s="1"/>
      <c r="BA98" s="1"/>
      <c r="BB98" s="1"/>
      <c r="BF98" s="36"/>
      <c r="BG98" s="36"/>
      <c r="BY98"/>
      <c r="BZ98"/>
    </row>
    <row r="99" spans="2:78" ht="18.75" x14ac:dyDescent="0.25">
      <c r="B99" s="1"/>
      <c r="C99" s="133" t="s">
        <v>311</v>
      </c>
      <c r="D99" s="133"/>
      <c r="E99" s="133"/>
      <c r="F99" s="133"/>
      <c r="G99" s="133"/>
      <c r="H99" s="313">
        <v>1424</v>
      </c>
      <c r="I99" s="1"/>
      <c r="J99" s="309" t="s">
        <v>354</v>
      </c>
      <c r="K99" s="273"/>
      <c r="L99" s="282"/>
      <c r="M99" s="282"/>
      <c r="N99" s="283"/>
      <c r="O99" s="282"/>
      <c r="P99" s="275"/>
      <c r="Q99" s="282"/>
      <c r="R99" s="279"/>
      <c r="S99" s="14"/>
      <c r="T99" s="14"/>
      <c r="U99" s="13"/>
      <c r="V99" s="45"/>
      <c r="W99" s="42"/>
      <c r="X99" s="42"/>
      <c r="Z99" s="158" t="s">
        <v>581</v>
      </c>
      <c r="AA99" s="159" t="s">
        <v>54</v>
      </c>
      <c r="AB99" s="129"/>
      <c r="AC99" s="129"/>
      <c r="AD99" s="129"/>
      <c r="AE99" s="131"/>
      <c r="AF99" s="129"/>
      <c r="AG99" s="129"/>
      <c r="AH99" s="129"/>
      <c r="AI99" s="129"/>
      <c r="AJ99" s="129"/>
      <c r="AK99" s="131"/>
      <c r="AL99" s="131"/>
      <c r="AM99" s="131"/>
      <c r="AN99" s="131"/>
      <c r="AO99" s="131"/>
      <c r="AP99" s="131"/>
      <c r="AQ99" s="131"/>
      <c r="AR99" s="131"/>
      <c r="AS99" s="131"/>
      <c r="AT99" s="131"/>
      <c r="AZ99" s="1"/>
      <c r="BA99" s="1"/>
      <c r="BB99" s="1"/>
      <c r="BF99" s="36"/>
      <c r="BG99" s="36"/>
      <c r="BY99"/>
      <c r="BZ99"/>
    </row>
    <row r="100" spans="2:78" ht="15.75" x14ac:dyDescent="0.2">
      <c r="B100" s="1"/>
      <c r="C100" s="131" t="s">
        <v>328</v>
      </c>
      <c r="D100" s="131"/>
      <c r="E100" s="131"/>
      <c r="F100" s="131"/>
      <c r="G100" s="131"/>
      <c r="H100" s="310">
        <f>SUM(H98:H99)</f>
        <v>8500</v>
      </c>
      <c r="I100" s="1"/>
      <c r="J100" s="136" t="s">
        <v>355</v>
      </c>
      <c r="K100" s="136"/>
      <c r="L100" s="136"/>
      <c r="M100" s="136"/>
      <c r="N100" s="136"/>
      <c r="O100" s="136"/>
      <c r="P100" s="136"/>
      <c r="Q100" s="136"/>
      <c r="R100" s="136"/>
      <c r="S100" s="52"/>
      <c r="T100" s="14"/>
      <c r="U100" s="13"/>
      <c r="V100" s="45"/>
      <c r="W100" s="42"/>
      <c r="X100" s="42"/>
      <c r="Z100" s="158"/>
      <c r="AA100" s="159"/>
      <c r="AB100" s="129"/>
      <c r="AC100" s="129"/>
      <c r="AD100" s="129"/>
      <c r="AE100" s="129"/>
      <c r="AF100" s="129"/>
      <c r="AG100" s="129"/>
      <c r="AH100" s="129"/>
      <c r="AI100" s="129"/>
      <c r="AJ100" s="129"/>
      <c r="AK100" s="131"/>
      <c r="AL100" s="131"/>
      <c r="AM100" s="131"/>
      <c r="AN100" s="131"/>
      <c r="AO100" s="131"/>
      <c r="AP100" s="131"/>
      <c r="AQ100" s="131"/>
      <c r="AR100" s="131"/>
      <c r="AS100" s="131"/>
      <c r="AT100" s="131"/>
      <c r="AZ100" s="1"/>
      <c r="BA100" s="1"/>
      <c r="BB100" s="1"/>
      <c r="BF100" s="36"/>
      <c r="BG100" s="36"/>
      <c r="BY100"/>
      <c r="BZ100"/>
    </row>
    <row r="101" spans="2:78" ht="14.25" x14ac:dyDescent="0.2">
      <c r="B101" s="1"/>
      <c r="C101" s="131"/>
      <c r="D101" s="131"/>
      <c r="E101" s="131"/>
      <c r="F101" s="131"/>
      <c r="G101" s="131"/>
      <c r="H101" s="131"/>
      <c r="I101" s="1"/>
      <c r="J101" s="282"/>
      <c r="K101" s="273" t="s">
        <v>549</v>
      </c>
      <c r="L101" s="282"/>
      <c r="M101" s="282"/>
      <c r="N101" s="282"/>
      <c r="O101" s="314"/>
      <c r="P101" s="294" t="s">
        <v>344</v>
      </c>
      <c r="Q101" s="294"/>
      <c r="R101" s="295"/>
      <c r="S101" s="14"/>
      <c r="T101" s="14"/>
      <c r="U101" s="13"/>
      <c r="V101" s="45"/>
      <c r="W101" s="42"/>
      <c r="X101" s="42"/>
      <c r="Z101" s="101"/>
      <c r="AA101" s="109"/>
      <c r="AB101" s="42"/>
      <c r="AC101" s="42"/>
      <c r="AD101" s="42"/>
      <c r="AE101" s="42"/>
      <c r="AF101" s="42"/>
      <c r="AG101" s="42"/>
      <c r="AH101" s="42"/>
      <c r="AI101" s="42"/>
      <c r="AJ101" s="42"/>
      <c r="AK101" s="1"/>
      <c r="AL101" s="1"/>
      <c r="AM101" s="1"/>
      <c r="AN101" s="1"/>
      <c r="AO101" s="1"/>
      <c r="AP101" s="1"/>
      <c r="AQ101" s="1"/>
      <c r="AR101" s="1"/>
      <c r="AS101" s="1"/>
      <c r="AT101" s="1"/>
      <c r="AZ101" s="1"/>
      <c r="BA101" s="1"/>
      <c r="BB101" s="1"/>
      <c r="BF101" s="36"/>
      <c r="BG101" s="36"/>
      <c r="BY101"/>
      <c r="BZ101"/>
    </row>
    <row r="102" spans="2:78" ht="18.75" x14ac:dyDescent="0.25">
      <c r="B102" s="1"/>
      <c r="C102" s="320" t="s">
        <v>312</v>
      </c>
      <c r="D102" s="320"/>
      <c r="E102" s="131"/>
      <c r="F102" s="131"/>
      <c r="G102" s="332" t="s">
        <v>52</v>
      </c>
      <c r="H102" s="332" t="s">
        <v>49</v>
      </c>
      <c r="J102" s="129" t="s">
        <v>531</v>
      </c>
      <c r="K102" s="273" t="s">
        <v>377</v>
      </c>
      <c r="L102" s="294"/>
      <c r="M102" s="294" t="s">
        <v>380</v>
      </c>
      <c r="N102" s="294"/>
      <c r="O102" s="273" t="s">
        <v>531</v>
      </c>
      <c r="P102" s="273"/>
      <c r="Q102" s="282"/>
      <c r="R102" s="275"/>
      <c r="S102" s="283"/>
      <c r="T102" s="14"/>
      <c r="U102" s="13"/>
      <c r="V102" s="45"/>
      <c r="W102" s="42"/>
      <c r="X102" s="42"/>
      <c r="Z102" s="132"/>
      <c r="AA102" s="301"/>
      <c r="AB102" s="133"/>
      <c r="AC102" s="132"/>
      <c r="AD102" s="133"/>
      <c r="AE102" s="133"/>
      <c r="AF102" s="133"/>
      <c r="AG102" s="133"/>
      <c r="AH102" s="133"/>
      <c r="AI102" s="133"/>
      <c r="AJ102" s="133"/>
      <c r="AK102" s="133"/>
      <c r="AL102" s="133"/>
      <c r="AM102" s="133"/>
      <c r="AN102" s="133"/>
      <c r="AO102" s="133"/>
      <c r="AP102" s="133"/>
      <c r="AQ102" s="133"/>
      <c r="AR102" s="133"/>
      <c r="AS102" s="1"/>
      <c r="AT102" s="1"/>
      <c r="AZ102" s="1"/>
      <c r="BA102" s="1"/>
      <c r="BB102" s="1"/>
      <c r="BF102" s="36"/>
      <c r="BG102" s="36"/>
      <c r="BY102"/>
      <c r="BZ102"/>
    </row>
    <row r="103" spans="2:78" ht="18.75" x14ac:dyDescent="0.3">
      <c r="B103" s="1"/>
      <c r="C103" s="133" t="s">
        <v>383</v>
      </c>
      <c r="D103" s="133"/>
      <c r="E103" s="131"/>
      <c r="F103" s="131"/>
      <c r="G103" s="321">
        <f>H93-28000</f>
        <v>15829.857670530466</v>
      </c>
      <c r="H103" s="321">
        <f>H93-14000</f>
        <v>29829.857670530466</v>
      </c>
      <c r="J103" s="314" t="s">
        <v>378</v>
      </c>
      <c r="K103" s="314" t="s">
        <v>378</v>
      </c>
      <c r="L103" s="295" t="s">
        <v>52</v>
      </c>
      <c r="M103" s="294" t="s">
        <v>485</v>
      </c>
      <c r="N103" s="295" t="s">
        <v>49</v>
      </c>
      <c r="O103" s="314" t="s">
        <v>379</v>
      </c>
      <c r="P103" s="295" t="s">
        <v>52</v>
      </c>
      <c r="Q103" s="294" t="s">
        <v>485</v>
      </c>
      <c r="R103" s="295" t="s">
        <v>49</v>
      </c>
      <c r="S103" s="14"/>
      <c r="T103" s="14"/>
      <c r="U103" s="13"/>
      <c r="V103" s="45"/>
      <c r="W103" s="42"/>
      <c r="X103" s="42"/>
      <c r="Z103" s="132"/>
      <c r="AA103" s="132"/>
      <c r="AB103" s="133"/>
      <c r="AC103" s="132"/>
      <c r="AD103" s="302"/>
      <c r="AE103" s="160"/>
      <c r="AF103" s="160"/>
      <c r="AG103" s="160"/>
      <c r="AH103" s="160"/>
      <c r="AI103" s="160"/>
      <c r="AJ103" s="160"/>
      <c r="AK103" s="160"/>
      <c r="AL103" s="160"/>
      <c r="AM103" s="160"/>
      <c r="AN103" s="160"/>
      <c r="AO103" s="160"/>
      <c r="AP103" s="160"/>
      <c r="AQ103" s="160"/>
      <c r="AR103" s="160"/>
      <c r="AS103" s="1"/>
      <c r="AT103" s="1"/>
      <c r="BF103" s="36"/>
      <c r="BG103" s="36"/>
      <c r="BY103"/>
      <c r="BZ103"/>
    </row>
    <row r="104" spans="2:78" ht="15.75" x14ac:dyDescent="0.25">
      <c r="B104" s="1"/>
      <c r="C104" s="131" t="s">
        <v>329</v>
      </c>
      <c r="D104" s="131"/>
      <c r="E104" s="131"/>
      <c r="F104" s="131"/>
      <c r="G104" s="321">
        <v>0</v>
      </c>
      <c r="H104" s="321">
        <f>H94-14000</f>
        <v>12521.226117153266</v>
      </c>
      <c r="J104" s="291">
        <v>1.2</v>
      </c>
      <c r="K104" s="292">
        <v>9451</v>
      </c>
      <c r="L104" s="293">
        <v>1.3740000000000001</v>
      </c>
      <c r="M104" s="293">
        <v>2.5912999999999999</v>
      </c>
      <c r="N104" s="293">
        <v>3.6379000000000001</v>
      </c>
      <c r="O104" s="273">
        <v>1.3</v>
      </c>
      <c r="P104" s="283">
        <f>K104*L104</f>
        <v>12985.674000000001</v>
      </c>
      <c r="Q104" s="283">
        <f>M104*K104</f>
        <v>24490.3763</v>
      </c>
      <c r="R104" s="283">
        <f>K104*N104</f>
        <v>34381.7929</v>
      </c>
      <c r="S104" s="14"/>
      <c r="T104" s="14"/>
      <c r="U104" s="13"/>
      <c r="V104" s="45"/>
      <c r="W104" s="42"/>
      <c r="X104" s="42"/>
      <c r="Z104" s="132"/>
      <c r="AA104" s="132"/>
      <c r="AB104" s="133"/>
      <c r="AC104" s="132"/>
      <c r="AD104" s="300"/>
      <c r="AE104" s="160"/>
      <c r="AF104" s="160"/>
      <c r="AG104" s="160"/>
      <c r="AH104" s="160"/>
      <c r="AI104" s="133"/>
      <c r="AJ104" s="133"/>
      <c r="AK104" s="133"/>
      <c r="AL104" s="133"/>
      <c r="AM104" s="133"/>
      <c r="AN104" s="133"/>
      <c r="AO104" s="133"/>
      <c r="AP104" s="133"/>
      <c r="AQ104" s="133"/>
      <c r="AR104" s="133"/>
      <c r="AS104" s="1"/>
      <c r="AT104" s="1"/>
      <c r="BF104" s="36"/>
      <c r="BG104" s="36"/>
      <c r="BY104"/>
      <c r="BZ104"/>
    </row>
    <row r="105" spans="2:78" ht="16.5" x14ac:dyDescent="0.25">
      <c r="B105" s="1"/>
      <c r="C105" s="136" t="s">
        <v>330</v>
      </c>
      <c r="D105" s="136"/>
      <c r="E105" s="136"/>
      <c r="F105" s="136"/>
      <c r="G105" s="322">
        <f>H95-28000</f>
        <v>36249.162003907666</v>
      </c>
      <c r="H105" s="322">
        <f>H95-14000</f>
        <v>50249.162003907666</v>
      </c>
      <c r="J105" s="297">
        <v>1.3</v>
      </c>
      <c r="K105" s="298">
        <v>16936</v>
      </c>
      <c r="L105" s="299">
        <v>0.29915000000000003</v>
      </c>
      <c r="M105" s="299">
        <v>0.55967999999999996</v>
      </c>
      <c r="N105" s="299">
        <v>1.09914</v>
      </c>
      <c r="O105" s="314">
        <v>1.4</v>
      </c>
      <c r="P105" s="296">
        <f>K105*L105</f>
        <v>5066.4044000000004</v>
      </c>
      <c r="Q105" s="296">
        <f>M105*K105</f>
        <v>9478.7404799999986</v>
      </c>
      <c r="R105" s="296">
        <f>K105*N105</f>
        <v>18615.035039999999</v>
      </c>
      <c r="S105" s="52"/>
      <c r="T105" s="14"/>
      <c r="U105" s="13"/>
      <c r="V105" s="45"/>
      <c r="W105" s="42"/>
      <c r="X105" s="42"/>
      <c r="Z105" s="133"/>
      <c r="AA105" s="132"/>
      <c r="AB105" s="133"/>
      <c r="AC105" s="133"/>
      <c r="AD105" s="160"/>
      <c r="AE105" s="160"/>
      <c r="AF105" s="145"/>
      <c r="AG105" s="160"/>
      <c r="AH105" s="160"/>
      <c r="AI105" s="242"/>
      <c r="AJ105" s="1"/>
      <c r="AK105" s="303"/>
      <c r="AL105" s="1"/>
      <c r="AM105" s="300"/>
      <c r="AN105" s="1"/>
      <c r="AO105" s="145"/>
      <c r="AP105" s="133"/>
      <c r="AQ105" s="133"/>
      <c r="AR105" s="133"/>
      <c r="AS105" s="1"/>
      <c r="AT105" s="1"/>
      <c r="BF105" s="36"/>
      <c r="BG105" s="36"/>
      <c r="BY105"/>
      <c r="BZ105"/>
    </row>
    <row r="106" spans="2:78" ht="15.75" x14ac:dyDescent="0.25">
      <c r="B106" s="1"/>
      <c r="C106" s="133" t="s">
        <v>348</v>
      </c>
      <c r="D106" s="131"/>
      <c r="E106" s="131"/>
      <c r="F106" s="131"/>
      <c r="G106" s="131"/>
      <c r="H106" s="131"/>
      <c r="N106" s="1"/>
      <c r="S106" s="14"/>
      <c r="T106" s="14"/>
      <c r="U106" s="13"/>
      <c r="V106" s="45"/>
      <c r="W106" s="42"/>
      <c r="X106" s="42"/>
      <c r="Z106" s="132"/>
      <c r="AA106" s="132"/>
      <c r="AB106" s="133"/>
      <c r="AC106" s="132"/>
      <c r="AD106" s="160"/>
      <c r="AE106" s="160"/>
      <c r="AF106" s="132"/>
      <c r="AG106" s="160"/>
      <c r="AH106" s="160"/>
      <c r="AI106" s="133"/>
      <c r="AJ106" s="132"/>
      <c r="AK106" s="133"/>
      <c r="AL106" s="132"/>
      <c r="AM106" s="133"/>
      <c r="AN106" s="132"/>
      <c r="AO106" s="133"/>
      <c r="AP106" s="300"/>
      <c r="AQ106" s="300"/>
      <c r="AR106" s="160"/>
      <c r="AS106" s="1"/>
      <c r="AT106" s="1"/>
    </row>
    <row r="107" spans="2:78" x14ac:dyDescent="0.2">
      <c r="B107" s="1"/>
      <c r="C107" s="131" t="s">
        <v>347</v>
      </c>
      <c r="D107" s="131"/>
      <c r="E107" s="131"/>
      <c r="F107" s="131"/>
      <c r="G107" s="131"/>
      <c r="H107" s="131"/>
      <c r="N107" s="1"/>
      <c r="S107" s="52"/>
      <c r="T107" s="14"/>
      <c r="U107" s="13"/>
      <c r="V107" s="45"/>
      <c r="W107" s="42"/>
      <c r="X107" s="42"/>
      <c r="Z107" s="132"/>
      <c r="AA107" s="132"/>
      <c r="AB107" s="133"/>
      <c r="AC107" s="132"/>
      <c r="AD107" s="132"/>
      <c r="AE107" s="132"/>
      <c r="AF107" s="132"/>
      <c r="AG107" s="132"/>
      <c r="AH107" s="132"/>
      <c r="AI107" s="133"/>
      <c r="AJ107" s="132"/>
      <c r="AK107" s="133"/>
      <c r="AL107" s="132"/>
      <c r="AM107" s="133"/>
      <c r="AN107" s="132"/>
      <c r="AO107" s="133"/>
      <c r="AP107" s="132"/>
      <c r="AQ107" s="132"/>
      <c r="AR107" s="132"/>
      <c r="AS107" s="1"/>
      <c r="AT107" s="1"/>
    </row>
    <row r="108" spans="2:78" ht="15.75" x14ac:dyDescent="0.2">
      <c r="C108" s="133" t="s">
        <v>337</v>
      </c>
      <c r="D108" s="131"/>
      <c r="E108" s="131"/>
      <c r="F108" s="131"/>
      <c r="G108" s="131"/>
      <c r="H108" s="131"/>
      <c r="N108" s="1"/>
      <c r="S108" s="52"/>
      <c r="T108" s="14"/>
      <c r="U108" s="13"/>
      <c r="V108" s="45"/>
      <c r="W108" s="42"/>
      <c r="X108" s="42"/>
      <c r="Z108" s="132"/>
      <c r="AA108" s="147"/>
      <c r="AB108" s="145"/>
      <c r="AC108" s="291"/>
      <c r="AD108" s="147"/>
      <c r="AE108" s="156"/>
      <c r="AF108" s="132"/>
      <c r="AG108" s="147"/>
      <c r="AH108" s="156"/>
      <c r="AI108" s="132"/>
      <c r="AJ108" s="147"/>
      <c r="AK108" s="133"/>
      <c r="AL108" s="147"/>
      <c r="AM108" s="133"/>
      <c r="AN108" s="147"/>
      <c r="AO108" s="133"/>
      <c r="AP108" s="147"/>
      <c r="AQ108" s="147"/>
      <c r="AR108" s="156"/>
      <c r="AS108" s="1"/>
      <c r="AT108" s="1"/>
    </row>
    <row r="109" spans="2:78" ht="15.75" x14ac:dyDescent="0.2">
      <c r="C109" s="133" t="s">
        <v>338</v>
      </c>
      <c r="D109" s="131"/>
      <c r="E109" s="131"/>
      <c r="F109" s="131"/>
      <c r="G109" s="131"/>
      <c r="H109" s="131"/>
      <c r="N109" s="1"/>
      <c r="S109" s="52"/>
      <c r="T109" s="14"/>
      <c r="U109" s="13"/>
      <c r="V109" s="45"/>
      <c r="W109" s="42"/>
      <c r="X109" s="42"/>
      <c r="Z109" s="132"/>
      <c r="AA109" s="147"/>
      <c r="AB109" s="145"/>
      <c r="AC109" s="291"/>
      <c r="AD109" s="147"/>
      <c r="AE109" s="156"/>
      <c r="AF109" s="132"/>
      <c r="AG109" s="147"/>
      <c r="AH109" s="156"/>
      <c r="AI109" s="132"/>
      <c r="AJ109" s="147"/>
      <c r="AK109" s="133"/>
      <c r="AL109" s="147"/>
      <c r="AM109" s="133"/>
      <c r="AN109" s="147"/>
      <c r="AO109" s="133"/>
      <c r="AP109" s="147"/>
      <c r="AQ109" s="147"/>
      <c r="AR109" s="156"/>
      <c r="AS109" s="1"/>
      <c r="AT109" s="1"/>
    </row>
    <row r="110" spans="2:78" ht="15.75" x14ac:dyDescent="0.2">
      <c r="C110" s="133" t="s">
        <v>340</v>
      </c>
      <c r="D110" s="131"/>
      <c r="E110" s="131"/>
      <c r="F110" s="131"/>
      <c r="G110" s="131"/>
      <c r="H110" s="131"/>
      <c r="N110" s="1"/>
      <c r="S110" s="14"/>
      <c r="T110" s="14"/>
      <c r="U110" s="13"/>
      <c r="V110" s="45"/>
      <c r="W110" s="42"/>
      <c r="Z110" s="132"/>
      <c r="AA110" s="241"/>
      <c r="AB110" s="242"/>
      <c r="AC110" s="291"/>
      <c r="AD110" s="147"/>
      <c r="AE110" s="156"/>
      <c r="AF110" s="132"/>
      <c r="AG110" s="147"/>
      <c r="AH110" s="156"/>
      <c r="AI110" s="132"/>
      <c r="AJ110" s="147"/>
      <c r="AK110" s="133"/>
      <c r="AL110" s="147"/>
      <c r="AM110" s="242"/>
      <c r="AN110" s="147"/>
      <c r="AO110" s="242"/>
      <c r="AP110" s="147"/>
      <c r="AQ110" s="242"/>
      <c r="AR110" s="156"/>
      <c r="AS110" s="1"/>
      <c r="AT110" s="1"/>
    </row>
    <row r="111" spans="2:78" x14ac:dyDescent="0.2">
      <c r="C111" s="131" t="s">
        <v>341</v>
      </c>
      <c r="D111" s="131"/>
      <c r="E111" s="131"/>
      <c r="F111" s="131"/>
      <c r="G111" s="131"/>
      <c r="H111" s="131"/>
      <c r="N111" s="1"/>
      <c r="U111" s="13"/>
      <c r="V111" s="45"/>
      <c r="W111" s="42"/>
      <c r="X111" s="42"/>
      <c r="Z111" s="159"/>
      <c r="AA111" s="132"/>
      <c r="AB111" s="133"/>
      <c r="AC111" s="132"/>
      <c r="AD111" s="147"/>
      <c r="AE111" s="156"/>
      <c r="AF111" s="132"/>
      <c r="AG111" s="147"/>
      <c r="AH111" s="156"/>
      <c r="AI111" s="132"/>
      <c r="AJ111" s="147"/>
      <c r="AK111" s="133"/>
      <c r="AL111" s="147"/>
      <c r="AM111" s="133"/>
      <c r="AN111" s="147"/>
      <c r="AO111" s="133"/>
      <c r="AP111" s="147"/>
      <c r="AQ111" s="147"/>
      <c r="AR111" s="156"/>
      <c r="AS111" s="1"/>
      <c r="AT111" s="1"/>
    </row>
    <row r="112" spans="2:78" x14ac:dyDescent="0.2">
      <c r="C112" s="131" t="s">
        <v>301</v>
      </c>
      <c r="D112" s="131"/>
      <c r="E112" s="131"/>
      <c r="F112" s="131"/>
      <c r="G112" s="131"/>
      <c r="H112" s="131"/>
      <c r="N112" s="1"/>
      <c r="U112" s="1"/>
      <c r="V112" s="41"/>
      <c r="Z112" s="272"/>
      <c r="AA112" s="304"/>
      <c r="AB112" s="133"/>
      <c r="AC112" s="132"/>
      <c r="AD112" s="305"/>
      <c r="AE112" s="156"/>
      <c r="AF112" s="132"/>
      <c r="AG112" s="305"/>
      <c r="AH112" s="156"/>
      <c r="AI112" s="132"/>
      <c r="AJ112" s="147"/>
      <c r="AK112" s="133"/>
      <c r="AL112" s="147"/>
      <c r="AM112" s="133"/>
      <c r="AN112" s="147"/>
      <c r="AO112" s="133"/>
      <c r="AP112" s="305"/>
      <c r="AQ112" s="305"/>
      <c r="AR112" s="156"/>
      <c r="AS112" s="1"/>
      <c r="AT112" s="1"/>
    </row>
    <row r="113" spans="1:78" x14ac:dyDescent="0.2">
      <c r="N113" s="1"/>
      <c r="Z113" s="159"/>
      <c r="AA113" s="132"/>
      <c r="AB113" s="133"/>
      <c r="AC113" s="132"/>
      <c r="AD113" s="147"/>
      <c r="AE113" s="156"/>
      <c r="AF113" s="132"/>
      <c r="AG113" s="147"/>
      <c r="AH113" s="156"/>
      <c r="AI113" s="132"/>
      <c r="AJ113" s="147"/>
      <c r="AK113" s="133"/>
      <c r="AL113" s="147"/>
      <c r="AM113" s="133"/>
      <c r="AN113" s="147"/>
      <c r="AO113" s="133"/>
      <c r="AP113" s="147"/>
      <c r="AQ113" s="147"/>
      <c r="AR113" s="156"/>
      <c r="AS113" s="1"/>
      <c r="AT113" s="1"/>
    </row>
    <row r="114" spans="1:78" x14ac:dyDescent="0.2">
      <c r="A114" s="1"/>
      <c r="C114" s="131"/>
      <c r="D114" s="131"/>
      <c r="E114" s="131"/>
      <c r="F114" s="131"/>
      <c r="G114" s="131"/>
      <c r="H114" s="131"/>
      <c r="I114" s="131"/>
      <c r="J114" s="1"/>
      <c r="K114" s="1"/>
    </row>
    <row r="115" spans="1:78" x14ac:dyDescent="0.2">
      <c r="A115" s="19" t="s">
        <v>76</v>
      </c>
      <c r="C115" s="127"/>
      <c r="D115" s="127"/>
      <c r="E115" s="127"/>
      <c r="F115" s="127"/>
      <c r="G115" s="127"/>
      <c r="H115" s="127"/>
      <c r="I115" s="127"/>
      <c r="J115" s="1"/>
      <c r="K115" s="1"/>
    </row>
    <row r="116" spans="1:78" x14ac:dyDescent="0.2">
      <c r="K116" s="345" t="s">
        <v>387</v>
      </c>
    </row>
    <row r="117" spans="1:78" x14ac:dyDescent="0.2">
      <c r="C117" s="338" t="s">
        <v>467</v>
      </c>
      <c r="D117" s="338"/>
      <c r="E117" s="338"/>
      <c r="F117" s="338"/>
      <c r="G117" s="338"/>
      <c r="H117" s="338"/>
      <c r="I117" s="5"/>
      <c r="K117" t="s">
        <v>388</v>
      </c>
      <c r="T117" s="131" t="s">
        <v>77</v>
      </c>
      <c r="U117" s="131"/>
      <c r="V117" s="131"/>
      <c r="W117" s="275"/>
      <c r="X117" s="131"/>
      <c r="Y117" s="131"/>
      <c r="Z117" s="131"/>
      <c r="AA117" s="131"/>
    </row>
    <row r="118" spans="1:78" x14ac:dyDescent="0.2">
      <c r="C118" s="338" t="s">
        <v>84</v>
      </c>
      <c r="D118" s="338"/>
      <c r="E118" s="338"/>
      <c r="F118" s="338"/>
      <c r="G118" s="338"/>
      <c r="H118" s="338"/>
      <c r="I118" s="5"/>
      <c r="K118" t="s">
        <v>389</v>
      </c>
      <c r="T118" s="136"/>
      <c r="U118" s="136"/>
      <c r="V118" s="136"/>
      <c r="W118" s="136"/>
      <c r="X118" s="295"/>
      <c r="Y118" s="136"/>
      <c r="Z118" s="136"/>
      <c r="AA118" s="295"/>
    </row>
    <row r="119" spans="1:78" ht="13.5" x14ac:dyDescent="0.25">
      <c r="B119" s="1"/>
      <c r="C119" s="295" t="s">
        <v>357</v>
      </c>
      <c r="D119" s="339"/>
      <c r="E119" s="339"/>
      <c r="F119" s="339"/>
      <c r="G119" s="339"/>
      <c r="H119" s="339"/>
      <c r="I119" s="36"/>
      <c r="K119" s="314" t="s">
        <v>390</v>
      </c>
      <c r="L119" s="314" t="s">
        <v>391</v>
      </c>
      <c r="M119" s="314" t="s">
        <v>392</v>
      </c>
      <c r="N119" s="314" t="s">
        <v>426</v>
      </c>
      <c r="T119" s="275"/>
      <c r="U119" s="131"/>
      <c r="V119" s="131"/>
      <c r="W119" s="136" t="s">
        <v>342</v>
      </c>
      <c r="X119" s="136"/>
      <c r="Y119" s="129" t="s">
        <v>485</v>
      </c>
      <c r="Z119" s="295" t="s">
        <v>81</v>
      </c>
      <c r="AA119" s="136"/>
      <c r="AB119" s="1"/>
    </row>
    <row r="120" spans="1:78" x14ac:dyDescent="0.2">
      <c r="B120" s="25"/>
      <c r="C120" s="338"/>
      <c r="D120" s="338"/>
      <c r="E120" s="295"/>
      <c r="F120" s="340" t="s">
        <v>345</v>
      </c>
      <c r="G120" s="295"/>
      <c r="H120" s="295"/>
      <c r="J120" s="338"/>
      <c r="K120" s="342">
        <f>Master!BU47</f>
        <v>16832.450323757814</v>
      </c>
      <c r="L120" s="342">
        <f>Master!BV47</f>
        <v>22762.063505990678</v>
      </c>
      <c r="M120" s="342">
        <f>Master!BW47</f>
        <v>6599.162149429244</v>
      </c>
      <c r="N120" s="342">
        <f>Master!BY47</f>
        <v>46671.870590648126</v>
      </c>
      <c r="T120" s="129" t="s">
        <v>375</v>
      </c>
      <c r="U120" s="129" t="s">
        <v>563</v>
      </c>
      <c r="V120" s="129" t="s">
        <v>570</v>
      </c>
      <c r="W120" s="131" t="s">
        <v>545</v>
      </c>
      <c r="X120" s="131" t="s">
        <v>546</v>
      </c>
      <c r="Y120" s="129" t="s">
        <v>531</v>
      </c>
      <c r="Z120" s="131" t="s">
        <v>545</v>
      </c>
      <c r="AA120" s="131" t="s">
        <v>546</v>
      </c>
      <c r="AB120" s="36"/>
    </row>
    <row r="121" spans="1:78" ht="18.75" x14ac:dyDescent="0.25">
      <c r="B121" s="25"/>
      <c r="C121" s="295" t="s">
        <v>532</v>
      </c>
      <c r="D121" s="295"/>
      <c r="E121" s="295" t="s">
        <v>390</v>
      </c>
      <c r="F121" s="295" t="s">
        <v>391</v>
      </c>
      <c r="G121" s="295" t="s">
        <v>392</v>
      </c>
      <c r="H121" s="314" t="s">
        <v>426</v>
      </c>
      <c r="I121" s="338"/>
      <c r="J121" s="11"/>
      <c r="K121" s="11"/>
      <c r="L121" s="11"/>
      <c r="M121" s="11"/>
      <c r="N121" s="11"/>
      <c r="T121" s="134">
        <v>2003</v>
      </c>
      <c r="U121" s="134" t="s">
        <v>416</v>
      </c>
      <c r="V121" s="134" t="s">
        <v>402</v>
      </c>
      <c r="W121" s="136" t="s">
        <v>305</v>
      </c>
      <c r="X121" s="136" t="s">
        <v>306</v>
      </c>
      <c r="Y121" s="134" t="s">
        <v>376</v>
      </c>
      <c r="Z121" s="136" t="s">
        <v>538</v>
      </c>
      <c r="AA121" s="136" t="s">
        <v>538</v>
      </c>
      <c r="AB121" s="36"/>
    </row>
    <row r="122" spans="1:78" x14ac:dyDescent="0.2">
      <c r="B122" s="25"/>
      <c r="C122" s="275" t="s">
        <v>455</v>
      </c>
      <c r="D122" s="275"/>
      <c r="E122" s="341">
        <v>7022.8033025021696</v>
      </c>
      <c r="F122" s="341">
        <v>16103.09828574116</v>
      </c>
      <c r="G122" s="341">
        <v>11591.744341908121</v>
      </c>
      <c r="H122" s="342">
        <v>34717.645930151455</v>
      </c>
      <c r="I122" s="36"/>
      <c r="K122" s="41">
        <f>E122-K$120</f>
        <v>-9809.6470212556451</v>
      </c>
      <c r="L122" s="41">
        <f>F122-L$120</f>
        <v>-6658.9652202495181</v>
      </c>
      <c r="M122" s="41">
        <f>G122-M$120</f>
        <v>4992.582192478877</v>
      </c>
      <c r="N122" s="41">
        <f>H122-N$120</f>
        <v>-11954.224660496671</v>
      </c>
      <c r="T122" s="291">
        <v>1.2</v>
      </c>
      <c r="U122" s="132">
        <v>1999</v>
      </c>
      <c r="V122" s="14">
        <v>29345</v>
      </c>
      <c r="W122" s="310">
        <v>35516.784508006232</v>
      </c>
      <c r="X122" s="310">
        <v>48514.910082973693</v>
      </c>
      <c r="Y122" s="336">
        <v>0.19773195687011255</v>
      </c>
      <c r="Z122" s="283">
        <v>7022.8033025021696</v>
      </c>
      <c r="AA122" s="52">
        <v>9592.9481080839432</v>
      </c>
      <c r="BG122" s="36"/>
      <c r="BZ122"/>
    </row>
    <row r="123" spans="1:78" x14ac:dyDescent="0.2">
      <c r="B123" s="25"/>
      <c r="C123" s="275" t="s">
        <v>382</v>
      </c>
      <c r="D123" s="275"/>
      <c r="E123" s="341">
        <v>9592.9481080839432</v>
      </c>
      <c r="F123" s="341">
        <v>21964.092146629737</v>
      </c>
      <c r="G123" s="341">
        <v>15752.061935504862</v>
      </c>
      <c r="H123" s="342">
        <v>47309.102190218546</v>
      </c>
      <c r="I123" s="36"/>
      <c r="K123" s="357">
        <f t="shared" ref="K123:K130" si="3">E123-K$120</f>
        <v>-7239.5022156738705</v>
      </c>
      <c r="L123" s="357">
        <f t="shared" ref="L123:L130" si="4">F123-L$120</f>
        <v>-797.97135936094128</v>
      </c>
      <c r="M123" s="41">
        <f t="shared" ref="M123:M130" si="5">G123-M$120</f>
        <v>9152.8997860756172</v>
      </c>
      <c r="N123" s="357">
        <f t="shared" ref="N123:N130" si="6">H123-N$120</f>
        <v>637.23159957041935</v>
      </c>
      <c r="T123" s="290">
        <v>1.3</v>
      </c>
      <c r="U123" s="132">
        <v>1998</v>
      </c>
      <c r="V123" s="241">
        <v>31112</v>
      </c>
      <c r="W123" s="310">
        <v>35443.42888599274</v>
      </c>
      <c r="X123" s="310">
        <v>48343.661836417356</v>
      </c>
      <c r="Y123" s="336">
        <v>0.45433240495828869</v>
      </c>
      <c r="Z123" s="283">
        <v>16103.09828574116</v>
      </c>
      <c r="AA123" s="52">
        <v>21964.092146629737</v>
      </c>
      <c r="BG123" s="36"/>
      <c r="BZ123"/>
    </row>
    <row r="124" spans="1:78" x14ac:dyDescent="0.2">
      <c r="B124" s="25"/>
      <c r="C124" s="275" t="s">
        <v>331</v>
      </c>
      <c r="D124" s="275"/>
      <c r="E124" s="343" t="s">
        <v>356</v>
      </c>
      <c r="F124" s="341">
        <v>21792.583836804013</v>
      </c>
      <c r="G124" s="341">
        <v>10939.959263738814</v>
      </c>
      <c r="H124" s="342" t="s">
        <v>356</v>
      </c>
      <c r="I124" s="36"/>
      <c r="K124" s="41"/>
      <c r="L124" s="41">
        <f t="shared" si="4"/>
        <v>-969.47966918666498</v>
      </c>
      <c r="M124" s="41">
        <f t="shared" si="5"/>
        <v>4340.7971143095701</v>
      </c>
      <c r="N124" s="41"/>
      <c r="T124" s="290">
        <v>1.4</v>
      </c>
      <c r="U124" s="129">
        <v>1997</v>
      </c>
      <c r="V124" s="147">
        <v>35587</v>
      </c>
      <c r="W124" s="241">
        <v>34778.776673263768</v>
      </c>
      <c r="X124" s="241">
        <v>47261.00128155198</v>
      </c>
      <c r="Y124" s="337">
        <v>0.33329936963594498</v>
      </c>
      <c r="Z124" s="296">
        <v>11591.744341908121</v>
      </c>
      <c r="AA124" s="349">
        <v>15752.061935504862</v>
      </c>
      <c r="BG124" s="36"/>
      <c r="BZ124"/>
    </row>
    <row r="125" spans="1:78" x14ac:dyDescent="0.2">
      <c r="B125" s="25"/>
      <c r="C125" s="275" t="s">
        <v>332</v>
      </c>
      <c r="D125" s="275"/>
      <c r="E125" s="343" t="s">
        <v>356</v>
      </c>
      <c r="F125" s="342">
        <v>12766.644616778738</v>
      </c>
      <c r="G125" s="342">
        <v>5441.1404982349568</v>
      </c>
      <c r="H125" s="342" t="s">
        <v>356</v>
      </c>
      <c r="I125" s="36"/>
      <c r="K125" s="41"/>
      <c r="L125" s="41">
        <f t="shared" si="4"/>
        <v>-9995.41888921194</v>
      </c>
      <c r="M125" s="357">
        <f t="shared" si="5"/>
        <v>-1158.0216511942872</v>
      </c>
      <c r="N125" s="41"/>
      <c r="T125" s="134" t="s">
        <v>426</v>
      </c>
      <c r="U125" s="136"/>
      <c r="V125" s="136"/>
      <c r="W125" s="313"/>
      <c r="X125" s="313"/>
      <c r="Y125" s="337">
        <v>0.98536373146434619</v>
      </c>
      <c r="Z125" s="296">
        <v>34717.645930151455</v>
      </c>
      <c r="AA125" s="350">
        <v>47309.102190218546</v>
      </c>
      <c r="BG125" s="36"/>
      <c r="BZ125"/>
    </row>
    <row r="126" spans="1:78" x14ac:dyDescent="0.2">
      <c r="B126" s="25"/>
      <c r="C126" s="338" t="s">
        <v>333</v>
      </c>
      <c r="D126" s="338"/>
      <c r="E126" s="343" t="s">
        <v>356</v>
      </c>
      <c r="F126" s="342">
        <v>30958.297080980588</v>
      </c>
      <c r="G126" s="342">
        <v>21664.065187361211</v>
      </c>
      <c r="H126" s="342" t="s">
        <v>356</v>
      </c>
      <c r="I126" s="36"/>
      <c r="K126" s="41"/>
      <c r="L126" s="41">
        <f>F126-L$120</f>
        <v>8196.2335749899103</v>
      </c>
      <c r="M126" s="41">
        <f>G126-M$120</f>
        <v>15064.903037931967</v>
      </c>
      <c r="N126" s="41"/>
      <c r="S126" s="275"/>
      <c r="T126" s="133" t="s">
        <v>317</v>
      </c>
      <c r="U126" s="282"/>
      <c r="V126" s="273"/>
      <c r="W126" s="282"/>
      <c r="X126" s="282"/>
      <c r="Y126" s="283"/>
      <c r="Z126" s="282"/>
      <c r="AA126" s="275"/>
      <c r="AB126" s="282"/>
    </row>
    <row r="127" spans="1:78" x14ac:dyDescent="0.2">
      <c r="B127" s="25"/>
      <c r="C127" s="338"/>
      <c r="D127" s="338"/>
      <c r="E127" s="338"/>
      <c r="F127" s="338"/>
      <c r="G127" s="338"/>
      <c r="H127" s="338"/>
      <c r="I127" s="36"/>
      <c r="K127" s="41"/>
      <c r="L127" s="41"/>
      <c r="M127" s="41"/>
      <c r="N127" s="41"/>
      <c r="S127" s="36"/>
      <c r="T127" s="133" t="s">
        <v>316</v>
      </c>
      <c r="U127" s="282"/>
      <c r="V127" s="275"/>
      <c r="W127" s="275"/>
      <c r="X127" s="275"/>
      <c r="Y127" s="275"/>
      <c r="Z127" s="275"/>
      <c r="AA127" s="275"/>
      <c r="AB127" s="36"/>
    </row>
    <row r="128" spans="1:78" x14ac:dyDescent="0.2">
      <c r="B128" s="15"/>
      <c r="C128" s="275" t="s">
        <v>456</v>
      </c>
      <c r="D128" s="275"/>
      <c r="E128" s="341">
        <v>8307.8757052930559</v>
      </c>
      <c r="F128" s="341">
        <v>21792.583836804013</v>
      </c>
      <c r="G128" s="341">
        <v>10939.959263738814</v>
      </c>
      <c r="H128" s="342">
        <v>41040.418805835885</v>
      </c>
      <c r="I128" s="36"/>
      <c r="K128" s="41">
        <f t="shared" si="3"/>
        <v>-8524.5746184647578</v>
      </c>
      <c r="L128" s="41">
        <f t="shared" si="4"/>
        <v>-969.47966918666498</v>
      </c>
      <c r="M128" s="41">
        <f t="shared" si="5"/>
        <v>4340.7971143095701</v>
      </c>
      <c r="N128" s="41">
        <f t="shared" si="6"/>
        <v>-5631.4517848122414</v>
      </c>
      <c r="O128" s="172">
        <f>N128/N120</f>
        <v>-0.12066051164318756</v>
      </c>
      <c r="S128" s="36"/>
      <c r="T128" s="275"/>
      <c r="U128" s="273"/>
      <c r="V128" s="36"/>
      <c r="W128" s="36"/>
      <c r="X128" s="36"/>
      <c r="Y128" s="36"/>
      <c r="Z128" s="52"/>
      <c r="AA128" s="52"/>
      <c r="AB128" s="36"/>
    </row>
    <row r="129" spans="2:28" x14ac:dyDescent="0.2">
      <c r="B129" s="1"/>
      <c r="C129" s="338" t="s">
        <v>457</v>
      </c>
      <c r="D129" s="338"/>
      <c r="E129" s="342">
        <v>7022.8033025021696</v>
      </c>
      <c r="F129" s="342">
        <v>12766.644616778738</v>
      </c>
      <c r="G129" s="342">
        <v>5441.1404982349568</v>
      </c>
      <c r="H129" s="342">
        <v>25230.588417515864</v>
      </c>
      <c r="I129" s="36"/>
      <c r="K129" s="41">
        <f t="shared" si="3"/>
        <v>-9809.6470212556451</v>
      </c>
      <c r="L129" s="41">
        <f t="shared" si="4"/>
        <v>-9995.41888921194</v>
      </c>
      <c r="M129" s="41">
        <f t="shared" si="5"/>
        <v>-1158.0216511942872</v>
      </c>
      <c r="N129" s="41">
        <f t="shared" si="6"/>
        <v>-21441.282173132262</v>
      </c>
      <c r="S129" s="36"/>
      <c r="Z129" s="52"/>
      <c r="AA129" s="52"/>
    </row>
    <row r="130" spans="2:28" x14ac:dyDescent="0.2">
      <c r="C130" s="338" t="s">
        <v>458</v>
      </c>
      <c r="D130" s="338"/>
      <c r="E130" s="342">
        <v>9592.9481080839432</v>
      </c>
      <c r="F130" s="342">
        <v>30958.297080980588</v>
      </c>
      <c r="G130" s="342">
        <v>21664.065187361211</v>
      </c>
      <c r="H130" s="342">
        <v>62215.310376425739</v>
      </c>
      <c r="I130" s="36"/>
      <c r="K130" s="41">
        <f t="shared" si="3"/>
        <v>-7239.5022156738705</v>
      </c>
      <c r="L130" s="41">
        <f t="shared" si="4"/>
        <v>8196.2335749899103</v>
      </c>
      <c r="M130" s="41">
        <f t="shared" si="5"/>
        <v>15064.903037931967</v>
      </c>
      <c r="N130" s="41">
        <f t="shared" si="6"/>
        <v>15543.439785777613</v>
      </c>
      <c r="S130" s="36"/>
      <c r="Z130" s="52"/>
      <c r="AA130" s="52"/>
    </row>
    <row r="131" spans="2:28" x14ac:dyDescent="0.2">
      <c r="C131" s="275"/>
      <c r="D131" s="275"/>
      <c r="E131" s="283"/>
      <c r="F131" s="283"/>
      <c r="G131" s="283"/>
      <c r="H131" s="283"/>
      <c r="I131" s="52"/>
      <c r="S131" s="36"/>
    </row>
    <row r="132" spans="2:28" x14ac:dyDescent="0.2">
      <c r="B132" s="1"/>
      <c r="C132" s="275"/>
      <c r="D132" s="275" t="s">
        <v>459</v>
      </c>
      <c r="E132" s="281"/>
      <c r="F132" s="275"/>
      <c r="G132" s="275"/>
      <c r="H132" s="275"/>
      <c r="I132" s="36"/>
      <c r="S132" s="36"/>
    </row>
    <row r="133" spans="2:28" x14ac:dyDescent="0.2">
      <c r="B133" s="1"/>
      <c r="C133" s="338" t="s">
        <v>456</v>
      </c>
      <c r="D133" s="338"/>
      <c r="E133" s="338"/>
      <c r="F133" s="338"/>
      <c r="G133" s="338"/>
      <c r="H133" s="344">
        <v>28040.418805835885</v>
      </c>
      <c r="I133" s="36"/>
      <c r="S133" s="36"/>
    </row>
    <row r="134" spans="2:28" ht="15.75" x14ac:dyDescent="0.2">
      <c r="B134" s="1"/>
      <c r="C134" s="275" t="s">
        <v>457</v>
      </c>
      <c r="D134" s="275"/>
      <c r="E134" s="275"/>
      <c r="F134" s="275"/>
      <c r="G134" s="275"/>
      <c r="H134" s="296">
        <v>12230.588417515864</v>
      </c>
      <c r="I134" s="36"/>
      <c r="S134" s="275"/>
      <c r="T134" s="309" t="s">
        <v>78</v>
      </c>
      <c r="U134" s="273"/>
      <c r="V134" s="282"/>
      <c r="W134" s="282"/>
      <c r="X134" s="283"/>
      <c r="Y134" s="282"/>
      <c r="Z134" s="275"/>
      <c r="AA134" s="282"/>
      <c r="AB134" s="279"/>
    </row>
    <row r="135" spans="2:28" x14ac:dyDescent="0.2">
      <c r="B135" s="1"/>
      <c r="C135" s="338" t="s">
        <v>458</v>
      </c>
      <c r="D135" s="338"/>
      <c r="E135" s="338"/>
      <c r="F135" s="338"/>
      <c r="G135" s="338"/>
      <c r="H135" s="344">
        <v>49215.310376425739</v>
      </c>
      <c r="I135" s="36"/>
      <c r="S135" s="275"/>
      <c r="T135" s="136" t="s">
        <v>355</v>
      </c>
      <c r="U135" s="136"/>
      <c r="V135" s="136"/>
      <c r="W135" s="136"/>
      <c r="X135" s="136"/>
      <c r="Y135" s="136"/>
      <c r="Z135" s="136"/>
      <c r="AA135" s="136"/>
      <c r="AB135" s="136"/>
    </row>
    <row r="136" spans="2:28" x14ac:dyDescent="0.2">
      <c r="B136" s="1"/>
      <c r="C136" s="338"/>
      <c r="D136" s="338"/>
      <c r="E136" s="338"/>
      <c r="F136" s="338"/>
      <c r="G136" s="338"/>
      <c r="H136" s="338"/>
      <c r="I136" s="36"/>
      <c r="T136" s="282"/>
      <c r="U136" s="273" t="s">
        <v>549</v>
      </c>
      <c r="V136" s="282"/>
      <c r="W136" s="282"/>
      <c r="X136" s="282"/>
      <c r="Y136" s="314"/>
      <c r="Z136" s="294" t="s">
        <v>80</v>
      </c>
      <c r="AA136" s="294"/>
      <c r="AB136" s="295"/>
    </row>
    <row r="137" spans="2:28" x14ac:dyDescent="0.2">
      <c r="B137" s="1"/>
      <c r="C137" s="345"/>
      <c r="D137" s="345"/>
      <c r="E137" s="338" t="s">
        <v>346</v>
      </c>
      <c r="F137" s="338"/>
      <c r="G137" s="346"/>
      <c r="H137" s="346"/>
      <c r="I137" s="5"/>
      <c r="T137" s="129" t="s">
        <v>531</v>
      </c>
      <c r="U137" s="273" t="s">
        <v>377</v>
      </c>
      <c r="V137" s="294"/>
      <c r="W137" s="294" t="s">
        <v>380</v>
      </c>
      <c r="X137" s="294"/>
      <c r="Y137" s="273" t="s">
        <v>531</v>
      </c>
      <c r="Z137" s="273"/>
      <c r="AA137" s="282"/>
      <c r="AB137" s="275"/>
    </row>
    <row r="138" spans="2:28" x14ac:dyDescent="0.2">
      <c r="B138" s="1"/>
      <c r="C138" s="275" t="s">
        <v>460</v>
      </c>
      <c r="D138" s="275"/>
      <c r="E138" s="338"/>
      <c r="F138" s="338"/>
      <c r="G138" s="347"/>
      <c r="H138" s="347">
        <v>6041.5</v>
      </c>
      <c r="I138" s="5"/>
      <c r="T138" s="314" t="s">
        <v>379</v>
      </c>
      <c r="U138" s="314" t="s">
        <v>379</v>
      </c>
      <c r="V138" s="295" t="s">
        <v>52</v>
      </c>
      <c r="W138" s="294" t="s">
        <v>485</v>
      </c>
      <c r="X138" s="295" t="s">
        <v>49</v>
      </c>
      <c r="Y138" s="314" t="s">
        <v>79</v>
      </c>
      <c r="Z138" s="295" t="s">
        <v>52</v>
      </c>
      <c r="AA138" s="294" t="s">
        <v>485</v>
      </c>
      <c r="AB138" s="295" t="s">
        <v>49</v>
      </c>
    </row>
    <row r="139" spans="2:28" x14ac:dyDescent="0.2">
      <c r="B139" s="1"/>
      <c r="C139" s="338" t="s">
        <v>461</v>
      </c>
      <c r="D139" s="338"/>
      <c r="E139" s="338"/>
      <c r="F139" s="338"/>
      <c r="G139" s="347"/>
      <c r="H139" s="347">
        <v>1279.2857939639273</v>
      </c>
      <c r="I139" s="5"/>
      <c r="T139" s="291">
        <v>1.2</v>
      </c>
      <c r="U139" s="292">
        <v>9229.4429362135616</v>
      </c>
      <c r="V139" s="293">
        <v>1.3832519150951419</v>
      </c>
      <c r="W139" s="293">
        <v>2.3612025110742558</v>
      </c>
      <c r="X139" s="293">
        <v>3.3542974689739431</v>
      </c>
      <c r="Y139" s="273">
        <v>1.3</v>
      </c>
      <c r="Z139" s="283">
        <v>12766.644616778738</v>
      </c>
      <c r="AA139" s="283">
        <v>21792.583836804013</v>
      </c>
      <c r="AB139" s="283">
        <v>30958.297080980588</v>
      </c>
    </row>
    <row r="140" spans="2:28" x14ac:dyDescent="0.2">
      <c r="B140" s="1"/>
      <c r="C140" s="295" t="s">
        <v>328</v>
      </c>
      <c r="D140" s="295"/>
      <c r="E140" s="295"/>
      <c r="F140" s="295"/>
      <c r="G140" s="348"/>
      <c r="H140" s="348">
        <v>7320.7857939639271</v>
      </c>
      <c r="I140" s="5"/>
      <c r="T140" s="297">
        <v>1.3</v>
      </c>
      <c r="U140" s="298">
        <v>19640.198617037429</v>
      </c>
      <c r="V140" s="299">
        <v>0.27704101187219615</v>
      </c>
      <c r="W140" s="299">
        <v>0.55701876936461558</v>
      </c>
      <c r="X140" s="299">
        <v>1.1030471539411075</v>
      </c>
      <c r="Y140" s="314">
        <v>1.4</v>
      </c>
      <c r="Z140" s="296">
        <v>5441.1404982349568</v>
      </c>
      <c r="AA140" s="296">
        <v>10939.959263738814</v>
      </c>
      <c r="AB140" s="296">
        <v>21664.065187361211</v>
      </c>
    </row>
    <row r="141" spans="2:28" x14ac:dyDescent="0.2">
      <c r="B141" s="1"/>
      <c r="C141" s="275"/>
      <c r="D141" s="338"/>
      <c r="E141" s="338"/>
      <c r="F141" s="338"/>
      <c r="G141" s="338"/>
      <c r="H141" s="338"/>
      <c r="I141" s="5"/>
      <c r="N141" s="1"/>
    </row>
    <row r="142" spans="2:28" x14ac:dyDescent="0.2">
      <c r="B142" s="1"/>
      <c r="C142" s="338" t="s">
        <v>462</v>
      </c>
      <c r="D142" s="338"/>
      <c r="E142" s="338"/>
      <c r="F142" s="338"/>
      <c r="G142" s="338"/>
      <c r="H142" s="338"/>
      <c r="I142" s="5"/>
      <c r="N142" s="1"/>
    </row>
    <row r="143" spans="2:28" x14ac:dyDescent="0.2">
      <c r="C143" s="275" t="s">
        <v>463</v>
      </c>
      <c r="D143" s="338"/>
      <c r="E143" s="338"/>
      <c r="F143" s="338"/>
      <c r="G143" s="338"/>
      <c r="H143" s="338"/>
      <c r="I143" s="5"/>
      <c r="N143" s="1"/>
    </row>
    <row r="144" spans="2:28" x14ac:dyDescent="0.2">
      <c r="C144" s="275" t="s">
        <v>464</v>
      </c>
      <c r="D144" s="338"/>
      <c r="E144" s="338"/>
      <c r="F144" s="338"/>
      <c r="G144" s="338"/>
      <c r="H144" s="338"/>
      <c r="I144" s="5"/>
      <c r="N144" s="1"/>
    </row>
    <row r="145" spans="1:17" x14ac:dyDescent="0.2">
      <c r="C145" s="275" t="s">
        <v>465</v>
      </c>
      <c r="D145" s="338"/>
      <c r="E145" s="338"/>
      <c r="F145" s="338"/>
      <c r="G145" s="338"/>
      <c r="H145" s="338"/>
      <c r="I145" s="5"/>
      <c r="N145" s="1"/>
    </row>
    <row r="146" spans="1:17" x14ac:dyDescent="0.2">
      <c r="C146" s="338" t="s">
        <v>82</v>
      </c>
      <c r="D146" s="338"/>
      <c r="E146" s="338"/>
      <c r="F146" s="338"/>
      <c r="G146" s="338"/>
      <c r="H146" s="338"/>
      <c r="I146" s="5"/>
      <c r="N146" s="1"/>
    </row>
    <row r="147" spans="1:17" x14ac:dyDescent="0.2">
      <c r="C147" s="338" t="s">
        <v>83</v>
      </c>
      <c r="D147" s="338"/>
      <c r="E147" s="338"/>
      <c r="F147" s="338"/>
      <c r="G147" s="338"/>
      <c r="H147" s="338"/>
      <c r="I147" s="5"/>
      <c r="N147" s="1"/>
    </row>
    <row r="148" spans="1:17" x14ac:dyDescent="0.2">
      <c r="C148" s="338"/>
      <c r="D148" s="338"/>
      <c r="E148" s="338"/>
      <c r="F148" s="338"/>
      <c r="G148" s="338"/>
      <c r="H148" s="338"/>
      <c r="I148" s="5"/>
      <c r="N148" s="1"/>
    </row>
    <row r="149" spans="1:17" x14ac:dyDescent="0.2">
      <c r="I149" s="5"/>
      <c r="N149" s="1"/>
    </row>
    <row r="150" spans="1:17" x14ac:dyDescent="0.2">
      <c r="N150" s="1"/>
    </row>
    <row r="151" spans="1:17" x14ac:dyDescent="0.2">
      <c r="D151" s="131"/>
      <c r="E151" s="131"/>
      <c r="F151" s="131"/>
      <c r="G151" s="131"/>
      <c r="H151" s="131"/>
      <c r="N151" s="1"/>
    </row>
    <row r="153" spans="1:17" x14ac:dyDescent="0.2">
      <c r="A153" s="19" t="s">
        <v>466</v>
      </c>
    </row>
    <row r="155" spans="1:17" x14ac:dyDescent="0.2">
      <c r="C155" s="338" t="s">
        <v>468</v>
      </c>
      <c r="D155" s="338"/>
      <c r="E155" s="338"/>
      <c r="F155" s="338"/>
      <c r="G155" s="338"/>
      <c r="H155" s="338"/>
      <c r="J155" s="131" t="s">
        <v>472</v>
      </c>
      <c r="K155" s="131"/>
      <c r="L155" s="131"/>
      <c r="M155" s="275"/>
      <c r="N155" s="131"/>
      <c r="O155" s="131"/>
      <c r="P155" s="131"/>
      <c r="Q155" s="131"/>
    </row>
    <row r="156" spans="1:17" x14ac:dyDescent="0.2">
      <c r="C156" s="338" t="s">
        <v>469</v>
      </c>
      <c r="D156" s="338"/>
      <c r="E156" s="338"/>
      <c r="F156" s="338"/>
      <c r="G156" s="338"/>
      <c r="H156" s="338"/>
      <c r="J156" s="136"/>
      <c r="K156" s="136"/>
      <c r="L156" s="136"/>
      <c r="M156" s="136"/>
      <c r="N156" s="295"/>
      <c r="O156" s="136"/>
      <c r="P156" s="136"/>
      <c r="Q156" s="295"/>
    </row>
    <row r="157" spans="1:17" ht="13.5" x14ac:dyDescent="0.25">
      <c r="C157" s="295" t="s">
        <v>357</v>
      </c>
      <c r="D157" s="339"/>
      <c r="E157" s="339"/>
      <c r="F157" s="339"/>
      <c r="G157" s="339"/>
      <c r="H157" s="339"/>
      <c r="J157" s="275"/>
      <c r="K157" s="131"/>
      <c r="L157" s="131"/>
      <c r="M157" s="136" t="s">
        <v>342</v>
      </c>
      <c r="N157" s="136"/>
      <c r="O157" s="129" t="s">
        <v>485</v>
      </c>
      <c r="P157" s="295" t="s">
        <v>473</v>
      </c>
      <c r="Q157" s="136"/>
    </row>
    <row r="158" spans="1:17" x14ac:dyDescent="0.2">
      <c r="C158" s="338"/>
      <c r="D158" s="338"/>
      <c r="E158" s="295"/>
      <c r="F158" s="340" t="s">
        <v>345</v>
      </c>
      <c r="G158" s="295"/>
      <c r="H158" s="295"/>
      <c r="J158" s="129" t="s">
        <v>375</v>
      </c>
      <c r="K158" s="129" t="s">
        <v>563</v>
      </c>
      <c r="L158" s="129" t="s">
        <v>570</v>
      </c>
      <c r="M158" s="131" t="s">
        <v>545</v>
      </c>
      <c r="N158" s="131" t="s">
        <v>546</v>
      </c>
      <c r="O158" s="129" t="s">
        <v>531</v>
      </c>
      <c r="P158" s="131" t="s">
        <v>545</v>
      </c>
      <c r="Q158" s="131" t="s">
        <v>546</v>
      </c>
    </row>
    <row r="159" spans="1:17" ht="18.75" x14ac:dyDescent="0.25">
      <c r="C159" s="295" t="s">
        <v>532</v>
      </c>
      <c r="D159" s="295"/>
      <c r="E159" s="295" t="s">
        <v>390</v>
      </c>
      <c r="F159" s="295" t="s">
        <v>391</v>
      </c>
      <c r="G159" s="295" t="s">
        <v>392</v>
      </c>
      <c r="H159" s="314" t="s">
        <v>426</v>
      </c>
      <c r="J159" s="134">
        <v>2004</v>
      </c>
      <c r="K159" s="134" t="s">
        <v>416</v>
      </c>
      <c r="L159" s="134" t="s">
        <v>402</v>
      </c>
      <c r="M159" s="136" t="s">
        <v>305</v>
      </c>
      <c r="N159" s="136" t="s">
        <v>306</v>
      </c>
      <c r="O159" s="134" t="s">
        <v>376</v>
      </c>
      <c r="P159" s="136" t="s">
        <v>538</v>
      </c>
      <c r="Q159" s="136" t="s">
        <v>538</v>
      </c>
    </row>
    <row r="160" spans="1:17" x14ac:dyDescent="0.2">
      <c r="C160" s="275" t="s">
        <v>381</v>
      </c>
      <c r="D160" s="275"/>
      <c r="E160" s="341">
        <f>P160</f>
        <v>8462.7585666491905</v>
      </c>
      <c r="F160" s="341">
        <f>P161</f>
        <v>19810.7190558488</v>
      </c>
      <c r="G160" s="341">
        <f>P162</f>
        <v>9270.7152333656195</v>
      </c>
      <c r="H160" s="342">
        <f>SUM(E160:G160)</f>
        <v>37544.192855863614</v>
      </c>
      <c r="J160" s="291">
        <v>1.2</v>
      </c>
      <c r="K160" s="132">
        <v>2000</v>
      </c>
      <c r="L160" s="14">
        <f>Master!N44</f>
        <v>33965</v>
      </c>
      <c r="M160" s="344">
        <f>M$168*L160*EXP(M$169*L160)</f>
        <v>36794.602463692128</v>
      </c>
      <c r="N160" s="344">
        <f>N168*M160*EXP(N169*M160)</f>
        <v>46861.221746541851</v>
      </c>
      <c r="O160" s="336">
        <v>0.23</v>
      </c>
      <c r="P160" s="283">
        <f>O160*M160</f>
        <v>8462.7585666491905</v>
      </c>
      <c r="Q160" s="52">
        <f>O160*N160</f>
        <v>10778.081001704626</v>
      </c>
    </row>
    <row r="161" spans="3:17" x14ac:dyDescent="0.2">
      <c r="C161" s="281" t="s">
        <v>288</v>
      </c>
      <c r="D161" s="275"/>
      <c r="E161" s="341">
        <f>Q160</f>
        <v>10778.081001704626</v>
      </c>
      <c r="F161" s="341">
        <f>Q161</f>
        <v>24715.726323207044</v>
      </c>
      <c r="G161" s="341">
        <f>Q162</f>
        <v>11687.531398599291</v>
      </c>
      <c r="H161" s="361">
        <f>SUM(E161:G161)</f>
        <v>47181.338723510962</v>
      </c>
      <c r="J161" s="290">
        <v>1.3</v>
      </c>
      <c r="K161" s="132">
        <v>1999</v>
      </c>
      <c r="L161" s="14">
        <f>Master!N43</f>
        <v>29088</v>
      </c>
      <c r="M161" s="344">
        <f>M$168*L161*EXP(M$169*L161)</f>
        <v>37378.715199714716</v>
      </c>
      <c r="N161" s="344">
        <f>N$168*M161*EXP(N$169*M161)</f>
        <v>46633.445892843476</v>
      </c>
      <c r="O161" s="336">
        <v>0.53</v>
      </c>
      <c r="P161" s="283">
        <f>O161*M161</f>
        <v>19810.7190558488</v>
      </c>
      <c r="Q161" s="52">
        <f>O161*N161</f>
        <v>24715.726323207044</v>
      </c>
    </row>
    <row r="162" spans="3:17" x14ac:dyDescent="0.2">
      <c r="C162" s="275" t="s">
        <v>470</v>
      </c>
      <c r="D162" s="275"/>
      <c r="E162" s="343" t="s">
        <v>356</v>
      </c>
      <c r="F162" s="341">
        <v>43322</v>
      </c>
      <c r="G162" s="341">
        <v>7978</v>
      </c>
      <c r="H162" s="342" t="s">
        <v>356</v>
      </c>
      <c r="J162" s="290">
        <v>1.4</v>
      </c>
      <c r="K162" s="129">
        <v>1998</v>
      </c>
      <c r="L162" s="14">
        <v>32356</v>
      </c>
      <c r="M162" s="344">
        <f>M$168*L162*EXP(M$169*L162)</f>
        <v>37082.860933462478</v>
      </c>
      <c r="N162" s="344">
        <f>N$168*M162*EXP(N$169*M162)</f>
        <v>46750.125594397163</v>
      </c>
      <c r="O162" s="337">
        <v>0.25</v>
      </c>
      <c r="P162" s="296">
        <f>O162*M162</f>
        <v>9270.7152333656195</v>
      </c>
      <c r="Q162" s="349">
        <f>O162*N162</f>
        <v>11687.531398599291</v>
      </c>
    </row>
    <row r="163" spans="3:17" x14ac:dyDescent="0.2">
      <c r="C163" s="338" t="s">
        <v>371</v>
      </c>
      <c r="D163" s="338"/>
      <c r="E163" s="343"/>
      <c r="F163" s="342">
        <v>112100</v>
      </c>
      <c r="G163" s="342">
        <v>13000</v>
      </c>
      <c r="H163" s="342"/>
      <c r="J163" s="134"/>
      <c r="K163" s="136"/>
      <c r="L163" s="136"/>
      <c r="M163" s="313"/>
      <c r="N163" s="134" t="s">
        <v>426</v>
      </c>
      <c r="O163" s="337">
        <f>SUM(O160:O162)</f>
        <v>1.01</v>
      </c>
      <c r="P163" s="296">
        <f>SUM(P160:P162)</f>
        <v>37544.192855863614</v>
      </c>
      <c r="Q163" s="296">
        <f>SUM(Q160:Q162)</f>
        <v>47181.338723510962</v>
      </c>
    </row>
    <row r="164" spans="3:17" x14ac:dyDescent="0.2">
      <c r="C164" s="275" t="s">
        <v>370</v>
      </c>
      <c r="D164" s="275"/>
      <c r="E164" s="343"/>
      <c r="F164" s="342">
        <v>16700</v>
      </c>
      <c r="G164" s="342">
        <v>4700</v>
      </c>
      <c r="H164" s="342"/>
      <c r="J164" s="133" t="s">
        <v>367</v>
      </c>
      <c r="K164" s="282"/>
      <c r="L164" s="273"/>
      <c r="M164" s="282"/>
      <c r="N164" s="282"/>
      <c r="O164" s="283"/>
      <c r="P164" s="282"/>
      <c r="Q164" s="275"/>
    </row>
    <row r="165" spans="3:17" x14ac:dyDescent="0.2">
      <c r="H165" s="338"/>
      <c r="J165" s="133" t="s">
        <v>75</v>
      </c>
      <c r="K165" s="282"/>
      <c r="L165" s="275"/>
      <c r="M165" s="275"/>
      <c r="N165" s="275"/>
      <c r="O165" s="275"/>
      <c r="P165" s="275"/>
      <c r="Q165" s="275"/>
    </row>
    <row r="166" spans="3:17" x14ac:dyDescent="0.2">
      <c r="C166" s="275" t="s">
        <v>456</v>
      </c>
      <c r="D166" s="275"/>
      <c r="E166" s="341">
        <f>AVERAGE(E160:E161)</f>
        <v>9620.4197841769092</v>
      </c>
      <c r="F166" s="341">
        <f>F162</f>
        <v>43322</v>
      </c>
      <c r="G166" s="341">
        <f>G162</f>
        <v>7978</v>
      </c>
      <c r="H166" s="342">
        <f>SUM(E166:G166)</f>
        <v>60920.419784176906</v>
      </c>
    </row>
    <row r="167" spans="3:17" x14ac:dyDescent="0.2">
      <c r="C167" s="338" t="s">
        <v>287</v>
      </c>
      <c r="D167" s="338"/>
      <c r="E167" s="342">
        <f>E160</f>
        <v>8462.7585666491905</v>
      </c>
      <c r="F167" s="342">
        <f>F164</f>
        <v>16700</v>
      </c>
      <c r="G167" s="342">
        <f>G164</f>
        <v>4700</v>
      </c>
      <c r="H167" s="342">
        <f>SUM(E167:G167)</f>
        <v>29862.75856664919</v>
      </c>
      <c r="L167" t="s">
        <v>366</v>
      </c>
      <c r="M167">
        <v>1.2692143618473135</v>
      </c>
      <c r="N167">
        <v>1.5409147370208163</v>
      </c>
    </row>
    <row r="168" spans="3:17" x14ac:dyDescent="0.2">
      <c r="C168" s="338" t="s">
        <v>524</v>
      </c>
      <c r="D168" s="338"/>
      <c r="E168" s="342">
        <f>E161</f>
        <v>10778.081001704626</v>
      </c>
      <c r="F168" s="342">
        <f>F163</f>
        <v>112100</v>
      </c>
      <c r="G168" s="342">
        <f>G163</f>
        <v>13000</v>
      </c>
      <c r="H168" s="342">
        <f>SUM(E168:G168)</f>
        <v>135878.08100170462</v>
      </c>
      <c r="L168" t="s">
        <v>533</v>
      </c>
      <c r="M168">
        <f>EXP(M167)</f>
        <v>3.5580561193664315</v>
      </c>
      <c r="N168">
        <f>EXP(N167)</f>
        <v>4.6688590965246552</v>
      </c>
    </row>
    <row r="169" spans="3:17" x14ac:dyDescent="0.2">
      <c r="C169" s="275"/>
      <c r="D169" s="275"/>
      <c r="E169" s="283"/>
      <c r="F169" s="283"/>
      <c r="G169" s="283"/>
      <c r="H169" s="283"/>
      <c r="L169" t="s">
        <v>534</v>
      </c>
      <c r="M169">
        <v>-3.5012329817617813E-5</v>
      </c>
      <c r="N169">
        <v>-3.5306140228822163E-5</v>
      </c>
    </row>
    <row r="170" spans="3:17" x14ac:dyDescent="0.2">
      <c r="C170" s="275"/>
      <c r="D170" s="273" t="s">
        <v>459</v>
      </c>
      <c r="E170" s="281"/>
      <c r="F170" s="275"/>
      <c r="G170" s="275"/>
      <c r="H170" s="275"/>
    </row>
    <row r="171" spans="3:17" x14ac:dyDescent="0.2">
      <c r="C171" s="345" t="str">
        <f>C161</f>
        <v>Partial Ricker</v>
      </c>
      <c r="D171" s="338"/>
      <c r="E171" s="338"/>
      <c r="F171" s="338"/>
      <c r="G171" s="338"/>
      <c r="H171" s="360">
        <f>H161-13000</f>
        <v>34181.338723510962</v>
      </c>
      <c r="L171" t="s">
        <v>359</v>
      </c>
      <c r="O171" t="s">
        <v>360</v>
      </c>
    </row>
    <row r="172" spans="3:17" x14ac:dyDescent="0.2">
      <c r="C172" s="275" t="s">
        <v>285</v>
      </c>
      <c r="D172" s="275"/>
      <c r="E172" s="275"/>
      <c r="F172" s="275"/>
      <c r="G172" s="275"/>
      <c r="H172" s="283">
        <f>H167-13000</f>
        <v>16862.75856664919</v>
      </c>
      <c r="L172" t="s">
        <v>361</v>
      </c>
    </row>
    <row r="173" spans="3:17" x14ac:dyDescent="0.2">
      <c r="C173" s="338" t="s">
        <v>386</v>
      </c>
      <c r="D173" s="338"/>
      <c r="E173" s="338"/>
      <c r="F173" s="338"/>
      <c r="G173" s="338"/>
      <c r="H173" s="283">
        <f>H168-13000</f>
        <v>122878.08100170462</v>
      </c>
      <c r="L173" t="s">
        <v>362</v>
      </c>
    </row>
    <row r="174" spans="3:17" x14ac:dyDescent="0.2">
      <c r="C174" s="338"/>
      <c r="D174" s="338"/>
      <c r="E174" s="338"/>
      <c r="F174" s="338"/>
      <c r="G174" s="338"/>
      <c r="H174" s="338"/>
    </row>
    <row r="175" spans="3:17" x14ac:dyDescent="0.2">
      <c r="C175" s="345"/>
      <c r="D175" s="345"/>
      <c r="E175" s="338" t="s">
        <v>346</v>
      </c>
      <c r="F175" s="338"/>
      <c r="G175" s="346"/>
      <c r="H175" s="346"/>
    </row>
    <row r="176" spans="3:17" x14ac:dyDescent="0.2">
      <c r="C176" s="275" t="s">
        <v>460</v>
      </c>
      <c r="D176" s="275"/>
      <c r="E176" s="338"/>
      <c r="F176" s="338"/>
      <c r="G176" s="347"/>
      <c r="H176" s="347">
        <v>5530</v>
      </c>
      <c r="L176" s="295" t="s">
        <v>391</v>
      </c>
      <c r="M176" s="295" t="s">
        <v>392</v>
      </c>
      <c r="N176" s="314" t="s">
        <v>426</v>
      </c>
    </row>
    <row r="177" spans="1:17" x14ac:dyDescent="0.2">
      <c r="C177" s="338" t="s">
        <v>461</v>
      </c>
      <c r="D177" s="338"/>
      <c r="E177" s="338"/>
      <c r="F177" s="338"/>
      <c r="G177" s="347"/>
      <c r="H177" s="348">
        <v>1299</v>
      </c>
      <c r="J177" t="s">
        <v>271</v>
      </c>
      <c r="L177" s="41">
        <f>Master!BV48</f>
        <v>44248.733767346203</v>
      </c>
      <c r="M177" s="41">
        <f>Master!BW48</f>
        <v>10056.530401669592</v>
      </c>
      <c r="N177" s="41">
        <f>Master!BY48</f>
        <v>67043.536011130607</v>
      </c>
    </row>
    <row r="178" spans="1:17" x14ac:dyDescent="0.2">
      <c r="C178" s="295" t="s">
        <v>328</v>
      </c>
      <c r="D178" s="295"/>
      <c r="E178" s="295"/>
      <c r="F178" s="295"/>
      <c r="G178" s="348"/>
      <c r="H178" s="348">
        <f>SUM(H176:H177)</f>
        <v>6829</v>
      </c>
      <c r="J178" t="str">
        <f>C160</f>
        <v>All Years Ricker</v>
      </c>
      <c r="L178" s="41">
        <f>F160-L$177</f>
        <v>-24438.014711497402</v>
      </c>
      <c r="M178" s="41">
        <f>G160-M$177</f>
        <v>-785.81516830397231</v>
      </c>
      <c r="N178" s="41">
        <f>H160-N$177</f>
        <v>-29499.343155266994</v>
      </c>
    </row>
    <row r="179" spans="1:17" x14ac:dyDescent="0.2">
      <c r="C179" s="275"/>
      <c r="D179" s="338"/>
      <c r="E179" s="338"/>
      <c r="F179" s="338"/>
      <c r="G179" s="338"/>
      <c r="H179" s="338"/>
      <c r="J179" t="str">
        <f>C161</f>
        <v>Partial Ricker</v>
      </c>
      <c r="L179" s="41">
        <f t="shared" ref="L179:L184" si="7">F161-L$177</f>
        <v>-19533.007444139159</v>
      </c>
      <c r="M179" s="41">
        <f t="shared" ref="M179:M184" si="8">G161-M$177</f>
        <v>1631.0009969296989</v>
      </c>
      <c r="N179" s="41">
        <f>H161-N$177</f>
        <v>-19862.197287619645</v>
      </c>
    </row>
    <row r="180" spans="1:17" x14ac:dyDescent="0.2">
      <c r="C180" s="338" t="s">
        <v>462</v>
      </c>
      <c r="D180" s="338"/>
      <c r="E180" s="338"/>
      <c r="F180" s="338"/>
      <c r="G180" s="338"/>
      <c r="H180" s="338"/>
      <c r="J180" t="str">
        <f>C162</f>
        <v>Sibling Regression</v>
      </c>
      <c r="L180" s="41">
        <f t="shared" si="7"/>
        <v>-926.73376734620251</v>
      </c>
      <c r="M180" s="41">
        <f t="shared" si="8"/>
        <v>-2078.5304016695918</v>
      </c>
      <c r="N180" s="41"/>
    </row>
    <row r="181" spans="1:17" x14ac:dyDescent="0.2">
      <c r="C181" s="275" t="s">
        <v>286</v>
      </c>
      <c r="D181" s="338"/>
      <c r="E181" s="338"/>
      <c r="F181" s="338"/>
      <c r="G181" s="338"/>
      <c r="H181" s="338"/>
      <c r="L181" s="41"/>
      <c r="M181" s="41"/>
      <c r="N181" s="41"/>
    </row>
    <row r="182" spans="1:17" x14ac:dyDescent="0.2">
      <c r="C182" s="275"/>
      <c r="D182" s="338"/>
      <c r="E182" s="338"/>
      <c r="F182" s="338"/>
      <c r="G182" s="338"/>
      <c r="H182" s="338"/>
      <c r="L182" s="41"/>
      <c r="M182" s="41"/>
      <c r="N182" s="41"/>
    </row>
    <row r="183" spans="1:17" x14ac:dyDescent="0.2">
      <c r="C183" s="275"/>
      <c r="D183" s="338"/>
      <c r="E183" s="338"/>
      <c r="F183" s="338"/>
      <c r="G183" s="338"/>
      <c r="H183" s="338"/>
      <c r="L183" s="41"/>
      <c r="M183" s="41"/>
      <c r="N183" s="41"/>
    </row>
    <row r="184" spans="1:17" x14ac:dyDescent="0.2">
      <c r="C184" s="338" t="s">
        <v>368</v>
      </c>
      <c r="D184" s="338"/>
      <c r="E184" s="338"/>
      <c r="F184" s="338"/>
      <c r="G184" s="338"/>
      <c r="H184" s="338"/>
      <c r="J184" t="str">
        <f>C166</f>
        <v>Combined Model a</v>
      </c>
      <c r="L184" s="41">
        <f t="shared" si="7"/>
        <v>-926.73376734620251</v>
      </c>
      <c r="M184" s="41">
        <f t="shared" si="8"/>
        <v>-2078.5304016695918</v>
      </c>
      <c r="N184" s="41">
        <f>H166-N$177</f>
        <v>-6123.1162269537017</v>
      </c>
      <c r="O184">
        <f>N184/N177</f>
        <v>-9.1330448709285542E-2</v>
      </c>
    </row>
    <row r="185" spans="1:17" x14ac:dyDescent="0.2">
      <c r="C185" s="338" t="s">
        <v>369</v>
      </c>
      <c r="D185" s="338"/>
      <c r="E185" s="338"/>
      <c r="F185" s="338"/>
      <c r="G185" s="338"/>
      <c r="H185" s="338"/>
      <c r="L185" s="41"/>
    </row>
    <row r="186" spans="1:17" x14ac:dyDescent="0.2">
      <c r="L186" s="41"/>
    </row>
    <row r="187" spans="1:17" x14ac:dyDescent="0.2">
      <c r="L187" s="41"/>
    </row>
    <row r="188" spans="1:17" x14ac:dyDescent="0.2">
      <c r="A188" s="270" t="s">
        <v>65</v>
      </c>
      <c r="B188" s="5"/>
      <c r="C188" s="5"/>
      <c r="D188" s="5"/>
      <c r="E188" s="5"/>
      <c r="F188" s="19"/>
      <c r="G188" s="19"/>
    </row>
    <row r="190" spans="1:17" x14ac:dyDescent="0.2">
      <c r="C190" s="338" t="s">
        <v>468</v>
      </c>
      <c r="D190" s="338"/>
      <c r="E190" s="338"/>
      <c r="F190" s="338"/>
      <c r="G190" s="338"/>
      <c r="H190" s="338"/>
      <c r="J190" s="131" t="s">
        <v>268</v>
      </c>
      <c r="K190" s="131"/>
      <c r="L190" s="131"/>
      <c r="M190" s="275"/>
      <c r="N190" s="131"/>
      <c r="O190" s="131"/>
      <c r="P190" s="131"/>
      <c r="Q190" s="131"/>
    </row>
    <row r="191" spans="1:17" x14ac:dyDescent="0.2">
      <c r="C191" s="338" t="s">
        <v>86</v>
      </c>
      <c r="D191" s="338"/>
      <c r="E191" s="338"/>
      <c r="F191" s="338"/>
      <c r="G191" s="338"/>
      <c r="H191" s="338"/>
      <c r="J191" s="136"/>
      <c r="K191" s="136"/>
      <c r="L191" s="136"/>
      <c r="M191" s="136"/>
      <c r="N191" s="295"/>
      <c r="O191" s="136"/>
      <c r="P191" s="136"/>
      <c r="Q191" s="295"/>
    </row>
    <row r="192" spans="1:17" ht="13.5" x14ac:dyDescent="0.25">
      <c r="C192" s="295" t="s">
        <v>357</v>
      </c>
      <c r="D192" s="339"/>
      <c r="E192" s="339"/>
      <c r="F192" s="339"/>
      <c r="G192" s="339"/>
      <c r="H192" s="339"/>
      <c r="J192" s="275"/>
      <c r="K192" s="131"/>
      <c r="L192" s="131"/>
      <c r="M192" s="136" t="s">
        <v>342</v>
      </c>
      <c r="N192" s="136"/>
      <c r="O192" s="129" t="s">
        <v>485</v>
      </c>
      <c r="P192" s="295" t="s">
        <v>471</v>
      </c>
      <c r="Q192" s="136"/>
    </row>
    <row r="193" spans="3:17" x14ac:dyDescent="0.2">
      <c r="C193" s="338"/>
      <c r="D193" s="338"/>
      <c r="E193" s="295"/>
      <c r="F193" s="340" t="s">
        <v>345</v>
      </c>
      <c r="G193" s="295"/>
      <c r="H193" s="295"/>
      <c r="J193" s="129" t="s">
        <v>375</v>
      </c>
      <c r="K193" s="129" t="s">
        <v>563</v>
      </c>
      <c r="L193" s="129" t="s">
        <v>570</v>
      </c>
      <c r="M193" s="129" t="s">
        <v>545</v>
      </c>
      <c r="N193" s="129" t="s">
        <v>546</v>
      </c>
      <c r="O193" s="129" t="s">
        <v>531</v>
      </c>
      <c r="P193" s="131" t="s">
        <v>545</v>
      </c>
      <c r="Q193" s="131" t="s">
        <v>546</v>
      </c>
    </row>
    <row r="194" spans="3:17" ht="18.75" x14ac:dyDescent="0.25">
      <c r="C194" s="295" t="s">
        <v>532</v>
      </c>
      <c r="D194" s="295"/>
      <c r="E194" s="295" t="s">
        <v>390</v>
      </c>
      <c r="F194" s="295" t="s">
        <v>391</v>
      </c>
      <c r="G194" s="295" t="s">
        <v>392</v>
      </c>
      <c r="H194" s="314" t="s">
        <v>426</v>
      </c>
      <c r="J194" s="134">
        <v>2005</v>
      </c>
      <c r="K194" s="134" t="s">
        <v>416</v>
      </c>
      <c r="L194" s="134" t="s">
        <v>402</v>
      </c>
      <c r="M194" s="134" t="s">
        <v>305</v>
      </c>
      <c r="N194" s="134" t="s">
        <v>306</v>
      </c>
      <c r="O194" s="134" t="s">
        <v>376</v>
      </c>
      <c r="P194" s="136" t="s">
        <v>538</v>
      </c>
      <c r="Q194" s="136" t="s">
        <v>538</v>
      </c>
    </row>
    <row r="195" spans="3:17" x14ac:dyDescent="0.2">
      <c r="C195" s="275" t="s">
        <v>381</v>
      </c>
      <c r="D195" s="275"/>
      <c r="E195" s="341">
        <f>P195</f>
        <v>9154.9407351315422</v>
      </c>
      <c r="F195" s="341">
        <f>P196</f>
        <v>19797.287768242048</v>
      </c>
      <c r="G195" s="341">
        <f>P197</f>
        <v>7534.2599561258721</v>
      </c>
      <c r="H195" s="342">
        <f>SUM(E195:G195)</f>
        <v>36486.488459499466</v>
      </c>
      <c r="J195" s="291">
        <v>1.2</v>
      </c>
      <c r="K195" s="132">
        <v>2001</v>
      </c>
      <c r="L195" s="14">
        <f>Master!N45</f>
        <v>27966</v>
      </c>
      <c r="M195" s="344">
        <f t="shared" ref="M195:N197" si="9">M$207*L195*EXP(M$208*L195)</f>
        <v>36577.147609936859</v>
      </c>
      <c r="N195" s="344">
        <f t="shared" si="9"/>
        <v>44978.547433495041</v>
      </c>
      <c r="O195" s="336">
        <f>Master!CR$70</f>
        <v>0.25029127018763031</v>
      </c>
      <c r="P195" s="283">
        <f>O195*M195</f>
        <v>9154.9407351315422</v>
      </c>
      <c r="Q195" s="283">
        <f>O195*N195</f>
        <v>11257.737768324054</v>
      </c>
    </row>
    <row r="196" spans="3:17" x14ac:dyDescent="0.2">
      <c r="C196" s="275" t="s">
        <v>288</v>
      </c>
      <c r="D196" s="275"/>
      <c r="E196" s="341">
        <f>Q195</f>
        <v>11257.737768324054</v>
      </c>
      <c r="F196" s="341">
        <f>Q196</f>
        <v>24199.645192191383</v>
      </c>
      <c r="G196" s="341">
        <f>Q197</f>
        <v>9215.0442762163275</v>
      </c>
      <c r="H196" s="342">
        <f>SUM(E196:G196)</f>
        <v>44672.427236731768</v>
      </c>
      <c r="J196" s="290">
        <v>1.3</v>
      </c>
      <c r="K196" s="132">
        <v>2000</v>
      </c>
      <c r="L196" s="14">
        <f>Master!N44</f>
        <v>33965</v>
      </c>
      <c r="M196" s="344">
        <f t="shared" si="9"/>
        <v>36730.26809954601</v>
      </c>
      <c r="N196" s="344">
        <f t="shared" si="9"/>
        <v>44898.041904959777</v>
      </c>
      <c r="O196" s="336">
        <f>Master!CS$70</f>
        <v>0.53899110440979181</v>
      </c>
      <c r="P196" s="283">
        <f>O196*M196</f>
        <v>19797.287768242048</v>
      </c>
      <c r="Q196" s="283">
        <f>O196*N196</f>
        <v>24199.645192191383</v>
      </c>
    </row>
    <row r="197" spans="3:17" x14ac:dyDescent="0.2">
      <c r="J197" s="290">
        <v>1.4</v>
      </c>
      <c r="K197" s="129">
        <v>1999</v>
      </c>
      <c r="L197" s="14">
        <f>Master!N43</f>
        <v>29088</v>
      </c>
      <c r="M197" s="344">
        <f t="shared" si="9"/>
        <v>36715.293083917102</v>
      </c>
      <c r="N197" s="344">
        <f t="shared" si="9"/>
        <v>44905.943430776788</v>
      </c>
      <c r="O197" s="337">
        <f>Master!CT$70</f>
        <v>0.20520767569267223</v>
      </c>
      <c r="P197" s="296">
        <f>O197*M197</f>
        <v>7534.2599561258721</v>
      </c>
      <c r="Q197" s="296">
        <f>O197*N197</f>
        <v>9215.0442762163275</v>
      </c>
    </row>
    <row r="198" spans="3:17" x14ac:dyDescent="0.2">
      <c r="C198" s="275" t="s">
        <v>470</v>
      </c>
      <c r="D198" s="275"/>
      <c r="E198" s="343" t="s">
        <v>356</v>
      </c>
      <c r="F198" s="341" t="e">
        <f>#REF!</f>
        <v>#REF!</v>
      </c>
      <c r="G198" s="341" t="e">
        <f>#REF!</f>
        <v>#REF!</v>
      </c>
      <c r="H198" s="342" t="s">
        <v>356</v>
      </c>
      <c r="J198" s="134"/>
      <c r="K198" s="136"/>
      <c r="L198" s="136"/>
      <c r="M198" s="313"/>
      <c r="N198" s="134" t="s">
        <v>426</v>
      </c>
      <c r="O198" s="337">
        <f>SUM(O195:O197)</f>
        <v>0.99449005029009441</v>
      </c>
      <c r="P198" s="296">
        <f>SUM(P195:P197)</f>
        <v>36486.488459499466</v>
      </c>
      <c r="Q198" s="296">
        <f>SUM(Q195:Q197)</f>
        <v>44672.427236731768</v>
      </c>
    </row>
    <row r="199" spans="3:17" x14ac:dyDescent="0.2">
      <c r="C199" s="376" t="s">
        <v>370</v>
      </c>
      <c r="D199" s="275"/>
      <c r="E199" s="343" t="s">
        <v>356</v>
      </c>
      <c r="F199" s="342" t="e">
        <f>#REF!</f>
        <v>#REF!</v>
      </c>
      <c r="G199" s="342" t="e">
        <f>#REF!</f>
        <v>#REF!</v>
      </c>
      <c r="H199" s="342" t="s">
        <v>356</v>
      </c>
      <c r="J199" s="133" t="s">
        <v>88</v>
      </c>
      <c r="K199" s="282"/>
      <c r="L199" s="273"/>
      <c r="M199" s="282"/>
      <c r="N199" s="282"/>
      <c r="O199" s="283"/>
      <c r="P199" s="282"/>
      <c r="Q199" s="275"/>
    </row>
    <row r="200" spans="3:17" x14ac:dyDescent="0.2">
      <c r="C200" s="346" t="s">
        <v>371</v>
      </c>
      <c r="D200" s="338"/>
      <c r="E200" s="343" t="s">
        <v>356</v>
      </c>
      <c r="F200" s="342" t="e">
        <f>#REF!</f>
        <v>#REF!</v>
      </c>
      <c r="G200" s="342" t="e">
        <f>#REF!</f>
        <v>#REF!</v>
      </c>
      <c r="H200" s="342" t="s">
        <v>356</v>
      </c>
      <c r="J200" s="133" t="s">
        <v>87</v>
      </c>
      <c r="K200" s="282"/>
      <c r="L200" s="275"/>
      <c r="M200" s="275"/>
      <c r="N200" s="275"/>
      <c r="O200" s="275"/>
      <c r="P200" s="275"/>
      <c r="Q200" s="275"/>
    </row>
    <row r="201" spans="3:17" x14ac:dyDescent="0.2">
      <c r="C201" s="346"/>
      <c r="D201" s="338"/>
      <c r="E201" s="343"/>
      <c r="F201" s="342"/>
      <c r="G201" s="342"/>
      <c r="H201" s="342"/>
      <c r="J201" s="133"/>
      <c r="K201" s="282"/>
      <c r="L201" s="275"/>
      <c r="M201" s="275"/>
      <c r="N201" s="275"/>
      <c r="O201" s="275"/>
      <c r="P201" s="275"/>
      <c r="Q201" s="275"/>
    </row>
    <row r="202" spans="3:17" x14ac:dyDescent="0.2">
      <c r="C202" s="377" t="s">
        <v>17</v>
      </c>
      <c r="D202" s="338"/>
      <c r="E202" s="378">
        <v>12720</v>
      </c>
      <c r="F202" s="378">
        <v>24240</v>
      </c>
      <c r="G202" s="380">
        <v>15330</v>
      </c>
      <c r="H202" s="342">
        <f>SUM(E202:G202)</f>
        <v>52290</v>
      </c>
      <c r="J202" s="133"/>
      <c r="K202" s="282"/>
      <c r="L202" s="275"/>
      <c r="M202" s="275"/>
      <c r="N202" s="275"/>
      <c r="O202" s="275"/>
      <c r="P202" s="275"/>
      <c r="Q202" s="275"/>
    </row>
    <row r="203" spans="3:17" x14ac:dyDescent="0.2">
      <c r="C203" s="346" t="s">
        <v>18</v>
      </c>
      <c r="D203" s="338"/>
      <c r="E203" s="378">
        <v>3753</v>
      </c>
      <c r="F203" s="378">
        <v>12050</v>
      </c>
      <c r="G203" s="380">
        <v>6966</v>
      </c>
      <c r="H203" s="342">
        <v>27800</v>
      </c>
      <c r="J203" s="133"/>
      <c r="K203" s="282"/>
      <c r="L203" s="275"/>
      <c r="M203" s="275"/>
      <c r="N203" s="275"/>
      <c r="O203" s="275"/>
      <c r="P203" s="275"/>
      <c r="Q203" s="275"/>
    </row>
    <row r="204" spans="3:17" x14ac:dyDescent="0.2">
      <c r="C204" s="346" t="s">
        <v>19</v>
      </c>
      <c r="E204" s="378">
        <v>31340</v>
      </c>
      <c r="F204" s="378">
        <v>43660</v>
      </c>
      <c r="G204" s="380">
        <v>27060</v>
      </c>
      <c r="H204" s="342">
        <v>79100</v>
      </c>
    </row>
    <row r="205" spans="3:17" x14ac:dyDescent="0.2">
      <c r="C205" s="346"/>
      <c r="G205" s="1"/>
    </row>
    <row r="206" spans="3:17" x14ac:dyDescent="0.2">
      <c r="C206" s="275" t="s">
        <v>456</v>
      </c>
      <c r="D206" s="275"/>
      <c r="E206" s="341">
        <f>E195</f>
        <v>9154.9407351315422</v>
      </c>
      <c r="F206" s="341" t="e">
        <f>F198</f>
        <v>#REF!</v>
      </c>
      <c r="G206" s="341" t="e">
        <f>G198</f>
        <v>#REF!</v>
      </c>
      <c r="H206" s="342" t="e">
        <f>SUM(E206:G206)</f>
        <v>#REF!</v>
      </c>
      <c r="L206" t="s">
        <v>366</v>
      </c>
      <c r="M206">
        <v>1.1549344670212942</v>
      </c>
      <c r="N206">
        <v>1.6326175310714597</v>
      </c>
      <c r="Q206" s="87">
        <f>(Q198-P198)/Q198</f>
        <v>0.1832436534924039</v>
      </c>
    </row>
    <row r="207" spans="3:17" x14ac:dyDescent="0.2">
      <c r="L207" t="s">
        <v>533</v>
      </c>
      <c r="M207">
        <f>EXP(M206)</f>
        <v>3.1738154211339538</v>
      </c>
      <c r="N207">
        <f>EXP(N206)</f>
        <v>5.1172517689822232</v>
      </c>
    </row>
    <row r="208" spans="3:17" x14ac:dyDescent="0.2">
      <c r="C208" s="338" t="s">
        <v>559</v>
      </c>
      <c r="D208" s="338"/>
      <c r="E208" s="342">
        <f>E203</f>
        <v>3753</v>
      </c>
      <c r="F208" s="342">
        <f>F203</f>
        <v>12050</v>
      </c>
      <c r="G208" s="342" t="e">
        <f>G199</f>
        <v>#REF!</v>
      </c>
      <c r="H208" s="342" t="e">
        <f>SUM(E208:G208)</f>
        <v>#REF!</v>
      </c>
      <c r="L208" t="s">
        <v>534</v>
      </c>
      <c r="M208">
        <v>-3.1699216565921625E-5</v>
      </c>
      <c r="N208">
        <v>-3.8982141446156654E-5</v>
      </c>
    </row>
    <row r="209" spans="3:15" x14ac:dyDescent="0.2">
      <c r="C209" s="338" t="s">
        <v>560</v>
      </c>
      <c r="D209" s="338"/>
      <c r="E209" s="342">
        <f>E204</f>
        <v>31340</v>
      </c>
      <c r="F209" s="342" t="e">
        <f>MAX(F195:F200)</f>
        <v>#REF!</v>
      </c>
      <c r="G209" s="342">
        <f>G204</f>
        <v>27060</v>
      </c>
      <c r="H209" s="342" t="e">
        <f>SUM(E209:G209)</f>
        <v>#REF!</v>
      </c>
    </row>
    <row r="210" spans="3:15" x14ac:dyDescent="0.2">
      <c r="C210" s="275"/>
      <c r="D210" s="275"/>
      <c r="E210" s="283"/>
      <c r="F210" s="283"/>
      <c r="G210" s="283"/>
      <c r="H210" s="283"/>
      <c r="L210" t="s">
        <v>359</v>
      </c>
      <c r="O210" t="s">
        <v>360</v>
      </c>
    </row>
    <row r="211" spans="3:15" x14ac:dyDescent="0.2">
      <c r="C211" s="275"/>
      <c r="D211" s="273" t="s">
        <v>459</v>
      </c>
      <c r="E211" s="281"/>
      <c r="F211" s="275"/>
      <c r="G211" s="275"/>
      <c r="H211" s="275"/>
      <c r="L211" t="s">
        <v>361</v>
      </c>
    </row>
    <row r="212" spans="3:15" x14ac:dyDescent="0.2">
      <c r="C212" s="275" t="s">
        <v>456</v>
      </c>
      <c r="D212" s="338"/>
      <c r="E212" s="338"/>
      <c r="F212" s="338"/>
      <c r="G212" s="338"/>
      <c r="H212" s="283" t="e">
        <f>H206-13000</f>
        <v>#REF!</v>
      </c>
      <c r="L212" t="s">
        <v>362</v>
      </c>
    </row>
    <row r="213" spans="3:15" x14ac:dyDescent="0.2">
      <c r="C213" s="275" t="s">
        <v>285</v>
      </c>
      <c r="D213" s="275"/>
      <c r="E213" s="275"/>
      <c r="F213" s="275"/>
      <c r="G213" s="275"/>
      <c r="H213" s="283" t="e">
        <f>H208-13000</f>
        <v>#REF!</v>
      </c>
    </row>
    <row r="214" spans="3:15" x14ac:dyDescent="0.2">
      <c r="C214" s="338" t="s">
        <v>386</v>
      </c>
      <c r="D214" s="338"/>
      <c r="E214" s="338"/>
      <c r="F214" s="338"/>
      <c r="G214" s="338"/>
      <c r="H214" s="283" t="e">
        <f>H209-13000</f>
        <v>#REF!</v>
      </c>
    </row>
    <row r="215" spans="3:15" x14ac:dyDescent="0.2">
      <c r="C215" s="338"/>
      <c r="D215" s="338"/>
      <c r="E215" s="338"/>
      <c r="F215" s="338"/>
      <c r="G215" s="338"/>
      <c r="H215" s="338"/>
      <c r="K215" s="378">
        <v>12720</v>
      </c>
      <c r="L215" s="378">
        <v>24240</v>
      </c>
      <c r="M215" s="379">
        <v>15330</v>
      </c>
    </row>
    <row r="216" spans="3:15" x14ac:dyDescent="0.2">
      <c r="C216" s="345"/>
      <c r="D216" s="345"/>
      <c r="E216" s="338" t="s">
        <v>346</v>
      </c>
      <c r="F216" s="338"/>
      <c r="G216" s="346"/>
      <c r="H216" s="346"/>
      <c r="K216" s="378">
        <v>3753</v>
      </c>
      <c r="L216" s="378">
        <v>12050</v>
      </c>
      <c r="M216" s="379">
        <v>6966</v>
      </c>
    </row>
    <row r="217" spans="3:15" x14ac:dyDescent="0.2">
      <c r="C217" s="275" t="s">
        <v>460</v>
      </c>
      <c r="D217" s="275"/>
      <c r="E217" s="338"/>
      <c r="F217" s="338"/>
      <c r="G217" s="347"/>
      <c r="H217" s="342">
        <f>Master!AK48+1</f>
        <v>9051</v>
      </c>
      <c r="K217" s="378">
        <v>31340</v>
      </c>
      <c r="L217" s="378">
        <v>43660</v>
      </c>
      <c r="M217" s="379">
        <v>27060</v>
      </c>
    </row>
    <row r="218" spans="3:15" x14ac:dyDescent="0.2">
      <c r="C218" s="338" t="s">
        <v>461</v>
      </c>
      <c r="D218" s="338"/>
      <c r="E218" s="338"/>
      <c r="F218" s="338"/>
      <c r="G218" s="347"/>
      <c r="H218" s="298">
        <f>Master!BA63</f>
        <v>0</v>
      </c>
    </row>
    <row r="219" spans="3:15" x14ac:dyDescent="0.2">
      <c r="C219" s="295" t="s">
        <v>328</v>
      </c>
      <c r="D219" s="295"/>
      <c r="E219" s="295"/>
      <c r="F219" s="295"/>
      <c r="G219" s="348"/>
      <c r="H219" s="298">
        <f>SUM(H217:H218)</f>
        <v>9051</v>
      </c>
    </row>
    <row r="220" spans="3:15" x14ac:dyDescent="0.2">
      <c r="C220" s="275"/>
      <c r="D220" s="338"/>
      <c r="E220" s="338"/>
      <c r="F220" s="338"/>
      <c r="G220" s="338"/>
      <c r="H220" s="338"/>
    </row>
    <row r="221" spans="3:15" x14ac:dyDescent="0.2">
      <c r="C221" s="338" t="s">
        <v>283</v>
      </c>
      <c r="D221" s="338"/>
      <c r="E221" s="338"/>
      <c r="F221" s="338"/>
      <c r="G221" s="338"/>
      <c r="H221" s="338"/>
    </row>
    <row r="222" spans="3:15" x14ac:dyDescent="0.2">
      <c r="C222" s="275" t="s">
        <v>286</v>
      </c>
      <c r="D222" s="338"/>
      <c r="E222" s="338"/>
      <c r="F222" s="338"/>
      <c r="G222" s="338"/>
      <c r="H222" s="338"/>
    </row>
    <row r="223" spans="3:15" x14ac:dyDescent="0.2">
      <c r="C223" s="275" t="s">
        <v>464</v>
      </c>
      <c r="D223" s="338"/>
      <c r="E223" s="338"/>
      <c r="F223" s="338"/>
      <c r="G223" s="338"/>
      <c r="H223" s="338"/>
    </row>
    <row r="224" spans="3:15" x14ac:dyDescent="0.2">
      <c r="C224" s="275" t="s">
        <v>465</v>
      </c>
      <c r="D224" s="338"/>
      <c r="E224" s="338"/>
      <c r="F224" s="338"/>
      <c r="G224" s="338"/>
      <c r="H224" s="338"/>
    </row>
    <row r="225" spans="1:17" x14ac:dyDescent="0.2">
      <c r="C225" s="338" t="s">
        <v>384</v>
      </c>
      <c r="D225" s="338"/>
      <c r="E225" s="338"/>
      <c r="F225" s="338"/>
      <c r="G225" s="338"/>
      <c r="H225" s="338"/>
    </row>
    <row r="226" spans="1:17" x14ac:dyDescent="0.2">
      <c r="C226" s="338" t="s">
        <v>385</v>
      </c>
      <c r="D226" s="338"/>
      <c r="E226" s="338"/>
      <c r="F226" s="338"/>
      <c r="G226" s="338"/>
      <c r="H226" s="338"/>
    </row>
    <row r="227" spans="1:17" x14ac:dyDescent="0.2">
      <c r="C227" s="338"/>
      <c r="D227" s="338"/>
      <c r="E227" s="338"/>
      <c r="F227" s="338"/>
      <c r="G227" s="338"/>
      <c r="H227" s="338"/>
    </row>
    <row r="228" spans="1:17" x14ac:dyDescent="0.2">
      <c r="A228" s="19" t="s">
        <v>293</v>
      </c>
      <c r="C228" s="338"/>
      <c r="D228" s="338"/>
      <c r="E228" s="338"/>
      <c r="F228" s="338"/>
      <c r="G228" s="338"/>
      <c r="H228" s="338"/>
    </row>
    <row r="229" spans="1:17" x14ac:dyDescent="0.2">
      <c r="C229" s="338"/>
      <c r="D229" s="338"/>
      <c r="E229" s="338"/>
      <c r="F229" s="338"/>
      <c r="G229" s="338"/>
      <c r="H229" s="338"/>
    </row>
    <row r="230" spans="1:17" x14ac:dyDescent="0.2">
      <c r="C230" s="338" t="s">
        <v>468</v>
      </c>
      <c r="D230" s="338"/>
      <c r="E230" s="338"/>
      <c r="F230" s="338"/>
      <c r="G230" s="338"/>
      <c r="H230" s="338"/>
      <c r="J230" t="s">
        <v>227</v>
      </c>
    </row>
    <row r="231" spans="1:17" x14ac:dyDescent="0.2">
      <c r="C231" s="338" t="s">
        <v>228</v>
      </c>
      <c r="D231" s="338"/>
      <c r="E231" s="338"/>
      <c r="F231" s="338"/>
      <c r="G231" s="338"/>
      <c r="H231" s="338"/>
      <c r="J231" s="11"/>
      <c r="K231" s="11"/>
      <c r="L231" s="11"/>
      <c r="M231" s="11"/>
      <c r="N231" s="11"/>
      <c r="O231" s="11"/>
      <c r="P231" s="11"/>
      <c r="Q231" s="11"/>
    </row>
    <row r="232" spans="1:17" x14ac:dyDescent="0.2">
      <c r="C232" s="295" t="s">
        <v>357</v>
      </c>
      <c r="D232" s="295"/>
      <c r="E232" s="295"/>
      <c r="F232" s="295"/>
      <c r="G232" s="295"/>
      <c r="H232" s="295"/>
      <c r="M232" t="s">
        <v>342</v>
      </c>
      <c r="O232" t="s">
        <v>485</v>
      </c>
      <c r="P232" t="s">
        <v>229</v>
      </c>
    </row>
    <row r="233" spans="1:17" x14ac:dyDescent="0.2">
      <c r="C233" s="338"/>
      <c r="D233" s="338"/>
      <c r="E233" s="388"/>
      <c r="F233" s="389" t="s">
        <v>345</v>
      </c>
      <c r="G233" s="388"/>
      <c r="H233" s="388"/>
      <c r="J233" t="s">
        <v>375</v>
      </c>
      <c r="K233" t="s">
        <v>563</v>
      </c>
      <c r="L233" t="s">
        <v>570</v>
      </c>
      <c r="M233" t="s">
        <v>545</v>
      </c>
      <c r="N233" t="s">
        <v>546</v>
      </c>
      <c r="O233" t="s">
        <v>531</v>
      </c>
      <c r="P233" t="s">
        <v>545</v>
      </c>
      <c r="Q233" t="s">
        <v>546</v>
      </c>
    </row>
    <row r="234" spans="1:17" x14ac:dyDescent="0.2">
      <c r="C234" s="295" t="s">
        <v>532</v>
      </c>
      <c r="D234" s="295"/>
      <c r="E234" s="295" t="s">
        <v>390</v>
      </c>
      <c r="F234" s="295" t="s">
        <v>391</v>
      </c>
      <c r="G234" s="295" t="s">
        <v>392</v>
      </c>
      <c r="H234" s="295" t="s">
        <v>426</v>
      </c>
      <c r="J234" s="11">
        <v>2006</v>
      </c>
      <c r="K234" s="11" t="s">
        <v>416</v>
      </c>
      <c r="L234" s="11" t="s">
        <v>402</v>
      </c>
      <c r="M234" s="11" t="s">
        <v>230</v>
      </c>
      <c r="N234" s="11" t="s">
        <v>231</v>
      </c>
      <c r="O234" s="11" t="s">
        <v>376</v>
      </c>
      <c r="P234" s="11" t="s">
        <v>538</v>
      </c>
      <c r="Q234" s="11" t="s">
        <v>538</v>
      </c>
    </row>
    <row r="235" spans="1:17" x14ac:dyDescent="0.2">
      <c r="C235" s="338" t="s">
        <v>381</v>
      </c>
      <c r="D235" s="338"/>
      <c r="E235" s="344">
        <v>8118.0794978484737</v>
      </c>
      <c r="F235" s="344">
        <v>20450.542738979289</v>
      </c>
      <c r="G235" s="344">
        <v>7959.9736968142452</v>
      </c>
      <c r="H235" s="344">
        <v>36528.595933642006</v>
      </c>
      <c r="J235">
        <v>1.2</v>
      </c>
      <c r="K235">
        <v>2002</v>
      </c>
      <c r="L235" s="14">
        <v>28535</v>
      </c>
      <c r="M235" s="14">
        <v>36654.225914168986</v>
      </c>
      <c r="N235" s="14">
        <v>44938.102288140159</v>
      </c>
      <c r="O235" s="75">
        <v>0.22147731388075406</v>
      </c>
      <c r="P235" s="14">
        <v>8118.0794978484737</v>
      </c>
      <c r="Q235" s="14">
        <v>9952.7701856758504</v>
      </c>
    </row>
    <row r="236" spans="1:17" x14ac:dyDescent="0.2">
      <c r="C236" s="338" t="s">
        <v>288</v>
      </c>
      <c r="D236" s="338"/>
      <c r="E236" s="344">
        <v>9952.7701856758504</v>
      </c>
      <c r="F236" s="344">
        <v>25147.824987206142</v>
      </c>
      <c r="G236" s="344">
        <v>9730.0469365852769</v>
      </c>
      <c r="H236" s="344">
        <v>44830.64210946727</v>
      </c>
      <c r="J236">
        <v>1.3</v>
      </c>
      <c r="K236">
        <v>2001</v>
      </c>
      <c r="L236" s="14">
        <v>27966</v>
      </c>
      <c r="M236" s="14">
        <v>36577.147609936859</v>
      </c>
      <c r="N236" s="14">
        <v>44978.547433495041</v>
      </c>
      <c r="O236" s="75">
        <v>0.5591070948742739</v>
      </c>
      <c r="P236" s="14">
        <v>20450.542738979289</v>
      </c>
      <c r="Q236" s="14">
        <v>25147.824987206142</v>
      </c>
    </row>
    <row r="237" spans="1:17" x14ac:dyDescent="0.2">
      <c r="C237" s="338"/>
      <c r="D237" s="338"/>
      <c r="E237" s="338"/>
      <c r="F237" s="338"/>
      <c r="G237" s="338"/>
      <c r="H237" s="338"/>
      <c r="J237">
        <v>1.4</v>
      </c>
      <c r="K237">
        <v>2000</v>
      </c>
      <c r="L237" s="14">
        <v>33965</v>
      </c>
      <c r="M237" s="14">
        <v>36730.26809954601</v>
      </c>
      <c r="N237" s="14">
        <v>44898.041904959777</v>
      </c>
      <c r="O237" s="227">
        <v>0.21671428248879651</v>
      </c>
      <c r="P237" s="67">
        <v>7959.9736968142452</v>
      </c>
      <c r="Q237" s="67">
        <v>9730.0469365852769</v>
      </c>
    </row>
    <row r="238" spans="1:17" x14ac:dyDescent="0.2">
      <c r="C238" s="338" t="s">
        <v>470</v>
      </c>
      <c r="D238" s="338"/>
      <c r="E238" s="338" t="s">
        <v>356</v>
      </c>
      <c r="F238" s="344">
        <v>33251.153441868679</v>
      </c>
      <c r="G238" s="344">
        <v>7702</v>
      </c>
      <c r="H238" s="338" t="s">
        <v>356</v>
      </c>
      <c r="J238" s="11"/>
      <c r="K238" s="11"/>
      <c r="L238" s="67"/>
      <c r="M238" s="67"/>
      <c r="N238" s="67" t="s">
        <v>426</v>
      </c>
      <c r="O238" s="227">
        <v>0.99729869124382453</v>
      </c>
      <c r="P238" s="67">
        <v>36528.595933642006</v>
      </c>
      <c r="Q238" s="67">
        <v>44830.64210946727</v>
      </c>
    </row>
    <row r="239" spans="1:17" x14ac:dyDescent="0.2">
      <c r="C239" s="338" t="s">
        <v>370</v>
      </c>
      <c r="D239" s="338"/>
      <c r="E239" s="338" t="s">
        <v>356</v>
      </c>
      <c r="F239" s="344">
        <v>15618.022352862887</v>
      </c>
      <c r="G239" s="344">
        <v>1312</v>
      </c>
      <c r="H239" s="338" t="s">
        <v>356</v>
      </c>
      <c r="J239" t="s">
        <v>232</v>
      </c>
    </row>
    <row r="240" spans="1:17" x14ac:dyDescent="0.2">
      <c r="C240" s="338" t="s">
        <v>371</v>
      </c>
      <c r="D240" s="338"/>
      <c r="E240" s="338" t="s">
        <v>356</v>
      </c>
      <c r="F240" s="344">
        <v>70792.522909408217</v>
      </c>
      <c r="G240" s="344">
        <v>45203</v>
      </c>
      <c r="H240" s="338" t="s">
        <v>356</v>
      </c>
      <c r="J240" t="s">
        <v>233</v>
      </c>
    </row>
    <row r="241" spans="3:17" x14ac:dyDescent="0.2">
      <c r="C241" s="338"/>
      <c r="D241" s="338"/>
      <c r="E241" s="338"/>
      <c r="F241" s="338"/>
      <c r="G241" s="338"/>
      <c r="H241" s="338"/>
    </row>
    <row r="242" spans="3:17" x14ac:dyDescent="0.2">
      <c r="C242" s="338" t="s">
        <v>456</v>
      </c>
      <c r="D242" s="338"/>
      <c r="E242" s="344">
        <v>8118.0794978484737</v>
      </c>
      <c r="F242" s="344">
        <v>33251.153441868679</v>
      </c>
      <c r="G242" s="344">
        <v>7702</v>
      </c>
      <c r="H242" s="344">
        <v>49071</v>
      </c>
    </row>
    <row r="243" spans="3:17" x14ac:dyDescent="0.2">
      <c r="C243" s="338"/>
      <c r="D243" s="338"/>
      <c r="E243" s="344"/>
      <c r="F243" s="344"/>
      <c r="G243" s="344"/>
      <c r="H243" s="344"/>
    </row>
    <row r="244" spans="3:17" x14ac:dyDescent="0.2">
      <c r="C244" s="338" t="s">
        <v>559</v>
      </c>
      <c r="D244" s="338"/>
      <c r="E244" s="344">
        <v>8118.0794978484737</v>
      </c>
      <c r="F244" s="344">
        <v>15618.022352862887</v>
      </c>
      <c r="G244" s="344">
        <v>1312</v>
      </c>
      <c r="H244" s="344">
        <v>25049</v>
      </c>
    </row>
    <row r="245" spans="3:17" x14ac:dyDescent="0.2">
      <c r="C245" s="338" t="s">
        <v>560</v>
      </c>
      <c r="D245" s="338"/>
      <c r="E245" s="344">
        <v>9952.7701856758504</v>
      </c>
      <c r="F245" s="344">
        <v>70792.522909408217</v>
      </c>
      <c r="G245" s="344">
        <v>45203</v>
      </c>
      <c r="H245" s="344">
        <v>125948</v>
      </c>
    </row>
    <row r="246" spans="3:17" x14ac:dyDescent="0.2">
      <c r="C246" s="338"/>
      <c r="D246" s="338"/>
      <c r="E246" s="344"/>
      <c r="F246" s="344"/>
      <c r="G246" s="344"/>
      <c r="H246" s="344"/>
      <c r="L246" t="s">
        <v>366</v>
      </c>
      <c r="M246">
        <v>1.1549344670212942</v>
      </c>
      <c r="N246">
        <v>1.6326175310714597</v>
      </c>
      <c r="Q246">
        <v>0.18518686740094784</v>
      </c>
    </row>
    <row r="247" spans="3:17" x14ac:dyDescent="0.2">
      <c r="C247" s="338"/>
      <c r="D247" s="345" t="s">
        <v>459</v>
      </c>
      <c r="E247" s="338"/>
      <c r="F247" s="338"/>
      <c r="G247" s="338"/>
      <c r="H247" s="338"/>
      <c r="L247" t="s">
        <v>533</v>
      </c>
      <c r="M247">
        <v>3.1738154211339538</v>
      </c>
      <c r="N247">
        <v>5.1172517689822232</v>
      </c>
    </row>
    <row r="248" spans="3:17" x14ac:dyDescent="0.2">
      <c r="C248" s="338" t="s">
        <v>456</v>
      </c>
      <c r="D248" s="338"/>
      <c r="E248" s="338"/>
      <c r="F248" s="338"/>
      <c r="G248" s="338"/>
      <c r="H248" s="344">
        <v>36072</v>
      </c>
      <c r="L248" t="s">
        <v>534</v>
      </c>
      <c r="M248">
        <v>-3.1699216565921625E-5</v>
      </c>
      <c r="N248">
        <v>-3.8982141446156654E-5</v>
      </c>
    </row>
    <row r="249" spans="3:17" x14ac:dyDescent="0.2">
      <c r="C249" s="338" t="s">
        <v>285</v>
      </c>
      <c r="D249" s="338"/>
      <c r="E249" s="338"/>
      <c r="F249" s="338"/>
      <c r="G249" s="338"/>
      <c r="H249" s="344">
        <v>12049</v>
      </c>
    </row>
    <row r="250" spans="3:17" x14ac:dyDescent="0.2">
      <c r="C250" s="338" t="s">
        <v>386</v>
      </c>
      <c r="D250" s="338"/>
      <c r="E250" s="338"/>
      <c r="F250" s="338"/>
      <c r="G250" s="338"/>
      <c r="H250" s="344">
        <v>112948</v>
      </c>
      <c r="L250" t="s">
        <v>359</v>
      </c>
      <c r="O250" t="s">
        <v>360</v>
      </c>
    </row>
    <row r="251" spans="3:17" x14ac:dyDescent="0.2">
      <c r="C251" s="338"/>
      <c r="D251" s="338"/>
      <c r="E251" s="338"/>
      <c r="F251" s="338"/>
      <c r="G251" s="338"/>
      <c r="H251" s="344"/>
      <c r="L251" t="s">
        <v>361</v>
      </c>
    </row>
    <row r="252" spans="3:17" x14ac:dyDescent="0.2">
      <c r="C252" s="338"/>
      <c r="D252" s="338"/>
      <c r="E252" s="345" t="s">
        <v>346</v>
      </c>
      <c r="F252" s="338"/>
      <c r="G252" s="338"/>
      <c r="H252" s="344"/>
      <c r="L252" t="s">
        <v>362</v>
      </c>
    </row>
    <row r="253" spans="3:17" x14ac:dyDescent="0.2">
      <c r="C253" s="338" t="s">
        <v>460</v>
      </c>
      <c r="D253" s="338"/>
      <c r="E253" s="338"/>
      <c r="F253" s="338"/>
      <c r="G253" s="338"/>
      <c r="H253" s="344">
        <v>6935.6</v>
      </c>
    </row>
    <row r="254" spans="3:17" x14ac:dyDescent="0.2">
      <c r="C254" s="338" t="s">
        <v>461</v>
      </c>
      <c r="D254" s="338"/>
      <c r="E254" s="338"/>
      <c r="F254" s="338"/>
      <c r="G254" s="338"/>
      <c r="H254" s="344">
        <v>1396.8718896749065</v>
      </c>
    </row>
    <row r="255" spans="3:17" x14ac:dyDescent="0.2">
      <c r="C255" s="295" t="s">
        <v>328</v>
      </c>
      <c r="D255" s="295"/>
      <c r="E255" s="295"/>
      <c r="F255" s="295"/>
      <c r="G255" s="295"/>
      <c r="H255" s="296">
        <v>8332.4718896749073</v>
      </c>
    </row>
    <row r="256" spans="3:17" x14ac:dyDescent="0.2">
      <c r="C256" s="338"/>
      <c r="D256" s="338"/>
      <c r="E256" s="338"/>
      <c r="F256" s="338"/>
      <c r="G256" s="338"/>
      <c r="H256" s="338"/>
    </row>
    <row r="257" spans="3:8" x14ac:dyDescent="0.2">
      <c r="C257" s="338" t="s">
        <v>283</v>
      </c>
      <c r="D257" s="338"/>
      <c r="E257" s="338"/>
      <c r="F257" s="338"/>
      <c r="G257" s="338"/>
      <c r="H257" s="338"/>
    </row>
    <row r="258" spans="3:8" x14ac:dyDescent="0.2">
      <c r="C258" s="338" t="s">
        <v>286</v>
      </c>
      <c r="D258" s="338"/>
      <c r="E258" s="338"/>
      <c r="F258" s="338"/>
      <c r="G258" s="338"/>
      <c r="H258" s="338"/>
    </row>
    <row r="259" spans="3:8" x14ac:dyDescent="0.2">
      <c r="C259" s="338" t="s">
        <v>464</v>
      </c>
      <c r="D259" s="338"/>
      <c r="E259" s="338"/>
      <c r="F259" s="338"/>
      <c r="G259" s="338"/>
      <c r="H259" s="338"/>
    </row>
    <row r="260" spans="3:8" x14ac:dyDescent="0.2">
      <c r="C260" s="338" t="s">
        <v>465</v>
      </c>
      <c r="D260" s="338"/>
      <c r="E260" s="338"/>
      <c r="F260" s="338"/>
      <c r="G260" s="338"/>
      <c r="H260" s="338"/>
    </row>
    <row r="261" spans="3:8" x14ac:dyDescent="0.2">
      <c r="C261" s="338" t="s">
        <v>234</v>
      </c>
      <c r="D261" s="338"/>
      <c r="E261" s="338"/>
      <c r="F261" s="338"/>
      <c r="G261" s="338"/>
      <c r="H261" s="338"/>
    </row>
    <row r="262" spans="3:8" x14ac:dyDescent="0.2">
      <c r="C262" s="338" t="s">
        <v>235</v>
      </c>
      <c r="D262" s="338"/>
      <c r="E262" s="338"/>
      <c r="F262" s="338"/>
      <c r="G262" s="338"/>
      <c r="H262" s="338"/>
    </row>
    <row r="263" spans="3:8" x14ac:dyDescent="0.2">
      <c r="C263" s="338"/>
      <c r="D263" s="338"/>
      <c r="E263" s="338"/>
      <c r="F263" s="338"/>
      <c r="G263" s="338"/>
      <c r="H263" s="338"/>
    </row>
    <row r="268" spans="3:8" x14ac:dyDescent="0.2">
      <c r="C268" s="338"/>
      <c r="D268" s="338"/>
      <c r="E268" s="338"/>
      <c r="F268" s="338"/>
      <c r="G268" s="338"/>
      <c r="H268" s="338"/>
    </row>
    <row r="269" spans="3:8" x14ac:dyDescent="0.2">
      <c r="C269" s="338"/>
      <c r="D269" s="338"/>
      <c r="E269" s="338"/>
      <c r="F269" s="338"/>
      <c r="G269" s="338"/>
      <c r="H269" s="338"/>
    </row>
    <row r="270" spans="3:8" x14ac:dyDescent="0.2">
      <c r="C270" s="338"/>
      <c r="D270" s="338"/>
      <c r="E270" s="338"/>
      <c r="F270" s="338"/>
      <c r="G270" s="338"/>
      <c r="H270" s="338"/>
    </row>
    <row r="271" spans="3:8" x14ac:dyDescent="0.2">
      <c r="C271" s="338"/>
      <c r="D271" s="338"/>
      <c r="E271" s="338"/>
      <c r="F271" s="338"/>
      <c r="G271" s="338"/>
      <c r="H271" s="338"/>
    </row>
    <row r="272" spans="3:8" x14ac:dyDescent="0.2">
      <c r="C272" s="338"/>
      <c r="D272" s="338"/>
      <c r="E272" s="338"/>
      <c r="F272" s="338"/>
      <c r="G272" s="338"/>
      <c r="H272" s="338"/>
    </row>
    <row r="273" spans="1:17" x14ac:dyDescent="0.2">
      <c r="C273" s="338"/>
      <c r="D273" s="338"/>
      <c r="E273" s="338"/>
      <c r="F273" s="338"/>
      <c r="G273" s="338"/>
      <c r="H273" s="338"/>
    </row>
    <row r="275" spans="1:17" x14ac:dyDescent="0.2">
      <c r="A275" s="270" t="s">
        <v>226</v>
      </c>
      <c r="B275" s="5"/>
      <c r="C275" s="5"/>
      <c r="D275" s="5"/>
      <c r="E275" s="5"/>
      <c r="F275" s="19"/>
      <c r="G275" s="19"/>
      <c r="J275" s="5"/>
      <c r="K275" s="5"/>
      <c r="L275" s="5"/>
      <c r="M275" s="5"/>
      <c r="N275" s="5"/>
      <c r="O275" s="5"/>
    </row>
    <row r="276" spans="1:17" x14ac:dyDescent="0.2">
      <c r="C276" s="394" t="s">
        <v>62</v>
      </c>
      <c r="D276" s="383"/>
      <c r="E276" s="383"/>
      <c r="F276" s="383"/>
      <c r="G276" s="383"/>
      <c r="H276" s="383"/>
      <c r="I276" s="383"/>
      <c r="J276" s="383"/>
    </row>
    <row r="277" spans="1:17" x14ac:dyDescent="0.2">
      <c r="C277" s="338" t="s">
        <v>468</v>
      </c>
      <c r="D277" s="338"/>
      <c r="E277" s="338"/>
      <c r="F277" s="338"/>
      <c r="G277" s="338"/>
      <c r="H277" s="338"/>
      <c r="J277" s="131" t="s">
        <v>294</v>
      </c>
      <c r="K277" s="131"/>
      <c r="L277" s="131"/>
      <c r="M277" s="275"/>
      <c r="N277" s="131"/>
      <c r="O277" s="131"/>
      <c r="P277" s="131"/>
      <c r="Q277" s="131"/>
    </row>
    <row r="278" spans="1:17" x14ac:dyDescent="0.2">
      <c r="C278" s="338" t="s">
        <v>63</v>
      </c>
      <c r="D278" s="338"/>
      <c r="E278" s="338"/>
      <c r="F278" s="338"/>
      <c r="G278" s="338"/>
      <c r="H278" s="338"/>
      <c r="J278" s="136"/>
      <c r="K278" s="136"/>
      <c r="L278" s="136"/>
      <c r="M278" s="136"/>
      <c r="N278" s="295"/>
      <c r="O278" s="136"/>
      <c r="P278" s="136"/>
      <c r="Q278" s="295"/>
    </row>
    <row r="279" spans="1:17" ht="13.5" x14ac:dyDescent="0.25">
      <c r="C279" s="295" t="s">
        <v>357</v>
      </c>
      <c r="D279" s="339"/>
      <c r="E279" s="339"/>
      <c r="F279" s="339"/>
      <c r="G279" s="339"/>
      <c r="H279" s="339"/>
      <c r="J279" s="275"/>
      <c r="K279" s="131"/>
      <c r="L279" s="131"/>
      <c r="M279" s="136" t="s">
        <v>342</v>
      </c>
      <c r="N279" s="136"/>
      <c r="O279" s="129" t="s">
        <v>485</v>
      </c>
      <c r="P279" s="295" t="s">
        <v>225</v>
      </c>
      <c r="Q279" s="136"/>
    </row>
    <row r="280" spans="1:17" x14ac:dyDescent="0.2">
      <c r="C280" s="338"/>
      <c r="D280" s="338"/>
      <c r="E280" s="295"/>
      <c r="F280" s="340" t="s">
        <v>345</v>
      </c>
      <c r="G280" s="295"/>
      <c r="H280" s="295"/>
      <c r="J280" s="129" t="s">
        <v>375</v>
      </c>
      <c r="K280" s="129" t="s">
        <v>563</v>
      </c>
      <c r="L280" s="129" t="s">
        <v>570</v>
      </c>
      <c r="M280" s="129" t="s">
        <v>545</v>
      </c>
      <c r="N280" s="129" t="s">
        <v>546</v>
      </c>
      <c r="O280" s="129" t="s">
        <v>531</v>
      </c>
      <c r="P280" s="131" t="s">
        <v>545</v>
      </c>
      <c r="Q280" s="131" t="s">
        <v>546</v>
      </c>
    </row>
    <row r="281" spans="1:17" ht="18.75" x14ac:dyDescent="0.25">
      <c r="C281" s="295" t="s">
        <v>532</v>
      </c>
      <c r="D281" s="295"/>
      <c r="E281" s="295" t="s">
        <v>390</v>
      </c>
      <c r="F281" s="295" t="s">
        <v>391</v>
      </c>
      <c r="G281" s="295" t="s">
        <v>392</v>
      </c>
      <c r="H281" s="314" t="s">
        <v>426</v>
      </c>
      <c r="J281" s="134">
        <v>2007</v>
      </c>
      <c r="K281" s="134" t="s">
        <v>416</v>
      </c>
      <c r="L281" s="134" t="s">
        <v>402</v>
      </c>
      <c r="M281" s="134" t="s">
        <v>305</v>
      </c>
      <c r="N281" s="134" t="s">
        <v>306</v>
      </c>
      <c r="O281" s="134" t="s">
        <v>376</v>
      </c>
      <c r="P281" s="136" t="s">
        <v>538</v>
      </c>
      <c r="Q281" s="136" t="s">
        <v>538</v>
      </c>
    </row>
    <row r="282" spans="1:17" x14ac:dyDescent="0.2">
      <c r="C282" s="275" t="s">
        <v>381</v>
      </c>
      <c r="D282" s="275"/>
      <c r="E282" s="341">
        <f>P282</f>
        <v>9564.6648874796028</v>
      </c>
      <c r="F282" s="341">
        <f>P283</f>
        <v>20342.410812133883</v>
      </c>
      <c r="G282" s="341">
        <f>P284</f>
        <v>7714.9341363769227</v>
      </c>
      <c r="H282" s="342">
        <f>SUM(E282:G282)</f>
        <v>37622.009835990408</v>
      </c>
      <c r="J282" s="384">
        <v>1.2</v>
      </c>
      <c r="K282" s="273">
        <v>2003</v>
      </c>
      <c r="L282" s="344">
        <f>Master!N47</f>
        <v>39257</v>
      </c>
      <c r="M282" s="392">
        <f>M$294*$L282*(EXP(M$295*L282))</f>
        <v>38214.136994508328</v>
      </c>
      <c r="N282" s="344">
        <f>N$294*$L282*(EXP(N$295*$L282))</f>
        <v>47514.728176961427</v>
      </c>
      <c r="O282" s="336">
        <f>Master!CR$70</f>
        <v>0.25029127018763031</v>
      </c>
      <c r="P282" s="283">
        <f>O282*M282</f>
        <v>9564.6648874796028</v>
      </c>
      <c r="Q282" s="283">
        <f>O282*N282</f>
        <v>11892.521668031664</v>
      </c>
    </row>
    <row r="283" spans="1:17" x14ac:dyDescent="0.2">
      <c r="C283" s="275" t="s">
        <v>288</v>
      </c>
      <c r="D283" s="275"/>
      <c r="E283" s="341">
        <f>Q282</f>
        <v>11892.521668031664</v>
      </c>
      <c r="F283" s="341">
        <f>Q283</f>
        <v>25346.501623315289</v>
      </c>
      <c r="G283" s="341">
        <f>Q284</f>
        <v>9613.8246144904861</v>
      </c>
      <c r="H283" s="342">
        <f>SUM(E283:G283)</f>
        <v>46852.847905837436</v>
      </c>
      <c r="J283" s="385">
        <v>1.3</v>
      </c>
      <c r="K283" s="273">
        <v>2002</v>
      </c>
      <c r="L283" s="344">
        <f>Master!N46</f>
        <v>28535</v>
      </c>
      <c r="M283" s="344">
        <f>M$294*$L283*(EXP(M$295*$L283))</f>
        <v>37741.644798404071</v>
      </c>
      <c r="N283" s="344">
        <f>N$294*$L283*(EXP(N$295*$L283))</f>
        <v>47025.825502389911</v>
      </c>
      <c r="O283" s="336">
        <f>Master!CS$70</f>
        <v>0.53899110440979181</v>
      </c>
      <c r="P283" s="283">
        <f>O283*M283</f>
        <v>20342.410812133883</v>
      </c>
      <c r="Q283" s="283">
        <f>O283*N283</f>
        <v>25346.501623315289</v>
      </c>
    </row>
    <row r="284" spans="1:17" x14ac:dyDescent="0.2">
      <c r="E284" s="5"/>
      <c r="F284" s="5"/>
      <c r="G284" s="5"/>
      <c r="H284" s="5"/>
      <c r="J284" s="385">
        <v>1.4</v>
      </c>
      <c r="K284" s="343">
        <v>2001</v>
      </c>
      <c r="L284" s="344">
        <f>Master!N45</f>
        <v>27966</v>
      </c>
      <c r="M284" s="344">
        <f>M$294*$L284*(EXP(M$295*$L284))</f>
        <v>37595.738611313631</v>
      </c>
      <c r="N284" s="344">
        <f>N$294*$L284*(EXP(N$295*$L284))</f>
        <v>46849.244708022328</v>
      </c>
      <c r="O284" s="337">
        <f>Master!CT$70</f>
        <v>0.20520767569267223</v>
      </c>
      <c r="P284" s="296">
        <f>O284*M284</f>
        <v>7714.9341363769227</v>
      </c>
      <c r="Q284" s="296">
        <f>O284*N284</f>
        <v>9613.8246144904861</v>
      </c>
    </row>
    <row r="285" spans="1:17" x14ac:dyDescent="0.2">
      <c r="C285" s="275" t="s">
        <v>470</v>
      </c>
      <c r="D285" s="275"/>
      <c r="E285" s="343" t="s">
        <v>356</v>
      </c>
      <c r="F285" s="341"/>
      <c r="G285" s="341"/>
      <c r="H285" s="342" t="s">
        <v>356</v>
      </c>
      <c r="J285" s="134"/>
      <c r="K285" s="136"/>
      <c r="L285" s="136"/>
      <c r="M285" s="313"/>
      <c r="N285" s="134" t="s">
        <v>426</v>
      </c>
      <c r="O285" s="337">
        <f>SUM(O282:O284)+0.01</f>
        <v>1.0044900502900944</v>
      </c>
      <c r="P285" s="296">
        <f>SUM(P282:P284)</f>
        <v>37622.009835990408</v>
      </c>
      <c r="Q285" s="296">
        <f>SUM(Q282:Q284)</f>
        <v>46852.847905837436</v>
      </c>
    </row>
    <row r="286" spans="1:17" x14ac:dyDescent="0.2">
      <c r="C286" s="376" t="s">
        <v>370</v>
      </c>
      <c r="D286" s="275"/>
      <c r="E286" s="343" t="s">
        <v>356</v>
      </c>
      <c r="F286" s="342" t="e">
        <f>#REF!</f>
        <v>#REF!</v>
      </c>
      <c r="G286" s="342" t="e">
        <f>#REF!</f>
        <v>#REF!</v>
      </c>
      <c r="H286" s="342" t="s">
        <v>356</v>
      </c>
      <c r="J286" s="131" t="s">
        <v>236</v>
      </c>
      <c r="K286" s="282"/>
      <c r="L286" s="273"/>
      <c r="M286" s="282"/>
      <c r="N286" s="282"/>
      <c r="O286" s="283"/>
      <c r="P286" s="282"/>
      <c r="Q286" s="275"/>
    </row>
    <row r="287" spans="1:17" x14ac:dyDescent="0.2">
      <c r="C287" s="346" t="s">
        <v>371</v>
      </c>
      <c r="D287" s="338"/>
      <c r="E287" s="343" t="s">
        <v>356</v>
      </c>
      <c r="F287" s="342" t="e">
        <f>#REF!</f>
        <v>#REF!</v>
      </c>
      <c r="G287" s="342" t="e">
        <f>#REF!</f>
        <v>#REF!</v>
      </c>
      <c r="H287" s="342" t="s">
        <v>356</v>
      </c>
      <c r="J287" s="131" t="s">
        <v>237</v>
      </c>
      <c r="K287" s="282"/>
      <c r="L287" s="275"/>
      <c r="M287" s="275"/>
      <c r="N287" s="275"/>
      <c r="O287" s="275"/>
      <c r="P287" s="275"/>
      <c r="Q287" s="275"/>
    </row>
    <row r="288" spans="1:17" x14ac:dyDescent="0.2">
      <c r="C288" s="346"/>
      <c r="D288" s="338"/>
      <c r="E288" s="343"/>
      <c r="F288" s="342"/>
      <c r="G288" s="342"/>
      <c r="H288" s="342"/>
      <c r="J288" s="133"/>
      <c r="K288" s="282"/>
      <c r="L288" s="275"/>
      <c r="M288" s="275"/>
      <c r="N288" s="275"/>
      <c r="O288" s="275"/>
      <c r="P288" s="275"/>
      <c r="Q288" s="275"/>
    </row>
    <row r="289" spans="3:17" x14ac:dyDescent="0.2">
      <c r="C289" s="275" t="s">
        <v>456</v>
      </c>
      <c r="D289" s="275"/>
      <c r="E289" s="341">
        <f>E282</f>
        <v>9564.6648874796028</v>
      </c>
      <c r="F289" s="341">
        <f>F285</f>
        <v>0</v>
      </c>
      <c r="G289" s="341">
        <f>G285</f>
        <v>0</v>
      </c>
      <c r="H289" s="342">
        <f>SUM(E289:G289)</f>
        <v>9564.6648874796028</v>
      </c>
      <c r="J289" s="133"/>
      <c r="K289" s="282"/>
      <c r="L289" s="275"/>
      <c r="M289" s="275"/>
      <c r="N289" s="275"/>
      <c r="O289" s="275"/>
      <c r="P289" s="275"/>
      <c r="Q289" s="275"/>
    </row>
    <row r="290" spans="3:17" x14ac:dyDescent="0.2">
      <c r="E290" s="5"/>
      <c r="F290" s="5"/>
      <c r="G290" s="5"/>
      <c r="H290" s="5"/>
      <c r="J290" s="133"/>
      <c r="K290" s="282"/>
      <c r="L290" s="275"/>
      <c r="M290" s="275"/>
      <c r="N290" s="275"/>
      <c r="O290" s="275"/>
      <c r="P290" s="275"/>
      <c r="Q290" s="275"/>
    </row>
    <row r="291" spans="3:17" x14ac:dyDescent="0.2">
      <c r="C291" s="338" t="s">
        <v>559</v>
      </c>
      <c r="D291" s="338"/>
      <c r="E291" s="342">
        <f>MIN(E282:E287)</f>
        <v>9564.6648874796028</v>
      </c>
      <c r="F291" s="342" t="e">
        <f>MIN(F282:F287)</f>
        <v>#REF!</v>
      </c>
      <c r="G291" s="342" t="e">
        <f>MIN(G282:G287)</f>
        <v>#REF!</v>
      </c>
      <c r="H291" s="342" t="e">
        <f>SUM(E291:G291)</f>
        <v>#REF!</v>
      </c>
    </row>
    <row r="292" spans="3:17" x14ac:dyDescent="0.2">
      <c r="C292" s="338" t="s">
        <v>560</v>
      </c>
      <c r="D292" s="338"/>
      <c r="E292" s="342">
        <f>E283</f>
        <v>11892.521668031664</v>
      </c>
      <c r="F292" s="342" t="e">
        <f>MAX(F282:F287)</f>
        <v>#REF!</v>
      </c>
      <c r="G292" s="342" t="e">
        <f>MAX(G282:G287)</f>
        <v>#REF!</v>
      </c>
      <c r="H292" s="342" t="e">
        <f>SUM(E292:G292)</f>
        <v>#REF!</v>
      </c>
      <c r="Q292" t="s">
        <v>253</v>
      </c>
    </row>
    <row r="293" spans="3:17" x14ac:dyDescent="0.2">
      <c r="C293" s="275"/>
      <c r="D293" s="275"/>
      <c r="E293" s="283"/>
      <c r="F293" s="283"/>
      <c r="G293" s="283"/>
      <c r="H293" s="283"/>
      <c r="L293" t="s">
        <v>366</v>
      </c>
      <c r="M293">
        <v>1.0954882453105264</v>
      </c>
      <c r="N293">
        <v>1.3210061740569177</v>
      </c>
      <c r="Q293" s="87">
        <f>(Q285-P285)/Q285</f>
        <v>0.19701765169960886</v>
      </c>
    </row>
    <row r="294" spans="3:17" x14ac:dyDescent="0.2">
      <c r="C294" s="275"/>
      <c r="D294" s="273" t="s">
        <v>459</v>
      </c>
      <c r="E294" s="281"/>
      <c r="F294" s="275"/>
      <c r="G294" s="275"/>
      <c r="H294" s="275"/>
      <c r="L294" t="s">
        <v>533</v>
      </c>
      <c r="M294">
        <v>2.9906424941647192</v>
      </c>
      <c r="N294">
        <v>3.7471898062645974</v>
      </c>
      <c r="Q294" t="s">
        <v>254</v>
      </c>
    </row>
    <row r="295" spans="3:17" x14ac:dyDescent="0.2">
      <c r="C295" s="275" t="s">
        <v>456</v>
      </c>
      <c r="D295" s="338"/>
      <c r="E295" s="338"/>
      <c r="F295" s="338"/>
      <c r="G295" s="338"/>
      <c r="H295" s="283">
        <f>H289-13000</f>
        <v>-3435.3351125203972</v>
      </c>
      <c r="L295" t="s">
        <v>534</v>
      </c>
      <c r="M295">
        <v>-2.859139750989414E-5</v>
      </c>
      <c r="N295">
        <v>-2.8787126282441238E-5</v>
      </c>
    </row>
    <row r="296" spans="3:17" x14ac:dyDescent="0.2">
      <c r="C296" s="275" t="s">
        <v>285</v>
      </c>
      <c r="D296" s="275"/>
      <c r="E296" s="275"/>
      <c r="F296" s="275"/>
      <c r="G296" s="275"/>
      <c r="H296" s="283" t="e">
        <f>H291-13000</f>
        <v>#REF!</v>
      </c>
    </row>
    <row r="297" spans="3:17" x14ac:dyDescent="0.2">
      <c r="C297" s="338" t="s">
        <v>386</v>
      </c>
      <c r="D297" s="338"/>
      <c r="E297" s="338"/>
      <c r="F297" s="338"/>
      <c r="G297" s="338"/>
      <c r="H297" s="283" t="e">
        <f>H292-13000</f>
        <v>#REF!</v>
      </c>
      <c r="L297" t="s">
        <v>359</v>
      </c>
      <c r="O297" t="s">
        <v>360</v>
      </c>
    </row>
    <row r="298" spans="3:17" x14ac:dyDescent="0.2">
      <c r="C298" s="338"/>
      <c r="D298" s="338"/>
      <c r="E298" s="338"/>
      <c r="F298" s="338"/>
      <c r="G298" s="338"/>
      <c r="H298" s="338"/>
      <c r="L298" t="s">
        <v>361</v>
      </c>
    </row>
    <row r="299" spans="3:17" x14ac:dyDescent="0.2">
      <c r="C299" s="345"/>
      <c r="D299" s="345"/>
      <c r="E299" s="338" t="s">
        <v>346</v>
      </c>
      <c r="F299" s="338"/>
      <c r="G299" s="346"/>
      <c r="H299" s="346"/>
      <c r="L299" t="s">
        <v>362</v>
      </c>
    </row>
    <row r="300" spans="3:17" x14ac:dyDescent="0.2">
      <c r="C300" s="275" t="s">
        <v>460</v>
      </c>
      <c r="D300" s="275"/>
      <c r="E300" s="338"/>
      <c r="F300" s="338"/>
      <c r="G300" s="347"/>
      <c r="H300" s="342">
        <f>Master!AK50</f>
        <v>7753</v>
      </c>
    </row>
    <row r="301" spans="3:17" x14ac:dyDescent="0.2">
      <c r="C301" s="338" t="s">
        <v>461</v>
      </c>
      <c r="D301" s="338"/>
      <c r="E301" s="338"/>
      <c r="F301" s="338"/>
      <c r="G301" s="347"/>
      <c r="H301" s="298">
        <f>Master!BA63</f>
        <v>0</v>
      </c>
      <c r="J301">
        <v>37395</v>
      </c>
      <c r="K301" s="109" t="s">
        <v>255</v>
      </c>
      <c r="L301" s="1"/>
      <c r="M301" s="1"/>
      <c r="N301" s="1"/>
    </row>
    <row r="302" spans="3:17" x14ac:dyDescent="0.2">
      <c r="C302" s="295" t="s">
        <v>328</v>
      </c>
      <c r="D302" s="295"/>
      <c r="E302" s="295"/>
      <c r="F302" s="295"/>
      <c r="G302" s="348"/>
      <c r="H302" s="298">
        <f>SUM(H300:H301)</f>
        <v>7753</v>
      </c>
      <c r="J302" s="164">
        <f>H242</f>
        <v>49071</v>
      </c>
      <c r="K302" s="393" t="s">
        <v>256</v>
      </c>
      <c r="L302" s="380"/>
      <c r="M302" s="380"/>
      <c r="N302" s="1"/>
    </row>
    <row r="303" spans="3:17" x14ac:dyDescent="0.2">
      <c r="C303" s="275"/>
      <c r="D303" s="338"/>
      <c r="E303" s="338"/>
      <c r="F303" s="338"/>
      <c r="G303" s="338"/>
      <c r="H303" s="338"/>
      <c r="J303" s="41">
        <f>J302-J301</f>
        <v>11676</v>
      </c>
      <c r="K303" s="380"/>
      <c r="L303" s="380"/>
      <c r="M303" s="380"/>
      <c r="N303" s="1"/>
    </row>
    <row r="304" spans="3:17" x14ac:dyDescent="0.2">
      <c r="C304" s="338" t="s">
        <v>283</v>
      </c>
      <c r="D304" s="338"/>
      <c r="E304" s="338"/>
      <c r="F304" s="338"/>
      <c r="G304" s="338"/>
      <c r="H304" s="338"/>
      <c r="K304" s="380"/>
      <c r="L304" s="380"/>
      <c r="M304" s="380"/>
      <c r="N304" s="1"/>
    </row>
    <row r="305" spans="1:24" x14ac:dyDescent="0.2">
      <c r="C305" s="275" t="s">
        <v>286</v>
      </c>
      <c r="D305" s="338"/>
      <c r="E305" s="338"/>
      <c r="F305" s="338"/>
      <c r="G305" s="338"/>
      <c r="H305" s="338"/>
      <c r="K305" s="1"/>
      <c r="L305" s="1"/>
      <c r="M305" s="1"/>
      <c r="N305" s="1"/>
    </row>
    <row r="306" spans="1:24" x14ac:dyDescent="0.2">
      <c r="C306" s="275" t="s">
        <v>464</v>
      </c>
      <c r="D306" s="338"/>
      <c r="E306" s="338"/>
      <c r="F306" s="338"/>
      <c r="G306" s="338"/>
      <c r="H306" s="338"/>
    </row>
    <row r="307" spans="1:24" x14ac:dyDescent="0.2">
      <c r="C307" s="275" t="s">
        <v>465</v>
      </c>
      <c r="D307" s="338"/>
      <c r="E307" s="338"/>
      <c r="F307" s="338"/>
      <c r="G307" s="338"/>
      <c r="H307" s="338"/>
    </row>
    <row r="308" spans="1:24" x14ac:dyDescent="0.2">
      <c r="C308" s="338" t="s">
        <v>238</v>
      </c>
      <c r="D308" s="338"/>
      <c r="E308" s="338"/>
      <c r="F308" s="338"/>
      <c r="G308" s="338"/>
      <c r="H308" s="338"/>
    </row>
    <row r="309" spans="1:24" x14ac:dyDescent="0.2">
      <c r="C309" s="338" t="s">
        <v>64</v>
      </c>
      <c r="D309" s="338"/>
      <c r="E309" s="338"/>
      <c r="F309" s="338"/>
      <c r="G309" s="338"/>
      <c r="H309" s="338"/>
    </row>
    <row r="312" spans="1:24" x14ac:dyDescent="0.2">
      <c r="A312" s="270" t="s">
        <v>58</v>
      </c>
      <c r="B312" s="5"/>
      <c r="C312" s="5"/>
      <c r="D312" s="5"/>
      <c r="E312" s="5"/>
      <c r="F312" s="270"/>
      <c r="G312" s="270"/>
      <c r="H312" s="5"/>
      <c r="J312" s="5"/>
      <c r="K312" s="5"/>
      <c r="L312" s="5"/>
      <c r="M312" s="5"/>
      <c r="N312" s="5"/>
      <c r="O312" s="5"/>
    </row>
    <row r="313" spans="1:24" x14ac:dyDescent="0.2">
      <c r="C313" s="394" t="s">
        <v>243</v>
      </c>
      <c r="D313" s="383"/>
      <c r="E313" s="383"/>
      <c r="F313" s="383"/>
      <c r="G313" s="383"/>
      <c r="H313" s="383"/>
      <c r="I313" s="383"/>
      <c r="J313" s="383"/>
    </row>
    <row r="314" spans="1:24" x14ac:dyDescent="0.2">
      <c r="C314" s="338" t="s">
        <v>468</v>
      </c>
      <c r="D314" s="338"/>
      <c r="E314" s="338"/>
      <c r="F314" s="338"/>
      <c r="G314" s="338"/>
      <c r="H314" s="338"/>
      <c r="J314" s="131" t="s">
        <v>59</v>
      </c>
      <c r="K314" s="131"/>
      <c r="L314" s="131"/>
      <c r="M314" s="275"/>
      <c r="N314" s="131"/>
      <c r="O314" s="131"/>
      <c r="P314" s="131"/>
      <c r="Q314" s="131"/>
    </row>
    <row r="315" spans="1:24" x14ac:dyDescent="0.2">
      <c r="C315" s="338" t="s">
        <v>60</v>
      </c>
      <c r="D315" s="338"/>
      <c r="E315" s="338"/>
      <c r="F315" s="338"/>
      <c r="G315" s="338"/>
      <c r="H315" s="338"/>
      <c r="J315" s="136"/>
      <c r="K315" s="136"/>
      <c r="L315" s="136"/>
      <c r="M315" s="136"/>
      <c r="N315" s="295"/>
      <c r="O315" s="136"/>
      <c r="P315" s="136"/>
      <c r="Q315" s="295"/>
      <c r="T315" t="s">
        <v>278</v>
      </c>
    </row>
    <row r="316" spans="1:24" ht="13.5" x14ac:dyDescent="0.25">
      <c r="C316" s="295" t="s">
        <v>357</v>
      </c>
      <c r="D316" s="339"/>
      <c r="E316" s="339"/>
      <c r="F316" s="339"/>
      <c r="G316" s="339"/>
      <c r="H316" s="339"/>
      <c r="J316" s="275"/>
      <c r="K316" s="131"/>
      <c r="L316" s="131"/>
      <c r="M316" s="157" t="s">
        <v>342</v>
      </c>
      <c r="N316" s="136"/>
      <c r="O316" s="129" t="s">
        <v>485</v>
      </c>
      <c r="P316" s="295" t="s">
        <v>61</v>
      </c>
      <c r="Q316" s="136"/>
      <c r="T316" t="s">
        <v>279</v>
      </c>
    </row>
    <row r="317" spans="1:24" x14ac:dyDescent="0.2">
      <c r="C317" s="338"/>
      <c r="D317" s="338"/>
      <c r="E317" s="295"/>
      <c r="F317" s="340" t="s">
        <v>345</v>
      </c>
      <c r="G317" s="295"/>
      <c r="H317" s="295"/>
      <c r="J317" s="129" t="s">
        <v>375</v>
      </c>
      <c r="K317" s="129" t="s">
        <v>563</v>
      </c>
      <c r="L317" s="129" t="s">
        <v>570</v>
      </c>
      <c r="M317" s="129" t="s">
        <v>545</v>
      </c>
      <c r="N317" s="129" t="s">
        <v>546</v>
      </c>
      <c r="O317" s="129" t="s">
        <v>531</v>
      </c>
      <c r="P317" s="131" t="s">
        <v>545</v>
      </c>
      <c r="Q317" s="131" t="s">
        <v>546</v>
      </c>
    </row>
    <row r="318" spans="1:24" ht="18.75" x14ac:dyDescent="0.25">
      <c r="C318" s="295" t="s">
        <v>532</v>
      </c>
      <c r="D318" s="295"/>
      <c r="E318" s="295" t="s">
        <v>390</v>
      </c>
      <c r="F318" s="295" t="s">
        <v>391</v>
      </c>
      <c r="G318" s="295" t="s">
        <v>392</v>
      </c>
      <c r="H318" s="314" t="s">
        <v>426</v>
      </c>
      <c r="J318" s="134">
        <v>2008</v>
      </c>
      <c r="K318" s="134" t="s">
        <v>416</v>
      </c>
      <c r="L318" s="134" t="s">
        <v>402</v>
      </c>
      <c r="M318" s="134" t="s">
        <v>305</v>
      </c>
      <c r="N318" s="134" t="s">
        <v>306</v>
      </c>
      <c r="O318" s="134" t="s">
        <v>376</v>
      </c>
      <c r="P318" s="136" t="s">
        <v>538</v>
      </c>
      <c r="Q318" s="136" t="s">
        <v>538</v>
      </c>
    </row>
    <row r="319" spans="1:24" x14ac:dyDescent="0.2">
      <c r="C319" s="275" t="s">
        <v>381</v>
      </c>
      <c r="D319" s="275"/>
      <c r="E319" s="341">
        <f>P319</f>
        <v>8558.1741144787229</v>
      </c>
      <c r="F319" s="341">
        <f>P320</f>
        <v>21140.619597270907</v>
      </c>
      <c r="G319" s="341">
        <f>P321</f>
        <v>7981.6929331344663</v>
      </c>
      <c r="H319" s="342">
        <f>SUM(E319:G319)</f>
        <v>37680.486644884098</v>
      </c>
      <c r="J319" s="384">
        <v>1.2</v>
      </c>
      <c r="K319" s="273">
        <v>2004</v>
      </c>
      <c r="L319" s="344">
        <f>Master!N48</f>
        <v>56659</v>
      </c>
      <c r="M319" s="392">
        <f>M331*L319*(EXP(M332*L319))</f>
        <v>34192.859016069982</v>
      </c>
      <c r="N319" s="392">
        <f>N331*L319*(EXP(N332*L319))</f>
        <v>41919.275403958178</v>
      </c>
      <c r="O319" s="336">
        <f>Master!CR$70</f>
        <v>0.25029127018763031</v>
      </c>
      <c r="P319" s="283">
        <f>O319*M319</f>
        <v>8558.1741144787229</v>
      </c>
      <c r="Q319" s="283">
        <f>O319*N319</f>
        <v>10492.028686201782</v>
      </c>
      <c r="U319" s="11">
        <v>1.2</v>
      </c>
      <c r="V319" s="11">
        <v>1.3</v>
      </c>
      <c r="W319" s="11">
        <v>1.4</v>
      </c>
      <c r="X319" s="11" t="s">
        <v>426</v>
      </c>
    </row>
    <row r="320" spans="1:24" ht="15" x14ac:dyDescent="0.25">
      <c r="C320" s="275" t="s">
        <v>288</v>
      </c>
      <c r="D320" s="275"/>
      <c r="E320" s="341">
        <f>Q319</f>
        <v>10492.028686201782</v>
      </c>
      <c r="F320" s="341">
        <f>Q320</f>
        <v>25949.944455186564</v>
      </c>
      <c r="G320" s="341">
        <f>Q321</f>
        <v>9804.9792289203469</v>
      </c>
      <c r="H320" s="342">
        <f>SUM(E320:G320)</f>
        <v>46246.952370308689</v>
      </c>
      <c r="J320" s="385">
        <v>1.3</v>
      </c>
      <c r="K320" s="273">
        <v>2003</v>
      </c>
      <c r="L320" s="344">
        <f>Master!N47</f>
        <v>39257</v>
      </c>
      <c r="M320" s="392">
        <f>M331*L320*(EXP(M332*L320))</f>
        <v>39222.576076502024</v>
      </c>
      <c r="N320" s="392">
        <f>N331*L320*(EXP(N332*L320))</f>
        <v>48145.40396469507</v>
      </c>
      <c r="O320" s="336">
        <f>Master!CS$70</f>
        <v>0.53899110440979181</v>
      </c>
      <c r="P320" s="283">
        <f>O320*M320</f>
        <v>21140.619597270907</v>
      </c>
      <c r="Q320" s="283">
        <f>O320*N320</f>
        <v>25949.944455186564</v>
      </c>
      <c r="T320" t="s">
        <v>280</v>
      </c>
      <c r="U320" s="395">
        <v>612</v>
      </c>
      <c r="V320" s="395">
        <v>4809</v>
      </c>
      <c r="W320" s="395">
        <v>1341</v>
      </c>
      <c r="X320" s="395">
        <f>SUM(U320:W320)</f>
        <v>6762</v>
      </c>
    </row>
    <row r="321" spans="3:24" ht="15" x14ac:dyDescent="0.25">
      <c r="C321" s="5"/>
      <c r="D321" s="5"/>
      <c r="E321" s="5"/>
      <c r="F321" s="5"/>
      <c r="G321" s="5"/>
      <c r="H321" s="5"/>
      <c r="J321" s="385">
        <v>1.4</v>
      </c>
      <c r="K321" s="343">
        <v>2002</v>
      </c>
      <c r="L321" s="344">
        <f>Master!N46</f>
        <v>28535</v>
      </c>
      <c r="M321" s="392">
        <f>M331*L321*(EXP(M332*L321))</f>
        <v>38895.684121914572</v>
      </c>
      <c r="N321" s="392">
        <f>N331*L321*(EXP(N332*L321))</f>
        <v>47780.762565649355</v>
      </c>
      <c r="O321" s="337">
        <f>Master!CT$70</f>
        <v>0.20520767569267223</v>
      </c>
      <c r="P321" s="296">
        <f>O321*M321</f>
        <v>7981.6929331344663</v>
      </c>
      <c r="Q321" s="296">
        <f>O321*N321</f>
        <v>9804.9792289203469</v>
      </c>
      <c r="T321" t="s">
        <v>433</v>
      </c>
      <c r="U321" s="395">
        <v>62</v>
      </c>
      <c r="V321" s="395">
        <v>485</v>
      </c>
      <c r="W321" s="395">
        <v>135</v>
      </c>
      <c r="X321" s="395">
        <f>SUM(U321:W321)</f>
        <v>682</v>
      </c>
    </row>
    <row r="322" spans="3:24" ht="15" x14ac:dyDescent="0.25">
      <c r="C322" s="275" t="s">
        <v>470</v>
      </c>
      <c r="D322" s="275"/>
      <c r="E322" s="343" t="s">
        <v>356</v>
      </c>
      <c r="F322" s="341" t="e">
        <f>#REF!</f>
        <v>#REF!</v>
      </c>
      <c r="G322" s="341" t="e">
        <f>#REF!</f>
        <v>#REF!</v>
      </c>
      <c r="H322" s="342" t="s">
        <v>356</v>
      </c>
      <c r="J322" s="134"/>
      <c r="K322" s="136"/>
      <c r="L322" s="136"/>
      <c r="M322" s="313"/>
      <c r="N322" s="134" t="s">
        <v>426</v>
      </c>
      <c r="O322" s="337">
        <f>SUM(O319:O321)+0.01</f>
        <v>1.0044900502900944</v>
      </c>
      <c r="P322" s="296">
        <f>SUM(P319:P321)</f>
        <v>37680.486644884098</v>
      </c>
      <c r="Q322" s="296">
        <f>SUM(Q319:Q321)</f>
        <v>46246.952370308689</v>
      </c>
      <c r="U322" s="395"/>
      <c r="V322" s="395"/>
      <c r="W322" s="395"/>
      <c r="X322" s="395">
        <f>SUM(X320:X321)</f>
        <v>7444</v>
      </c>
    </row>
    <row r="323" spans="3:24" ht="15" x14ac:dyDescent="0.25">
      <c r="C323" s="376" t="s">
        <v>370</v>
      </c>
      <c r="D323" s="275"/>
      <c r="E323" s="343" t="s">
        <v>356</v>
      </c>
      <c r="F323" s="342">
        <v>0</v>
      </c>
      <c r="G323" s="342" t="e">
        <f>#REF!</f>
        <v>#REF!</v>
      </c>
      <c r="H323" s="342" t="s">
        <v>356</v>
      </c>
      <c r="J323" s="131" t="s">
        <v>274</v>
      </c>
      <c r="K323" s="282"/>
      <c r="L323" s="273"/>
      <c r="M323" s="282"/>
      <c r="N323" s="282"/>
      <c r="O323" s="283"/>
      <c r="P323" s="282"/>
      <c r="Q323" s="275"/>
      <c r="T323" t="s">
        <v>281</v>
      </c>
      <c r="U323" s="395">
        <v>1593</v>
      </c>
      <c r="V323" s="395">
        <v>12516</v>
      </c>
      <c r="W323" s="395">
        <v>3489</v>
      </c>
      <c r="X323" s="395">
        <f>SUM(U323:W323)</f>
        <v>17598</v>
      </c>
    </row>
    <row r="324" spans="3:24" ht="15" x14ac:dyDescent="0.25">
      <c r="C324" s="346" t="s">
        <v>371</v>
      </c>
      <c r="D324" s="338"/>
      <c r="E324" s="343" t="s">
        <v>356</v>
      </c>
      <c r="F324" s="342" t="e">
        <f>#REF!</f>
        <v>#REF!</v>
      </c>
      <c r="G324" s="342" t="e">
        <f>#REF!</f>
        <v>#REF!</v>
      </c>
      <c r="H324" s="342" t="s">
        <v>356</v>
      </c>
      <c r="J324" s="131" t="s">
        <v>275</v>
      </c>
      <c r="K324" s="282"/>
      <c r="L324" s="275"/>
      <c r="M324" s="275"/>
      <c r="N324" s="275"/>
      <c r="O324" s="275"/>
      <c r="P324" s="275"/>
      <c r="Q324" s="275"/>
      <c r="T324" t="s">
        <v>282</v>
      </c>
      <c r="U324" s="395">
        <f>SUM(U320:U323)</f>
        <v>2267</v>
      </c>
      <c r="V324" s="395">
        <f>SUM(V320:V323)</f>
        <v>17810</v>
      </c>
      <c r="W324" s="395">
        <f>SUM(W320:W323)</f>
        <v>4965</v>
      </c>
      <c r="X324" s="395">
        <f>SUM(X322:X323)</f>
        <v>25042</v>
      </c>
    </row>
    <row r="325" spans="3:24" x14ac:dyDescent="0.2">
      <c r="C325" s="346"/>
      <c r="D325" s="338"/>
      <c r="E325" s="343"/>
      <c r="F325" s="342"/>
      <c r="G325" s="342"/>
      <c r="H325" s="342"/>
      <c r="J325" s="133"/>
      <c r="K325" s="282"/>
      <c r="L325" s="275"/>
      <c r="M325" s="275"/>
      <c r="N325" s="275"/>
      <c r="O325" s="275"/>
      <c r="P325" s="275"/>
      <c r="Q325" s="275"/>
    </row>
    <row r="326" spans="3:24" x14ac:dyDescent="0.2">
      <c r="C326" s="275" t="s">
        <v>456</v>
      </c>
      <c r="D326" s="275"/>
      <c r="E326" s="341">
        <f>E319</f>
        <v>8558.1741144787229</v>
      </c>
      <c r="F326" s="341" t="e">
        <f>F322</f>
        <v>#REF!</v>
      </c>
      <c r="G326" s="341" t="e">
        <f>G322</f>
        <v>#REF!</v>
      </c>
      <c r="H326" s="342" t="e">
        <f>SUM(E326:G326)</f>
        <v>#REF!</v>
      </c>
      <c r="J326" s="133"/>
      <c r="K326" s="282"/>
      <c r="L326" s="275"/>
      <c r="M326" s="275"/>
      <c r="N326" s="275"/>
      <c r="O326" s="275"/>
      <c r="P326" s="275"/>
      <c r="Q326" s="275"/>
    </row>
    <row r="327" spans="3:24" x14ac:dyDescent="0.2">
      <c r="C327" s="5"/>
      <c r="D327" s="5"/>
      <c r="E327" s="5"/>
      <c r="F327" s="5"/>
      <c r="G327" s="5"/>
      <c r="H327" s="5"/>
      <c r="J327" s="133"/>
      <c r="K327" s="282"/>
      <c r="L327" s="275"/>
      <c r="M327" s="275"/>
      <c r="N327" s="275"/>
      <c r="O327" s="275"/>
      <c r="P327" s="275"/>
      <c r="Q327" s="275"/>
    </row>
    <row r="328" spans="3:24" x14ac:dyDescent="0.2">
      <c r="C328" s="338" t="s">
        <v>559</v>
      </c>
      <c r="D328" s="338"/>
      <c r="E328" s="342">
        <f>MIN(E319:E324)</f>
        <v>8558.1741144787229</v>
      </c>
      <c r="F328" s="342" t="e">
        <f>MIN(F319:F324)</f>
        <v>#REF!</v>
      </c>
      <c r="G328" s="342" t="e">
        <f>MIN(G319:G324)</f>
        <v>#REF!</v>
      </c>
      <c r="H328" s="342" t="e">
        <f>SUM(E328:G328)</f>
        <v>#REF!</v>
      </c>
    </row>
    <row r="329" spans="3:24" x14ac:dyDescent="0.2">
      <c r="C329" s="338" t="s">
        <v>560</v>
      </c>
      <c r="D329" s="338"/>
      <c r="E329" s="342">
        <f>E320</f>
        <v>10492.028686201782</v>
      </c>
      <c r="F329" s="342" t="e">
        <f>MAX(F319:F324)</f>
        <v>#REF!</v>
      </c>
      <c r="G329" s="342" t="e">
        <f>MAX(G319:G324)</f>
        <v>#REF!</v>
      </c>
      <c r="H329" s="342" t="e">
        <f>SUM(E329:G329)</f>
        <v>#REF!</v>
      </c>
      <c r="Q329" t="s">
        <v>253</v>
      </c>
    </row>
    <row r="330" spans="3:24" x14ac:dyDescent="0.2">
      <c r="C330" s="275"/>
      <c r="D330" s="275"/>
      <c r="E330" s="283"/>
      <c r="F330" s="283"/>
      <c r="G330" s="283"/>
      <c r="H330" s="283"/>
      <c r="L330" t="s">
        <v>366</v>
      </c>
      <c r="M330">
        <v>1.1364449700116315</v>
      </c>
      <c r="N330">
        <v>1.3442250340321347</v>
      </c>
      <c r="Q330" s="87">
        <f>(Q322-P322)/Q322</f>
        <v>0.18523308642764541</v>
      </c>
    </row>
    <row r="331" spans="3:24" x14ac:dyDescent="0.2">
      <c r="C331" s="275"/>
      <c r="D331" s="273" t="s">
        <v>459</v>
      </c>
      <c r="E331" s="281"/>
      <c r="F331" s="275"/>
      <c r="G331" s="275"/>
      <c r="H331" s="275"/>
      <c r="L331" t="s">
        <v>533</v>
      </c>
      <c r="M331">
        <v>3.1156723449098305</v>
      </c>
      <c r="N331">
        <v>3.8352132289091543</v>
      </c>
      <c r="Q331" t="s">
        <v>254</v>
      </c>
    </row>
    <row r="332" spans="3:24" x14ac:dyDescent="0.2">
      <c r="C332" s="275" t="s">
        <v>456</v>
      </c>
      <c r="D332" s="338"/>
      <c r="E332" s="338"/>
      <c r="F332" s="338"/>
      <c r="G332" s="338"/>
      <c r="H332" s="283" t="e">
        <f>H326-13000</f>
        <v>#REF!</v>
      </c>
      <c r="L332" t="s">
        <v>534</v>
      </c>
      <c r="M332">
        <v>-2.8971195989271102E-5</v>
      </c>
      <c r="N332">
        <v>-2.9042696208741601E-5</v>
      </c>
    </row>
    <row r="333" spans="3:24" x14ac:dyDescent="0.2">
      <c r="C333" s="275" t="s">
        <v>285</v>
      </c>
      <c r="D333" s="275"/>
      <c r="E333" s="275"/>
      <c r="F333" s="275"/>
      <c r="G333" s="275"/>
      <c r="H333" s="283">
        <v>0</v>
      </c>
    </row>
    <row r="334" spans="3:24" x14ac:dyDescent="0.2">
      <c r="C334" s="338" t="s">
        <v>386</v>
      </c>
      <c r="D334" s="338"/>
      <c r="E334" s="338"/>
      <c r="F334" s="338"/>
      <c r="G334" s="338"/>
      <c r="H334" s="283" t="e">
        <f>H329-13000</f>
        <v>#REF!</v>
      </c>
      <c r="L334" t="s">
        <v>359</v>
      </c>
      <c r="O334" t="s">
        <v>360</v>
      </c>
    </row>
    <row r="335" spans="3:24" x14ac:dyDescent="0.2">
      <c r="C335" s="338"/>
      <c r="D335" s="338"/>
      <c r="E335" s="338"/>
      <c r="F335" s="338"/>
      <c r="G335" s="338"/>
      <c r="H335" s="338"/>
      <c r="L335" t="s">
        <v>361</v>
      </c>
    </row>
    <row r="336" spans="3:24" x14ac:dyDescent="0.2">
      <c r="C336" s="345"/>
      <c r="D336" s="345"/>
      <c r="E336" s="338" t="s">
        <v>346</v>
      </c>
      <c r="F336" s="338"/>
      <c r="G336" s="346"/>
      <c r="H336" s="346"/>
      <c r="L336" t="s">
        <v>362</v>
      </c>
    </row>
    <row r="337" spans="1:15" x14ac:dyDescent="0.2">
      <c r="C337" s="275" t="s">
        <v>460</v>
      </c>
      <c r="D337" s="275"/>
      <c r="E337" s="338"/>
      <c r="F337" s="338"/>
      <c r="G337" s="347"/>
      <c r="H337" s="342">
        <f>Master!AK51</f>
        <v>5696</v>
      </c>
    </row>
    <row r="338" spans="1:15" x14ac:dyDescent="0.2">
      <c r="C338" s="338" t="s">
        <v>461</v>
      </c>
      <c r="D338" s="338"/>
      <c r="E338" s="338"/>
      <c r="F338" s="338"/>
      <c r="G338" s="347"/>
      <c r="H338" s="298">
        <f>Master!BA65</f>
        <v>707.3265590036973</v>
      </c>
      <c r="J338" s="41" t="e">
        <f>H326</f>
        <v>#REF!</v>
      </c>
      <c r="K338" s="109" t="s">
        <v>104</v>
      </c>
      <c r="L338" s="1"/>
      <c r="M338" s="1"/>
      <c r="N338" s="9">
        <v>37707</v>
      </c>
      <c r="O338" s="33" t="s">
        <v>106</v>
      </c>
    </row>
    <row r="339" spans="1:15" x14ac:dyDescent="0.2">
      <c r="C339" s="295" t="s">
        <v>328</v>
      </c>
      <c r="D339" s="295"/>
      <c r="E339" s="295"/>
      <c r="F339" s="295"/>
      <c r="G339" s="348"/>
      <c r="H339" s="298">
        <f>SUM(H337:H338)</f>
        <v>6403.3265590036972</v>
      </c>
      <c r="J339" s="164">
        <f>H339</f>
        <v>6403.3265590036972</v>
      </c>
      <c r="K339" s="396" t="s">
        <v>103</v>
      </c>
      <c r="L339" s="380"/>
      <c r="M339" s="380"/>
      <c r="N339" s="28">
        <v>25042</v>
      </c>
      <c r="O339" s="11" t="s">
        <v>107</v>
      </c>
    </row>
    <row r="340" spans="1:15" x14ac:dyDescent="0.2">
      <c r="C340" s="275"/>
      <c r="D340" s="338"/>
      <c r="E340" s="338"/>
      <c r="F340" s="338"/>
      <c r="G340" s="338"/>
      <c r="H340" s="338"/>
      <c r="J340" s="41" t="e">
        <f>J338-J339</f>
        <v>#REF!</v>
      </c>
      <c r="K340" s="397" t="s">
        <v>105</v>
      </c>
      <c r="L340" s="380"/>
      <c r="M340" s="380"/>
      <c r="N340" s="9">
        <f>N338-N339</f>
        <v>12665</v>
      </c>
      <c r="O340" t="s">
        <v>143</v>
      </c>
    </row>
    <row r="341" spans="1:15" x14ac:dyDescent="0.2">
      <c r="C341" s="338" t="s">
        <v>283</v>
      </c>
      <c r="D341" s="338"/>
      <c r="E341" s="338"/>
      <c r="F341" s="338"/>
      <c r="G341" s="338"/>
      <c r="H341" s="338"/>
      <c r="K341" s="380"/>
      <c r="L341" s="380"/>
      <c r="M341" s="380"/>
      <c r="N341" s="1"/>
    </row>
    <row r="342" spans="1:15" x14ac:dyDescent="0.2">
      <c r="C342" s="275" t="s">
        <v>286</v>
      </c>
      <c r="D342" s="338"/>
      <c r="E342" s="338"/>
      <c r="F342" s="338"/>
      <c r="G342" s="338"/>
      <c r="H342" s="338"/>
      <c r="K342" s="1"/>
      <c r="L342" s="1"/>
      <c r="M342" s="1"/>
      <c r="N342" s="11">
        <v>21833</v>
      </c>
      <c r="O342" s="163" t="s">
        <v>108</v>
      </c>
    </row>
    <row r="343" spans="1:15" x14ac:dyDescent="0.2">
      <c r="C343" s="275" t="s">
        <v>464</v>
      </c>
      <c r="D343" s="338"/>
      <c r="E343" s="338"/>
      <c r="F343" s="338"/>
      <c r="G343" s="338"/>
      <c r="H343" s="338"/>
      <c r="N343" s="61">
        <f>N339-N342</f>
        <v>3209</v>
      </c>
    </row>
    <row r="344" spans="1:15" x14ac:dyDescent="0.2">
      <c r="C344" s="275" t="s">
        <v>465</v>
      </c>
      <c r="D344" s="338"/>
      <c r="E344" s="338"/>
      <c r="F344" s="338"/>
      <c r="G344" s="338"/>
      <c r="H344" s="338"/>
    </row>
    <row r="345" spans="1:15" x14ac:dyDescent="0.2">
      <c r="C345" s="338" t="s">
        <v>277</v>
      </c>
      <c r="D345" s="338"/>
      <c r="E345" s="338"/>
      <c r="F345" s="338"/>
      <c r="G345" s="338"/>
      <c r="H345" s="338"/>
    </row>
    <row r="346" spans="1:15" x14ac:dyDescent="0.2">
      <c r="C346" s="338" t="s">
        <v>276</v>
      </c>
      <c r="D346" s="338"/>
      <c r="E346" s="338"/>
      <c r="F346" s="338"/>
      <c r="G346" s="338"/>
      <c r="H346" s="338"/>
    </row>
    <row r="347" spans="1:15" x14ac:dyDescent="0.2">
      <c r="C347" s="5"/>
      <c r="D347" s="5"/>
      <c r="E347" s="5"/>
      <c r="F347" s="5"/>
      <c r="G347" s="5"/>
      <c r="H347" s="5"/>
    </row>
    <row r="350" spans="1:15" x14ac:dyDescent="0.2">
      <c r="A350" s="270" t="s">
        <v>536</v>
      </c>
    </row>
    <row r="352" spans="1:15" x14ac:dyDescent="0.2">
      <c r="C352" t="s">
        <v>522</v>
      </c>
      <c r="J352" t="s">
        <v>198</v>
      </c>
    </row>
    <row r="353" spans="3:10" x14ac:dyDescent="0.2">
      <c r="C353" t="s">
        <v>93</v>
      </c>
      <c r="J353" t="s">
        <v>403</v>
      </c>
    </row>
    <row r="354" spans="3:10" x14ac:dyDescent="0.2">
      <c r="C354" t="s">
        <v>357</v>
      </c>
      <c r="J354" t="s">
        <v>199</v>
      </c>
    </row>
    <row r="355" spans="3:10" x14ac:dyDescent="0.2">
      <c r="F355" t="s">
        <v>194</v>
      </c>
    </row>
    <row r="356" spans="3:10" x14ac:dyDescent="0.2">
      <c r="C356" t="s">
        <v>532</v>
      </c>
      <c r="E356" t="s">
        <v>195</v>
      </c>
      <c r="F356" t="s">
        <v>196</v>
      </c>
      <c r="G356" t="s">
        <v>197</v>
      </c>
      <c r="H356" t="s">
        <v>426</v>
      </c>
    </row>
    <row r="357" spans="3:10" x14ac:dyDescent="0.2">
      <c r="C357" t="s">
        <v>381</v>
      </c>
      <c r="E357">
        <v>9526.9942748676804</v>
      </c>
      <c r="F357">
        <v>18401.355455826091</v>
      </c>
      <c r="G357">
        <v>8372.759661195123</v>
      </c>
      <c r="H357">
        <v>36301.109391888895</v>
      </c>
      <c r="J357">
        <v>28885.355185185923</v>
      </c>
    </row>
    <row r="358" spans="3:10" x14ac:dyDescent="0.2">
      <c r="C358" t="s">
        <v>288</v>
      </c>
      <c r="E358">
        <v>11599.38696421468</v>
      </c>
      <c r="F358">
        <v>22451.195756301255</v>
      </c>
      <c r="G358">
        <v>10197.057963977712</v>
      </c>
      <c r="H358">
        <v>44247.64068449365</v>
      </c>
      <c r="J358">
        <v>36831.886477790678</v>
      </c>
    </row>
    <row r="360" spans="3:10" x14ac:dyDescent="0.2">
      <c r="C360" t="s">
        <v>94</v>
      </c>
    </row>
    <row r="361" spans="3:10" x14ac:dyDescent="0.2">
      <c r="D361" t="s">
        <v>272</v>
      </c>
      <c r="E361" t="s">
        <v>356</v>
      </c>
      <c r="F361">
        <v>7230.1075586836423</v>
      </c>
      <c r="G361">
        <v>3859.4992039906178</v>
      </c>
      <c r="H361" t="s">
        <v>356</v>
      </c>
    </row>
    <row r="362" spans="3:10" x14ac:dyDescent="0.2">
      <c r="D362" t="s">
        <v>370</v>
      </c>
      <c r="E362" t="s">
        <v>356</v>
      </c>
      <c r="F362">
        <v>0</v>
      </c>
      <c r="G362">
        <v>2063.9433997078008</v>
      </c>
      <c r="H362" t="s">
        <v>356</v>
      </c>
    </row>
    <row r="363" spans="3:10" x14ac:dyDescent="0.2">
      <c r="D363" t="s">
        <v>371</v>
      </c>
      <c r="E363" t="s">
        <v>356</v>
      </c>
      <c r="F363">
        <v>16705.930380521113</v>
      </c>
      <c r="G363">
        <v>7217.1233512086856</v>
      </c>
      <c r="H363" t="s">
        <v>356</v>
      </c>
    </row>
    <row r="365" spans="3:10" x14ac:dyDescent="0.2">
      <c r="C365" t="s">
        <v>95</v>
      </c>
    </row>
    <row r="366" spans="3:10" x14ac:dyDescent="0.2">
      <c r="D366" t="s">
        <v>272</v>
      </c>
      <c r="E366" t="s">
        <v>356</v>
      </c>
      <c r="F366">
        <v>5458.3277159894033</v>
      </c>
      <c r="G366">
        <v>3128.9834580004404</v>
      </c>
      <c r="H366" t="s">
        <v>356</v>
      </c>
    </row>
    <row r="367" spans="3:10" x14ac:dyDescent="0.2">
      <c r="D367" t="s">
        <v>370</v>
      </c>
      <c r="E367" t="s">
        <v>356</v>
      </c>
      <c r="F367">
        <v>0</v>
      </c>
      <c r="G367">
        <v>1634.4197119365842</v>
      </c>
      <c r="H367" t="s">
        <v>356</v>
      </c>
    </row>
    <row r="368" spans="3:10" x14ac:dyDescent="0.2">
      <c r="D368" t="s">
        <v>371</v>
      </c>
      <c r="E368" t="s">
        <v>356</v>
      </c>
      <c r="F368">
        <v>15225.040996760403</v>
      </c>
      <c r="G368">
        <v>5990.2223455441708</v>
      </c>
      <c r="H368" t="s">
        <v>356</v>
      </c>
    </row>
    <row r="370" spans="3:10" x14ac:dyDescent="0.2">
      <c r="C370" t="s">
        <v>90</v>
      </c>
    </row>
    <row r="371" spans="3:10" x14ac:dyDescent="0.2">
      <c r="D371" t="s">
        <v>272</v>
      </c>
      <c r="E371">
        <v>9526.9942748676804</v>
      </c>
      <c r="F371">
        <v>7230.1075586836423</v>
      </c>
      <c r="G371">
        <v>3859.4992039906178</v>
      </c>
      <c r="H371">
        <v>20616.601037541939</v>
      </c>
      <c r="J371">
        <v>13200.846830838967</v>
      </c>
    </row>
    <row r="373" spans="3:10" x14ac:dyDescent="0.2">
      <c r="C373" t="s">
        <v>535</v>
      </c>
    </row>
    <row r="374" spans="3:10" x14ac:dyDescent="0.2">
      <c r="D374" t="s">
        <v>272</v>
      </c>
      <c r="E374">
        <v>2174.1515742790225</v>
      </c>
      <c r="F374">
        <v>5458.3277159894033</v>
      </c>
      <c r="G374">
        <v>3128.9834580004404</v>
      </c>
      <c r="H374">
        <v>10761.462748268867</v>
      </c>
      <c r="J374">
        <v>3345.7085415658939</v>
      </c>
    </row>
    <row r="376" spans="3:10" x14ac:dyDescent="0.2">
      <c r="C376" t="s">
        <v>523</v>
      </c>
      <c r="E376">
        <v>2174.1515742790225</v>
      </c>
      <c r="F376">
        <v>0</v>
      </c>
      <c r="G376">
        <v>1634.4197119365842</v>
      </c>
      <c r="H376">
        <v>3808.571286215607</v>
      </c>
      <c r="J376">
        <v>-3607.1829204873657</v>
      </c>
    </row>
    <row r="377" spans="3:10" x14ac:dyDescent="0.2">
      <c r="C377" t="s">
        <v>98</v>
      </c>
      <c r="E377">
        <v>11599.38696421468</v>
      </c>
      <c r="F377">
        <v>22451.195756301255</v>
      </c>
      <c r="G377">
        <v>10197.057963977712</v>
      </c>
      <c r="H377">
        <v>44247.64068449365</v>
      </c>
      <c r="J377">
        <v>36831.886477790678</v>
      </c>
    </row>
    <row r="379" spans="3:10" x14ac:dyDescent="0.2">
      <c r="E379" t="s">
        <v>193</v>
      </c>
    </row>
    <row r="380" spans="3:10" x14ac:dyDescent="0.2">
      <c r="C380" t="s">
        <v>381</v>
      </c>
      <c r="E380" t="s">
        <v>356</v>
      </c>
      <c r="F380" t="s">
        <v>356</v>
      </c>
      <c r="G380" t="s">
        <v>356</v>
      </c>
      <c r="H380">
        <v>23301.109391888895</v>
      </c>
    </row>
    <row r="381" spans="3:10" x14ac:dyDescent="0.2">
      <c r="C381" t="s">
        <v>288</v>
      </c>
      <c r="E381" t="s">
        <v>356</v>
      </c>
      <c r="F381" t="s">
        <v>356</v>
      </c>
      <c r="G381" t="s">
        <v>356</v>
      </c>
      <c r="H381">
        <v>31247.64068449365</v>
      </c>
    </row>
    <row r="382" spans="3:10" x14ac:dyDescent="0.2">
      <c r="C382" t="s">
        <v>90</v>
      </c>
      <c r="E382" t="s">
        <v>356</v>
      </c>
      <c r="F382" t="s">
        <v>356</v>
      </c>
      <c r="G382" t="s">
        <v>356</v>
      </c>
      <c r="H382">
        <v>7616.6010375419391</v>
      </c>
    </row>
    <row r="383" spans="3:10" x14ac:dyDescent="0.2">
      <c r="C383" t="s">
        <v>535</v>
      </c>
      <c r="E383" t="s">
        <v>356</v>
      </c>
      <c r="F383" t="s">
        <v>356</v>
      </c>
      <c r="G383" t="s">
        <v>356</v>
      </c>
      <c r="H383">
        <v>0</v>
      </c>
    </row>
    <row r="384" spans="3:10" x14ac:dyDescent="0.2">
      <c r="C384" t="s">
        <v>523</v>
      </c>
      <c r="E384" t="s">
        <v>356</v>
      </c>
      <c r="F384" t="s">
        <v>356</v>
      </c>
      <c r="G384" t="s">
        <v>356</v>
      </c>
      <c r="H384">
        <v>0</v>
      </c>
    </row>
    <row r="385" spans="3:8" x14ac:dyDescent="0.2">
      <c r="C385" t="s">
        <v>98</v>
      </c>
      <c r="E385" t="s">
        <v>356</v>
      </c>
      <c r="F385" t="s">
        <v>356</v>
      </c>
      <c r="G385" t="s">
        <v>356</v>
      </c>
      <c r="H385">
        <v>31247.64068449365</v>
      </c>
    </row>
    <row r="387" spans="3:8" x14ac:dyDescent="0.2">
      <c r="E387" t="s">
        <v>192</v>
      </c>
    </row>
    <row r="388" spans="3:8" x14ac:dyDescent="0.2">
      <c r="C388" t="s">
        <v>99</v>
      </c>
      <c r="E388" t="s">
        <v>356</v>
      </c>
      <c r="F388" t="s">
        <v>356</v>
      </c>
      <c r="G388" t="s">
        <v>356</v>
      </c>
      <c r="H388">
        <v>6628.375</v>
      </c>
    </row>
    <row r="389" spans="3:8" x14ac:dyDescent="0.2">
      <c r="C389" t="s">
        <v>35</v>
      </c>
      <c r="E389" t="s">
        <v>356</v>
      </c>
      <c r="F389" t="s">
        <v>356</v>
      </c>
      <c r="G389" t="s">
        <v>356</v>
      </c>
      <c r="H389">
        <v>787.3792067029724</v>
      </c>
    </row>
    <row r="390" spans="3:8" x14ac:dyDescent="0.2">
      <c r="C390" t="s">
        <v>328</v>
      </c>
      <c r="E390" t="s">
        <v>356</v>
      </c>
      <c r="F390" t="s">
        <v>356</v>
      </c>
      <c r="G390" t="s">
        <v>356</v>
      </c>
      <c r="H390">
        <v>7415.7542067029726</v>
      </c>
    </row>
    <row r="392" spans="3:8" x14ac:dyDescent="0.2">
      <c r="C392" t="s">
        <v>283</v>
      </c>
    </row>
    <row r="393" spans="3:8" x14ac:dyDescent="0.2">
      <c r="D393" t="s">
        <v>273</v>
      </c>
    </row>
    <row r="394" spans="3:8" x14ac:dyDescent="0.2">
      <c r="D394" t="s">
        <v>92</v>
      </c>
    </row>
    <row r="395" spans="3:8" x14ac:dyDescent="0.2">
      <c r="C395" t="s">
        <v>91</v>
      </c>
    </row>
    <row r="396" spans="3:8" x14ac:dyDescent="0.2">
      <c r="D396" t="s">
        <v>273</v>
      </c>
    </row>
    <row r="397" spans="3:8" x14ac:dyDescent="0.2">
      <c r="D397" t="s">
        <v>100</v>
      </c>
    </row>
    <row r="398" spans="3:8" x14ac:dyDescent="0.2">
      <c r="C398" t="s">
        <v>101</v>
      </c>
    </row>
    <row r="399" spans="3:8" x14ac:dyDescent="0.2">
      <c r="C399" t="s">
        <v>102</v>
      </c>
    </row>
    <row r="400" spans="3:8" x14ac:dyDescent="0.2">
      <c r="C400" t="s">
        <v>96</v>
      </c>
    </row>
    <row r="401" spans="3:3" x14ac:dyDescent="0.2">
      <c r="C401" t="s">
        <v>97</v>
      </c>
    </row>
  </sheetData>
  <phoneticPr fontId="0" type="noConversion"/>
  <pageMargins left="0.75" right="0.75" top="1" bottom="1" header="0.5" footer="0.5"/>
  <pageSetup orientation="portrait" r:id="rId1"/>
  <headerFooter alignWithMargins="0">
    <oddFooter>&amp;L&amp;D&amp;R&amp;F          &amp;A</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2:DD260"/>
  <sheetViews>
    <sheetView workbookViewId="0"/>
  </sheetViews>
  <sheetFormatPr defaultRowHeight="12.75" x14ac:dyDescent="0.2"/>
  <cols>
    <col min="2" max="2" width="14.7109375" customWidth="1"/>
    <col min="3" max="3" width="7.85546875" customWidth="1"/>
    <col min="4" max="4" width="9" customWidth="1"/>
    <col min="7" max="7" width="8.28515625" customWidth="1"/>
    <col min="9" max="9" width="6.28515625" customWidth="1"/>
    <col min="16" max="16" width="3.42578125" customWidth="1"/>
    <col min="17" max="17" width="11.5703125" customWidth="1"/>
    <col min="18" max="18" width="11.85546875" customWidth="1"/>
    <col min="19" max="19" width="12.28515625" customWidth="1"/>
    <col min="20" max="20" width="10.42578125" customWidth="1"/>
    <col min="21" max="21" width="12.28515625" bestFit="1" customWidth="1"/>
    <col min="22" max="22" width="11" bestFit="1" customWidth="1"/>
    <col min="24" max="24" width="11.7109375" bestFit="1" customWidth="1"/>
    <col min="28" max="28" width="2.5703125" customWidth="1"/>
    <col min="29" max="29" width="10" customWidth="1"/>
    <col min="30" max="30" width="10.85546875" customWidth="1"/>
    <col min="31" max="31" width="10.7109375" customWidth="1"/>
    <col min="32" max="32" width="10" customWidth="1"/>
    <col min="33" max="33" width="8.28515625" customWidth="1"/>
    <col min="34" max="34" width="8.140625" customWidth="1"/>
    <col min="35" max="35" width="9.5703125" customWidth="1"/>
    <col min="36" max="36" width="10.140625" customWidth="1"/>
    <col min="40" max="40" width="8.5703125" customWidth="1"/>
    <col min="44" max="44" width="7.85546875" customWidth="1"/>
    <col min="47" max="47" width="7.85546875" customWidth="1"/>
    <col min="50" max="50" width="11.7109375" customWidth="1"/>
    <col min="51" max="51" width="3.28515625" customWidth="1"/>
    <col min="52" max="52" width="8.140625" customWidth="1"/>
    <col min="59" max="59" width="11.7109375" bestFit="1" customWidth="1"/>
    <col min="61" max="61" width="2.7109375" customWidth="1"/>
    <col min="67" max="67" width="5.28515625" customWidth="1"/>
  </cols>
  <sheetData>
    <row r="2" spans="1:108" x14ac:dyDescent="0.2">
      <c r="A2" s="19" t="s">
        <v>152</v>
      </c>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row>
    <row r="3" spans="1:108" x14ac:dyDescent="0.2">
      <c r="A3" s="78" t="s">
        <v>151</v>
      </c>
      <c r="B3" s="79"/>
      <c r="C3" s="79"/>
      <c r="D3" s="79"/>
      <c r="E3" s="79"/>
      <c r="F3" s="79"/>
      <c r="G3" s="79"/>
      <c r="H3" s="79"/>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row>
    <row r="4" spans="1:108" ht="20.25" x14ac:dyDescent="0.3">
      <c r="A4" s="237" t="s">
        <v>257</v>
      </c>
      <c r="B4" s="171"/>
      <c r="C4" s="171"/>
      <c r="D4" s="171"/>
      <c r="E4" s="171"/>
      <c r="F4" s="171"/>
      <c r="G4" s="171"/>
      <c r="H4" s="171"/>
      <c r="I4" s="171"/>
      <c r="J4" s="171"/>
      <c r="K4" s="171"/>
      <c r="L4" s="17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row>
    <row r="5" spans="1:108" ht="20.25" x14ac:dyDescent="0.3">
      <c r="A5" s="237" t="s">
        <v>258</v>
      </c>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row>
    <row r="6" spans="1:108" x14ac:dyDescent="0.2">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row>
    <row r="7" spans="1:108" ht="13.5" thickBot="1" x14ac:dyDescent="0.25">
      <c r="B7" s="80" t="s">
        <v>150</v>
      </c>
      <c r="C7" s="80"/>
      <c r="D7" s="80"/>
      <c r="E7" s="80"/>
      <c r="F7" s="80"/>
      <c r="G7" s="80"/>
      <c r="H7" s="80"/>
      <c r="J7" s="77" t="s">
        <v>497</v>
      </c>
      <c r="K7" s="77" t="s">
        <v>497</v>
      </c>
      <c r="L7" s="77" t="s">
        <v>497</v>
      </c>
      <c r="M7" s="77" t="s">
        <v>497</v>
      </c>
      <c r="N7" s="77" t="s">
        <v>497</v>
      </c>
      <c r="O7" s="77" t="s">
        <v>497</v>
      </c>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c r="BT7" s="36"/>
      <c r="BU7" s="36"/>
      <c r="BV7" s="36"/>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row>
    <row r="8" spans="1:108" ht="13.5" thickTop="1" x14ac:dyDescent="0.2">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row>
    <row r="9" spans="1:108" x14ac:dyDescent="0.2">
      <c r="C9" s="19" t="str">
        <f>Master!CI13</f>
        <v>BROOD YEAR RETURN BY AGE</v>
      </c>
      <c r="Q9" s="180"/>
      <c r="R9" s="36"/>
      <c r="S9" s="36"/>
      <c r="T9" s="36"/>
      <c r="U9" s="181"/>
      <c r="V9" s="181"/>
      <c r="W9" s="181"/>
      <c r="X9" s="36"/>
      <c r="Y9" s="36"/>
      <c r="Z9" s="181"/>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182"/>
      <c r="BF9" s="182"/>
      <c r="BG9" s="180"/>
      <c r="BH9" s="36"/>
      <c r="BI9" s="36"/>
      <c r="BJ9" s="36"/>
      <c r="BK9" s="36"/>
      <c r="BL9" s="36"/>
      <c r="BM9" s="36"/>
      <c r="BN9" s="36"/>
      <c r="BO9" s="36"/>
      <c r="BP9" s="179"/>
      <c r="BQ9" s="182"/>
      <c r="BR9" s="182"/>
      <c r="BS9" s="36"/>
      <c r="BT9" s="36"/>
      <c r="BU9" s="36"/>
      <c r="BV9" s="36"/>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row>
    <row r="10" spans="1:108" ht="13.5" thickBot="1" x14ac:dyDescent="0.25">
      <c r="C10" s="19" t="str">
        <f>Master!CI14</f>
        <v>(ESCAPEMENT + SPORT HARVEST +MARINE. HARVEST)</v>
      </c>
      <c r="J10" s="60" t="s">
        <v>20</v>
      </c>
      <c r="K10" s="34"/>
      <c r="L10" s="34"/>
      <c r="M10" s="34"/>
      <c r="N10" s="34"/>
      <c r="O10" s="34"/>
      <c r="Q10" s="36"/>
      <c r="R10" s="36"/>
      <c r="S10" s="36"/>
      <c r="T10" s="36"/>
      <c r="U10" s="181"/>
      <c r="V10" s="181"/>
      <c r="W10" s="181"/>
      <c r="X10" s="181"/>
      <c r="Y10" s="181"/>
      <c r="Z10" s="181"/>
      <c r="AA10" s="36"/>
      <c r="AB10" s="36"/>
      <c r="AC10" s="58"/>
      <c r="AD10" s="180"/>
      <c r="AE10" s="36"/>
      <c r="AF10" s="36"/>
      <c r="AG10" s="36"/>
      <c r="AH10" s="36"/>
      <c r="AI10" s="36"/>
      <c r="AJ10" s="36"/>
      <c r="AK10" s="36"/>
      <c r="AL10" s="36"/>
      <c r="AM10" s="36"/>
      <c r="AN10" s="36"/>
      <c r="AO10" s="58"/>
      <c r="AP10" s="180"/>
      <c r="AQ10" s="188"/>
      <c r="AR10" s="34"/>
      <c r="AS10" s="60" t="s">
        <v>139</v>
      </c>
      <c r="AT10" s="34"/>
      <c r="AU10" s="34"/>
      <c r="AV10" s="34"/>
      <c r="AW10" s="34"/>
      <c r="AX10" s="34"/>
      <c r="AY10" s="34"/>
      <c r="AZ10" s="34"/>
      <c r="BA10" s="189"/>
      <c r="BB10" s="188"/>
      <c r="BC10" s="188"/>
      <c r="BD10" s="188"/>
      <c r="BE10" s="190"/>
      <c r="BF10" s="188"/>
      <c r="BG10" s="188"/>
      <c r="BH10" s="36"/>
      <c r="BI10" s="36"/>
      <c r="BJ10" s="58"/>
      <c r="BK10" s="180"/>
      <c r="BL10" s="36"/>
      <c r="BM10" s="36"/>
      <c r="BN10" s="36"/>
      <c r="BO10" s="36"/>
      <c r="BP10" s="179"/>
      <c r="BQ10" s="182"/>
      <c r="BR10" s="182"/>
      <c r="BS10" s="36"/>
      <c r="BT10" s="36"/>
      <c r="BU10" s="36"/>
      <c r="BV10" s="36"/>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row>
    <row r="11" spans="1:108" ht="13.5" thickTop="1" x14ac:dyDescent="0.2">
      <c r="Q11" s="180"/>
      <c r="R11" s="36"/>
      <c r="S11" s="36"/>
      <c r="T11" s="36"/>
      <c r="U11" s="181"/>
      <c r="V11" s="181"/>
      <c r="W11" s="181"/>
      <c r="X11" s="181"/>
      <c r="Y11" s="181"/>
      <c r="Z11" s="181"/>
      <c r="AA11" s="167"/>
      <c r="AB11" s="36"/>
      <c r="AC11" s="58"/>
      <c r="AD11" s="36"/>
      <c r="AE11" s="36"/>
      <c r="AF11" s="36"/>
      <c r="AG11" s="36"/>
      <c r="AH11" s="36"/>
      <c r="AI11" s="36"/>
      <c r="AJ11" s="36"/>
      <c r="AK11" s="36"/>
      <c r="AL11" s="36"/>
      <c r="AM11" s="36"/>
      <c r="AN11" s="36"/>
      <c r="AO11" s="58"/>
      <c r="AP11" s="36"/>
      <c r="AQ11" s="12"/>
      <c r="AR11" s="195" t="s">
        <v>147</v>
      </c>
      <c r="AS11" s="192"/>
      <c r="AT11" s="192"/>
      <c r="AU11" s="195"/>
      <c r="AV11" s="192"/>
      <c r="AW11" s="192"/>
      <c r="AX11" s="192"/>
      <c r="AY11" s="196"/>
      <c r="AZ11" s="192"/>
      <c r="BA11" s="194" t="s">
        <v>148</v>
      </c>
      <c r="BB11" s="193"/>
      <c r="BC11" s="193"/>
      <c r="BD11" s="193"/>
      <c r="BE11" s="193"/>
      <c r="BF11" s="193"/>
      <c r="BG11" s="193"/>
      <c r="BH11" s="36"/>
      <c r="BI11" s="36"/>
      <c r="BJ11" s="58"/>
      <c r="BK11" s="36"/>
      <c r="BL11" s="36"/>
      <c r="BM11" s="36"/>
      <c r="BN11" s="36"/>
      <c r="BO11" s="36"/>
      <c r="BP11" s="179"/>
      <c r="BQ11" s="182"/>
      <c r="BR11" s="179"/>
      <c r="BS11" s="36"/>
      <c r="BT11" s="36"/>
      <c r="BU11" s="36"/>
      <c r="BV11" s="36"/>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row>
    <row r="12" spans="1:108" x14ac:dyDescent="0.2">
      <c r="B12" s="13" t="str">
        <f>Master!CH16</f>
        <v>Brood</v>
      </c>
      <c r="C12" s="11"/>
      <c r="D12" s="11" t="str">
        <f>Master!CJ16</f>
        <v>Returning Number per Age Class</v>
      </c>
      <c r="E12" s="11"/>
      <c r="F12" s="11"/>
      <c r="G12" s="11"/>
      <c r="H12" s="11"/>
      <c r="J12" s="11"/>
      <c r="K12" s="11" t="s">
        <v>490</v>
      </c>
      <c r="L12" s="11"/>
      <c r="M12" s="11"/>
      <c r="N12" s="11"/>
      <c r="O12" s="11"/>
      <c r="Q12" s="36"/>
      <c r="R12" s="186" t="s">
        <v>137</v>
      </c>
      <c r="S12" s="185"/>
      <c r="T12" s="185"/>
      <c r="U12" s="36"/>
      <c r="V12" s="167"/>
      <c r="W12" s="167"/>
      <c r="X12" s="167"/>
      <c r="Y12" s="167"/>
      <c r="Z12" s="167"/>
      <c r="AA12" s="167"/>
      <c r="AB12" s="36"/>
      <c r="AC12" s="58"/>
      <c r="AD12" s="180"/>
      <c r="AE12" s="180"/>
      <c r="AF12" s="36"/>
      <c r="AG12" s="36"/>
      <c r="AH12" s="36"/>
      <c r="AI12" s="180"/>
      <c r="AJ12" s="36"/>
      <c r="AK12" s="36"/>
      <c r="AL12" s="180"/>
      <c r="AM12" s="36"/>
      <c r="AN12" s="36"/>
      <c r="AO12" s="58"/>
      <c r="AP12" s="180"/>
      <c r="AQ12" s="2" t="s">
        <v>439</v>
      </c>
      <c r="AR12" s="197"/>
      <c r="AS12" s="197"/>
      <c r="AT12" s="197"/>
      <c r="AU12" s="2" t="s">
        <v>439</v>
      </c>
      <c r="AV12" s="1" t="s">
        <v>142</v>
      </c>
      <c r="AW12" s="1"/>
      <c r="AX12" s="42" t="s">
        <v>144</v>
      </c>
      <c r="AY12" s="1"/>
      <c r="AZ12" s="2" t="str">
        <f>AU12</f>
        <v>Return</v>
      </c>
      <c r="BA12" s="197"/>
      <c r="BB12" s="197"/>
      <c r="BC12" s="197"/>
      <c r="BD12" s="1" t="str">
        <f>AU12</f>
        <v>Return</v>
      </c>
      <c r="BE12" s="1" t="s">
        <v>142</v>
      </c>
      <c r="BF12" s="1"/>
      <c r="BG12" s="42" t="s">
        <v>144</v>
      </c>
      <c r="BH12" s="36"/>
      <c r="BI12" s="36"/>
      <c r="BJ12" s="58"/>
      <c r="BK12" s="180"/>
      <c r="BL12" s="180"/>
      <c r="BM12" s="36"/>
      <c r="BN12" s="36"/>
      <c r="BO12" s="36"/>
      <c r="BP12" s="179"/>
      <c r="BQ12" s="179"/>
      <c r="BR12" s="179"/>
      <c r="BS12" s="36"/>
      <c r="BT12" s="36"/>
      <c r="BU12" s="36"/>
      <c r="BV12" s="36"/>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row>
    <row r="13" spans="1:108" x14ac:dyDescent="0.2">
      <c r="B13" s="17" t="str">
        <f>Master!CH17</f>
        <v>Year</v>
      </c>
      <c r="C13" s="17">
        <f>Master!CI17</f>
        <v>1.1000000000000001</v>
      </c>
      <c r="D13" s="17">
        <f>Master!CJ17</f>
        <v>1.2</v>
      </c>
      <c r="E13" s="17" t="str">
        <f>Master!CK17</f>
        <v>1.3</v>
      </c>
      <c r="F13" s="17" t="str">
        <f>Master!CL17</f>
        <v>1.4</v>
      </c>
      <c r="G13" s="17" t="str">
        <f>Master!CM17</f>
        <v>1.5</v>
      </c>
      <c r="H13" s="17" t="str">
        <f>Master!CN17</f>
        <v>All</v>
      </c>
      <c r="J13" s="17">
        <v>3</v>
      </c>
      <c r="K13" s="17">
        <v>4</v>
      </c>
      <c r="L13" s="17">
        <v>5</v>
      </c>
      <c r="M13" s="17">
        <v>6</v>
      </c>
      <c r="N13" s="17">
        <v>7</v>
      </c>
      <c r="O13" s="17" t="s">
        <v>422</v>
      </c>
      <c r="Q13" s="36"/>
      <c r="R13" s="36"/>
      <c r="S13" s="36"/>
      <c r="T13" s="36"/>
      <c r="U13" s="36"/>
      <c r="V13" s="167"/>
      <c r="W13" s="167"/>
      <c r="X13" s="167"/>
      <c r="Y13" s="167"/>
      <c r="Z13" s="167"/>
      <c r="AA13" s="167"/>
      <c r="AB13" s="36"/>
      <c r="AC13" s="58"/>
      <c r="AD13" s="167"/>
      <c r="AE13" s="183"/>
      <c r="AF13" s="167"/>
      <c r="AG13" s="36"/>
      <c r="AH13" s="36"/>
      <c r="AI13" s="167"/>
      <c r="AJ13" s="167"/>
      <c r="AK13" s="36"/>
      <c r="AL13" s="167"/>
      <c r="AM13" s="167"/>
      <c r="AN13" s="36"/>
      <c r="AO13" s="58"/>
      <c r="AP13" s="167"/>
      <c r="AQ13" s="191" t="s">
        <v>416</v>
      </c>
      <c r="AR13" s="17" t="s">
        <v>543</v>
      </c>
      <c r="AS13" s="17" t="s">
        <v>140</v>
      </c>
      <c r="AT13" s="17" t="s">
        <v>141</v>
      </c>
      <c r="AU13" s="191" t="s">
        <v>416</v>
      </c>
      <c r="AV13" s="17" t="s">
        <v>544</v>
      </c>
      <c r="AW13" s="17" t="s">
        <v>143</v>
      </c>
      <c r="AX13" s="17" t="s">
        <v>145</v>
      </c>
      <c r="AY13" s="42"/>
      <c r="AZ13" s="191" t="str">
        <f>AU13</f>
        <v>Year</v>
      </c>
      <c r="BA13" s="17" t="s">
        <v>544</v>
      </c>
      <c r="BB13" s="17" t="s">
        <v>140</v>
      </c>
      <c r="BC13" s="17" t="s">
        <v>141</v>
      </c>
      <c r="BD13" s="11" t="str">
        <f>AU13</f>
        <v>Year</v>
      </c>
      <c r="BE13" s="17" t="s">
        <v>146</v>
      </c>
      <c r="BF13" s="17" t="s">
        <v>143</v>
      </c>
      <c r="BG13" s="17" t="s">
        <v>145</v>
      </c>
      <c r="BH13" s="36"/>
      <c r="BI13" s="36"/>
      <c r="BJ13" s="58"/>
      <c r="BK13" s="167"/>
      <c r="BL13" s="183"/>
      <c r="BM13" s="167"/>
      <c r="BN13" s="36"/>
      <c r="BO13" s="36"/>
      <c r="BP13" s="179"/>
      <c r="BQ13" s="58"/>
      <c r="BR13" s="183"/>
      <c r="BS13" s="36"/>
      <c r="BT13" s="36"/>
      <c r="BU13" s="36"/>
      <c r="BV13" s="36"/>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row>
    <row r="14" spans="1:108" x14ac:dyDescent="0.2">
      <c r="B14" s="13"/>
      <c r="C14" s="69"/>
      <c r="D14" s="69"/>
      <c r="E14" s="69"/>
      <c r="F14" s="69"/>
      <c r="G14" s="69"/>
      <c r="H14" s="69"/>
      <c r="Q14" s="36"/>
      <c r="R14" s="36"/>
      <c r="S14" s="36"/>
      <c r="T14" s="36"/>
      <c r="U14" s="36"/>
      <c r="V14" s="167"/>
      <c r="W14" s="167"/>
      <c r="X14" s="167"/>
      <c r="Y14" s="167"/>
      <c r="Z14" s="167"/>
      <c r="AA14" s="167"/>
      <c r="AB14" s="36"/>
      <c r="AC14" s="58"/>
      <c r="AD14" s="36"/>
      <c r="AE14" s="36"/>
      <c r="AF14" s="36"/>
      <c r="AG14" s="36"/>
      <c r="AH14" s="36"/>
      <c r="AI14" s="36"/>
      <c r="AJ14" s="36"/>
      <c r="AK14" s="36"/>
      <c r="AL14" s="36"/>
      <c r="AM14" s="36"/>
      <c r="AN14" s="36"/>
      <c r="AO14" s="58"/>
      <c r="AP14" s="36"/>
      <c r="AQ14" s="2"/>
      <c r="AV14" s="36"/>
      <c r="AW14" s="36"/>
      <c r="AX14" s="36"/>
      <c r="AY14" s="36"/>
      <c r="AZ14" s="36"/>
      <c r="BE14" s="36"/>
      <c r="BF14" s="36"/>
      <c r="BG14" s="36"/>
      <c r="BH14" s="36"/>
      <c r="BI14" s="36"/>
      <c r="BJ14" s="58"/>
      <c r="BK14" s="36"/>
      <c r="BL14" s="36"/>
      <c r="BM14" s="36"/>
      <c r="BN14" s="36"/>
      <c r="BO14" s="36"/>
      <c r="BP14" s="184"/>
      <c r="BQ14" s="179"/>
      <c r="BR14" s="179"/>
      <c r="BS14" s="36"/>
      <c r="BT14" s="36"/>
      <c r="BU14" s="36"/>
      <c r="BV14" s="36"/>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row>
    <row r="15" spans="1:108" x14ac:dyDescent="0.2">
      <c r="B15" s="13" t="e">
        <f>Master!#REF!</f>
        <v>#REF!</v>
      </c>
      <c r="C15" s="69" t="e">
        <f>Master!#REF!</f>
        <v>#REF!</v>
      </c>
      <c r="D15" s="69" t="e">
        <f>Master!#REF!</f>
        <v>#REF!</v>
      </c>
      <c r="E15" s="69" t="e">
        <f>Master!#REF!</f>
        <v>#REF!</v>
      </c>
      <c r="F15" s="69" t="e">
        <f>Master!#REF!</f>
        <v>#REF!</v>
      </c>
      <c r="G15" s="69" t="e">
        <f>Master!#REF!</f>
        <v>#REF!</v>
      </c>
      <c r="H15" s="69" t="e">
        <f>Master!#REF!</f>
        <v>#REF!</v>
      </c>
      <c r="Q15" s="36"/>
      <c r="R15" s="36"/>
      <c r="S15" s="36"/>
      <c r="T15" s="36"/>
      <c r="U15" s="36"/>
      <c r="V15" s="167"/>
      <c r="W15" s="167"/>
      <c r="X15" s="167"/>
      <c r="Y15" s="167"/>
      <c r="Z15" s="167"/>
      <c r="AA15" s="167"/>
      <c r="AB15" s="36"/>
      <c r="AC15" s="58"/>
      <c r="AD15" s="36"/>
      <c r="AE15" s="36"/>
      <c r="AF15" s="36"/>
      <c r="AG15" s="36"/>
      <c r="AH15" s="36"/>
      <c r="AI15" s="36"/>
      <c r="AJ15" s="36"/>
      <c r="AK15" s="36"/>
      <c r="AL15" s="36"/>
      <c r="AM15" s="36"/>
      <c r="AN15" s="36"/>
      <c r="AO15" s="58"/>
      <c r="AP15" s="36"/>
      <c r="AQ15" s="2">
        <f>B19</f>
        <v>1976</v>
      </c>
      <c r="AR15" s="36"/>
      <c r="AS15" s="36"/>
      <c r="AT15" s="36"/>
      <c r="AU15" s="36"/>
      <c r="AV15" s="36"/>
      <c r="AW15" s="36"/>
      <c r="AX15" s="36"/>
      <c r="AY15" s="36"/>
      <c r="AZ15" s="36"/>
      <c r="BA15" s="36"/>
      <c r="BB15" s="36"/>
      <c r="BC15" s="36"/>
      <c r="BD15" s="36"/>
      <c r="BE15" s="36"/>
      <c r="BF15" s="36"/>
      <c r="BG15" s="36"/>
      <c r="BH15" s="36"/>
      <c r="BI15" s="36"/>
      <c r="BJ15" s="58"/>
      <c r="BK15" s="36"/>
      <c r="BL15" s="36"/>
      <c r="BM15" s="36"/>
      <c r="BN15" s="36"/>
      <c r="BO15" s="36"/>
      <c r="BP15" s="184"/>
      <c r="BQ15" s="179"/>
      <c r="BR15" s="179"/>
      <c r="BS15" s="36"/>
      <c r="BT15" s="36"/>
      <c r="BU15" s="36"/>
      <c r="BV15" s="36"/>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row>
    <row r="16" spans="1:108" x14ac:dyDescent="0.2">
      <c r="B16" s="13" t="e">
        <f>Master!#REF!</f>
        <v>#REF!</v>
      </c>
      <c r="C16" s="69" t="e">
        <f>Master!#REF!</f>
        <v>#REF!</v>
      </c>
      <c r="D16" s="69" t="e">
        <f>Master!#REF!</f>
        <v>#REF!</v>
      </c>
      <c r="E16" s="69" t="e">
        <f>Master!#REF!</f>
        <v>#REF!</v>
      </c>
      <c r="F16" s="69" t="e">
        <f>Master!#REF!</f>
        <v>#REF!</v>
      </c>
      <c r="G16" s="69" t="e">
        <f>Master!#REF!</f>
        <v>#REF!</v>
      </c>
      <c r="H16" s="69" t="e">
        <f>Master!#REF!</f>
        <v>#REF!</v>
      </c>
      <c r="J16" s="24" t="e">
        <f t="shared" ref="J16:J40" si="0">C16/$H16</f>
        <v>#REF!</v>
      </c>
      <c r="K16" s="24" t="e">
        <f t="shared" ref="K16:K40" si="1">D16/$H16</f>
        <v>#REF!</v>
      </c>
      <c r="L16" s="24" t="e">
        <f t="shared" ref="L16:L40" si="2">E16/$H16</f>
        <v>#REF!</v>
      </c>
      <c r="M16" s="24" t="e">
        <f t="shared" ref="M16:M40" si="3">F16/$H16</f>
        <v>#REF!</v>
      </c>
      <c r="N16" s="24" t="e">
        <f t="shared" ref="N16:N40" si="4">G16/$H16</f>
        <v>#REF!</v>
      </c>
      <c r="O16" s="24" t="e">
        <f t="shared" ref="O16:O40" si="5">SUM(J16:N16)</f>
        <v>#REF!</v>
      </c>
      <c r="Q16" s="57"/>
      <c r="R16" s="57"/>
      <c r="S16" s="57"/>
      <c r="T16" s="36"/>
      <c r="U16" s="36"/>
      <c r="V16" s="167"/>
      <c r="W16" s="167"/>
      <c r="X16" s="167"/>
      <c r="Y16" s="167"/>
      <c r="Z16" s="167"/>
      <c r="AA16" s="167"/>
      <c r="AB16" s="36"/>
      <c r="AC16" s="58"/>
      <c r="AD16" s="36"/>
      <c r="AE16" s="36"/>
      <c r="AF16" s="36"/>
      <c r="AG16" s="36"/>
      <c r="AH16" s="36"/>
      <c r="AI16" s="36"/>
      <c r="AJ16" s="36"/>
      <c r="AK16" s="36"/>
      <c r="AL16" s="36"/>
      <c r="AM16" s="36"/>
      <c r="AN16" s="36"/>
      <c r="AO16" s="58"/>
      <c r="AP16" s="36"/>
      <c r="AQ16" s="2">
        <f>B20</f>
        <v>1977</v>
      </c>
      <c r="AR16" s="179"/>
      <c r="AS16" s="52"/>
      <c r="AT16" s="36"/>
      <c r="AU16" s="179"/>
      <c r="AV16" s="52"/>
      <c r="AW16" s="36"/>
      <c r="AX16" s="36"/>
      <c r="AY16" s="36"/>
      <c r="AZ16" s="36"/>
      <c r="BA16" s="179"/>
      <c r="BB16" s="52"/>
      <c r="BC16" s="36"/>
      <c r="BD16" s="36"/>
      <c r="BE16" s="52"/>
      <c r="BF16" s="36"/>
      <c r="BG16" s="36"/>
      <c r="BH16" s="36"/>
      <c r="BI16" s="36"/>
      <c r="BJ16" s="58"/>
      <c r="BK16" s="36"/>
      <c r="BL16" s="36"/>
      <c r="BM16" s="36"/>
      <c r="BN16" s="36"/>
      <c r="BO16" s="36"/>
      <c r="BP16" s="184"/>
      <c r="BQ16" s="179"/>
      <c r="BR16" s="179"/>
      <c r="BS16" s="36"/>
      <c r="BT16" s="36"/>
      <c r="BU16" s="36"/>
      <c r="BV16" s="36"/>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row>
    <row r="17" spans="2:74" x14ac:dyDescent="0.2">
      <c r="B17" s="13">
        <f>Master!CH18</f>
        <v>1974</v>
      </c>
      <c r="C17" s="69">
        <f>Master!CI18</f>
        <v>0</v>
      </c>
      <c r="D17" s="86">
        <f>Master!CJ18</f>
        <v>7311.1594484174066</v>
      </c>
      <c r="E17" s="86">
        <f>Master!CK18</f>
        <v>38601.723907352149</v>
      </c>
      <c r="F17" s="86">
        <f>Master!CL18</f>
        <v>15451.301467438034</v>
      </c>
      <c r="G17" s="86">
        <f>Master!CM18</f>
        <v>0</v>
      </c>
      <c r="H17" s="86">
        <f>Master!CN18</f>
        <v>61364.184823207586</v>
      </c>
      <c r="J17" s="24">
        <f t="shared" si="0"/>
        <v>0</v>
      </c>
      <c r="K17" s="24">
        <f t="shared" si="1"/>
        <v>0.11914375575070571</v>
      </c>
      <c r="L17" s="24">
        <f t="shared" si="2"/>
        <v>0.62905950789642362</v>
      </c>
      <c r="M17" s="24">
        <f t="shared" si="3"/>
        <v>0.25179673635287075</v>
      </c>
      <c r="N17" s="24">
        <f t="shared" si="4"/>
        <v>0</v>
      </c>
      <c r="O17" s="24">
        <f t="shared" si="5"/>
        <v>1</v>
      </c>
      <c r="Q17" s="165"/>
      <c r="R17" s="165"/>
      <c r="S17" s="165"/>
      <c r="T17" s="1"/>
      <c r="U17" s="1"/>
      <c r="V17" s="174"/>
      <c r="W17" s="174"/>
      <c r="X17" s="174"/>
      <c r="Y17" s="174"/>
      <c r="Z17" s="174"/>
      <c r="AA17" s="174"/>
      <c r="AB17" s="1"/>
      <c r="AC17" s="42"/>
      <c r="AD17" s="1"/>
      <c r="AE17" s="1"/>
      <c r="AF17" s="1"/>
      <c r="AG17" s="1"/>
      <c r="AH17" s="1"/>
      <c r="AI17" s="1"/>
      <c r="AJ17" s="1"/>
      <c r="AK17" s="1"/>
      <c r="AL17" s="1"/>
      <c r="AM17" s="1"/>
      <c r="AN17" s="1"/>
      <c r="AO17" s="42"/>
      <c r="AP17" s="1"/>
      <c r="AQ17" s="2">
        <f>B21</f>
        <v>1978</v>
      </c>
      <c r="AR17" s="179"/>
      <c r="AS17" s="52"/>
      <c r="AT17" s="36"/>
      <c r="AU17" s="179"/>
      <c r="AV17" s="52"/>
      <c r="AW17" s="128"/>
      <c r="AX17" s="187"/>
      <c r="AY17" s="187"/>
      <c r="AZ17" s="187"/>
      <c r="BB17" s="52"/>
      <c r="BC17" s="36"/>
      <c r="BD17" s="36"/>
      <c r="BE17" s="52"/>
      <c r="BF17" s="128"/>
      <c r="BG17" s="187"/>
      <c r="BH17" s="1"/>
      <c r="BI17" s="1"/>
      <c r="BJ17" s="42"/>
      <c r="BK17" s="1"/>
      <c r="BL17" s="1"/>
      <c r="BM17" s="1"/>
      <c r="BN17" s="1"/>
      <c r="BO17" s="1"/>
      <c r="BP17" s="175"/>
      <c r="BQ17" s="128"/>
      <c r="BR17" s="128"/>
      <c r="BS17" s="1"/>
      <c r="BT17" s="1"/>
      <c r="BU17" s="1"/>
      <c r="BV17" s="1"/>
    </row>
    <row r="18" spans="2:74" x14ac:dyDescent="0.2">
      <c r="B18" s="13">
        <f>Master!CH19</f>
        <v>1975</v>
      </c>
      <c r="C18" s="69">
        <f>Master!CI19</f>
        <v>0</v>
      </c>
      <c r="D18" s="86">
        <f>Master!CJ19</f>
        <v>4503.5344558577508</v>
      </c>
      <c r="E18" s="86">
        <f>Master!CK19</f>
        <v>20205.548072803584</v>
      </c>
      <c r="F18" s="86">
        <f>Master!CL19</f>
        <v>8841.5144442920955</v>
      </c>
      <c r="G18" s="86">
        <f>Master!CM19</f>
        <v>0</v>
      </c>
      <c r="H18" s="86">
        <f>Master!CN19</f>
        <v>33550.596972953426</v>
      </c>
      <c r="J18" s="24">
        <f t="shared" si="0"/>
        <v>0</v>
      </c>
      <c r="K18" s="24">
        <f t="shared" si="1"/>
        <v>0.13423112737720413</v>
      </c>
      <c r="L18" s="24">
        <f t="shared" si="2"/>
        <v>0.60224108945340504</v>
      </c>
      <c r="M18" s="24">
        <f t="shared" si="3"/>
        <v>0.26352778316939096</v>
      </c>
      <c r="N18" s="24">
        <f t="shared" si="4"/>
        <v>0</v>
      </c>
      <c r="O18" s="24">
        <f t="shared" si="5"/>
        <v>1</v>
      </c>
      <c r="Q18" s="165"/>
      <c r="R18" s="165"/>
      <c r="S18" s="165"/>
      <c r="T18" s="1"/>
      <c r="U18" s="1"/>
      <c r="V18" s="174"/>
      <c r="W18" s="174"/>
      <c r="X18" s="174"/>
      <c r="Y18" s="174"/>
      <c r="Z18" s="174"/>
      <c r="AA18" s="174"/>
      <c r="AB18" s="1"/>
      <c r="AC18" s="42"/>
      <c r="AD18" s="1"/>
      <c r="AE18" s="1"/>
      <c r="AF18" s="1"/>
      <c r="AG18" s="1"/>
      <c r="AH18" s="1"/>
      <c r="AI18" s="1"/>
      <c r="AJ18" s="1"/>
      <c r="AK18" s="1"/>
      <c r="AL18" s="1"/>
      <c r="AM18" s="1"/>
      <c r="AN18" s="1"/>
      <c r="AO18" s="42"/>
      <c r="AP18" s="1"/>
      <c r="AQ18" s="2">
        <f t="shared" ref="AQ18:AQ40" si="6">B22</f>
        <v>1979</v>
      </c>
      <c r="AR18" s="179">
        <f t="shared" ref="AR18:AR39" si="7">D18</f>
        <v>4503.5344558577508</v>
      </c>
      <c r="AS18" s="52">
        <f t="shared" ref="AS18:AS39" si="8">S$65</f>
        <v>7928.3143197225254</v>
      </c>
      <c r="AT18" s="36">
        <f t="shared" ref="AT18:AT39" si="9">S$66</f>
        <v>1.2503365814210397</v>
      </c>
      <c r="AU18" s="2">
        <f t="shared" ref="AU18:AU39" si="10">AQ19</f>
        <v>1980</v>
      </c>
      <c r="AV18" s="52">
        <f t="shared" ref="AV18:AV39" si="11">AR18*AT18+AS18</f>
        <v>13559.248195571567</v>
      </c>
      <c r="AW18" s="128">
        <f t="shared" ref="AW18:AW38" si="12">E18-AV18</f>
        <v>6646.299877232017</v>
      </c>
      <c r="AX18" s="187">
        <f t="shared" ref="AX18:AX38" si="13">AW18^2</f>
        <v>44173302.058094323</v>
      </c>
      <c r="AY18" s="187"/>
      <c r="AZ18" s="2">
        <f>AQ18</f>
        <v>1979</v>
      </c>
      <c r="BA18" s="179">
        <f t="shared" ref="BA18:BA39" si="14">E17</f>
        <v>38601.723907352149</v>
      </c>
      <c r="BB18" s="52">
        <f t="shared" ref="BB18:BB39" si="15">AD$65</f>
        <v>4527.9764142628437</v>
      </c>
      <c r="BC18" s="36">
        <f t="shared" ref="BC18:BC39" si="16">AD$66</f>
        <v>0.48040916148150375</v>
      </c>
      <c r="BD18" s="36">
        <f>AU18</f>
        <v>1980</v>
      </c>
      <c r="BE18" s="52">
        <f>BA18*BC18+BB18</f>
        <v>23072.598228334406</v>
      </c>
      <c r="BF18" s="128">
        <f t="shared" ref="BF18:BF38" si="17">F18-BE18</f>
        <v>-14231.08378404231</v>
      </c>
      <c r="BG18" s="187">
        <f t="shared" ref="BG18:BG38" si="18">BF18^2</f>
        <v>202523745.668432</v>
      </c>
      <c r="BH18" s="1"/>
      <c r="BI18" s="1"/>
      <c r="BJ18" s="42"/>
      <c r="BK18" s="1"/>
      <c r="BL18" s="1"/>
      <c r="BM18" s="1"/>
      <c r="BN18" s="174"/>
      <c r="BO18" s="174"/>
      <c r="BP18" s="175"/>
      <c r="BQ18" s="128"/>
      <c r="BR18" s="128"/>
      <c r="BS18" s="1"/>
      <c r="BT18" s="1"/>
      <c r="BU18" s="1"/>
      <c r="BV18" s="1"/>
    </row>
    <row r="19" spans="2:74" x14ac:dyDescent="0.2">
      <c r="B19" s="13">
        <f>Master!CH20</f>
        <v>1976</v>
      </c>
      <c r="C19" s="69">
        <f>Master!CI20</f>
        <v>0</v>
      </c>
      <c r="D19" s="86">
        <f>Master!CJ20</f>
        <v>3961.8721711379576</v>
      </c>
      <c r="E19" s="86">
        <f>Master!CK20</f>
        <v>15271.706767413616</v>
      </c>
      <c r="F19" s="86">
        <f>Master!CL20</f>
        <v>18525.993202729787</v>
      </c>
      <c r="G19" s="86">
        <f>Master!CM20</f>
        <v>0</v>
      </c>
      <c r="H19" s="86">
        <f>Master!CN20</f>
        <v>37759.572141281358</v>
      </c>
      <c r="J19" s="24">
        <f t="shared" si="0"/>
        <v>0</v>
      </c>
      <c r="K19" s="24">
        <f t="shared" si="1"/>
        <v>0.10492365104970473</v>
      </c>
      <c r="L19" s="24">
        <f t="shared" si="2"/>
        <v>0.40444596962785861</v>
      </c>
      <c r="M19" s="24">
        <f t="shared" si="3"/>
        <v>0.49063037932243675</v>
      </c>
      <c r="N19" s="24">
        <f t="shared" si="4"/>
        <v>0</v>
      </c>
      <c r="O19" s="24">
        <f t="shared" si="5"/>
        <v>1</v>
      </c>
      <c r="Q19" s="165"/>
      <c r="R19" s="165"/>
      <c r="S19" s="165"/>
      <c r="T19" s="1"/>
      <c r="U19" s="1"/>
      <c r="V19" s="174"/>
      <c r="W19" s="174"/>
      <c r="X19" s="174"/>
      <c r="Y19" s="174"/>
      <c r="Z19" s="174"/>
      <c r="AA19" s="174"/>
      <c r="AB19" s="1"/>
      <c r="AC19" s="42"/>
      <c r="AD19" s="1"/>
      <c r="AE19" s="1"/>
      <c r="AF19" s="1"/>
      <c r="AG19" s="1"/>
      <c r="AH19" s="1"/>
      <c r="AI19" s="1"/>
      <c r="AJ19" s="1"/>
      <c r="AK19" s="1"/>
      <c r="AL19" s="1"/>
      <c r="AM19" s="1"/>
      <c r="AN19" s="1"/>
      <c r="AO19" s="42"/>
      <c r="AP19" s="1"/>
      <c r="AQ19" s="2">
        <f t="shared" si="6"/>
        <v>1980</v>
      </c>
      <c r="AR19" s="179">
        <f t="shared" si="7"/>
        <v>3961.8721711379576</v>
      </c>
      <c r="AS19" s="52">
        <f t="shared" si="8"/>
        <v>7928.3143197225254</v>
      </c>
      <c r="AT19" s="36">
        <f t="shared" si="9"/>
        <v>1.2503365814210397</v>
      </c>
      <c r="AU19" s="2">
        <f t="shared" si="10"/>
        <v>1981</v>
      </c>
      <c r="AV19" s="52">
        <f t="shared" si="11"/>
        <v>12881.988026210311</v>
      </c>
      <c r="AW19" s="128">
        <f t="shared" si="12"/>
        <v>2389.7187412033054</v>
      </c>
      <c r="AX19" s="187">
        <f t="shared" si="13"/>
        <v>5710755.6620583106</v>
      </c>
      <c r="AY19" s="187"/>
      <c r="AZ19" s="2">
        <f t="shared" ref="AZ19:AZ39" si="19">AQ19</f>
        <v>1980</v>
      </c>
      <c r="BA19" s="179">
        <f t="shared" si="14"/>
        <v>20205.548072803584</v>
      </c>
      <c r="BB19" s="52">
        <f t="shared" si="15"/>
        <v>4527.9764142628437</v>
      </c>
      <c r="BC19" s="36">
        <f t="shared" si="16"/>
        <v>0.48040916148150375</v>
      </c>
      <c r="BD19" s="36">
        <f t="shared" ref="BD19:BD38" si="20">AU19</f>
        <v>1981</v>
      </c>
      <c r="BE19" s="52">
        <f t="shared" ref="BE19:BE39" si="21">BA19*BC19+BB19</f>
        <v>14234.906821192628</v>
      </c>
      <c r="BF19" s="128">
        <f t="shared" si="17"/>
        <v>4291.0863815371595</v>
      </c>
      <c r="BG19" s="187">
        <f t="shared" si="18"/>
        <v>18413422.333813671</v>
      </c>
      <c r="BH19" s="174"/>
      <c r="BI19" s="1"/>
      <c r="BJ19" s="42"/>
      <c r="BK19" s="1"/>
      <c r="BL19" s="1"/>
      <c r="BM19" s="1"/>
      <c r="BN19" s="174"/>
      <c r="BO19" s="174"/>
      <c r="BP19" s="175"/>
      <c r="BQ19" s="128"/>
      <c r="BR19" s="128"/>
      <c r="BS19" s="1"/>
      <c r="BT19" s="1"/>
      <c r="BU19" s="1"/>
      <c r="BV19" s="1"/>
    </row>
    <row r="20" spans="2:74" x14ac:dyDescent="0.2">
      <c r="B20" s="13">
        <f>Master!CH21</f>
        <v>1977</v>
      </c>
      <c r="C20" s="69">
        <f>Master!CI21</f>
        <v>0</v>
      </c>
      <c r="D20" s="86">
        <f>Master!CJ21</f>
        <v>2679.2468013006346</v>
      </c>
      <c r="E20" s="86">
        <f>Master!CK21</f>
        <v>19387.667305182338</v>
      </c>
      <c r="F20" s="86">
        <f>Master!CL21</f>
        <v>16471.334827818337</v>
      </c>
      <c r="G20" s="86">
        <f>Master!CM21</f>
        <v>0</v>
      </c>
      <c r="H20" s="86">
        <f>Master!CN21</f>
        <v>38538.248934301315</v>
      </c>
      <c r="J20" s="24">
        <f t="shared" si="0"/>
        <v>0</v>
      </c>
      <c r="K20" s="24">
        <f t="shared" si="1"/>
        <v>6.9521757614574617E-2</v>
      </c>
      <c r="L20" s="24">
        <f t="shared" si="2"/>
        <v>0.50307597883426847</v>
      </c>
      <c r="M20" s="24">
        <f t="shared" si="3"/>
        <v>0.42740226355115674</v>
      </c>
      <c r="N20" s="24">
        <f t="shared" si="4"/>
        <v>0</v>
      </c>
      <c r="O20" s="24">
        <f t="shared" si="5"/>
        <v>0.99999999999999978</v>
      </c>
      <c r="Q20" s="165"/>
      <c r="R20" s="165"/>
      <c r="S20" s="165"/>
      <c r="T20" s="1"/>
      <c r="U20" s="1"/>
      <c r="V20" s="174"/>
      <c r="W20" s="174"/>
      <c r="X20" s="174"/>
      <c r="Y20" s="174"/>
      <c r="Z20" s="174"/>
      <c r="AA20" s="174"/>
      <c r="AB20" s="1"/>
      <c r="AC20" s="57"/>
      <c r="AD20" s="174"/>
      <c r="AE20" s="176"/>
      <c r="AF20" s="1"/>
      <c r="AG20" s="1"/>
      <c r="AH20" s="1"/>
      <c r="AI20" s="1"/>
      <c r="AJ20" s="1"/>
      <c r="AK20" s="1"/>
      <c r="AL20" s="1"/>
      <c r="AM20" s="1"/>
      <c r="AN20" s="1"/>
      <c r="AO20" s="57"/>
      <c r="AP20" s="167"/>
      <c r="AQ20" s="2">
        <f t="shared" si="6"/>
        <v>1981</v>
      </c>
      <c r="AR20" s="179">
        <f t="shared" si="7"/>
        <v>2679.2468013006346</v>
      </c>
      <c r="AS20" s="52">
        <f t="shared" si="8"/>
        <v>7928.3143197225254</v>
      </c>
      <c r="AT20" s="36">
        <f t="shared" si="9"/>
        <v>1.2503365814210397</v>
      </c>
      <c r="AU20" s="2">
        <f t="shared" si="10"/>
        <v>1982</v>
      </c>
      <c r="AV20" s="52">
        <f t="shared" si="11"/>
        <v>11278.274606044017</v>
      </c>
      <c r="AW20" s="128">
        <f t="shared" si="12"/>
        <v>8109.3926991383214</v>
      </c>
      <c r="AX20" s="187">
        <f t="shared" si="13"/>
        <v>65762249.948837906</v>
      </c>
      <c r="AY20" s="187"/>
      <c r="AZ20" s="2">
        <f t="shared" si="19"/>
        <v>1981</v>
      </c>
      <c r="BA20" s="179">
        <f t="shared" si="14"/>
        <v>15271.706767413616</v>
      </c>
      <c r="BB20" s="52">
        <f t="shared" si="15"/>
        <v>4527.9764142628437</v>
      </c>
      <c r="BC20" s="36">
        <f t="shared" si="16"/>
        <v>0.48040916148150375</v>
      </c>
      <c r="BD20" s="36">
        <f t="shared" si="20"/>
        <v>1982</v>
      </c>
      <c r="BE20" s="52">
        <f t="shared" si="21"/>
        <v>11864.644256787426</v>
      </c>
      <c r="BF20" s="128">
        <f t="shared" si="17"/>
        <v>4606.6905710309111</v>
      </c>
      <c r="BG20" s="187">
        <f t="shared" si="18"/>
        <v>21221598.017225102</v>
      </c>
      <c r="BH20" s="174"/>
      <c r="BI20" s="1"/>
      <c r="BJ20" s="57"/>
      <c r="BK20" s="167"/>
      <c r="BL20" s="176"/>
      <c r="BM20" s="1"/>
      <c r="BN20" s="174"/>
      <c r="BO20" s="174"/>
      <c r="BP20" s="175"/>
      <c r="BQ20" s="128"/>
      <c r="BR20" s="128"/>
      <c r="BS20" s="1"/>
      <c r="BT20" s="1"/>
      <c r="BU20" s="1"/>
      <c r="BV20" s="1"/>
    </row>
    <row r="21" spans="2:74" x14ac:dyDescent="0.2">
      <c r="B21" s="13">
        <f>Master!CH22</f>
        <v>1978</v>
      </c>
      <c r="C21" s="69">
        <f>Master!CI22</f>
        <v>0</v>
      </c>
      <c r="D21" s="86">
        <f>Master!CJ22</f>
        <v>5600.8816659415634</v>
      </c>
      <c r="E21" s="86">
        <f>Master!CK22</f>
        <v>22862.275424833642</v>
      </c>
      <c r="F21" s="86">
        <f>Master!CL22</f>
        <v>16404.691151466748</v>
      </c>
      <c r="G21" s="86">
        <f>Master!CM22</f>
        <v>24.443384669466806</v>
      </c>
      <c r="H21" s="86">
        <f>Master!CN22</f>
        <v>44892.291626911421</v>
      </c>
      <c r="J21" s="24">
        <f t="shared" si="0"/>
        <v>0</v>
      </c>
      <c r="K21" s="24">
        <f t="shared" si="1"/>
        <v>0.12476265886555951</v>
      </c>
      <c r="L21" s="24">
        <f t="shared" si="2"/>
        <v>0.50926951145279642</v>
      </c>
      <c r="M21" s="24">
        <f t="shared" si="3"/>
        <v>0.36542334010930033</v>
      </c>
      <c r="N21" s="24">
        <f t="shared" si="4"/>
        <v>5.4448957234372547E-4</v>
      </c>
      <c r="O21" s="24">
        <f t="shared" si="5"/>
        <v>1</v>
      </c>
      <c r="Q21" s="165"/>
      <c r="R21" s="165"/>
      <c r="S21" s="165"/>
      <c r="T21" s="1"/>
      <c r="U21" s="1"/>
      <c r="V21" s="174"/>
      <c r="W21" s="174"/>
      <c r="X21" s="174"/>
      <c r="Y21" s="174"/>
      <c r="Z21" s="174"/>
      <c r="AA21" s="174"/>
      <c r="AB21" s="1"/>
      <c r="AC21" s="57"/>
      <c r="AD21" s="174"/>
      <c r="AE21" s="176"/>
      <c r="AF21" s="1"/>
      <c r="AG21" s="1"/>
      <c r="AH21" s="1"/>
      <c r="AI21" s="1"/>
      <c r="AJ21" s="1"/>
      <c r="AK21" s="1"/>
      <c r="AL21" s="1"/>
      <c r="AM21" s="1"/>
      <c r="AN21" s="1"/>
      <c r="AO21" s="57"/>
      <c r="AP21" s="167"/>
      <c r="AQ21" s="2">
        <f t="shared" si="6"/>
        <v>1982</v>
      </c>
      <c r="AR21" s="179">
        <f t="shared" si="7"/>
        <v>5600.8816659415634</v>
      </c>
      <c r="AS21" s="52">
        <f t="shared" si="8"/>
        <v>7928.3143197225254</v>
      </c>
      <c r="AT21" s="36">
        <f t="shared" si="9"/>
        <v>1.2503365814210397</v>
      </c>
      <c r="AU21" s="2">
        <f t="shared" si="10"/>
        <v>1983</v>
      </c>
      <c r="AV21" s="52">
        <f t="shared" si="11"/>
        <v>14931.301554859678</v>
      </c>
      <c r="AW21" s="128">
        <f t="shared" si="12"/>
        <v>7930.9738699739646</v>
      </c>
      <c r="AX21" s="187">
        <f t="shared" si="13"/>
        <v>62900346.526209801</v>
      </c>
      <c r="AY21" s="187"/>
      <c r="AZ21" s="2">
        <f t="shared" si="19"/>
        <v>1982</v>
      </c>
      <c r="BA21" s="179">
        <f t="shared" si="14"/>
        <v>19387.667305182338</v>
      </c>
      <c r="BB21" s="52">
        <f t="shared" si="15"/>
        <v>4527.9764142628437</v>
      </c>
      <c r="BC21" s="36">
        <f t="shared" si="16"/>
        <v>0.48040916148150375</v>
      </c>
      <c r="BD21" s="36">
        <f t="shared" si="20"/>
        <v>1983</v>
      </c>
      <c r="BE21" s="52">
        <f t="shared" si="21"/>
        <v>13841.989407427856</v>
      </c>
      <c r="BF21" s="128">
        <f t="shared" si="17"/>
        <v>2562.7017440388918</v>
      </c>
      <c r="BG21" s="187">
        <f t="shared" si="18"/>
        <v>6567440.2288999772</v>
      </c>
      <c r="BH21" s="174"/>
      <c r="BI21" s="1"/>
      <c r="BJ21" s="57"/>
      <c r="BK21" s="167"/>
      <c r="BL21" s="176"/>
      <c r="BM21" s="1"/>
      <c r="BN21" s="174"/>
      <c r="BO21" s="174"/>
      <c r="BP21" s="175"/>
      <c r="BQ21" s="177"/>
      <c r="BR21" s="177"/>
      <c r="BS21" s="1"/>
      <c r="BT21" s="1"/>
      <c r="BU21" s="1"/>
      <c r="BV21" s="1"/>
    </row>
    <row r="22" spans="2:74" x14ac:dyDescent="0.2">
      <c r="B22" s="13">
        <f>Master!CH23</f>
        <v>1979</v>
      </c>
      <c r="C22" s="69">
        <f>Master!CI23</f>
        <v>0</v>
      </c>
      <c r="D22" s="86">
        <f>Master!CJ23</f>
        <v>10468.965098592047</v>
      </c>
      <c r="E22" s="86">
        <f>Master!CK23</f>
        <v>21417.23566997048</v>
      </c>
      <c r="F22" s="86">
        <f>Master!CL23</f>
        <v>20497.695775415767</v>
      </c>
      <c r="G22" s="86">
        <f>Master!CM23</f>
        <v>106.03706181086623</v>
      </c>
      <c r="H22" s="86">
        <f>Master!CN23</f>
        <v>52489.933605789156</v>
      </c>
      <c r="J22" s="24">
        <f t="shared" si="0"/>
        <v>0</v>
      </c>
      <c r="K22" s="24">
        <f t="shared" si="1"/>
        <v>0.19944710117593703</v>
      </c>
      <c r="L22" s="24">
        <f t="shared" si="2"/>
        <v>0.40802558126323019</v>
      </c>
      <c r="M22" s="24">
        <f t="shared" si="3"/>
        <v>0.39050717665901297</v>
      </c>
      <c r="N22" s="24">
        <f t="shared" si="4"/>
        <v>2.0201409018199123E-3</v>
      </c>
      <c r="O22" s="24">
        <f t="shared" si="5"/>
        <v>1</v>
      </c>
      <c r="Q22" s="165"/>
      <c r="R22" s="165"/>
      <c r="S22" s="165"/>
      <c r="T22" s="1"/>
      <c r="U22" s="1"/>
      <c r="V22" s="174"/>
      <c r="W22" s="174"/>
      <c r="X22" s="174"/>
      <c r="Y22" s="174"/>
      <c r="Z22" s="174"/>
      <c r="AA22" s="174"/>
      <c r="AB22" s="1"/>
      <c r="AC22" s="57"/>
      <c r="AD22" s="174"/>
      <c r="AE22" s="176"/>
      <c r="AF22" s="174"/>
      <c r="AG22" s="128"/>
      <c r="AH22" s="1"/>
      <c r="AI22" s="174"/>
      <c r="AJ22" s="174"/>
      <c r="AK22" s="1"/>
      <c r="AL22" s="165"/>
      <c r="AM22" s="165"/>
      <c r="AN22" s="1"/>
      <c r="AO22" s="57"/>
      <c r="AP22" s="167"/>
      <c r="AQ22" s="2">
        <f t="shared" si="6"/>
        <v>1983</v>
      </c>
      <c r="AR22" s="179">
        <f t="shared" si="7"/>
        <v>10468.965098592047</v>
      </c>
      <c r="AS22" s="52">
        <f t="shared" si="8"/>
        <v>7928.3143197225254</v>
      </c>
      <c r="AT22" s="36">
        <f t="shared" si="9"/>
        <v>1.2503365814210397</v>
      </c>
      <c r="AU22" s="2">
        <f t="shared" si="10"/>
        <v>1984</v>
      </c>
      <c r="AV22" s="52">
        <f t="shared" si="11"/>
        <v>21018.044352112283</v>
      </c>
      <c r="AW22" s="128">
        <f t="shared" si="12"/>
        <v>399.19131785819627</v>
      </c>
      <c r="AX22" s="187">
        <f t="shared" si="13"/>
        <v>159353.7082533635</v>
      </c>
      <c r="AY22" s="187"/>
      <c r="AZ22" s="2">
        <f t="shared" si="19"/>
        <v>1983</v>
      </c>
      <c r="BA22" s="179">
        <f t="shared" si="14"/>
        <v>22862.275424833642</v>
      </c>
      <c r="BB22" s="52">
        <f t="shared" si="15"/>
        <v>4527.9764142628437</v>
      </c>
      <c r="BC22" s="36">
        <f t="shared" si="16"/>
        <v>0.48040916148150375</v>
      </c>
      <c r="BD22" s="36">
        <f t="shared" si="20"/>
        <v>1984</v>
      </c>
      <c r="BE22" s="52">
        <f t="shared" si="21"/>
        <v>15511.222980666364</v>
      </c>
      <c r="BF22" s="128">
        <f t="shared" si="17"/>
        <v>4986.472794749403</v>
      </c>
      <c r="BG22" s="187">
        <f t="shared" si="18"/>
        <v>24864910.932775922</v>
      </c>
      <c r="BH22" s="174"/>
      <c r="BI22" s="1"/>
      <c r="BJ22" s="57"/>
      <c r="BK22" s="167"/>
      <c r="BL22" s="176"/>
      <c r="BM22" s="174"/>
      <c r="BN22" s="174"/>
      <c r="BO22" s="174"/>
      <c r="BP22" s="175"/>
      <c r="BQ22" s="177"/>
      <c r="BR22" s="177"/>
      <c r="BS22" s="1"/>
      <c r="BT22" s="1"/>
      <c r="BU22" s="1"/>
      <c r="BV22" s="1"/>
    </row>
    <row r="23" spans="2:74" x14ac:dyDescent="0.2">
      <c r="B23" s="13">
        <f>Master!CH24</f>
        <v>1980</v>
      </c>
      <c r="C23" s="69">
        <f>Master!CI24</f>
        <v>0</v>
      </c>
      <c r="D23" s="86">
        <f>Master!CJ24</f>
        <v>7746.659710414855</v>
      </c>
      <c r="E23" s="86">
        <f>Master!CK24</f>
        <v>21271.490957513954</v>
      </c>
      <c r="F23" s="86">
        <f>Master!CL24</f>
        <v>15978.824857683823</v>
      </c>
      <c r="G23" s="86">
        <f>Master!CM24</f>
        <v>19.198488504694232</v>
      </c>
      <c r="H23" s="86">
        <f>Master!CN24</f>
        <v>45016.174014117321</v>
      </c>
      <c r="J23" s="24">
        <f t="shared" si="0"/>
        <v>0</v>
      </c>
      <c r="K23" s="24">
        <f t="shared" si="1"/>
        <v>0.17208614192724286</v>
      </c>
      <c r="L23" s="24">
        <f t="shared" si="2"/>
        <v>0.4725299611389252</v>
      </c>
      <c r="M23" s="24">
        <f t="shared" si="3"/>
        <v>0.35495741714239809</v>
      </c>
      <c r="N23" s="24">
        <f t="shared" si="4"/>
        <v>4.2647979143392952E-4</v>
      </c>
      <c r="O23" s="24">
        <f t="shared" si="5"/>
        <v>1.0000000000000002</v>
      </c>
      <c r="Q23" s="165"/>
      <c r="R23" s="165"/>
      <c r="S23" s="165"/>
      <c r="T23" s="1"/>
      <c r="U23" s="1"/>
      <c r="V23" s="174"/>
      <c r="W23" s="174"/>
      <c r="X23" s="174"/>
      <c r="Y23" s="174"/>
      <c r="Z23" s="174"/>
      <c r="AA23" s="174"/>
      <c r="AB23" s="1"/>
      <c r="AC23" s="57"/>
      <c r="AD23" s="174"/>
      <c r="AE23" s="176"/>
      <c r="AF23" s="174"/>
      <c r="AG23" s="128"/>
      <c r="AH23" s="1"/>
      <c r="AI23" s="174"/>
      <c r="AJ23" s="174"/>
      <c r="AK23" s="1"/>
      <c r="AL23" s="165"/>
      <c r="AM23" s="165"/>
      <c r="AN23" s="1"/>
      <c r="AO23" s="57"/>
      <c r="AP23" s="167"/>
      <c r="AQ23" s="2">
        <f t="shared" si="6"/>
        <v>1984</v>
      </c>
      <c r="AR23" s="179">
        <f t="shared" si="7"/>
        <v>7746.659710414855</v>
      </c>
      <c r="AS23" s="52">
        <f t="shared" si="8"/>
        <v>7928.3143197225254</v>
      </c>
      <c r="AT23" s="36">
        <f t="shared" si="9"/>
        <v>1.2503365814210397</v>
      </c>
      <c r="AU23" s="2">
        <f t="shared" si="10"/>
        <v>1985</v>
      </c>
      <c r="AV23" s="52">
        <f t="shared" si="11"/>
        <v>17614.246339474736</v>
      </c>
      <c r="AW23" s="128">
        <f t="shared" si="12"/>
        <v>3657.244618039218</v>
      </c>
      <c r="AX23" s="187">
        <f t="shared" si="13"/>
        <v>13375438.196176825</v>
      </c>
      <c r="AY23" s="187"/>
      <c r="AZ23" s="2">
        <f t="shared" si="19"/>
        <v>1984</v>
      </c>
      <c r="BA23" s="179">
        <f t="shared" si="14"/>
        <v>21417.23566997048</v>
      </c>
      <c r="BB23" s="52">
        <f t="shared" si="15"/>
        <v>4527.9764142628437</v>
      </c>
      <c r="BC23" s="36">
        <f t="shared" si="16"/>
        <v>0.48040916148150375</v>
      </c>
      <c r="BD23" s="36">
        <f t="shared" si="20"/>
        <v>1985</v>
      </c>
      <c r="BE23" s="52">
        <f t="shared" si="21"/>
        <v>14817.012643725113</v>
      </c>
      <c r="BF23" s="128">
        <f t="shared" si="17"/>
        <v>1161.8122139587103</v>
      </c>
      <c r="BG23" s="187">
        <f t="shared" si="18"/>
        <v>1349807.62050364</v>
      </c>
      <c r="BH23" s="174"/>
      <c r="BI23" s="1"/>
      <c r="BJ23" s="57"/>
      <c r="BK23" s="167"/>
      <c r="BL23" s="176"/>
      <c r="BM23" s="174"/>
      <c r="BN23" s="174"/>
      <c r="BO23" s="174"/>
      <c r="BP23" s="175"/>
      <c r="BQ23" s="177"/>
      <c r="BR23" s="177"/>
      <c r="BS23" s="1"/>
      <c r="BT23" s="1"/>
      <c r="BU23" s="1"/>
      <c r="BV23" s="1"/>
    </row>
    <row r="24" spans="2:74" x14ac:dyDescent="0.2">
      <c r="B24" s="13">
        <f>Master!CH25</f>
        <v>1981</v>
      </c>
      <c r="C24" s="69">
        <f>Master!CI25</f>
        <v>0</v>
      </c>
      <c r="D24" s="86">
        <f>Master!CJ25</f>
        <v>7231.5618756382864</v>
      </c>
      <c r="E24" s="86">
        <f>Master!CK25</f>
        <v>23704.88683071189</v>
      </c>
      <c r="F24" s="86">
        <f>Master!CL25</f>
        <v>12989.544227520477</v>
      </c>
      <c r="G24" s="86">
        <f>Master!CM25</f>
        <v>1016.7732471517627</v>
      </c>
      <c r="H24" s="86">
        <f>Master!CN25</f>
        <v>44942.766181022416</v>
      </c>
      <c r="J24" s="24">
        <f t="shared" si="0"/>
        <v>0</v>
      </c>
      <c r="K24" s="24">
        <f t="shared" si="1"/>
        <v>0.1609060253770471</v>
      </c>
      <c r="L24" s="24">
        <f t="shared" si="2"/>
        <v>0.52744610189840835</v>
      </c>
      <c r="M24" s="24">
        <f t="shared" si="3"/>
        <v>0.28902413739289273</v>
      </c>
      <c r="N24" s="24">
        <f t="shared" si="4"/>
        <v>2.2623735331651806E-2</v>
      </c>
      <c r="O24" s="24">
        <f t="shared" si="5"/>
        <v>1</v>
      </c>
      <c r="Q24" s="165"/>
      <c r="R24" s="165"/>
      <c r="S24" s="165"/>
      <c r="T24" s="1"/>
      <c r="U24" s="1"/>
      <c r="V24" s="174"/>
      <c r="W24" s="174"/>
      <c r="X24" s="174"/>
      <c r="Y24" s="174"/>
      <c r="Z24" s="174"/>
      <c r="AA24" s="174"/>
      <c r="AB24" s="1"/>
      <c r="AC24" s="57"/>
      <c r="AD24" s="174"/>
      <c r="AE24" s="176"/>
      <c r="AF24" s="174"/>
      <c r="AG24" s="128"/>
      <c r="AH24" s="1"/>
      <c r="AI24" s="174"/>
      <c r="AJ24" s="174"/>
      <c r="AK24" s="1"/>
      <c r="AL24" s="165"/>
      <c r="AM24" s="165"/>
      <c r="AN24" s="1"/>
      <c r="AO24" s="57"/>
      <c r="AP24" s="167"/>
      <c r="AQ24" s="2">
        <f t="shared" si="6"/>
        <v>1985</v>
      </c>
      <c r="AR24" s="179">
        <f t="shared" si="7"/>
        <v>7231.5618756382864</v>
      </c>
      <c r="AS24" s="52">
        <f t="shared" si="8"/>
        <v>7928.3143197225254</v>
      </c>
      <c r="AT24" s="36">
        <f t="shared" si="9"/>
        <v>1.2503365814210397</v>
      </c>
      <c r="AU24" s="2">
        <f t="shared" si="10"/>
        <v>1986</v>
      </c>
      <c r="AV24" s="52">
        <f t="shared" si="11"/>
        <v>16970.200673642823</v>
      </c>
      <c r="AW24" s="128">
        <f t="shared" si="12"/>
        <v>6734.6861570690671</v>
      </c>
      <c r="AX24" s="187">
        <f t="shared" si="13"/>
        <v>45355997.634217717</v>
      </c>
      <c r="AY24" s="187"/>
      <c r="AZ24" s="2">
        <f t="shared" si="19"/>
        <v>1985</v>
      </c>
      <c r="BA24" s="179">
        <f t="shared" si="14"/>
        <v>21271.490957513954</v>
      </c>
      <c r="BB24" s="52">
        <f t="shared" si="15"/>
        <v>4527.9764142628437</v>
      </c>
      <c r="BC24" s="36">
        <f t="shared" si="16"/>
        <v>0.48040916148150375</v>
      </c>
      <c r="BD24" s="36">
        <f t="shared" si="20"/>
        <v>1986</v>
      </c>
      <c r="BE24" s="52">
        <f t="shared" si="21"/>
        <v>14746.995548623512</v>
      </c>
      <c r="BF24" s="128">
        <f t="shared" si="17"/>
        <v>-1757.4513211030353</v>
      </c>
      <c r="BG24" s="187">
        <f t="shared" si="18"/>
        <v>3088635.1460468043</v>
      </c>
      <c r="BH24" s="174"/>
      <c r="BI24" s="1"/>
      <c r="BJ24" s="57"/>
      <c r="BK24" s="167"/>
      <c r="BL24" s="176"/>
      <c r="BM24" s="174"/>
      <c r="BN24" s="174"/>
      <c r="BO24" s="174"/>
      <c r="BP24" s="175"/>
      <c r="BQ24" s="177"/>
      <c r="BR24" s="177"/>
      <c r="BS24" s="1"/>
      <c r="BT24" s="1"/>
      <c r="BU24" s="1"/>
      <c r="BV24" s="1"/>
    </row>
    <row r="25" spans="2:74" x14ac:dyDescent="0.2">
      <c r="B25" s="13">
        <f>Master!CH26</f>
        <v>1982</v>
      </c>
      <c r="C25" s="69">
        <f>Master!CI26</f>
        <v>0</v>
      </c>
      <c r="D25" s="69">
        <f>Master!CJ26</f>
        <v>19192.455588049419</v>
      </c>
      <c r="E25" s="69">
        <f>Master!CK26</f>
        <v>24362.216135631345</v>
      </c>
      <c r="F25" s="69">
        <f>Master!CL26</f>
        <v>31446.764835646642</v>
      </c>
      <c r="G25" s="69">
        <f>Master!CM26</f>
        <v>423.09569104644481</v>
      </c>
      <c r="H25" s="69">
        <f>Master!CN26</f>
        <v>75424.532250373843</v>
      </c>
      <c r="J25" s="24">
        <f t="shared" si="0"/>
        <v>0</v>
      </c>
      <c r="K25" s="24">
        <f t="shared" si="1"/>
        <v>0.25445906014159325</v>
      </c>
      <c r="L25" s="24">
        <f t="shared" si="2"/>
        <v>0.32300122266267806</v>
      </c>
      <c r="M25" s="24">
        <f t="shared" si="3"/>
        <v>0.41693019363061112</v>
      </c>
      <c r="N25" s="24">
        <f t="shared" si="4"/>
        <v>5.6095235651176046E-3</v>
      </c>
      <c r="O25" s="24">
        <f t="shared" si="5"/>
        <v>1</v>
      </c>
      <c r="Q25" s="165"/>
      <c r="R25" s="165"/>
      <c r="S25" s="165"/>
      <c r="T25" s="1"/>
      <c r="U25" s="1"/>
      <c r="V25" s="174"/>
      <c r="W25" s="174"/>
      <c r="X25" s="174"/>
      <c r="Y25" s="174"/>
      <c r="Z25" s="174"/>
      <c r="AA25" s="174"/>
      <c r="AB25" s="1"/>
      <c r="AC25" s="57"/>
      <c r="AD25" s="174"/>
      <c r="AE25" s="176"/>
      <c r="AF25" s="174"/>
      <c r="AG25" s="128"/>
      <c r="AH25" s="1"/>
      <c r="AI25" s="174"/>
      <c r="AJ25" s="174"/>
      <c r="AK25" s="1"/>
      <c r="AL25" s="165"/>
      <c r="AM25" s="165"/>
      <c r="AN25" s="1"/>
      <c r="AO25" s="57"/>
      <c r="AP25" s="167"/>
      <c r="AQ25" s="2">
        <f t="shared" si="6"/>
        <v>1986</v>
      </c>
      <c r="AR25" s="179">
        <f t="shared" si="7"/>
        <v>19192.455588049419</v>
      </c>
      <c r="AS25" s="52">
        <f t="shared" si="8"/>
        <v>7928.3143197225254</v>
      </c>
      <c r="AT25" s="36">
        <f t="shared" si="9"/>
        <v>1.2503365814210397</v>
      </c>
      <c r="AU25" s="2">
        <f t="shared" si="10"/>
        <v>1987</v>
      </c>
      <c r="AV25" s="52">
        <f t="shared" si="11"/>
        <v>31925.343628759365</v>
      </c>
      <c r="AW25" s="128">
        <f t="shared" si="12"/>
        <v>-7563.1274931280204</v>
      </c>
      <c r="AX25" s="187">
        <f t="shared" si="13"/>
        <v>57200897.477308936</v>
      </c>
      <c r="AY25" s="187"/>
      <c r="AZ25" s="2">
        <f t="shared" si="19"/>
        <v>1986</v>
      </c>
      <c r="BA25" s="179">
        <f t="shared" si="14"/>
        <v>23704.88683071189</v>
      </c>
      <c r="BB25" s="52">
        <f t="shared" si="15"/>
        <v>4527.9764142628437</v>
      </c>
      <c r="BC25" s="36">
        <f t="shared" si="16"/>
        <v>0.48040916148150375</v>
      </c>
      <c r="BD25" s="36">
        <f t="shared" si="20"/>
        <v>1987</v>
      </c>
      <c r="BE25" s="52">
        <f t="shared" si="21"/>
        <v>15916.021219619084</v>
      </c>
      <c r="BF25" s="128">
        <f t="shared" si="17"/>
        <v>15530.743616027557</v>
      </c>
      <c r="BG25" s="187">
        <f t="shared" si="18"/>
        <v>241203997.26678073</v>
      </c>
      <c r="BH25" s="174"/>
      <c r="BI25" s="1"/>
      <c r="BJ25" s="57"/>
      <c r="BK25" s="167"/>
      <c r="BL25" s="176"/>
      <c r="BM25" s="174"/>
      <c r="BN25" s="174"/>
      <c r="BO25" s="174"/>
      <c r="BP25" s="175"/>
      <c r="BQ25" s="177"/>
      <c r="BR25" s="177"/>
      <c r="BS25" s="1"/>
      <c r="BT25" s="1"/>
      <c r="BU25" s="1"/>
      <c r="BV25" s="1"/>
    </row>
    <row r="26" spans="2:74" x14ac:dyDescent="0.2">
      <c r="B26" s="13">
        <f>Master!CH27</f>
        <v>1983</v>
      </c>
      <c r="C26" s="69">
        <f>Master!CI27</f>
        <v>39.819914188906367</v>
      </c>
      <c r="D26" s="69">
        <f>Master!CJ27</f>
        <v>7183.191347251166</v>
      </c>
      <c r="E26" s="69">
        <f>Master!CK27</f>
        <v>13259.725313862651</v>
      </c>
      <c r="F26" s="69">
        <f>Master!CL27</f>
        <v>15608.843390360413</v>
      </c>
      <c r="G26" s="69">
        <f>Master!CM27</f>
        <v>189.23438582020836</v>
      </c>
      <c r="H26" s="69">
        <f>Master!CN27</f>
        <v>36280.814351483343</v>
      </c>
      <c r="J26" s="24">
        <f t="shared" si="0"/>
        <v>1.097547420053385E-3</v>
      </c>
      <c r="K26" s="24">
        <f t="shared" si="1"/>
        <v>0.19798870217359057</v>
      </c>
      <c r="L26" s="24">
        <f t="shared" si="2"/>
        <v>0.36547485360731785</v>
      </c>
      <c r="M26" s="24">
        <f t="shared" si="3"/>
        <v>0.43022307159768164</v>
      </c>
      <c r="N26" s="24">
        <f t="shared" si="4"/>
        <v>5.2158252013566365E-3</v>
      </c>
      <c r="O26" s="24">
        <f t="shared" si="5"/>
        <v>1</v>
      </c>
      <c r="Q26" s="165"/>
      <c r="R26" s="165"/>
      <c r="S26" s="165"/>
      <c r="T26" s="1"/>
      <c r="U26" s="1"/>
      <c r="V26" s="174"/>
      <c r="W26" s="174"/>
      <c r="X26" s="174"/>
      <c r="Y26" s="174"/>
      <c r="Z26" s="174"/>
      <c r="AA26" s="174"/>
      <c r="AB26" s="1"/>
      <c r="AC26" s="57"/>
      <c r="AD26" s="174"/>
      <c r="AE26" s="176"/>
      <c r="AF26" s="174"/>
      <c r="AG26" s="128"/>
      <c r="AH26" s="1"/>
      <c r="AI26" s="174"/>
      <c r="AJ26" s="174"/>
      <c r="AK26" s="1"/>
      <c r="AL26" s="165"/>
      <c r="AM26" s="165"/>
      <c r="AN26" s="1"/>
      <c r="AO26" s="57"/>
      <c r="AP26" s="167"/>
      <c r="AQ26" s="2">
        <f t="shared" si="6"/>
        <v>1987</v>
      </c>
      <c r="AR26" s="179">
        <f t="shared" si="7"/>
        <v>7183.191347251166</v>
      </c>
      <c r="AS26" s="52">
        <f t="shared" si="8"/>
        <v>7928.3143197225254</v>
      </c>
      <c r="AT26" s="36">
        <f t="shared" si="9"/>
        <v>1.2503365814210397</v>
      </c>
      <c r="AU26" s="2">
        <f t="shared" si="10"/>
        <v>1988</v>
      </c>
      <c r="AV26" s="52">
        <f t="shared" si="11"/>
        <v>16909.72123253774</v>
      </c>
      <c r="AW26" s="128">
        <f t="shared" si="12"/>
        <v>-3649.9959186750893</v>
      </c>
      <c r="AX26" s="187">
        <f t="shared" si="13"/>
        <v>13322470.206344809</v>
      </c>
      <c r="AY26" s="187"/>
      <c r="AZ26" s="2">
        <f t="shared" si="19"/>
        <v>1987</v>
      </c>
      <c r="BA26" s="179">
        <f t="shared" si="14"/>
        <v>24362.216135631345</v>
      </c>
      <c r="BB26" s="52">
        <f t="shared" si="15"/>
        <v>4527.9764142628437</v>
      </c>
      <c r="BC26" s="36">
        <f t="shared" si="16"/>
        <v>0.48040916148150375</v>
      </c>
      <c r="BD26" s="36">
        <f t="shared" si="20"/>
        <v>1988</v>
      </c>
      <c r="BE26" s="52">
        <f t="shared" si="21"/>
        <v>16231.808239812657</v>
      </c>
      <c r="BF26" s="128">
        <f t="shared" si="17"/>
        <v>-622.96484945224438</v>
      </c>
      <c r="BG26" s="187">
        <f t="shared" si="18"/>
        <v>388085.20365305751</v>
      </c>
      <c r="BH26" s="174"/>
      <c r="BI26" s="1"/>
      <c r="BJ26" s="57"/>
      <c r="BK26" s="167"/>
      <c r="BL26" s="176"/>
      <c r="BM26" s="174"/>
      <c r="BN26" s="174"/>
      <c r="BO26" s="174"/>
      <c r="BP26" s="175"/>
      <c r="BQ26" s="177"/>
      <c r="BR26" s="177"/>
      <c r="BS26" s="1"/>
      <c r="BT26" s="1"/>
      <c r="BU26" s="1"/>
      <c r="BV26" s="1"/>
    </row>
    <row r="27" spans="2:74" x14ac:dyDescent="0.2">
      <c r="B27" s="13">
        <f>Master!CH28</f>
        <v>1984</v>
      </c>
      <c r="C27" s="69">
        <f>Master!CI28</f>
        <v>14.991663519195342</v>
      </c>
      <c r="D27" s="69">
        <f>Master!CJ28</f>
        <v>6415.0947290311151</v>
      </c>
      <c r="E27" s="69">
        <f>Master!CK28</f>
        <v>8772.3547130158586</v>
      </c>
      <c r="F27" s="69">
        <f>Master!CL28</f>
        <v>19973.670871318893</v>
      </c>
      <c r="G27" s="69">
        <f>Master!CM28</f>
        <v>1.147653819448645</v>
      </c>
      <c r="H27" s="69">
        <f>Master!CN28</f>
        <v>35177.25963070451</v>
      </c>
      <c r="J27" s="24">
        <f t="shared" si="0"/>
        <v>4.2617485490853451E-4</v>
      </c>
      <c r="K27" s="24">
        <f t="shared" si="1"/>
        <v>0.18236482308109336</v>
      </c>
      <c r="L27" s="24">
        <f t="shared" si="2"/>
        <v>0.2493757275327638</v>
      </c>
      <c r="M27" s="24">
        <f t="shared" si="3"/>
        <v>0.5678006496527902</v>
      </c>
      <c r="N27" s="24">
        <f t="shared" si="4"/>
        <v>3.2624878444110358E-5</v>
      </c>
      <c r="O27" s="24">
        <f t="shared" si="5"/>
        <v>1</v>
      </c>
      <c r="Q27" s="165"/>
      <c r="R27" s="165"/>
      <c r="S27" s="165"/>
      <c r="T27" s="1"/>
      <c r="U27" s="1"/>
      <c r="V27" s="174"/>
      <c r="W27" s="174"/>
      <c r="X27" s="174"/>
      <c r="Y27" s="174"/>
      <c r="Z27" s="174"/>
      <c r="AA27" s="174"/>
      <c r="AB27" s="1"/>
      <c r="AC27" s="57"/>
      <c r="AD27" s="174"/>
      <c r="AE27" s="176"/>
      <c r="AF27" s="174"/>
      <c r="AG27" s="128"/>
      <c r="AH27" s="1"/>
      <c r="AI27" s="174"/>
      <c r="AJ27" s="174"/>
      <c r="AK27" s="1"/>
      <c r="AL27" s="165"/>
      <c r="AM27" s="165"/>
      <c r="AN27" s="1"/>
      <c r="AO27" s="57"/>
      <c r="AP27" s="167"/>
      <c r="AQ27" s="2">
        <f t="shared" si="6"/>
        <v>1988</v>
      </c>
      <c r="AR27" s="179">
        <f t="shared" si="7"/>
        <v>6415.0947290311151</v>
      </c>
      <c r="AS27" s="52">
        <f t="shared" si="8"/>
        <v>7928.3143197225254</v>
      </c>
      <c r="AT27" s="36">
        <f t="shared" si="9"/>
        <v>1.2503365814210397</v>
      </c>
      <c r="AU27" s="2">
        <f t="shared" si="10"/>
        <v>1989</v>
      </c>
      <c r="AV27" s="52">
        <f t="shared" si="11"/>
        <v>15949.341932711421</v>
      </c>
      <c r="AW27" s="128">
        <f t="shared" si="12"/>
        <v>-7176.9872196955621</v>
      </c>
      <c r="AX27" s="187">
        <f t="shared" si="13"/>
        <v>51509145.551673435</v>
      </c>
      <c r="AY27" s="187"/>
      <c r="AZ27" s="2">
        <f t="shared" si="19"/>
        <v>1988</v>
      </c>
      <c r="BA27" s="179">
        <f t="shared" si="14"/>
        <v>13259.725313862651</v>
      </c>
      <c r="BB27" s="52">
        <f t="shared" si="15"/>
        <v>4527.9764142628437</v>
      </c>
      <c r="BC27" s="36">
        <f t="shared" si="16"/>
        <v>0.48040916148150375</v>
      </c>
      <c r="BD27" s="36">
        <f t="shared" si="20"/>
        <v>1989</v>
      </c>
      <c r="BE27" s="52">
        <f t="shared" si="21"/>
        <v>10898.069933770668</v>
      </c>
      <c r="BF27" s="128">
        <f t="shared" si="17"/>
        <v>9075.6009375482245</v>
      </c>
      <c r="BG27" s="187">
        <f t="shared" si="18"/>
        <v>82366532.37762621</v>
      </c>
      <c r="BH27" s="174"/>
      <c r="BI27" s="1"/>
      <c r="BJ27" s="57"/>
      <c r="BK27" s="167"/>
      <c r="BL27" s="176"/>
      <c r="BM27" s="174"/>
      <c r="BN27" s="174"/>
      <c r="BO27" s="174"/>
      <c r="BP27" s="175"/>
      <c r="BQ27" s="177"/>
      <c r="BR27" s="177"/>
      <c r="BS27" s="1"/>
      <c r="BT27" s="1"/>
      <c r="BU27" s="1"/>
      <c r="BV27" s="1"/>
    </row>
    <row r="28" spans="2:74" x14ac:dyDescent="0.2">
      <c r="B28" s="13">
        <f>Master!CH29</f>
        <v>1985</v>
      </c>
      <c r="C28" s="69">
        <f>Master!CI29</f>
        <v>494.61491108898304</v>
      </c>
      <c r="D28" s="69">
        <f>Master!CJ29</f>
        <v>8405.053144055224</v>
      </c>
      <c r="E28" s="69">
        <f>Master!CK29</f>
        <v>22338.270368294605</v>
      </c>
      <c r="F28" s="69">
        <f>Master!CL29</f>
        <v>15904.842762988237</v>
      </c>
      <c r="G28" s="69">
        <f>Master!CM29</f>
        <v>14.929660642884723</v>
      </c>
      <c r="H28" s="69">
        <f>Master!CN29</f>
        <v>47157.710847069931</v>
      </c>
      <c r="J28" s="24">
        <f t="shared" si="0"/>
        <v>1.0488526737292107E-2</v>
      </c>
      <c r="K28" s="24">
        <f t="shared" si="1"/>
        <v>0.17823284873416323</v>
      </c>
      <c r="L28" s="24">
        <f t="shared" si="2"/>
        <v>0.47369284825415903</v>
      </c>
      <c r="M28" s="24">
        <f t="shared" si="3"/>
        <v>0.33726918625390528</v>
      </c>
      <c r="N28" s="24">
        <f t="shared" si="4"/>
        <v>3.1659002048044395E-4</v>
      </c>
      <c r="O28" s="24">
        <f t="shared" si="5"/>
        <v>1</v>
      </c>
      <c r="Q28" s="165"/>
      <c r="R28" s="165"/>
      <c r="S28" s="165"/>
      <c r="T28" s="1"/>
      <c r="U28" s="1"/>
      <c r="V28" s="174"/>
      <c r="W28" s="174"/>
      <c r="X28" s="174"/>
      <c r="Y28" s="174"/>
      <c r="Z28" s="174"/>
      <c r="AA28" s="174"/>
      <c r="AB28" s="1"/>
      <c r="AC28" s="57"/>
      <c r="AD28" s="174"/>
      <c r="AE28" s="176"/>
      <c r="AF28" s="174"/>
      <c r="AG28" s="128"/>
      <c r="AH28" s="1"/>
      <c r="AI28" s="174"/>
      <c r="AJ28" s="174"/>
      <c r="AK28" s="1"/>
      <c r="AL28" s="165"/>
      <c r="AM28" s="165"/>
      <c r="AN28" s="1"/>
      <c r="AO28" s="57"/>
      <c r="AP28" s="167"/>
      <c r="AQ28" s="2">
        <f t="shared" si="6"/>
        <v>1989</v>
      </c>
      <c r="AR28" s="179">
        <f t="shared" si="7"/>
        <v>8405.053144055224</v>
      </c>
      <c r="AS28" s="52">
        <f t="shared" si="8"/>
        <v>7928.3143197225254</v>
      </c>
      <c r="AT28" s="36">
        <f t="shared" si="9"/>
        <v>1.2503365814210397</v>
      </c>
      <c r="AU28" s="2">
        <f t="shared" si="10"/>
        <v>1990</v>
      </c>
      <c r="AV28" s="52">
        <f t="shared" si="11"/>
        <v>18437.459734522694</v>
      </c>
      <c r="AW28" s="128">
        <f t="shared" si="12"/>
        <v>3900.8106337719109</v>
      </c>
      <c r="AX28" s="187">
        <f t="shared" si="13"/>
        <v>15216323.600548018</v>
      </c>
      <c r="AY28" s="187"/>
      <c r="AZ28" s="2">
        <f t="shared" si="19"/>
        <v>1989</v>
      </c>
      <c r="BA28" s="179">
        <f t="shared" si="14"/>
        <v>8772.3547130158586</v>
      </c>
      <c r="BB28" s="52">
        <f t="shared" si="15"/>
        <v>4527.9764142628437</v>
      </c>
      <c r="BC28" s="36">
        <f t="shared" si="16"/>
        <v>0.48040916148150375</v>
      </c>
      <c r="BD28" s="36">
        <f t="shared" si="20"/>
        <v>1990</v>
      </c>
      <c r="BE28" s="52">
        <f t="shared" si="21"/>
        <v>8742.2959861611089</v>
      </c>
      <c r="BF28" s="128">
        <f t="shared" si="17"/>
        <v>7162.5467768271283</v>
      </c>
      <c r="BG28" s="187">
        <f t="shared" si="18"/>
        <v>51302076.330236681</v>
      </c>
      <c r="BH28" s="174"/>
      <c r="BI28" s="1"/>
      <c r="BJ28" s="57"/>
      <c r="BK28" s="167"/>
      <c r="BL28" s="176"/>
      <c r="BM28" s="174"/>
      <c r="BN28" s="174"/>
      <c r="BO28" s="174"/>
      <c r="BP28" s="175"/>
      <c r="BQ28" s="177"/>
      <c r="BR28" s="177"/>
      <c r="BS28" s="1"/>
      <c r="BT28" s="1"/>
      <c r="BU28" s="1"/>
      <c r="BV28" s="1"/>
    </row>
    <row r="29" spans="2:74" x14ac:dyDescent="0.2">
      <c r="B29" s="13">
        <f>Master!CH30</f>
        <v>1986</v>
      </c>
      <c r="C29" s="69">
        <f>Master!CI30</f>
        <v>512.84272813744928</v>
      </c>
      <c r="D29" s="69">
        <f>Master!CJ30</f>
        <v>8767.5373197158842</v>
      </c>
      <c r="E29" s="69">
        <f>Master!CK30</f>
        <v>11060.495209749653</v>
      </c>
      <c r="F29" s="69">
        <f>Master!CL30</f>
        <v>10566.346948847491</v>
      </c>
      <c r="G29" s="69">
        <f>Master!CM30</f>
        <v>9.4863293221010103</v>
      </c>
      <c r="H29" s="69">
        <f>Master!CN30</f>
        <v>30916.708535772581</v>
      </c>
      <c r="J29" s="24">
        <f t="shared" si="0"/>
        <v>1.6587882488980285E-2</v>
      </c>
      <c r="K29" s="24">
        <f t="shared" si="1"/>
        <v>0.28358572871919047</v>
      </c>
      <c r="L29" s="24">
        <f t="shared" si="2"/>
        <v>0.35775138213539009</v>
      </c>
      <c r="M29" s="24">
        <f t="shared" si="3"/>
        <v>0.34176817162220102</v>
      </c>
      <c r="N29" s="24">
        <f t="shared" si="4"/>
        <v>3.0683503423803118E-4</v>
      </c>
      <c r="O29" s="24">
        <f t="shared" si="5"/>
        <v>0.99999999999999989</v>
      </c>
      <c r="Q29" s="165"/>
      <c r="R29" s="165"/>
      <c r="S29" s="165"/>
      <c r="T29" s="1"/>
      <c r="U29" s="1"/>
      <c r="V29" s="174"/>
      <c r="W29" s="174"/>
      <c r="X29" s="174"/>
      <c r="Y29" s="174"/>
      <c r="Z29" s="174"/>
      <c r="AA29" s="174"/>
      <c r="AB29" s="1"/>
      <c r="AC29" s="57"/>
      <c r="AD29" s="174"/>
      <c r="AE29" s="176"/>
      <c r="AF29" s="174"/>
      <c r="AG29" s="128"/>
      <c r="AH29" s="1"/>
      <c r="AI29" s="174"/>
      <c r="AJ29" s="174"/>
      <c r="AK29" s="1"/>
      <c r="AL29" s="165"/>
      <c r="AM29" s="165"/>
      <c r="AN29" s="1"/>
      <c r="AO29" s="57"/>
      <c r="AP29" s="167"/>
      <c r="AQ29" s="2">
        <f t="shared" si="6"/>
        <v>1990</v>
      </c>
      <c r="AR29" s="179">
        <f t="shared" si="7"/>
        <v>8767.5373197158842</v>
      </c>
      <c r="AS29" s="52">
        <f t="shared" si="8"/>
        <v>7928.3143197225254</v>
      </c>
      <c r="AT29" s="36">
        <f t="shared" si="9"/>
        <v>1.2503365814210397</v>
      </c>
      <c r="AU29" s="2">
        <f t="shared" si="10"/>
        <v>1991</v>
      </c>
      <c r="AV29" s="52">
        <f t="shared" si="11"/>
        <v>18890.686959537466</v>
      </c>
      <c r="AW29" s="128">
        <f t="shared" si="12"/>
        <v>-7830.191749787813</v>
      </c>
      <c r="AX29" s="187">
        <f t="shared" si="13"/>
        <v>61311902.838445134</v>
      </c>
      <c r="AY29" s="187"/>
      <c r="AZ29" s="2">
        <f t="shared" si="19"/>
        <v>1990</v>
      </c>
      <c r="BA29" s="179">
        <f t="shared" si="14"/>
        <v>22338.270368294605</v>
      </c>
      <c r="BB29" s="52">
        <f t="shared" si="15"/>
        <v>4527.9764142628437</v>
      </c>
      <c r="BC29" s="36">
        <f t="shared" si="16"/>
        <v>0.48040916148150375</v>
      </c>
      <c r="BD29" s="36">
        <f t="shared" si="20"/>
        <v>1991</v>
      </c>
      <c r="BE29" s="52">
        <f t="shared" si="21"/>
        <v>15259.486150842378</v>
      </c>
      <c r="BF29" s="128">
        <f t="shared" si="17"/>
        <v>-4693.1392019948871</v>
      </c>
      <c r="BG29" s="187">
        <f t="shared" si="18"/>
        <v>22025555.569301207</v>
      </c>
      <c r="BH29" s="174"/>
      <c r="BI29" s="1"/>
      <c r="BJ29" s="57"/>
      <c r="BK29" s="167"/>
      <c r="BL29" s="176"/>
      <c r="BM29" s="174"/>
      <c r="BN29" s="174"/>
      <c r="BO29" s="174"/>
      <c r="BP29" s="175"/>
      <c r="BQ29" s="177"/>
      <c r="BR29" s="177"/>
      <c r="BS29" s="1"/>
      <c r="BT29" s="1"/>
      <c r="BU29" s="1"/>
      <c r="BV29" s="1"/>
    </row>
    <row r="30" spans="2:74" x14ac:dyDescent="0.2">
      <c r="B30" s="13">
        <f>Master!CH31</f>
        <v>1987</v>
      </c>
      <c r="C30" s="69">
        <f>Master!CI31</f>
        <v>474.41726944677896</v>
      </c>
      <c r="D30" s="69">
        <f>Master!CJ31</f>
        <v>4906.3184184722631</v>
      </c>
      <c r="E30" s="69">
        <f>Master!CK31</f>
        <v>8952.337306880132</v>
      </c>
      <c r="F30" s="69">
        <f>Master!CL31</f>
        <v>7367.4248176555466</v>
      </c>
      <c r="G30" s="69">
        <f>Master!CM31</f>
        <v>100.56368004228842</v>
      </c>
      <c r="H30" s="69">
        <f>Master!CN31</f>
        <v>21801.061492497007</v>
      </c>
      <c r="J30" s="39">
        <f t="shared" si="0"/>
        <v>2.1761200463108327E-2</v>
      </c>
      <c r="K30" s="39">
        <f t="shared" si="1"/>
        <v>0.22504951972915668</v>
      </c>
      <c r="L30" s="39">
        <f t="shared" si="2"/>
        <v>0.41063767972771159</v>
      </c>
      <c r="M30" s="39">
        <f t="shared" si="3"/>
        <v>0.33793881184139124</v>
      </c>
      <c r="N30" s="24">
        <f t="shared" si="4"/>
        <v>4.6127882386322403E-3</v>
      </c>
      <c r="O30" s="24">
        <f t="shared" si="5"/>
        <v>1</v>
      </c>
      <c r="Q30" s="165"/>
      <c r="R30" s="165"/>
      <c r="S30" s="165"/>
      <c r="T30" s="1"/>
      <c r="U30" s="1"/>
      <c r="V30" s="174"/>
      <c r="W30" s="174"/>
      <c r="X30" s="174"/>
      <c r="Y30" s="174"/>
      <c r="Z30" s="174"/>
      <c r="AA30" s="174"/>
      <c r="AB30" s="1"/>
      <c r="AC30" s="57"/>
      <c r="AD30" s="174"/>
      <c r="AE30" s="176"/>
      <c r="AF30" s="174"/>
      <c r="AG30" s="128"/>
      <c r="AH30" s="1"/>
      <c r="AI30" s="174"/>
      <c r="AJ30" s="174"/>
      <c r="AK30" s="1"/>
      <c r="AL30" s="165"/>
      <c r="AM30" s="165"/>
      <c r="AN30" s="1"/>
      <c r="AO30" s="57"/>
      <c r="AP30" s="167"/>
      <c r="AQ30" s="2">
        <f t="shared" si="6"/>
        <v>1991</v>
      </c>
      <c r="AR30" s="179">
        <f t="shared" si="7"/>
        <v>4906.3184184722631</v>
      </c>
      <c r="AS30" s="52">
        <f t="shared" si="8"/>
        <v>7928.3143197225254</v>
      </c>
      <c r="AT30" s="36">
        <f t="shared" si="9"/>
        <v>1.2503365814210397</v>
      </c>
      <c r="AU30" s="2">
        <f t="shared" si="10"/>
        <v>1992</v>
      </c>
      <c r="AV30" s="52">
        <f t="shared" si="11"/>
        <v>14062.863718438217</v>
      </c>
      <c r="AW30" s="128">
        <f t="shared" si="12"/>
        <v>-5110.5264115580849</v>
      </c>
      <c r="AX30" s="187">
        <f t="shared" si="13"/>
        <v>26117480.203232758</v>
      </c>
      <c r="AY30" s="187"/>
      <c r="AZ30" s="2">
        <f t="shared" si="19"/>
        <v>1991</v>
      </c>
      <c r="BA30" s="179">
        <f t="shared" si="14"/>
        <v>11060.495209749653</v>
      </c>
      <c r="BB30" s="52">
        <f t="shared" si="15"/>
        <v>4527.9764142628437</v>
      </c>
      <c r="BC30" s="36">
        <f t="shared" si="16"/>
        <v>0.48040916148150375</v>
      </c>
      <c r="BD30" s="36">
        <f t="shared" si="20"/>
        <v>1992</v>
      </c>
      <c r="BE30" s="52">
        <f t="shared" si="21"/>
        <v>9841.5396435488638</v>
      </c>
      <c r="BF30" s="128">
        <f t="shared" si="17"/>
        <v>-2474.1148258933172</v>
      </c>
      <c r="BG30" s="187">
        <f t="shared" si="18"/>
        <v>6121244.1717051193</v>
      </c>
      <c r="BH30" s="174"/>
      <c r="BI30" s="1"/>
      <c r="BJ30" s="57"/>
      <c r="BK30" s="167"/>
      <c r="BL30" s="176"/>
      <c r="BM30" s="174"/>
      <c r="BN30" s="174"/>
      <c r="BO30" s="174"/>
      <c r="BP30" s="175"/>
      <c r="BQ30" s="177"/>
      <c r="BR30" s="177"/>
      <c r="BS30" s="1"/>
      <c r="BT30" s="1"/>
      <c r="BU30" s="1"/>
      <c r="BV30" s="1"/>
    </row>
    <row r="31" spans="2:74" x14ac:dyDescent="0.2">
      <c r="B31" s="13">
        <f>Master!CH32</f>
        <v>1988</v>
      </c>
      <c r="C31" s="69">
        <f>Master!CI32</f>
        <v>0</v>
      </c>
      <c r="D31" s="69">
        <f>Master!CJ32</f>
        <v>5848.313870963615</v>
      </c>
      <c r="E31" s="69">
        <f>Master!CK32</f>
        <v>10369.473715093151</v>
      </c>
      <c r="F31" s="69">
        <f>Master!CL32</f>
        <v>4305.4615651202876</v>
      </c>
      <c r="G31" s="69">
        <f>Master!CM32</f>
        <v>167.08999671531134</v>
      </c>
      <c r="H31" s="69">
        <f>Master!CN32</f>
        <v>20690.339147892366</v>
      </c>
      <c r="J31" s="24">
        <f t="shared" si="0"/>
        <v>0</v>
      </c>
      <c r="K31" s="24">
        <f t="shared" si="1"/>
        <v>0.28265915938644037</v>
      </c>
      <c r="L31" s="24">
        <f t="shared" si="2"/>
        <v>0.50117466132252564</v>
      </c>
      <c r="M31" s="24">
        <f t="shared" si="3"/>
        <v>0.20809042975783537</v>
      </c>
      <c r="N31" s="24">
        <f t="shared" si="4"/>
        <v>8.0757495331985445E-3</v>
      </c>
      <c r="O31" s="24">
        <f t="shared" si="5"/>
        <v>0.99999999999999989</v>
      </c>
      <c r="Q31" s="165"/>
      <c r="R31" s="165"/>
      <c r="S31" s="165"/>
      <c r="T31" s="1"/>
      <c r="U31" s="1"/>
      <c r="V31" s="174"/>
      <c r="W31" s="174"/>
      <c r="X31" s="174"/>
      <c r="Y31" s="174"/>
      <c r="Z31" s="174"/>
      <c r="AA31" s="174"/>
      <c r="AB31" s="1"/>
      <c r="AC31" s="57"/>
      <c r="AD31" s="174"/>
      <c r="AE31" s="176"/>
      <c r="AF31" s="174"/>
      <c r="AG31" s="128"/>
      <c r="AH31" s="1"/>
      <c r="AI31" s="174"/>
      <c r="AJ31" s="174"/>
      <c r="AK31" s="1"/>
      <c r="AL31" s="165"/>
      <c r="AM31" s="165"/>
      <c r="AN31" s="1"/>
      <c r="AO31" s="57"/>
      <c r="AP31" s="167"/>
      <c r="AQ31" s="2">
        <f t="shared" si="6"/>
        <v>1992</v>
      </c>
      <c r="AR31" s="179">
        <f t="shared" si="7"/>
        <v>5848.313870963615</v>
      </c>
      <c r="AS31" s="52">
        <f t="shared" si="8"/>
        <v>7928.3143197225254</v>
      </c>
      <c r="AT31" s="36">
        <f t="shared" si="9"/>
        <v>1.2503365814210397</v>
      </c>
      <c r="AU31" s="2">
        <f t="shared" si="10"/>
        <v>1993</v>
      </c>
      <c r="AV31" s="52">
        <f t="shared" si="11"/>
        <v>15240.675092220419</v>
      </c>
      <c r="AW31" s="128">
        <f t="shared" si="12"/>
        <v>-4871.2013771272686</v>
      </c>
      <c r="AX31" s="187">
        <f t="shared" si="13"/>
        <v>23728602.856526598</v>
      </c>
      <c r="AY31" s="187"/>
      <c r="AZ31" s="2">
        <f t="shared" si="19"/>
        <v>1992</v>
      </c>
      <c r="BA31" s="179">
        <f t="shared" si="14"/>
        <v>8952.337306880132</v>
      </c>
      <c r="BB31" s="52">
        <f t="shared" si="15"/>
        <v>4527.9764142628437</v>
      </c>
      <c r="BC31" s="36">
        <f t="shared" si="16"/>
        <v>0.48040916148150375</v>
      </c>
      <c r="BD31" s="36">
        <f t="shared" si="20"/>
        <v>1993</v>
      </c>
      <c r="BE31" s="52">
        <f t="shared" si="21"/>
        <v>8828.7612731607114</v>
      </c>
      <c r="BF31" s="128">
        <f t="shared" si="17"/>
        <v>-4523.2997080404239</v>
      </c>
      <c r="BG31" s="187">
        <f t="shared" si="18"/>
        <v>20460240.248758584</v>
      </c>
      <c r="BH31" s="174"/>
      <c r="BI31" s="1"/>
      <c r="BJ31" s="57"/>
      <c r="BK31" s="167"/>
      <c r="BL31" s="176"/>
      <c r="BM31" s="174"/>
      <c r="BN31" s="174"/>
      <c r="BO31" s="174"/>
      <c r="BP31" s="175"/>
      <c r="BQ31" s="177"/>
      <c r="BR31" s="177"/>
      <c r="BS31" s="1"/>
      <c r="BT31" s="1"/>
      <c r="BU31" s="1"/>
      <c r="BV31" s="1"/>
    </row>
    <row r="32" spans="2:74" x14ac:dyDescent="0.2">
      <c r="B32" s="13">
        <f>Master!CH33</f>
        <v>1989</v>
      </c>
      <c r="C32" s="69">
        <f>Master!CI33</f>
        <v>3041.0043261762562</v>
      </c>
      <c r="D32" s="69">
        <f>Master!CJ33</f>
        <v>4711.3773275208714</v>
      </c>
      <c r="E32" s="69">
        <f>Master!CK33</f>
        <v>4583.8690687893459</v>
      </c>
      <c r="F32" s="69">
        <f>Master!CL33</f>
        <v>3286.3170388531744</v>
      </c>
      <c r="G32" s="69">
        <f>Master!CM33</f>
        <v>0</v>
      </c>
      <c r="H32" s="69">
        <f>Master!CN33</f>
        <v>15622.567761339649</v>
      </c>
      <c r="J32" s="24">
        <f t="shared" si="0"/>
        <v>0.19465457744415554</v>
      </c>
      <c r="K32" s="24">
        <f t="shared" si="1"/>
        <v>0.30157509312776803</v>
      </c>
      <c r="L32" s="24">
        <f t="shared" si="2"/>
        <v>0.29341329407658623</v>
      </c>
      <c r="M32" s="24">
        <f t="shared" si="3"/>
        <v>0.21035703535149011</v>
      </c>
      <c r="N32" s="24">
        <f t="shared" si="4"/>
        <v>0</v>
      </c>
      <c r="O32" s="24">
        <f t="shared" si="5"/>
        <v>0.99999999999999989</v>
      </c>
      <c r="Q32" s="165"/>
      <c r="R32" s="165"/>
      <c r="S32" s="165"/>
      <c r="T32" s="1"/>
      <c r="U32" s="1"/>
      <c r="V32" s="174"/>
      <c r="W32" s="174"/>
      <c r="X32" s="174"/>
      <c r="Y32" s="174"/>
      <c r="Z32" s="174"/>
      <c r="AA32" s="174"/>
      <c r="AB32" s="1"/>
      <c r="AC32" s="57"/>
      <c r="AD32" s="174"/>
      <c r="AE32" s="176"/>
      <c r="AF32" s="174"/>
      <c r="AG32" s="128"/>
      <c r="AH32" s="1"/>
      <c r="AI32" s="174"/>
      <c r="AJ32" s="174"/>
      <c r="AK32" s="1"/>
      <c r="AL32" s="165"/>
      <c r="AM32" s="165"/>
      <c r="AN32" s="1"/>
      <c r="AO32" s="57"/>
      <c r="AP32" s="167"/>
      <c r="AQ32" s="2">
        <f t="shared" si="6"/>
        <v>1993</v>
      </c>
      <c r="AR32" s="179">
        <f t="shared" si="7"/>
        <v>4711.3773275208714</v>
      </c>
      <c r="AS32" s="52">
        <f t="shared" si="8"/>
        <v>7928.3143197225254</v>
      </c>
      <c r="AT32" s="36">
        <f t="shared" si="9"/>
        <v>1.2503365814210397</v>
      </c>
      <c r="AU32" s="2">
        <f t="shared" si="10"/>
        <v>1994</v>
      </c>
      <c r="AV32" s="52">
        <f t="shared" si="11"/>
        <v>13819.121741199566</v>
      </c>
      <c r="AW32" s="128">
        <f t="shared" si="12"/>
        <v>-9235.2526724102208</v>
      </c>
      <c r="AX32" s="187">
        <f t="shared" si="13"/>
        <v>85289891.923260123</v>
      </c>
      <c r="AY32" s="187"/>
      <c r="AZ32" s="2">
        <f t="shared" si="19"/>
        <v>1993</v>
      </c>
      <c r="BA32" s="179">
        <f t="shared" si="14"/>
        <v>10369.473715093151</v>
      </c>
      <c r="BB32" s="52">
        <f t="shared" si="15"/>
        <v>4527.9764142628437</v>
      </c>
      <c r="BC32" s="36">
        <f t="shared" si="16"/>
        <v>0.48040916148150375</v>
      </c>
      <c r="BD32" s="36">
        <f t="shared" si="20"/>
        <v>1994</v>
      </c>
      <c r="BE32" s="52">
        <f t="shared" si="21"/>
        <v>9509.5665867352382</v>
      </c>
      <c r="BF32" s="128">
        <f t="shared" si="17"/>
        <v>-6223.2495478820638</v>
      </c>
      <c r="BG32" s="187">
        <f t="shared" si="18"/>
        <v>38728834.935214311</v>
      </c>
      <c r="BH32" s="174"/>
      <c r="BI32" s="1"/>
      <c r="BJ32" s="57"/>
      <c r="BK32" s="167"/>
      <c r="BL32" s="176"/>
      <c r="BM32" s="174"/>
      <c r="BN32" s="174"/>
      <c r="BO32" s="174"/>
      <c r="BP32" s="175"/>
      <c r="BQ32" s="177"/>
      <c r="BR32" s="177"/>
      <c r="BS32" s="1"/>
      <c r="BT32" s="1"/>
      <c r="BU32" s="1"/>
      <c r="BV32" s="1"/>
    </row>
    <row r="33" spans="2:74" x14ac:dyDescent="0.2">
      <c r="B33" s="13">
        <f>Master!CH34</f>
        <v>1990</v>
      </c>
      <c r="C33" s="69">
        <f>Master!CI34</f>
        <v>3.1621097740336701</v>
      </c>
      <c r="D33" s="69">
        <f>Master!CJ34</f>
        <v>1730.4936380593278</v>
      </c>
      <c r="E33" s="69">
        <f>Master!CK34</f>
        <v>3098.7645462437235</v>
      </c>
      <c r="F33" s="69">
        <f>Master!CL34</f>
        <v>2013.7231180938411</v>
      </c>
      <c r="G33" s="69">
        <f>Master!CM34</f>
        <v>0</v>
      </c>
      <c r="H33" s="69">
        <f>Master!CN34</f>
        <v>6846.1434121709262</v>
      </c>
      <c r="J33" s="24">
        <f t="shared" si="0"/>
        <v>4.6188190688675019E-4</v>
      </c>
      <c r="K33" s="24">
        <f t="shared" si="1"/>
        <v>0.2527691188856625</v>
      </c>
      <c r="L33" s="24">
        <f t="shared" si="2"/>
        <v>0.45262921906292625</v>
      </c>
      <c r="M33" s="24">
        <f t="shared" si="3"/>
        <v>0.29413978014452452</v>
      </c>
      <c r="N33" s="24">
        <f t="shared" si="4"/>
        <v>0</v>
      </c>
      <c r="O33" s="24">
        <f t="shared" si="5"/>
        <v>1</v>
      </c>
      <c r="Q33" s="57"/>
      <c r="R33" s="165"/>
      <c r="S33" s="165"/>
      <c r="T33" s="1"/>
      <c r="U33" s="1"/>
      <c r="V33" s="174"/>
      <c r="W33" s="174"/>
      <c r="X33" s="174"/>
      <c r="Y33" s="174"/>
      <c r="Z33" s="174"/>
      <c r="AA33" s="174"/>
      <c r="AB33" s="1"/>
      <c r="AC33" s="57"/>
      <c r="AD33" s="174"/>
      <c r="AE33" s="176"/>
      <c r="AF33" s="174"/>
      <c r="AG33" s="128"/>
      <c r="AH33" s="1"/>
      <c r="AI33" s="174"/>
      <c r="AJ33" s="174"/>
      <c r="AK33" s="1"/>
      <c r="AL33" s="165"/>
      <c r="AM33" s="165"/>
      <c r="AN33" s="1"/>
      <c r="AO33" s="57"/>
      <c r="AP33" s="167"/>
      <c r="AQ33" s="2">
        <f t="shared" si="6"/>
        <v>1994</v>
      </c>
      <c r="AR33" s="179">
        <f t="shared" si="7"/>
        <v>1730.4936380593278</v>
      </c>
      <c r="AS33" s="52">
        <f t="shared" si="8"/>
        <v>7928.3143197225254</v>
      </c>
      <c r="AT33" s="36">
        <f t="shared" si="9"/>
        <v>1.2503365814210397</v>
      </c>
      <c r="AU33" s="2">
        <f t="shared" si="10"/>
        <v>1995</v>
      </c>
      <c r="AV33" s="52">
        <f t="shared" si="11"/>
        <v>10092.013819304484</v>
      </c>
      <c r="AW33" s="128">
        <f t="shared" si="12"/>
        <v>-6993.249273060761</v>
      </c>
      <c r="AX33" s="187">
        <f t="shared" si="13"/>
        <v>48905535.395164862</v>
      </c>
      <c r="AY33" s="187"/>
      <c r="AZ33" s="2">
        <f t="shared" si="19"/>
        <v>1994</v>
      </c>
      <c r="BA33" s="179">
        <f t="shared" si="14"/>
        <v>4583.8690687893459</v>
      </c>
      <c r="BB33" s="52">
        <f t="shared" si="15"/>
        <v>4527.9764142628437</v>
      </c>
      <c r="BC33" s="36">
        <f t="shared" si="16"/>
        <v>0.48040916148150375</v>
      </c>
      <c r="BD33" s="36">
        <f t="shared" si="20"/>
        <v>1995</v>
      </c>
      <c r="BE33" s="52">
        <f t="shared" si="21"/>
        <v>6730.109109940935</v>
      </c>
      <c r="BF33" s="128">
        <f t="shared" si="17"/>
        <v>-4716.3859918470935</v>
      </c>
      <c r="BG33" s="187">
        <f t="shared" si="18"/>
        <v>22244296.82409149</v>
      </c>
      <c r="BH33" s="174"/>
      <c r="BI33" s="1"/>
      <c r="BJ33" s="57"/>
      <c r="BK33" s="167"/>
      <c r="BL33" s="176"/>
      <c r="BM33" s="174"/>
      <c r="BN33" s="174"/>
      <c r="BO33" s="174"/>
      <c r="BP33" s="175"/>
      <c r="BQ33" s="177"/>
      <c r="BR33" s="177"/>
      <c r="BS33" s="1"/>
      <c r="BT33" s="1"/>
      <c r="BU33" s="1"/>
      <c r="BV33" s="1"/>
    </row>
    <row r="34" spans="2:74" x14ac:dyDescent="0.2">
      <c r="B34" s="13">
        <f>Master!CH35</f>
        <v>1991</v>
      </c>
      <c r="C34" s="69">
        <f>Master!CI35</f>
        <v>3.9570827542759091</v>
      </c>
      <c r="D34" s="69">
        <f>Master!CJ35</f>
        <v>4059.8806994979118</v>
      </c>
      <c r="E34" s="69">
        <f>Master!CK35</f>
        <v>5572.1171873742987</v>
      </c>
      <c r="F34" s="69">
        <f>Master!CL35</f>
        <v>6113.3832126036305</v>
      </c>
      <c r="G34" s="69">
        <f>Master!CM35</f>
        <v>117.44684920097559</v>
      </c>
      <c r="H34" s="69">
        <f>Master!CN35</f>
        <v>15866.785031431093</v>
      </c>
      <c r="J34" s="24">
        <f t="shared" si="0"/>
        <v>2.4939411143701636E-4</v>
      </c>
      <c r="K34" s="39">
        <f t="shared" si="1"/>
        <v>0.25587292519912169</v>
      </c>
      <c r="L34" s="39">
        <f t="shared" si="2"/>
        <v>0.35118123654768679</v>
      </c>
      <c r="M34" s="39">
        <f t="shared" si="3"/>
        <v>0.38529438701623592</v>
      </c>
      <c r="N34" s="39">
        <f t="shared" si="4"/>
        <v>7.4020571255185505E-3</v>
      </c>
      <c r="O34" s="24">
        <f t="shared" si="5"/>
        <v>1</v>
      </c>
      <c r="Q34" s="57"/>
      <c r="R34" s="165"/>
      <c r="S34" s="165"/>
      <c r="T34" s="1"/>
      <c r="U34" s="1"/>
      <c r="V34" s="174"/>
      <c r="W34" s="174"/>
      <c r="X34" s="174"/>
      <c r="Y34" s="174"/>
      <c r="Z34" s="174"/>
      <c r="AA34" s="174"/>
      <c r="AB34" s="1"/>
      <c r="AC34" s="57"/>
      <c r="AD34" s="174"/>
      <c r="AE34" s="176"/>
      <c r="AF34" s="174"/>
      <c r="AG34" s="128"/>
      <c r="AH34" s="1"/>
      <c r="AI34" s="174"/>
      <c r="AJ34" s="174"/>
      <c r="AK34" s="1"/>
      <c r="AL34" s="165"/>
      <c r="AM34" s="165"/>
      <c r="AN34" s="1"/>
      <c r="AO34" s="57"/>
      <c r="AP34" s="167"/>
      <c r="AQ34" s="2">
        <f t="shared" si="6"/>
        <v>1995</v>
      </c>
      <c r="AR34" s="179">
        <f t="shared" si="7"/>
        <v>4059.8806994979118</v>
      </c>
      <c r="AS34" s="52">
        <f t="shared" si="8"/>
        <v>7928.3143197225254</v>
      </c>
      <c r="AT34" s="36">
        <f t="shared" si="9"/>
        <v>1.2503365814210397</v>
      </c>
      <c r="AU34" s="2">
        <f t="shared" si="10"/>
        <v>1996</v>
      </c>
      <c r="AV34" s="52">
        <f t="shared" si="11"/>
        <v>13004.531674510003</v>
      </c>
      <c r="AW34" s="128">
        <f t="shared" si="12"/>
        <v>-7432.4144871357039</v>
      </c>
      <c r="AX34" s="187">
        <f t="shared" si="13"/>
        <v>55240785.108584687</v>
      </c>
      <c r="AY34" s="187"/>
      <c r="AZ34" s="2">
        <f t="shared" si="19"/>
        <v>1995</v>
      </c>
      <c r="BA34" s="179">
        <f t="shared" si="14"/>
        <v>3098.7645462437235</v>
      </c>
      <c r="BB34" s="52">
        <f t="shared" si="15"/>
        <v>4527.9764142628437</v>
      </c>
      <c r="BC34" s="36">
        <f t="shared" si="16"/>
        <v>0.48040916148150375</v>
      </c>
      <c r="BD34" s="36">
        <f t="shared" si="20"/>
        <v>1996</v>
      </c>
      <c r="BE34" s="52">
        <f t="shared" si="21"/>
        <v>6016.6512915524036</v>
      </c>
      <c r="BF34" s="128">
        <f t="shared" si="17"/>
        <v>96.731921051226891</v>
      </c>
      <c r="BG34" s="187">
        <f t="shared" si="18"/>
        <v>9357.0645502607913</v>
      </c>
      <c r="BH34" s="174"/>
      <c r="BI34" s="1"/>
      <c r="BJ34" s="57"/>
      <c r="BK34" s="167"/>
      <c r="BL34" s="176"/>
      <c r="BM34" s="174"/>
      <c r="BN34" s="174"/>
      <c r="BO34" s="174"/>
      <c r="BP34" s="175"/>
      <c r="BQ34" s="177"/>
      <c r="BR34" s="177"/>
      <c r="BS34" s="1"/>
      <c r="BT34" s="1"/>
      <c r="BU34" s="1"/>
      <c r="BV34" s="1"/>
    </row>
    <row r="35" spans="2:74" x14ac:dyDescent="0.2">
      <c r="B35" s="13">
        <f>Master!CH36</f>
        <v>1992</v>
      </c>
      <c r="C35" s="86">
        <f>Master!CI36</f>
        <v>108.66499835765568</v>
      </c>
      <c r="D35" s="86">
        <f>Master!CJ36</f>
        <v>7108.6371873742992</v>
      </c>
      <c r="E35" s="86">
        <f>Master!CK36</f>
        <v>23730.285356550539</v>
      </c>
      <c r="F35" s="86">
        <f>Master!CL36</f>
        <v>10444.361381326702</v>
      </c>
      <c r="G35" s="86">
        <f>Master!CM36</f>
        <v>69.812918082805467</v>
      </c>
      <c r="H35" s="69">
        <f>Master!CN36</f>
        <v>41461.761841692001</v>
      </c>
      <c r="J35" s="24">
        <f t="shared" si="0"/>
        <v>2.6208485489004774E-3</v>
      </c>
      <c r="K35" s="39">
        <f t="shared" si="1"/>
        <v>0.17145043701992874</v>
      </c>
      <c r="L35" s="39">
        <f t="shared" si="2"/>
        <v>0.57234146120362106</v>
      </c>
      <c r="M35" s="39">
        <f t="shared" si="3"/>
        <v>0.25190346279072834</v>
      </c>
      <c r="N35" s="39">
        <f t="shared" si="4"/>
        <v>1.6837904368213526E-3</v>
      </c>
      <c r="O35" s="24">
        <f t="shared" si="5"/>
        <v>0.99999999999999989</v>
      </c>
      <c r="Q35" s="57"/>
      <c r="R35" s="165"/>
      <c r="S35" s="165"/>
      <c r="T35" s="1"/>
      <c r="U35" s="1"/>
      <c r="V35" s="174"/>
      <c r="W35" s="174"/>
      <c r="X35" s="174"/>
      <c r="Y35" s="174"/>
      <c r="Z35" s="174"/>
      <c r="AA35" s="174"/>
      <c r="AB35" s="1"/>
      <c r="AC35" s="57"/>
      <c r="AD35" s="174"/>
      <c r="AE35" s="176"/>
      <c r="AF35" s="174"/>
      <c r="AG35" s="128"/>
      <c r="AH35" s="1"/>
      <c r="AI35" s="174"/>
      <c r="AJ35" s="174"/>
      <c r="AK35" s="1"/>
      <c r="AL35" s="165"/>
      <c r="AM35" s="165"/>
      <c r="AN35" s="1"/>
      <c r="AO35" s="57"/>
      <c r="AP35" s="167"/>
      <c r="AQ35" s="2">
        <f t="shared" si="6"/>
        <v>1996</v>
      </c>
      <c r="AR35" s="179">
        <f t="shared" si="7"/>
        <v>7108.6371873742992</v>
      </c>
      <c r="AS35" s="52">
        <f t="shared" si="8"/>
        <v>7928.3143197225254</v>
      </c>
      <c r="AT35" s="36">
        <f t="shared" si="9"/>
        <v>1.2503365814210397</v>
      </c>
      <c r="AU35" s="2">
        <f t="shared" si="10"/>
        <v>1997</v>
      </c>
      <c r="AV35" s="52">
        <f t="shared" si="11"/>
        <v>16816.503439146582</v>
      </c>
      <c r="AW35" s="128">
        <f t="shared" si="12"/>
        <v>6913.7819174039578</v>
      </c>
      <c r="AX35" s="187">
        <f t="shared" si="13"/>
        <v>47800380.401421949</v>
      </c>
      <c r="AY35" s="187"/>
      <c r="AZ35" s="2">
        <f t="shared" si="19"/>
        <v>1996</v>
      </c>
      <c r="BA35" s="179">
        <f t="shared" si="14"/>
        <v>5572.1171873742987</v>
      </c>
      <c r="BB35" s="52">
        <f t="shared" si="15"/>
        <v>4527.9764142628437</v>
      </c>
      <c r="BC35" s="36">
        <f t="shared" si="16"/>
        <v>0.48040916148150375</v>
      </c>
      <c r="BD35" s="36">
        <f t="shared" si="20"/>
        <v>1997</v>
      </c>
      <c r="BE35" s="52">
        <f t="shared" si="21"/>
        <v>7204.8725599260051</v>
      </c>
      <c r="BF35" s="128">
        <f t="shared" si="17"/>
        <v>3239.4888214006969</v>
      </c>
      <c r="BG35" s="187">
        <f t="shared" si="18"/>
        <v>10494287.823980076</v>
      </c>
      <c r="BH35" s="174"/>
      <c r="BI35" s="1"/>
      <c r="BJ35" s="57"/>
      <c r="BK35" s="167"/>
      <c r="BL35" s="176"/>
      <c r="BM35" s="174"/>
      <c r="BN35" s="174"/>
      <c r="BO35" s="174"/>
      <c r="BP35" s="175"/>
      <c r="BQ35" s="177"/>
      <c r="BR35" s="177"/>
      <c r="BS35" s="1"/>
      <c r="BT35" s="1"/>
      <c r="BU35" s="1"/>
      <c r="BV35" s="1"/>
    </row>
    <row r="36" spans="2:74" x14ac:dyDescent="0.2">
      <c r="B36" s="13">
        <f>Master!CH37</f>
        <v>1993</v>
      </c>
      <c r="C36" s="69">
        <f>Master!CI37</f>
        <v>11.328340155691741</v>
      </c>
      <c r="D36" s="69">
        <f>Master!CJ37</f>
        <v>6135.3280389717856</v>
      </c>
      <c r="E36" s="69">
        <f>Master!CK37</f>
        <v>15777.198181257876</v>
      </c>
      <c r="F36" s="69">
        <f>Master!CL37</f>
        <v>8452.9820339873313</v>
      </c>
      <c r="G36" s="69">
        <f>Master!CM37</f>
        <v>0</v>
      </c>
      <c r="H36" s="69">
        <f>Master!CN37</f>
        <v>30376.836594372682</v>
      </c>
      <c r="J36" s="24">
        <f t="shared" si="0"/>
        <v>3.7292692148827369E-4</v>
      </c>
      <c r="K36" s="39">
        <f t="shared" si="1"/>
        <v>0.20197389612677302</v>
      </c>
      <c r="L36" s="39">
        <f t="shared" si="2"/>
        <v>0.51938252794172146</v>
      </c>
      <c r="M36" s="39">
        <f t="shared" si="3"/>
        <v>0.27827064901001736</v>
      </c>
      <c r="N36" s="39">
        <f t="shared" si="4"/>
        <v>0</v>
      </c>
      <c r="O36" s="24">
        <f t="shared" si="5"/>
        <v>1</v>
      </c>
      <c r="Q36" s="57"/>
      <c r="R36" s="57"/>
      <c r="S36" s="165"/>
      <c r="T36" s="1"/>
      <c r="U36" s="1"/>
      <c r="V36" s="174"/>
      <c r="W36" s="174"/>
      <c r="X36" s="174"/>
      <c r="Y36" s="174"/>
      <c r="Z36" s="174"/>
      <c r="AA36" s="174"/>
      <c r="AB36" s="1"/>
      <c r="AC36" s="57"/>
      <c r="AD36" s="174"/>
      <c r="AE36" s="176"/>
      <c r="AF36" s="174"/>
      <c r="AG36" s="128"/>
      <c r="AH36" s="1"/>
      <c r="AI36" s="174"/>
      <c r="AJ36" s="174"/>
      <c r="AK36" s="1"/>
      <c r="AL36" s="165"/>
      <c r="AM36" s="165"/>
      <c r="AN36" s="1"/>
      <c r="AO36" s="57"/>
      <c r="AP36" s="167"/>
      <c r="AQ36" s="2">
        <f t="shared" si="6"/>
        <v>1997</v>
      </c>
      <c r="AR36" s="179">
        <f t="shared" si="7"/>
        <v>6135.3280389717856</v>
      </c>
      <c r="AS36" s="52">
        <f t="shared" si="8"/>
        <v>7928.3143197225254</v>
      </c>
      <c r="AT36" s="36">
        <f t="shared" si="9"/>
        <v>1.2503365814210397</v>
      </c>
      <c r="AU36" s="2">
        <f t="shared" si="10"/>
        <v>1998</v>
      </c>
      <c r="AV36" s="52">
        <f t="shared" si="11"/>
        <v>15599.539405867159</v>
      </c>
      <c r="AW36" s="128">
        <f t="shared" si="12"/>
        <v>177.65877539071698</v>
      </c>
      <c r="AX36" s="187">
        <f t="shared" si="13"/>
        <v>31562.640473329226</v>
      </c>
      <c r="AY36" s="187"/>
      <c r="AZ36" s="2">
        <f t="shared" si="19"/>
        <v>1997</v>
      </c>
      <c r="BA36" s="179">
        <f t="shared" si="14"/>
        <v>23730.285356550539</v>
      </c>
      <c r="BB36" s="52">
        <f t="shared" si="15"/>
        <v>4527.9764142628437</v>
      </c>
      <c r="BC36" s="36">
        <f t="shared" si="16"/>
        <v>0.48040916148150375</v>
      </c>
      <c r="BD36" s="36">
        <f t="shared" si="20"/>
        <v>1998</v>
      </c>
      <c r="BE36" s="52">
        <f t="shared" si="21"/>
        <v>15928.222904120095</v>
      </c>
      <c r="BF36" s="128">
        <f t="shared" si="17"/>
        <v>-7475.240870132764</v>
      </c>
      <c r="BG36" s="187">
        <f t="shared" si="18"/>
        <v>55879226.066503242</v>
      </c>
      <c r="BH36" s="174"/>
      <c r="BI36" s="1"/>
      <c r="BJ36" s="57"/>
      <c r="BK36" s="167"/>
      <c r="BL36" s="176"/>
      <c r="BM36" s="174"/>
      <c r="BN36" s="174"/>
      <c r="BO36" s="174"/>
      <c r="BP36" s="175"/>
      <c r="BQ36" s="177"/>
      <c r="BR36" s="177"/>
      <c r="BS36" s="1"/>
      <c r="BT36" s="1"/>
      <c r="BU36" s="1"/>
      <c r="BV36" s="1"/>
    </row>
    <row r="37" spans="2:74" x14ac:dyDescent="0.2">
      <c r="B37" s="13">
        <f>Master!CH38</f>
        <v>1994</v>
      </c>
      <c r="C37" s="69">
        <f>Master!CI38</f>
        <v>79.863814262021492</v>
      </c>
      <c r="D37" s="69">
        <f>Master!CJ38</f>
        <v>10865.774069892588</v>
      </c>
      <c r="E37" s="69">
        <f>Master!CK38</f>
        <v>14606.017381700909</v>
      </c>
      <c r="F37" s="69">
        <f>Master!CL38</f>
        <v>4416.0035800613459</v>
      </c>
      <c r="G37" s="69">
        <f>Master!CM38</f>
        <v>2.8947748492642518</v>
      </c>
      <c r="H37" s="69">
        <f>Master!CN38</f>
        <v>29970.553620766128</v>
      </c>
      <c r="J37" s="24">
        <f t="shared" si="0"/>
        <v>2.6647427095469168E-3</v>
      </c>
      <c r="K37" s="24">
        <f t="shared" si="1"/>
        <v>0.36254832684718452</v>
      </c>
      <c r="L37" s="24">
        <f t="shared" si="2"/>
        <v>0.48734559816674949</v>
      </c>
      <c r="M37" s="24">
        <f t="shared" si="3"/>
        <v>0.14734474497666825</v>
      </c>
      <c r="N37" s="24">
        <f t="shared" si="4"/>
        <v>9.6587299850827831E-5</v>
      </c>
      <c r="O37" s="24">
        <f t="shared" si="5"/>
        <v>1</v>
      </c>
      <c r="Q37" s="57"/>
      <c r="R37" s="165"/>
      <c r="S37" s="165"/>
      <c r="T37" s="1"/>
      <c r="U37" s="1"/>
      <c r="V37" s="174"/>
      <c r="W37" s="174"/>
      <c r="X37" s="174"/>
      <c r="Y37" s="174"/>
      <c r="Z37" s="174"/>
      <c r="AA37" s="174"/>
      <c r="AB37" s="1"/>
      <c r="AC37" s="57"/>
      <c r="AD37" s="174"/>
      <c r="AE37" s="176"/>
      <c r="AF37" s="174"/>
      <c r="AG37" s="128"/>
      <c r="AH37" s="1"/>
      <c r="AI37" s="174"/>
      <c r="AJ37" s="174"/>
      <c r="AK37" s="1"/>
      <c r="AL37" s="165"/>
      <c r="AM37" s="165"/>
      <c r="AN37" s="1"/>
      <c r="AO37" s="57"/>
      <c r="AP37" s="167"/>
      <c r="AQ37" s="2">
        <f t="shared" si="6"/>
        <v>1998</v>
      </c>
      <c r="AR37" s="179">
        <f t="shared" si="7"/>
        <v>10865.774069892588</v>
      </c>
      <c r="AS37" s="52">
        <f t="shared" si="8"/>
        <v>7928.3143197225254</v>
      </c>
      <c r="AT37" s="36">
        <f t="shared" si="9"/>
        <v>1.2503365814210397</v>
      </c>
      <c r="AU37" s="2">
        <f t="shared" si="10"/>
        <v>1999</v>
      </c>
      <c r="AV37" s="52">
        <f t="shared" si="11"/>
        <v>21514.189124765398</v>
      </c>
      <c r="AW37" s="128">
        <f t="shared" si="12"/>
        <v>-6908.1717430644894</v>
      </c>
      <c r="AX37" s="187">
        <f t="shared" si="13"/>
        <v>47722836.831674665</v>
      </c>
      <c r="AY37" s="187"/>
      <c r="AZ37" s="2">
        <f t="shared" si="19"/>
        <v>1998</v>
      </c>
      <c r="BA37" s="179">
        <f t="shared" si="14"/>
        <v>15777.198181257876</v>
      </c>
      <c r="BB37" s="52">
        <f t="shared" si="15"/>
        <v>4527.9764142628437</v>
      </c>
      <c r="BC37" s="36">
        <f t="shared" si="16"/>
        <v>0.48040916148150375</v>
      </c>
      <c r="BD37" s="36">
        <f t="shared" si="20"/>
        <v>1999</v>
      </c>
      <c r="BE37" s="52">
        <f t="shared" si="21"/>
        <v>12107.486963048446</v>
      </c>
      <c r="BF37" s="128">
        <f t="shared" si="17"/>
        <v>-7691.4833829871004</v>
      </c>
      <c r="BG37" s="187">
        <f t="shared" si="18"/>
        <v>59158916.63076669</v>
      </c>
      <c r="BH37" s="174"/>
      <c r="BI37" s="1"/>
      <c r="BJ37" s="57"/>
      <c r="BK37" s="167"/>
      <c r="BL37" s="176"/>
      <c r="BM37" s="174"/>
      <c r="BN37" s="174"/>
      <c r="BO37" s="174"/>
      <c r="BP37" s="175"/>
      <c r="BQ37" s="177"/>
      <c r="BR37" s="177"/>
      <c r="BS37" s="1"/>
      <c r="BT37" s="1"/>
      <c r="BU37" s="1"/>
      <c r="BV37" s="1"/>
    </row>
    <row r="38" spans="2:74" x14ac:dyDescent="0.2">
      <c r="B38" s="13">
        <f>Master!CH39</f>
        <v>1995</v>
      </c>
      <c r="C38" s="69">
        <f>Master!CI39</f>
        <v>0</v>
      </c>
      <c r="D38" s="69">
        <f>Master!CJ39</f>
        <v>10309.713446624437</v>
      </c>
      <c r="E38" s="69">
        <f>Master!CK39</f>
        <v>33202.17060982425</v>
      </c>
      <c r="F38" s="69">
        <f>Master!CL39</f>
        <v>9463.3110676139477</v>
      </c>
      <c r="G38" s="69">
        <f>Master!CM39</f>
        <v>0</v>
      </c>
      <c r="H38" s="69">
        <f>Master!CN39</f>
        <v>52975.195124062637</v>
      </c>
      <c r="J38" s="24">
        <f t="shared" si="0"/>
        <v>0</v>
      </c>
      <c r="K38" s="24">
        <f t="shared" si="1"/>
        <v>0.19461397777733738</v>
      </c>
      <c r="L38" s="24">
        <f t="shared" si="2"/>
        <v>0.62674937830937805</v>
      </c>
      <c r="M38" s="24">
        <f t="shared" si="3"/>
        <v>0.1786366439132846</v>
      </c>
      <c r="N38" s="24">
        <f t="shared" si="4"/>
        <v>0</v>
      </c>
      <c r="O38" s="24">
        <f t="shared" si="5"/>
        <v>1</v>
      </c>
      <c r="Q38" s="165"/>
      <c r="R38" s="165"/>
      <c r="S38" s="165"/>
      <c r="T38" s="1"/>
      <c r="U38" s="1"/>
      <c r="V38" s="174"/>
      <c r="W38" s="174"/>
      <c r="X38" s="174"/>
      <c r="Y38" s="174"/>
      <c r="Z38" s="174"/>
      <c r="AA38" s="174"/>
      <c r="AB38" s="1"/>
      <c r="AC38" s="57"/>
      <c r="AD38" s="174"/>
      <c r="AE38" s="176"/>
      <c r="AF38" s="174"/>
      <c r="AG38" s="128"/>
      <c r="AH38" s="1"/>
      <c r="AI38" s="174"/>
      <c r="AJ38" s="174"/>
      <c r="AK38" s="1"/>
      <c r="AL38" s="165"/>
      <c r="AM38" s="165"/>
      <c r="AN38" s="1"/>
      <c r="AO38" s="57"/>
      <c r="AP38" s="167"/>
      <c r="AQ38" s="2">
        <f t="shared" si="6"/>
        <v>1999</v>
      </c>
      <c r="AR38" s="179">
        <f t="shared" si="7"/>
        <v>10309.713446624437</v>
      </c>
      <c r="AS38" s="52">
        <f t="shared" si="8"/>
        <v>7928.3143197225254</v>
      </c>
      <c r="AT38" s="36">
        <f t="shared" si="9"/>
        <v>1.2503365814210397</v>
      </c>
      <c r="AU38" s="2">
        <f t="shared" si="10"/>
        <v>2000</v>
      </c>
      <c r="AV38" s="52">
        <f t="shared" si="11"/>
        <v>20818.926186005447</v>
      </c>
      <c r="AW38" s="128">
        <f t="shared" si="12"/>
        <v>12383.244423818804</v>
      </c>
      <c r="AX38" s="187">
        <f t="shared" si="13"/>
        <v>153344742.4600395</v>
      </c>
      <c r="AY38" s="187"/>
      <c r="AZ38" s="2">
        <f t="shared" si="19"/>
        <v>1999</v>
      </c>
      <c r="BA38" s="179">
        <f t="shared" si="14"/>
        <v>14606.017381700909</v>
      </c>
      <c r="BB38" s="52">
        <f t="shared" si="15"/>
        <v>4527.9764142628437</v>
      </c>
      <c r="BC38" s="36">
        <f t="shared" si="16"/>
        <v>0.48040916148150375</v>
      </c>
      <c r="BD38" s="36">
        <f t="shared" si="20"/>
        <v>2000</v>
      </c>
      <c r="BE38" s="52">
        <f t="shared" si="21"/>
        <v>11544.840977190046</v>
      </c>
      <c r="BF38" s="128">
        <f t="shared" si="17"/>
        <v>-2081.5299095760984</v>
      </c>
      <c r="BG38" s="187">
        <f t="shared" si="18"/>
        <v>4332766.7644598801</v>
      </c>
      <c r="BH38" s="174"/>
      <c r="BI38" s="1"/>
      <c r="BJ38" s="57"/>
      <c r="BK38" s="167"/>
      <c r="BL38" s="176"/>
      <c r="BM38" s="174"/>
      <c r="BN38" s="174"/>
      <c r="BO38" s="174"/>
      <c r="BP38" s="175"/>
      <c r="BQ38" s="177"/>
      <c r="BR38" s="177"/>
      <c r="BS38" s="1"/>
      <c r="BT38" s="1"/>
      <c r="BU38" s="1"/>
      <c r="BV38" s="1"/>
    </row>
    <row r="39" spans="2:74" x14ac:dyDescent="0.2">
      <c r="B39" s="13">
        <f>Master!CH40</f>
        <v>1996</v>
      </c>
      <c r="C39" s="69">
        <f>Master!CI40</f>
        <v>0</v>
      </c>
      <c r="D39" s="69">
        <f>Master!CJ40</f>
        <v>4654.2777213619256</v>
      </c>
      <c r="E39" s="69">
        <f>Master!CK40</f>
        <v>15580.03386399629</v>
      </c>
      <c r="F39" s="69">
        <f>Master!CL40</f>
        <v>5263.1451543065714</v>
      </c>
      <c r="G39" s="69">
        <f>Master!CM40</f>
        <v>0</v>
      </c>
      <c r="H39" s="69">
        <f>Master!CN40</f>
        <v>25497.456739664787</v>
      </c>
      <c r="J39" s="24">
        <f t="shared" si="0"/>
        <v>0</v>
      </c>
      <c r="K39" s="24">
        <f t="shared" si="1"/>
        <v>0.18253890060029238</v>
      </c>
      <c r="L39" s="24">
        <f t="shared" si="2"/>
        <v>0.61104266292407949</v>
      </c>
      <c r="M39" s="24">
        <f t="shared" si="3"/>
        <v>0.2064184364756281</v>
      </c>
      <c r="N39" s="24">
        <f t="shared" si="4"/>
        <v>0</v>
      </c>
      <c r="O39" s="24">
        <f t="shared" si="5"/>
        <v>1</v>
      </c>
      <c r="Q39" s="165"/>
      <c r="R39" s="165"/>
      <c r="S39" s="165"/>
      <c r="T39" s="1"/>
      <c r="U39" s="1"/>
      <c r="V39" s="174"/>
      <c r="W39" s="174"/>
      <c r="X39" s="174"/>
      <c r="Y39" s="174"/>
      <c r="Z39" s="174"/>
      <c r="AA39" s="174"/>
      <c r="AB39" s="1"/>
      <c r="AC39" s="57"/>
      <c r="AD39" s="174"/>
      <c r="AE39" s="176"/>
      <c r="AF39" s="174"/>
      <c r="AG39" s="128"/>
      <c r="AH39" s="1"/>
      <c r="AI39" s="174"/>
      <c r="AJ39" s="174"/>
      <c r="AK39" s="1"/>
      <c r="AL39" s="165"/>
      <c r="AM39" s="165"/>
      <c r="AN39" s="1"/>
      <c r="AO39" s="57"/>
      <c r="AP39" s="167"/>
      <c r="AQ39" s="2">
        <f t="shared" si="6"/>
        <v>2000</v>
      </c>
      <c r="AR39" s="179">
        <f t="shared" si="7"/>
        <v>4654.2777213619256</v>
      </c>
      <c r="AS39" s="52">
        <f t="shared" si="8"/>
        <v>7928.3143197225254</v>
      </c>
      <c r="AT39" s="36">
        <f t="shared" si="9"/>
        <v>1.2503365814210397</v>
      </c>
      <c r="AU39" s="198">
        <f t="shared" si="10"/>
        <v>2001</v>
      </c>
      <c r="AV39" s="53">
        <f t="shared" si="11"/>
        <v>13747.728014834302</v>
      </c>
      <c r="AW39" s="128"/>
      <c r="AX39" s="187"/>
      <c r="AY39" s="187"/>
      <c r="AZ39" s="2">
        <f t="shared" si="19"/>
        <v>2000</v>
      </c>
      <c r="BA39" s="179">
        <f t="shared" si="14"/>
        <v>33202.17060982425</v>
      </c>
      <c r="BB39" s="52">
        <f t="shared" si="15"/>
        <v>4527.9764142628437</v>
      </c>
      <c r="BC39" s="36">
        <f t="shared" si="16"/>
        <v>0.48040916148150375</v>
      </c>
      <c r="BD39" s="199">
        <f>AU39</f>
        <v>2001</v>
      </c>
      <c r="BE39" s="53">
        <f t="shared" si="21"/>
        <v>20478.603356294341</v>
      </c>
      <c r="BF39" s="128"/>
      <c r="BG39" s="187"/>
      <c r="BH39" s="174"/>
      <c r="BI39" s="1"/>
      <c r="BJ39" s="57"/>
      <c r="BK39" s="167"/>
      <c r="BL39" s="176"/>
      <c r="BM39" s="174"/>
      <c r="BN39" s="174"/>
      <c r="BO39" s="174"/>
      <c r="BP39" s="175"/>
      <c r="BQ39" s="177"/>
      <c r="BR39" s="177"/>
      <c r="BS39" s="1"/>
      <c r="BT39" s="1"/>
      <c r="BU39" s="1"/>
      <c r="BV39" s="1"/>
    </row>
    <row r="40" spans="2:74" x14ac:dyDescent="0.2">
      <c r="B40" s="13">
        <f>Master!CH41</f>
        <v>1997</v>
      </c>
      <c r="C40" s="69">
        <f>Master!CI41</f>
        <v>3.7054721501931462</v>
      </c>
      <c r="D40" s="69">
        <f>Master!CJ41</f>
        <v>8166.5559561580312</v>
      </c>
      <c r="E40" s="69">
        <f>Master!CK41</f>
        <v>18849.389515593277</v>
      </c>
      <c r="F40" s="69">
        <f>Master!CL41</f>
        <v>6599.162149429244</v>
      </c>
      <c r="G40" s="69">
        <f>Master!CM41</f>
        <v>0</v>
      </c>
      <c r="H40" s="69">
        <f>Master!CN41</f>
        <v>33618.813093330748</v>
      </c>
      <c r="J40" s="24">
        <f t="shared" si="0"/>
        <v>1.1022019545741288E-4</v>
      </c>
      <c r="K40" s="24">
        <f t="shared" si="1"/>
        <v>0.24291624851497512</v>
      </c>
      <c r="L40" s="24">
        <f t="shared" si="2"/>
        <v>0.56067980339652712</v>
      </c>
      <c r="M40" s="24">
        <f t="shared" si="3"/>
        <v>0.19629372789304023</v>
      </c>
      <c r="N40" s="24">
        <f t="shared" si="4"/>
        <v>0</v>
      </c>
      <c r="O40" s="24">
        <f t="shared" si="5"/>
        <v>0.99999999999999989</v>
      </c>
      <c r="Q40" s="165"/>
      <c r="R40" s="165"/>
      <c r="S40" s="165"/>
      <c r="T40" s="1"/>
      <c r="U40" s="1"/>
      <c r="V40" s="174"/>
      <c r="W40" s="174"/>
      <c r="X40" s="174"/>
      <c r="Y40" s="174"/>
      <c r="Z40" s="174"/>
      <c r="AA40" s="174"/>
      <c r="AB40" s="1"/>
      <c r="AC40" s="57"/>
      <c r="AD40" s="174"/>
      <c r="AE40" s="176"/>
      <c r="AF40" s="174"/>
      <c r="AG40" s="128"/>
      <c r="AH40" s="1"/>
      <c r="AI40" s="174"/>
      <c r="AJ40" s="174"/>
      <c r="AK40" s="1"/>
      <c r="AL40" s="165"/>
      <c r="AM40" s="165"/>
      <c r="AN40" s="1"/>
      <c r="AO40" s="57"/>
      <c r="AP40" s="167"/>
      <c r="AQ40" s="2">
        <f t="shared" si="6"/>
        <v>2001</v>
      </c>
      <c r="AR40" s="179"/>
      <c r="AS40" s="52"/>
      <c r="AT40" s="36"/>
      <c r="AU40" s="2"/>
      <c r="AV40" s="52"/>
      <c r="AW40" s="174"/>
      <c r="AX40" s="1"/>
      <c r="AY40" s="1"/>
      <c r="AZ40" s="1"/>
      <c r="BA40" s="179"/>
      <c r="BB40" s="52"/>
      <c r="BC40" s="36"/>
      <c r="BD40" s="36"/>
      <c r="BE40" s="52"/>
      <c r="BF40" s="174"/>
      <c r="BG40" s="1"/>
      <c r="BH40" s="174"/>
      <c r="BI40" s="1"/>
      <c r="BJ40" s="57"/>
      <c r="BK40" s="167"/>
      <c r="BL40" s="176"/>
      <c r="BM40" s="174"/>
      <c r="BN40" s="174"/>
      <c r="BO40" s="174"/>
      <c r="BP40" s="175"/>
      <c r="BQ40" s="177"/>
      <c r="BR40" s="177"/>
      <c r="BS40" s="1"/>
      <c r="BT40" s="1"/>
      <c r="BU40" s="1"/>
      <c r="BV40" s="1"/>
    </row>
    <row r="41" spans="2:74" x14ac:dyDescent="0.2">
      <c r="B41" s="13">
        <f>Master!CH42</f>
        <v>1998</v>
      </c>
      <c r="C41" s="69">
        <f>Master!CI42</f>
        <v>480.60074969852849</v>
      </c>
      <c r="D41" s="69">
        <f>Master!CJ42</f>
        <v>8842.0571426269289</v>
      </c>
      <c r="E41" s="69">
        <f>Master!CK42</f>
        <v>22762.063505990678</v>
      </c>
      <c r="F41" s="69">
        <f>Master!CL42</f>
        <v>10056.530401669592</v>
      </c>
      <c r="G41" s="69">
        <f>Master!CM42</f>
        <v>0</v>
      </c>
      <c r="H41" s="69">
        <f>Master!CN42</f>
        <v>42141.251799985723</v>
      </c>
      <c r="J41" s="24"/>
      <c r="K41" s="24"/>
      <c r="L41" s="24"/>
      <c r="M41" s="24"/>
      <c r="N41" s="24"/>
      <c r="O41" s="24"/>
      <c r="Q41" s="165"/>
      <c r="R41" s="165"/>
      <c r="S41" s="165"/>
      <c r="T41" s="1"/>
      <c r="U41" s="1"/>
      <c r="V41" s="174"/>
      <c r="W41" s="174"/>
      <c r="X41" s="174"/>
      <c r="Y41" s="174"/>
      <c r="Z41" s="174"/>
      <c r="AA41" s="174"/>
      <c r="AB41" s="1"/>
      <c r="AC41" s="57"/>
      <c r="AD41" s="174"/>
      <c r="AE41" s="176"/>
      <c r="AF41" s="174"/>
      <c r="AG41" s="128"/>
      <c r="AH41" s="1"/>
      <c r="AI41" s="174"/>
      <c r="AJ41" s="174"/>
      <c r="AK41" s="1"/>
      <c r="AL41" s="165"/>
      <c r="AM41" s="165"/>
      <c r="AN41" s="1"/>
      <c r="AO41" s="57"/>
      <c r="AP41" s="167"/>
      <c r="AR41" s="179"/>
      <c r="AS41" s="52"/>
      <c r="AT41" s="36"/>
      <c r="AU41" s="179"/>
      <c r="AV41" s="52"/>
      <c r="AW41" s="174"/>
      <c r="AX41" s="1"/>
      <c r="AY41" s="1"/>
      <c r="AZ41" s="1"/>
      <c r="BA41" s="179"/>
      <c r="BB41" s="52"/>
      <c r="BC41" s="36"/>
      <c r="BD41" s="36"/>
      <c r="BE41" s="52"/>
      <c r="BF41" s="174"/>
      <c r="BG41" s="1"/>
      <c r="BH41" s="174"/>
      <c r="BI41" s="1"/>
      <c r="BJ41" s="57"/>
      <c r="BK41" s="167"/>
      <c r="BL41" s="176"/>
      <c r="BM41" s="174"/>
      <c r="BN41" s="174"/>
      <c r="BO41" s="174"/>
      <c r="BP41" s="175"/>
      <c r="BQ41" s="177"/>
      <c r="BR41" s="177"/>
      <c r="BS41" s="1"/>
      <c r="BT41" s="1"/>
      <c r="BU41" s="1"/>
      <c r="BV41" s="1"/>
    </row>
    <row r="42" spans="2:74" x14ac:dyDescent="0.2">
      <c r="B42" s="13">
        <f>Master!CH43</f>
        <v>1999</v>
      </c>
      <c r="C42" s="69">
        <f>Master!CI43</f>
        <v>533.65507922804193</v>
      </c>
      <c r="D42" s="69">
        <f>Master!CJ43</f>
        <v>16832.450323757814</v>
      </c>
      <c r="E42" s="69">
        <f>Master!CK43</f>
        <v>44248.733767346203</v>
      </c>
      <c r="F42" s="69">
        <f>Master!CL43</f>
        <v>5290.0263156526171</v>
      </c>
      <c r="G42" s="69">
        <f>Master!CM43</f>
        <v>0</v>
      </c>
      <c r="H42" s="69">
        <f>Master!CN43</f>
        <v>66904.865485984672</v>
      </c>
      <c r="J42" s="24"/>
      <c r="K42" s="24"/>
      <c r="L42" s="24"/>
      <c r="M42" s="24"/>
      <c r="N42" s="24"/>
      <c r="O42" s="24"/>
      <c r="Q42" s="165"/>
      <c r="R42" s="165" t="s">
        <v>297</v>
      </c>
      <c r="S42" s="165"/>
      <c r="T42" s="1"/>
      <c r="W42" s="174"/>
      <c r="X42" s="167"/>
      <c r="Y42" s="167"/>
      <c r="Z42" s="167"/>
      <c r="AA42" s="167"/>
      <c r="AB42" s="36"/>
      <c r="AC42" s="165" t="s">
        <v>297</v>
      </c>
      <c r="AD42" s="167"/>
      <c r="AE42" s="178"/>
      <c r="AF42" s="167"/>
      <c r="AG42" s="128"/>
      <c r="AH42" s="1"/>
      <c r="AI42" s="174"/>
      <c r="AJ42" s="174"/>
      <c r="AK42" s="1"/>
      <c r="AL42" s="165"/>
      <c r="AM42" s="165"/>
      <c r="AN42" s="1"/>
      <c r="AO42" s="57"/>
      <c r="AP42" s="167"/>
      <c r="AR42" s="1"/>
      <c r="AS42" s="174"/>
      <c r="AT42" s="128"/>
      <c r="AU42" s="1"/>
      <c r="AV42" s="174"/>
      <c r="AW42" s="174"/>
      <c r="AX42" s="1"/>
      <c r="AY42" s="1"/>
      <c r="AZ42" s="1"/>
      <c r="BA42" s="1"/>
      <c r="BB42" s="174"/>
      <c r="BC42" s="128"/>
      <c r="BD42" s="128"/>
      <c r="BE42" s="174"/>
      <c r="BF42" s="174"/>
      <c r="BG42" s="1"/>
      <c r="BH42" s="174"/>
      <c r="BI42" s="1"/>
      <c r="BJ42" s="57"/>
      <c r="BK42" s="167"/>
      <c r="BL42" s="176"/>
      <c r="BM42" s="174"/>
      <c r="BN42" s="174"/>
      <c r="BO42" s="174"/>
      <c r="BP42" s="175"/>
      <c r="BQ42" s="177"/>
      <c r="BR42" s="177"/>
      <c r="BS42" s="1"/>
      <c r="BT42" s="1"/>
      <c r="BU42" s="1"/>
      <c r="BV42" s="1"/>
    </row>
    <row r="43" spans="2:74" x14ac:dyDescent="0.2">
      <c r="B43" s="13">
        <f>Master!CH44</f>
        <v>2000</v>
      </c>
      <c r="C43" s="69">
        <f>Master!CI44</f>
        <v>478.19461147039237</v>
      </c>
      <c r="D43" s="69">
        <f>Master!CJ44</f>
        <v>12067.836482003508</v>
      </c>
      <c r="E43" s="69">
        <f>Master!CK44</f>
        <v>25806.749999332358</v>
      </c>
      <c r="F43" s="69">
        <f>Master!CL44</f>
        <v>8509.3427271220298</v>
      </c>
      <c r="G43" s="69">
        <f>Master!CM44</f>
        <v>0</v>
      </c>
      <c r="H43" s="69">
        <f>Master!CN44</f>
        <v>46862.123819928282</v>
      </c>
      <c r="J43" s="24"/>
      <c r="K43" s="24"/>
      <c r="L43" s="24"/>
      <c r="M43" s="24"/>
      <c r="N43" s="24"/>
      <c r="O43" s="24"/>
      <c r="Q43" s="165"/>
      <c r="R43" s="165"/>
      <c r="S43" s="165"/>
      <c r="T43" s="1"/>
      <c r="W43" s="174"/>
      <c r="X43" s="167"/>
      <c r="Y43" s="167"/>
      <c r="Z43" s="167"/>
      <c r="AA43" s="167"/>
      <c r="AB43" s="36"/>
      <c r="AC43" s="57"/>
      <c r="AD43" s="174"/>
      <c r="AE43" s="176"/>
      <c r="AF43" s="174"/>
      <c r="AG43" s="128"/>
      <c r="AH43" s="1"/>
      <c r="AI43" s="171" t="s">
        <v>539</v>
      </c>
      <c r="AJ43" s="171" t="s">
        <v>497</v>
      </c>
      <c r="AK43" s="1"/>
      <c r="AL43" s="165"/>
      <c r="AM43" s="165"/>
      <c r="AN43" s="1"/>
      <c r="AO43" s="57"/>
      <c r="AP43" s="167"/>
      <c r="AR43" s="1"/>
      <c r="AS43" s="174"/>
      <c r="AT43" s="128"/>
      <c r="AU43" s="1"/>
      <c r="AV43" s="174"/>
      <c r="AW43" s="174"/>
      <c r="AX43" s="1"/>
      <c r="AY43" s="1"/>
      <c r="AZ43" s="1"/>
      <c r="BA43" s="1"/>
      <c r="BB43" s="174"/>
      <c r="BC43" s="128"/>
      <c r="BD43" s="128"/>
      <c r="BE43" s="174"/>
      <c r="BF43" s="174"/>
      <c r="BG43" s="1"/>
      <c r="BH43" s="174"/>
      <c r="BI43" s="1"/>
      <c r="BJ43" s="57"/>
      <c r="BK43" s="167"/>
      <c r="BL43" s="176"/>
      <c r="BM43" s="174"/>
      <c r="BN43" s="174"/>
      <c r="BO43" s="174"/>
      <c r="BP43" s="175"/>
      <c r="BQ43" s="177"/>
      <c r="BR43" s="177"/>
      <c r="BS43" s="1"/>
      <c r="BT43" s="1"/>
      <c r="BU43" s="1"/>
      <c r="BV43" s="1"/>
    </row>
    <row r="44" spans="2:74" x14ac:dyDescent="0.2">
      <c r="B44" s="13">
        <v>2001</v>
      </c>
      <c r="C44" s="69"/>
      <c r="D44" s="69"/>
      <c r="E44" s="69"/>
      <c r="F44" s="69"/>
      <c r="G44" s="69"/>
      <c r="H44" s="69"/>
      <c r="J44" s="24"/>
      <c r="K44" s="24"/>
      <c r="L44" s="24"/>
      <c r="M44" s="24"/>
      <c r="N44" s="24"/>
      <c r="O44" s="24"/>
      <c r="Q44" s="165"/>
      <c r="U44" s="171" t="s">
        <v>539</v>
      </c>
      <c r="V44" s="171" t="s">
        <v>497</v>
      </c>
      <c r="AA44" s="167"/>
      <c r="AB44" s="36"/>
      <c r="AM44" s="165"/>
      <c r="AN44" s="1"/>
      <c r="AO44" s="57"/>
      <c r="AP44" s="167"/>
      <c r="AR44" s="1"/>
      <c r="AS44" s="167"/>
      <c r="AT44" s="179"/>
      <c r="AU44" s="1"/>
      <c r="AV44" s="174"/>
      <c r="AW44" s="174"/>
      <c r="AX44" s="1"/>
      <c r="AY44" s="1"/>
      <c r="AZ44" s="1"/>
      <c r="BA44" s="57"/>
      <c r="BB44" s="165"/>
      <c r="BC44" s="1"/>
      <c r="BD44" s="1"/>
      <c r="BE44" s="167"/>
      <c r="BF44" s="176"/>
      <c r="BG44" s="174"/>
      <c r="BH44" s="167"/>
      <c r="BI44" s="1"/>
      <c r="BJ44" s="57"/>
      <c r="BK44" s="167"/>
      <c r="BL44" s="176"/>
      <c r="BM44" s="174"/>
      <c r="BN44" s="167"/>
      <c r="BO44" s="167"/>
      <c r="BP44" s="175"/>
      <c r="BQ44" s="177"/>
      <c r="BR44" s="177"/>
      <c r="BS44" s="1"/>
      <c r="BT44" s="1"/>
      <c r="BU44" s="1"/>
      <c r="BV44" s="1"/>
    </row>
    <row r="45" spans="2:74" x14ac:dyDescent="0.2">
      <c r="B45" s="13"/>
      <c r="C45" s="69"/>
      <c r="D45" s="69"/>
      <c r="E45" s="69"/>
      <c r="F45" s="69"/>
      <c r="G45" s="69"/>
      <c r="H45" s="69"/>
      <c r="J45" s="24"/>
      <c r="K45" s="24"/>
      <c r="L45" s="24"/>
      <c r="M45" s="24"/>
      <c r="N45" s="24"/>
      <c r="O45" s="24"/>
      <c r="Q45" s="165"/>
      <c r="AA45" s="167"/>
      <c r="AB45" s="36"/>
      <c r="AI45" s="16" t="s">
        <v>135</v>
      </c>
      <c r="AJ45" s="16" t="s">
        <v>136</v>
      </c>
      <c r="AM45" s="165"/>
      <c r="AN45" s="1"/>
      <c r="AO45" s="57"/>
      <c r="AP45" s="167"/>
      <c r="AQ45" s="176"/>
      <c r="AR45" s="1"/>
      <c r="AS45" s="174"/>
      <c r="AT45" s="128"/>
      <c r="AU45" s="1"/>
      <c r="AV45" s="174"/>
      <c r="AW45" s="174"/>
      <c r="AX45" s="1"/>
      <c r="AY45" s="1"/>
      <c r="AZ45" s="1"/>
      <c r="BA45" s="1"/>
      <c r="BB45" s="165"/>
      <c r="BC45" s="1"/>
      <c r="BD45" s="1"/>
      <c r="BE45" s="128"/>
      <c r="BF45" s="128"/>
      <c r="BG45" s="1"/>
      <c r="BH45" s="174"/>
      <c r="BI45" s="1"/>
      <c r="BJ45" s="1"/>
      <c r="BK45" s="1"/>
      <c r="BL45" s="1"/>
      <c r="BM45" s="1"/>
      <c r="BN45" s="1"/>
      <c r="BO45" s="1"/>
      <c r="BP45" s="1"/>
      <c r="BQ45" s="1"/>
      <c r="BR45" s="1"/>
      <c r="BS45" s="1"/>
      <c r="BT45" s="1"/>
      <c r="BU45" s="1"/>
      <c r="BV45" s="1"/>
    </row>
    <row r="46" spans="2:74" x14ac:dyDescent="0.2">
      <c r="B46" s="13"/>
      <c r="Q46" s="1"/>
      <c r="U46" s="16" t="s">
        <v>133</v>
      </c>
      <c r="V46" s="16" t="s">
        <v>134</v>
      </c>
      <c r="AA46" s="1"/>
      <c r="AB46" s="1"/>
      <c r="AI46" s="90">
        <v>32258</v>
      </c>
      <c r="AJ46" s="90">
        <f>AD65+AD66*AI46</f>
        <v>20025.015145333193</v>
      </c>
      <c r="AM46" s="1"/>
      <c r="AN46" s="1"/>
      <c r="AO46" s="1"/>
      <c r="AP46" s="1"/>
      <c r="AQ46" s="1" t="s">
        <v>188</v>
      </c>
      <c r="AR46" s="1"/>
      <c r="AS46" s="1"/>
      <c r="AT46" s="1"/>
      <c r="AU46" s="1"/>
      <c r="AV46" s="1"/>
      <c r="AW46" s="1"/>
      <c r="AX46" s="187">
        <f>SUM(AX17:AX45)</f>
        <v>924180001.22854698</v>
      </c>
      <c r="AY46" s="187"/>
      <c r="AZ46" s="187"/>
      <c r="BA46" s="1"/>
      <c r="BB46" s="1"/>
      <c r="BC46" s="1"/>
      <c r="BD46" s="1"/>
      <c r="BE46" s="1"/>
      <c r="BF46" s="1"/>
      <c r="BG46" s="187">
        <f>SUM(BG18:BG38)</f>
        <v>892744977.22532463</v>
      </c>
      <c r="BH46" s="1"/>
      <c r="BI46" s="1"/>
      <c r="BJ46" s="1"/>
      <c r="BK46" s="1"/>
      <c r="BL46" s="1"/>
      <c r="BM46" s="1"/>
      <c r="BN46" s="1"/>
      <c r="BO46" s="1"/>
      <c r="BP46" s="1"/>
      <c r="BQ46" s="1"/>
      <c r="BR46" s="1"/>
      <c r="BS46" s="1"/>
      <c r="BT46" s="1"/>
      <c r="BU46" s="1"/>
      <c r="BV46" s="1"/>
    </row>
    <row r="47" spans="2:74" x14ac:dyDescent="0.2">
      <c r="B47" t="s">
        <v>138</v>
      </c>
      <c r="D47" s="41">
        <f>AVERAGE(D18:D37)</f>
        <v>6876.1088578869285</v>
      </c>
      <c r="E47" s="41">
        <f>AVERAGE(E18:E37)</f>
        <v>15530.196775643682</v>
      </c>
      <c r="F47" s="41">
        <f>AVERAGE(F18:F37)</f>
        <v>12480.48620218953</v>
      </c>
      <c r="J47" s="24">
        <f>AVERAGE(J17:J37)</f>
        <v>1.1970747790797981E-2</v>
      </c>
      <c r="K47" s="24">
        <f>AVERAGE(K17:K37)</f>
        <v>0.20169294563379248</v>
      </c>
      <c r="L47" s="24">
        <f>AVERAGE(L17:L37)</f>
        <v>0.44826168637176922</v>
      </c>
      <c r="M47" s="24">
        <f>AVERAGE(M17:M37)</f>
        <v>0.33526665749264467</v>
      </c>
      <c r="N47" s="24">
        <f>AVERAGE(N17:N37)</f>
        <v>2.8079627109956059E-3</v>
      </c>
      <c r="O47" s="13"/>
      <c r="P47" s="13"/>
      <c r="Q47" s="165"/>
      <c r="U47" s="90">
        <v>4506</v>
      </c>
      <c r="V47" s="90">
        <f>S65+S66*U47</f>
        <v>13562.33095560573</v>
      </c>
      <c r="AA47" s="1"/>
      <c r="AB47" s="1"/>
      <c r="AM47" s="22"/>
      <c r="AN47" s="1"/>
      <c r="AO47" s="1"/>
      <c r="AP47" s="1"/>
      <c r="AQ47" s="1" t="s">
        <v>149</v>
      </c>
      <c r="AR47" s="1"/>
      <c r="AS47" s="1"/>
      <c r="AT47" s="1"/>
      <c r="AU47" s="1"/>
      <c r="AV47" s="1"/>
      <c r="AW47" s="1"/>
      <c r="AX47" s="187">
        <f>AVERAGE(AX18:AX38)</f>
        <v>44008571.487073667</v>
      </c>
      <c r="AY47" s="1"/>
      <c r="AZ47" s="1" t="s">
        <v>191</v>
      </c>
      <c r="BA47" s="1"/>
      <c r="BB47" s="22"/>
      <c r="BC47" s="1"/>
      <c r="BD47" s="1"/>
      <c r="BE47" s="1"/>
      <c r="BF47" s="1"/>
      <c r="BG47" s="187">
        <f>AVERAGE(BG18:BG38)</f>
        <v>42511665.582158312</v>
      </c>
      <c r="BH47" s="1" t="s">
        <v>200</v>
      </c>
      <c r="BI47" s="1"/>
      <c r="BJ47" s="1"/>
      <c r="BK47" s="1"/>
      <c r="BL47" s="1"/>
      <c r="BM47" s="1"/>
      <c r="BN47" s="1"/>
      <c r="BO47" s="1"/>
      <c r="BP47" s="1"/>
      <c r="BQ47" s="1"/>
      <c r="BR47" s="1"/>
      <c r="BS47" s="1"/>
      <c r="BT47" s="1"/>
      <c r="BU47" s="1"/>
      <c r="BV47" s="1"/>
    </row>
    <row r="48" spans="2:74" x14ac:dyDescent="0.2">
      <c r="Q48" s="1"/>
      <c r="AM48" s="21"/>
      <c r="BB48" s="21"/>
    </row>
    <row r="49" spans="2:59" x14ac:dyDescent="0.2">
      <c r="B49" t="s">
        <v>496</v>
      </c>
      <c r="D49" s="41">
        <f>AVERAGE(D23:D37)</f>
        <v>7353.8451309939073</v>
      </c>
      <c r="E49" s="41">
        <f>AVERAGE(E23:E37)</f>
        <v>14097.300151511332</v>
      </c>
      <c r="F49" s="41">
        <f>AVERAGE(F23:F37)</f>
        <v>11257.899642804523</v>
      </c>
      <c r="J49" s="24">
        <f>AVERAGE(J23:J37)</f>
        <v>1.6759046907117173E-2</v>
      </c>
      <c r="K49" s="24">
        <f>AVERAGE(K23:K37)</f>
        <v>0.23223478709839707</v>
      </c>
      <c r="L49" s="24">
        <f>AVERAGE(L23:L37)</f>
        <v>0.42382518501861133</v>
      </c>
      <c r="M49" s="24">
        <f>AVERAGE(M23:M37)</f>
        <v>0.32342080854542471</v>
      </c>
      <c r="N49" s="24">
        <f>AVERAGE(N23:N37)</f>
        <v>3.7601724304496056E-3</v>
      </c>
      <c r="Q49" s="57"/>
      <c r="R49" t="s">
        <v>109</v>
      </c>
      <c r="AC49" t="s">
        <v>109</v>
      </c>
      <c r="AL49" s="165"/>
      <c r="AX49" s="14">
        <f>SQRT(AX47)</f>
        <v>6633.8956493958858</v>
      </c>
      <c r="BG49" s="14">
        <f>SQRT(BG47)</f>
        <v>6520.0970531241564</v>
      </c>
    </row>
    <row r="50" spans="2:59" ht="13.5" thickBot="1" x14ac:dyDescent="0.25">
      <c r="Q50" s="1"/>
      <c r="AL50" s="165"/>
    </row>
    <row r="51" spans="2:59" x14ac:dyDescent="0.2">
      <c r="B51" t="s">
        <v>507</v>
      </c>
      <c r="Q51" s="57"/>
      <c r="R51" s="173" t="s">
        <v>110</v>
      </c>
      <c r="S51" s="173"/>
      <c r="AC51" s="173" t="s">
        <v>110</v>
      </c>
      <c r="AD51" s="173"/>
      <c r="AL51" s="1"/>
    </row>
    <row r="52" spans="2:59" x14ac:dyDescent="0.2">
      <c r="B52" t="s">
        <v>508</v>
      </c>
      <c r="Q52" s="57"/>
      <c r="R52" s="168" t="s">
        <v>111</v>
      </c>
      <c r="S52" s="168">
        <v>0.47991282313909428</v>
      </c>
      <c r="AC52" s="168" t="s">
        <v>111</v>
      </c>
      <c r="AD52" s="168">
        <v>0.55482504777825881</v>
      </c>
      <c r="AL52" s="22"/>
    </row>
    <row r="53" spans="2:59" x14ac:dyDescent="0.2">
      <c r="Q53" s="1"/>
      <c r="R53" s="168" t="s">
        <v>112</v>
      </c>
      <c r="S53" s="168">
        <v>0.23031631781333559</v>
      </c>
      <c r="AC53" s="168" t="s">
        <v>112</v>
      </c>
      <c r="AD53" s="168">
        <v>0.30783083364214719</v>
      </c>
      <c r="AL53" s="21"/>
    </row>
    <row r="54" spans="2:59" x14ac:dyDescent="0.2">
      <c r="B54" t="s">
        <v>295</v>
      </c>
      <c r="H54" t="s">
        <v>540</v>
      </c>
      <c r="J54" s="24"/>
      <c r="K54" s="24">
        <f>AVERAGE(K34:K36)</f>
        <v>0.20976575278194112</v>
      </c>
      <c r="L54" s="24">
        <f>AVERAGE(L34:L36)</f>
        <v>0.48096840856434309</v>
      </c>
      <c r="M54" s="24">
        <f>AVERAGE(M34:M36)</f>
        <v>0.30515616627232722</v>
      </c>
      <c r="N54" s="24"/>
      <c r="O54" s="24">
        <f>SUM(K54:M54)</f>
        <v>0.9958903276186114</v>
      </c>
      <c r="Q54" s="165"/>
      <c r="R54" s="168" t="s">
        <v>113</v>
      </c>
      <c r="S54" s="168">
        <v>0.19183213370400237</v>
      </c>
      <c r="AC54" s="168" t="s">
        <v>113</v>
      </c>
      <c r="AD54" s="168">
        <v>0.27140087751804964</v>
      </c>
    </row>
    <row r="55" spans="2:59" x14ac:dyDescent="0.2">
      <c r="B55" s="13" t="s">
        <v>259</v>
      </c>
      <c r="C55" s="75">
        <f>CORREL(D18:D39,E18:E39)</f>
        <v>0.50565463608172434</v>
      </c>
      <c r="D55" s="14" t="s">
        <v>261</v>
      </c>
      <c r="E55" s="75">
        <f>C55^2</f>
        <v>0.25568661099094109</v>
      </c>
      <c r="H55" t="s">
        <v>541</v>
      </c>
      <c r="J55" s="24"/>
      <c r="K55" s="24">
        <f>MEDIAN(K34:K36)</f>
        <v>0.20197389612677302</v>
      </c>
      <c r="L55" s="24">
        <f>MEDIAN(L34:L36)</f>
        <v>0.51938252794172146</v>
      </c>
      <c r="M55" s="24">
        <f>MEDIAN(M34:M36)</f>
        <v>0.27827064901001736</v>
      </c>
      <c r="N55" s="24"/>
      <c r="O55" s="24">
        <f>SUM(K55:M55)</f>
        <v>0.99962707307851173</v>
      </c>
      <c r="Q55" s="165"/>
      <c r="R55" s="168" t="s">
        <v>114</v>
      </c>
      <c r="S55" s="168">
        <v>7498.8928451991587</v>
      </c>
      <c r="AC55" s="168" t="s">
        <v>114</v>
      </c>
      <c r="AD55" s="168">
        <v>5682.8796781404471</v>
      </c>
    </row>
    <row r="56" spans="2:59" ht="13.5" thickBot="1" x14ac:dyDescent="0.25">
      <c r="B56" s="13" t="s">
        <v>260</v>
      </c>
      <c r="C56" s="75">
        <f>CORREL(E17:E38,F17:F38)</f>
        <v>0.46371189039800037</v>
      </c>
      <c r="D56" s="14" t="s">
        <v>261</v>
      </c>
      <c r="E56" s="75">
        <f>C56^2</f>
        <v>0.21502871729648712</v>
      </c>
      <c r="H56" t="s">
        <v>50</v>
      </c>
      <c r="Q56" s="165"/>
      <c r="R56" s="169" t="s">
        <v>115</v>
      </c>
      <c r="S56" s="169">
        <v>22</v>
      </c>
      <c r="AC56" s="169" t="s">
        <v>115</v>
      </c>
      <c r="AD56" s="169">
        <v>21</v>
      </c>
    </row>
    <row r="57" spans="2:59" x14ac:dyDescent="0.2">
      <c r="H57" t="s">
        <v>51</v>
      </c>
      <c r="Q57" s="165"/>
    </row>
    <row r="58" spans="2:59" ht="13.5" thickBot="1" x14ac:dyDescent="0.25">
      <c r="B58" t="s">
        <v>296</v>
      </c>
      <c r="Q58" s="1"/>
      <c r="R58" t="s">
        <v>116</v>
      </c>
      <c r="AC58" t="s">
        <v>116</v>
      </c>
    </row>
    <row r="59" spans="2:59" x14ac:dyDescent="0.2">
      <c r="B59" s="13" t="s">
        <v>259</v>
      </c>
      <c r="C59" s="75">
        <f>CORREL(D18:D33,E18:E33)</f>
        <v>0.49472083783149617</v>
      </c>
      <c r="D59" s="14" t="s">
        <v>261</v>
      </c>
      <c r="E59" s="75">
        <f>C59^2</f>
        <v>0.24474870738469753</v>
      </c>
      <c r="H59" t="s">
        <v>53</v>
      </c>
      <c r="Q59" s="165"/>
      <c r="R59" s="166"/>
      <c r="S59" s="166" t="s">
        <v>120</v>
      </c>
      <c r="T59" s="166" t="s">
        <v>121</v>
      </c>
      <c r="U59" s="166" t="s">
        <v>122</v>
      </c>
      <c r="V59" s="166" t="s">
        <v>123</v>
      </c>
      <c r="W59" s="166" t="s">
        <v>124</v>
      </c>
      <c r="AC59" s="166"/>
      <c r="AD59" s="166" t="s">
        <v>120</v>
      </c>
      <c r="AE59" s="166" t="s">
        <v>121</v>
      </c>
      <c r="AF59" s="166" t="s">
        <v>122</v>
      </c>
      <c r="AG59" s="166" t="s">
        <v>123</v>
      </c>
      <c r="AH59" s="166" t="s">
        <v>124</v>
      </c>
    </row>
    <row r="60" spans="2:59" x14ac:dyDescent="0.2">
      <c r="B60" s="13" t="s">
        <v>260</v>
      </c>
      <c r="C60" s="75">
        <f>CORREL(E17:E32,F17:F32)</f>
        <v>0.46542585184129931</v>
      </c>
      <c r="D60" s="14" t="s">
        <v>261</v>
      </c>
      <c r="E60" s="75">
        <f>C60^2</f>
        <v>0.21662122356219909</v>
      </c>
      <c r="Q60" s="1"/>
      <c r="R60" s="168" t="s">
        <v>117</v>
      </c>
      <c r="S60" s="168">
        <v>1</v>
      </c>
      <c r="T60" s="168">
        <v>336540023.4358685</v>
      </c>
      <c r="U60" s="168">
        <v>336540023.4358685</v>
      </c>
      <c r="V60" s="168">
        <v>5.9847005502054813</v>
      </c>
      <c r="W60" s="168">
        <v>2.3799992054372505E-2</v>
      </c>
      <c r="AC60" s="168" t="s">
        <v>117</v>
      </c>
      <c r="AD60" s="168">
        <v>1</v>
      </c>
      <c r="AE60" s="168">
        <v>272891741.08311605</v>
      </c>
      <c r="AF60" s="168">
        <v>272891741.08311605</v>
      </c>
      <c r="AG60" s="168">
        <v>8.4499369857468682</v>
      </c>
      <c r="AH60" s="168">
        <v>9.0409838941484591E-3</v>
      </c>
    </row>
    <row r="61" spans="2:59" x14ac:dyDescent="0.2">
      <c r="Q61" s="1"/>
      <c r="R61" s="168" t="s">
        <v>118</v>
      </c>
      <c r="S61" s="168">
        <v>20</v>
      </c>
      <c r="T61" s="168">
        <v>1124667878.0755825</v>
      </c>
      <c r="U61" s="168">
        <v>56233393.903779127</v>
      </c>
      <c r="V61" s="168"/>
      <c r="W61" s="168"/>
      <c r="AC61" s="168" t="s">
        <v>118</v>
      </c>
      <c r="AD61" s="168">
        <v>19</v>
      </c>
      <c r="AE61" s="168">
        <v>613607307.28821182</v>
      </c>
      <c r="AF61" s="168">
        <v>32295121.436221674</v>
      </c>
      <c r="AG61" s="168"/>
      <c r="AH61" s="168"/>
    </row>
    <row r="62" spans="2:59" ht="13.5" thickBot="1" x14ac:dyDescent="0.25">
      <c r="Q62" s="1"/>
      <c r="R62" s="169" t="s">
        <v>426</v>
      </c>
      <c r="S62" s="169">
        <v>21</v>
      </c>
      <c r="T62" s="169">
        <v>1461207901.511451</v>
      </c>
      <c r="U62" s="169"/>
      <c r="V62" s="169"/>
      <c r="W62" s="169"/>
      <c r="AC62" s="169" t="s">
        <v>426</v>
      </c>
      <c r="AD62" s="169">
        <v>20</v>
      </c>
      <c r="AE62" s="169">
        <v>886499048.37132788</v>
      </c>
      <c r="AF62" s="169"/>
      <c r="AG62" s="169"/>
      <c r="AH62" s="169"/>
    </row>
    <row r="63" spans="2:59" ht="13.5" thickBot="1" x14ac:dyDescent="0.25">
      <c r="Y63" s="1"/>
      <c r="Z63" s="1"/>
    </row>
    <row r="64" spans="2:59" x14ac:dyDescent="0.2">
      <c r="R64" s="166"/>
      <c r="S64" s="166" t="s">
        <v>125</v>
      </c>
      <c r="T64" s="166" t="s">
        <v>114</v>
      </c>
      <c r="U64" s="166" t="s">
        <v>126</v>
      </c>
      <c r="V64" s="166" t="s">
        <v>127</v>
      </c>
      <c r="W64" s="166" t="s">
        <v>128</v>
      </c>
      <c r="X64" s="166" t="s">
        <v>129</v>
      </c>
      <c r="Y64" s="201"/>
      <c r="Z64" s="201"/>
      <c r="AC64" s="166"/>
      <c r="AD64" s="166" t="s">
        <v>125</v>
      </c>
      <c r="AE64" s="166" t="s">
        <v>114</v>
      </c>
      <c r="AF64" s="166" t="s">
        <v>126</v>
      </c>
      <c r="AG64" s="166" t="s">
        <v>127</v>
      </c>
      <c r="AH64" s="166" t="s">
        <v>128</v>
      </c>
      <c r="AI64" s="166" t="s">
        <v>129</v>
      </c>
      <c r="AJ64" s="166" t="s">
        <v>130</v>
      </c>
      <c r="AK64" s="166" t="s">
        <v>131</v>
      </c>
    </row>
    <row r="65" spans="18:37" x14ac:dyDescent="0.2">
      <c r="R65" s="168" t="s">
        <v>119</v>
      </c>
      <c r="S65" s="168">
        <v>7928.3143197225254</v>
      </c>
      <c r="T65" s="168">
        <v>3645.9002230647966</v>
      </c>
      <c r="U65" s="168">
        <v>2.1745834594063216</v>
      </c>
      <c r="V65" s="168">
        <v>4.1835441027149589E-2</v>
      </c>
      <c r="W65" s="168">
        <v>323.10325476814796</v>
      </c>
      <c r="X65" s="168">
        <v>15533.525384676903</v>
      </c>
      <c r="Y65" s="168"/>
      <c r="Z65" s="168"/>
      <c r="AC65" s="168" t="s">
        <v>119</v>
      </c>
      <c r="AD65" s="168">
        <v>4527.9764142628437</v>
      </c>
      <c r="AE65" s="168">
        <v>2796.6437520632762</v>
      </c>
      <c r="AF65" s="168">
        <v>1.6190751542531094</v>
      </c>
      <c r="AG65" s="168">
        <v>0.12191109660118593</v>
      </c>
      <c r="AH65" s="168">
        <v>-1325.4680489485536</v>
      </c>
      <c r="AI65" s="168">
        <v>10381.42087747424</v>
      </c>
      <c r="AJ65" s="168">
        <v>-1325.4680489485536</v>
      </c>
      <c r="AK65" s="168">
        <v>10381.42087747424</v>
      </c>
    </row>
    <row r="66" spans="18:37" ht="13.5" thickBot="1" x14ac:dyDescent="0.25">
      <c r="R66" s="169" t="s">
        <v>132</v>
      </c>
      <c r="S66" s="169">
        <v>1.2503365814210397</v>
      </c>
      <c r="T66" s="169">
        <v>0.51109981663051662</v>
      </c>
      <c r="U66" s="169">
        <v>2.4463647622963847</v>
      </c>
      <c r="V66" s="169">
        <v>2.3799992054372845E-2</v>
      </c>
      <c r="W66" s="169">
        <v>0.18420154126158317</v>
      </c>
      <c r="X66" s="169">
        <v>2.3164716215804964</v>
      </c>
      <c r="Y66" s="168"/>
      <c r="Z66" s="168"/>
      <c r="AC66" s="169" t="s">
        <v>132</v>
      </c>
      <c r="AD66" s="169">
        <v>0.48040916148150375</v>
      </c>
      <c r="AE66" s="169">
        <v>0.16526639192793452</v>
      </c>
      <c r="AF66" s="169">
        <v>2.9068775319484756</v>
      </c>
      <c r="AG66" s="169">
        <v>9.0409838941484869E-3</v>
      </c>
      <c r="AH66" s="169">
        <v>0.13450252032572835</v>
      </c>
      <c r="AI66" s="169">
        <v>0.82631580263727922</v>
      </c>
      <c r="AJ66" s="169">
        <v>0.13450252032572835</v>
      </c>
      <c r="AK66" s="169">
        <v>0.82631580263727922</v>
      </c>
    </row>
    <row r="70" spans="18:37" x14ac:dyDescent="0.2">
      <c r="R70" t="s">
        <v>153</v>
      </c>
      <c r="AC70" t="s">
        <v>153</v>
      </c>
    </row>
    <row r="71" spans="18:37" ht="13.5" thickBot="1" x14ac:dyDescent="0.25"/>
    <row r="72" spans="18:37" x14ac:dyDescent="0.2">
      <c r="R72" s="166" t="s">
        <v>154</v>
      </c>
      <c r="S72" s="166" t="s">
        <v>156</v>
      </c>
      <c r="T72" s="166" t="s">
        <v>157</v>
      </c>
      <c r="AC72" s="166" t="s">
        <v>154</v>
      </c>
      <c r="AD72" s="166" t="s">
        <v>156</v>
      </c>
      <c r="AE72" s="166" t="s">
        <v>157</v>
      </c>
    </row>
    <row r="73" spans="18:37" x14ac:dyDescent="0.2">
      <c r="R73" s="168">
        <v>1</v>
      </c>
      <c r="S73" s="52">
        <v>15430.333808248764</v>
      </c>
      <c r="T73" s="52">
        <v>19704.795618375432</v>
      </c>
      <c r="AC73" s="168">
        <v>1</v>
      </c>
      <c r="AD73" s="168">
        <v>21407.214480651484</v>
      </c>
      <c r="AE73" s="168">
        <v>-8131.5262790166071</v>
      </c>
    </row>
    <row r="74" spans="18:37" x14ac:dyDescent="0.2">
      <c r="R74" s="168">
        <v>2</v>
      </c>
      <c r="S74" s="52">
        <v>13053.567041480819</v>
      </c>
      <c r="T74" s="52">
        <v>4306.9482991186378</v>
      </c>
      <c r="AC74" s="168">
        <v>2</v>
      </c>
      <c r="AD74" s="168">
        <v>12868.127031927012</v>
      </c>
      <c r="AE74" s="168">
        <v>-1977.0129447335512</v>
      </c>
    </row>
    <row r="75" spans="18:37" x14ac:dyDescent="0.2">
      <c r="R75" s="168">
        <v>3</v>
      </c>
      <c r="S75" s="52">
        <v>12184.488320246572</v>
      </c>
      <c r="T75" s="52">
        <v>6627.4360121784957</v>
      </c>
      <c r="AC75" s="168">
        <v>3</v>
      </c>
      <c r="AD75" s="168">
        <v>13565.397208656668</v>
      </c>
      <c r="AE75" s="168">
        <v>2533.9186774510235</v>
      </c>
    </row>
    <row r="76" spans="18:37" x14ac:dyDescent="0.2">
      <c r="R76" s="168">
        <v>4</v>
      </c>
      <c r="S76" s="52">
        <v>12054.847154767373</v>
      </c>
      <c r="T76" s="52">
        <v>4793.274121391838</v>
      </c>
      <c r="AC76" s="168">
        <v>4</v>
      </c>
      <c r="AD76" s="168">
        <v>12621.968229081172</v>
      </c>
      <c r="AE76" s="168">
        <v>1811.6164025384151</v>
      </c>
    </row>
    <row r="77" spans="18:37" x14ac:dyDescent="0.2">
      <c r="R77" s="168">
        <v>5</v>
      </c>
      <c r="S77" s="52">
        <v>14013.996334775857</v>
      </c>
      <c r="T77" s="52">
        <v>6073.7364655587444</v>
      </c>
      <c r="AC77" s="168">
        <v>5</v>
      </c>
      <c r="AD77" s="168">
        <v>14178.307284936087</v>
      </c>
      <c r="AE77" s="168">
        <v>157.3693705047117</v>
      </c>
    </row>
    <row r="78" spans="18:37" x14ac:dyDescent="0.2">
      <c r="R78" s="168">
        <v>6</v>
      </c>
      <c r="S78" s="52">
        <v>19407.461849828709</v>
      </c>
      <c r="T78" s="52">
        <v>-691.43954966988895</v>
      </c>
      <c r="AC78" s="168">
        <v>6</v>
      </c>
      <c r="AD78" s="168">
        <v>13519.324993751266</v>
      </c>
      <c r="AE78" s="168">
        <v>4622.018389265897</v>
      </c>
    </row>
    <row r="79" spans="18:37" x14ac:dyDescent="0.2">
      <c r="R79" s="168">
        <v>7</v>
      </c>
      <c r="S79" s="52">
        <v>16392.62420886867</v>
      </c>
      <c r="T79" s="52">
        <v>2363.713835395105</v>
      </c>
      <c r="AC79" s="168">
        <v>7</v>
      </c>
      <c r="AD79" s="168">
        <v>13538.693046571232</v>
      </c>
      <c r="AE79" s="168">
        <v>4892.2178154397152</v>
      </c>
    </row>
    <row r="80" spans="18:37" x14ac:dyDescent="0.2">
      <c r="R80" s="168">
        <v>8</v>
      </c>
      <c r="S80" s="52">
        <v>15957.986750757216</v>
      </c>
      <c r="T80" s="52">
        <v>2807.5687645580147</v>
      </c>
      <c r="AC80" s="168">
        <v>8</v>
      </c>
      <c r="AD80" s="168">
        <v>13543.121204110041</v>
      </c>
      <c r="AE80" s="168">
        <v>-1998.7694876928144</v>
      </c>
    </row>
    <row r="81" spans="18:31" x14ac:dyDescent="0.2">
      <c r="R81" s="168">
        <v>9</v>
      </c>
      <c r="S81" s="52">
        <v>27676.591482400036</v>
      </c>
      <c r="T81" s="52">
        <v>-6168.1655382783356</v>
      </c>
      <c r="AC81" s="168">
        <v>9</v>
      </c>
      <c r="AD81" s="168">
        <v>14860.821286865372</v>
      </c>
      <c r="AE81" s="168">
        <v>13295.992946828806</v>
      </c>
    </row>
    <row r="82" spans="18:31" x14ac:dyDescent="0.2">
      <c r="R82" s="168">
        <v>10</v>
      </c>
      <c r="S82" s="52">
        <v>15897.803895273479</v>
      </c>
      <c r="T82" s="52">
        <v>-4039.1446939857015</v>
      </c>
      <c r="AC82" s="168">
        <v>10</v>
      </c>
      <c r="AD82" s="168">
        <v>10224.984937448424</v>
      </c>
      <c r="AE82" s="168">
        <v>9037.0186047859079</v>
      </c>
    </row>
    <row r="83" spans="18:31" x14ac:dyDescent="0.2">
      <c r="R83" s="168">
        <v>11</v>
      </c>
      <c r="S83" s="52">
        <v>15113.605476933548</v>
      </c>
      <c r="T83" s="52">
        <v>-4179.6041145357285</v>
      </c>
      <c r="AC83" s="168">
        <v>11</v>
      </c>
      <c r="AD83" s="168">
        <v>9780.7708404099994</v>
      </c>
      <c r="AE83" s="168">
        <v>8308.3193939383582</v>
      </c>
    </row>
    <row r="84" spans="18:31" x14ac:dyDescent="0.2">
      <c r="R84" s="168">
        <v>12</v>
      </c>
      <c r="S84" s="52">
        <v>20630.631851036338</v>
      </c>
      <c r="T84" s="52">
        <v>-693.53773970869588</v>
      </c>
      <c r="AC84" s="168">
        <v>12</v>
      </c>
      <c r="AD84" s="168">
        <v>14105.939078663581</v>
      </c>
      <c r="AE84" s="168">
        <v>-528.0945298632214</v>
      </c>
    </row>
    <row r="85" spans="18:31" x14ac:dyDescent="0.2">
      <c r="R85" s="168">
        <v>13</v>
      </c>
      <c r="S85" s="52">
        <v>17748.274881442117</v>
      </c>
      <c r="T85" s="52">
        <v>-8242.6446769126305</v>
      </c>
      <c r="AC85" s="168">
        <v>13</v>
      </c>
      <c r="AD85" s="168">
        <v>9094.5682501741103</v>
      </c>
      <c r="AE85" s="168">
        <v>-307.82281491415779</v>
      </c>
    </row>
    <row r="86" spans="18:31" x14ac:dyDescent="0.2">
      <c r="R86" s="168">
        <v>14</v>
      </c>
      <c r="S86" s="52">
        <v>13273.346778331614</v>
      </c>
      <c r="T86" s="52">
        <v>-5815.2480305243835</v>
      </c>
      <c r="AC86" s="168">
        <v>14</v>
      </c>
      <c r="AD86" s="168">
        <v>8110.9153799431679</v>
      </c>
      <c r="AE86" s="168">
        <v>-2299.2712101665884</v>
      </c>
    </row>
    <row r="87" spans="18:31" x14ac:dyDescent="0.2">
      <c r="R87" s="168">
        <v>15</v>
      </c>
      <c r="S87" s="52">
        <v>14032.378998901626</v>
      </c>
      <c r="T87" s="52">
        <v>-5861.7829542064173</v>
      </c>
      <c r="AC87" s="168">
        <v>15</v>
      </c>
      <c r="AD87" s="168">
        <v>8453.2056088989593</v>
      </c>
      <c r="AE87" s="168">
        <v>-5910.5153086895107</v>
      </c>
    </row>
    <row r="88" spans="18:31" x14ac:dyDescent="0.2">
      <c r="R88" s="168">
        <v>16</v>
      </c>
      <c r="S88" s="52">
        <v>12568.768846251762</v>
      </c>
      <c r="T88" s="52">
        <v>-9865.9595095051955</v>
      </c>
      <c r="AC88" s="168">
        <v>16</v>
      </c>
      <c r="AD88" s="168">
        <v>5826.4307813736414</v>
      </c>
      <c r="AE88" s="168">
        <v>-2596.7269472815829</v>
      </c>
    </row>
    <row r="89" spans="18:31" x14ac:dyDescent="0.2">
      <c r="R89" s="168">
        <v>17</v>
      </c>
      <c r="S89" s="52">
        <v>9169.5709900608872</v>
      </c>
      <c r="T89" s="52">
        <v>-6118.0131468641248</v>
      </c>
      <c r="AC89" s="168">
        <v>17</v>
      </c>
      <c r="AD89" s="168">
        <v>5993.9727589253062</v>
      </c>
      <c r="AE89" s="168">
        <v>-4005.3930282065971</v>
      </c>
    </row>
    <row r="90" spans="18:31" x14ac:dyDescent="0.2">
      <c r="R90" s="168">
        <v>18</v>
      </c>
      <c r="S90" s="52">
        <v>12924.162837667887</v>
      </c>
      <c r="T90" s="52">
        <v>-7393.1014220176712</v>
      </c>
      <c r="AC90" s="168">
        <v>18</v>
      </c>
      <c r="AD90" s="168">
        <v>7185.1489910580631</v>
      </c>
      <c r="AE90" s="168">
        <v>-1088.6896412803198</v>
      </c>
    </row>
    <row r="91" spans="18:31" x14ac:dyDescent="0.2">
      <c r="R91" s="168">
        <v>19</v>
      </c>
      <c r="S91" s="52">
        <v>16765.838835952549</v>
      </c>
      <c r="T91" s="52">
        <v>6924.9047850234892</v>
      </c>
      <c r="AC91" s="168">
        <v>19</v>
      </c>
      <c r="AD91" s="168">
        <v>15909.226692089225</v>
      </c>
      <c r="AE91" s="168">
        <v>-5351.5956402910633</v>
      </c>
    </row>
    <row r="92" spans="18:31" x14ac:dyDescent="0.2">
      <c r="R92" s="168">
        <v>20</v>
      </c>
      <c r="S92" s="52">
        <v>15573.335952271869</v>
      </c>
      <c r="T92" s="52">
        <v>-690.75763644997642</v>
      </c>
      <c r="AC92" s="168">
        <v>20</v>
      </c>
      <c r="AD92" s="168">
        <v>11677.703383649648</v>
      </c>
      <c r="AE92" s="168">
        <v>-3094.3440721327443</v>
      </c>
    </row>
    <row r="93" spans="18:31" ht="13.5" thickBot="1" x14ac:dyDescent="0.25">
      <c r="R93" s="168">
        <v>21</v>
      </c>
      <c r="S93" s="52">
        <v>19935.96803490835</v>
      </c>
      <c r="T93" s="52">
        <v>-5133.1223981338062</v>
      </c>
      <c r="AC93" s="169">
        <v>21</v>
      </c>
      <c r="AD93" s="169">
        <v>11639.399074165838</v>
      </c>
      <c r="AE93" s="169">
        <v>-7368.709696484033</v>
      </c>
    </row>
    <row r="94" spans="18:31" ht="13.5" thickBot="1" x14ac:dyDescent="0.25">
      <c r="R94" s="169">
        <v>22</v>
      </c>
      <c r="S94" s="200">
        <v>20967.452813039046</v>
      </c>
      <c r="T94" s="200">
        <v>11290.143509192723</v>
      </c>
    </row>
    <row r="97" spans="18:37" x14ac:dyDescent="0.2">
      <c r="R97" t="s">
        <v>158</v>
      </c>
      <c r="AC97" t="s">
        <v>158</v>
      </c>
    </row>
    <row r="98" spans="18:37" x14ac:dyDescent="0.2">
      <c r="R98" t="s">
        <v>159</v>
      </c>
      <c r="AC98" t="s">
        <v>159</v>
      </c>
    </row>
    <row r="99" spans="18:37" x14ac:dyDescent="0.2">
      <c r="R99" t="s">
        <v>179</v>
      </c>
      <c r="W99" s="13"/>
      <c r="X99" s="13"/>
      <c r="AC99" t="s">
        <v>179</v>
      </c>
      <c r="AH99" s="13"/>
      <c r="AI99" s="13"/>
    </row>
    <row r="101" spans="18:37" x14ac:dyDescent="0.2">
      <c r="S101" t="s">
        <v>177</v>
      </c>
      <c r="T101" t="s">
        <v>176</v>
      </c>
      <c r="AD101" t="s">
        <v>177</v>
      </c>
      <c r="AE101" t="s">
        <v>176</v>
      </c>
    </row>
    <row r="102" spans="18:37" x14ac:dyDescent="0.2">
      <c r="R102" s="17" t="s">
        <v>175</v>
      </c>
      <c r="S102" s="17" t="s">
        <v>162</v>
      </c>
      <c r="T102" s="17" t="s">
        <v>161</v>
      </c>
      <c r="U102" s="11" t="s">
        <v>169</v>
      </c>
      <c r="AC102" s="17" t="s">
        <v>175</v>
      </c>
      <c r="AD102" s="17" t="s">
        <v>162</v>
      </c>
      <c r="AE102" s="17" t="s">
        <v>161</v>
      </c>
      <c r="AF102" s="11" t="s">
        <v>169</v>
      </c>
    </row>
    <row r="103" spans="18:37" x14ac:dyDescent="0.2">
      <c r="R103" s="13">
        <f>COUNT(R109:R130)</f>
        <v>22</v>
      </c>
      <c r="S103" s="85">
        <f>SUM(R109:R130)</f>
        <v>1124667878.0755825</v>
      </c>
      <c r="T103" s="85">
        <f>S103/(R103-2)</f>
        <v>56233393.903779127</v>
      </c>
      <c r="U103" s="85">
        <f>SUM(T109:T131)</f>
        <v>215269670.15672302</v>
      </c>
      <c r="V103" s="41"/>
      <c r="AC103" s="13">
        <f>COUNT(AC109:AC130)</f>
        <v>21</v>
      </c>
      <c r="AD103" s="85">
        <f>SUM(AC109:AC130)</f>
        <v>613607307.28821182</v>
      </c>
      <c r="AE103" s="85">
        <f>AD103/(AC103-2)</f>
        <v>32295121.436221674</v>
      </c>
      <c r="AF103" s="85">
        <f>SUM(AE109:AE131)</f>
        <v>1182409282.3434567</v>
      </c>
      <c r="AG103" s="41"/>
    </row>
    <row r="104" spans="18:37" x14ac:dyDescent="0.2">
      <c r="R104" s="13"/>
      <c r="S104" s="42"/>
      <c r="T104" s="42"/>
      <c r="V104" s="41"/>
      <c r="AC104" s="13"/>
      <c r="AD104" s="42"/>
      <c r="AE104" s="42"/>
      <c r="AG104" s="41"/>
    </row>
    <row r="105" spans="18:37" x14ac:dyDescent="0.2">
      <c r="R105" s="13"/>
      <c r="AC105" s="13"/>
      <c r="AF105" t="s">
        <v>166</v>
      </c>
    </row>
    <row r="106" spans="18:37" x14ac:dyDescent="0.2">
      <c r="U106" t="s">
        <v>166</v>
      </c>
      <c r="AD106" s="202" t="s">
        <v>530</v>
      </c>
      <c r="AE106" s="13" t="s">
        <v>168</v>
      </c>
      <c r="AF106" t="s">
        <v>167</v>
      </c>
      <c r="AH106" s="204" t="s">
        <v>172</v>
      </c>
      <c r="AI106" s="202" t="s">
        <v>530</v>
      </c>
    </row>
    <row r="107" spans="18:37" x14ac:dyDescent="0.2">
      <c r="S107" s="202" t="s">
        <v>530</v>
      </c>
      <c r="T107" s="13" t="s">
        <v>168</v>
      </c>
      <c r="U107" t="s">
        <v>167</v>
      </c>
      <c r="W107" s="204" t="s">
        <v>172</v>
      </c>
      <c r="X107" s="202" t="s">
        <v>530</v>
      </c>
    </row>
    <row r="108" spans="18:37" x14ac:dyDescent="0.2">
      <c r="R108" s="17" t="s">
        <v>163</v>
      </c>
      <c r="S108" s="17" t="s">
        <v>164</v>
      </c>
      <c r="T108" s="17" t="s">
        <v>165</v>
      </c>
      <c r="U108" s="11" t="s">
        <v>160</v>
      </c>
      <c r="V108" s="11" t="s">
        <v>170</v>
      </c>
      <c r="W108" s="11" t="s">
        <v>171</v>
      </c>
      <c r="X108" s="17" t="s">
        <v>178</v>
      </c>
      <c r="Y108" s="11" t="s">
        <v>173</v>
      </c>
      <c r="Z108" s="11" t="s">
        <v>174</v>
      </c>
      <c r="AC108" s="17" t="s">
        <v>163</v>
      </c>
      <c r="AD108" s="17" t="s">
        <v>164</v>
      </c>
      <c r="AE108" s="17" t="s">
        <v>165</v>
      </c>
      <c r="AF108" s="11" t="s">
        <v>160</v>
      </c>
      <c r="AG108" s="11" t="s">
        <v>170</v>
      </c>
      <c r="AH108" s="11" t="s">
        <v>171</v>
      </c>
      <c r="AI108" s="17" t="s">
        <v>178</v>
      </c>
      <c r="AJ108" s="11" t="s">
        <v>173</v>
      </c>
      <c r="AK108" s="11" t="s">
        <v>174</v>
      </c>
    </row>
    <row r="109" spans="18:37" x14ac:dyDescent="0.2">
      <c r="R109" s="85">
        <f t="shared" ref="R109:R130" si="22">T73^2</f>
        <v>388278970.36194766</v>
      </c>
      <c r="S109" s="14">
        <v>992.73802653013729</v>
      </c>
      <c r="T109" s="85">
        <f t="shared" ref="T109:T130" si="23">(S109-AVERAGE(S$109:S$130))^2</f>
        <v>29357621.902729288</v>
      </c>
      <c r="U109" s="14">
        <f t="shared" ref="U109:U130" si="24">SQRT(T$103*(1/R$103+T109/U$103))</f>
        <v>3197.6475865642055</v>
      </c>
      <c r="V109" s="203">
        <f t="shared" ref="V109:V130" si="25">TINV(0.05,20)</f>
        <v>2.0859634472658648</v>
      </c>
      <c r="W109" s="14">
        <f t="shared" ref="W109:W130" si="26">U109*V109</f>
        <v>6670.1759828108434</v>
      </c>
      <c r="X109" s="14">
        <f>S$65+S$66*S109</f>
        <v>9169.5709900608872</v>
      </c>
      <c r="Y109" s="41">
        <f t="shared" ref="Y109:Y130" si="27">X109+W109</f>
        <v>15839.74697287173</v>
      </c>
      <c r="Z109" s="41">
        <f t="shared" ref="Z109:Z130" si="28">X109-W109</f>
        <v>2499.3950072500438</v>
      </c>
      <c r="AC109" s="85">
        <f t="shared" ref="AC109:AC129" si="29">AE73^2</f>
        <v>66121719.62633767</v>
      </c>
      <c r="AD109" s="14">
        <v>2702.8093367465672</v>
      </c>
      <c r="AE109" s="85">
        <f t="shared" ref="AE109:AE129" si="30">(AD109-AVERAGE(AD$109:AD$130))^2</f>
        <v>155366068.86148882</v>
      </c>
      <c r="AF109" s="14">
        <f t="shared" ref="AF109:AF129" si="31">SQRT(AE$103*(1/AC$103+AE109/AF$103))</f>
        <v>2404.4486486038759</v>
      </c>
      <c r="AG109" s="203">
        <f t="shared" ref="AG109:AG129" si="32">TINV(0.05,20)</f>
        <v>2.0859634472658648</v>
      </c>
      <c r="AH109" s="14">
        <f t="shared" ref="AH109:AH121" si="33">AF109*AG109</f>
        <v>5015.5919918154914</v>
      </c>
      <c r="AI109" s="14">
        <f t="shared" ref="AI109:AI128" si="34">AD$65+AD$66*AD109</f>
        <v>5826.4307813736414</v>
      </c>
      <c r="AJ109" s="41">
        <f t="shared" ref="AJ109:AJ121" si="35">AI109+AH109</f>
        <v>10842.022773189132</v>
      </c>
      <c r="AK109" s="41">
        <f t="shared" ref="AK109:AK121" si="36">AI109-AH109</f>
        <v>810.83878955814998</v>
      </c>
    </row>
    <row r="110" spans="18:37" x14ac:dyDescent="0.2">
      <c r="R110" s="85">
        <f t="shared" si="22"/>
        <v>18549803.651280928</v>
      </c>
      <c r="S110" s="14">
        <v>3300.3376021798367</v>
      </c>
      <c r="T110" s="85">
        <f t="shared" si="23"/>
        <v>9676254.47696927</v>
      </c>
      <c r="U110" s="14">
        <f t="shared" si="24"/>
        <v>2254.7114673043848</v>
      </c>
      <c r="V110" s="203">
        <f t="shared" si="25"/>
        <v>2.0859634472658648</v>
      </c>
      <c r="W110" s="14">
        <f t="shared" si="26"/>
        <v>4703.2457049281311</v>
      </c>
      <c r="X110" s="14">
        <f t="shared" ref="X110:X130" si="37">S$65+S$66*S110</f>
        <v>12054.847154767373</v>
      </c>
      <c r="Y110" s="41">
        <f t="shared" si="27"/>
        <v>16758.092859695505</v>
      </c>
      <c r="Z110" s="41">
        <f t="shared" si="28"/>
        <v>7351.6014498392415</v>
      </c>
      <c r="AC110" s="85">
        <f t="shared" si="29"/>
        <v>3908580.1836440274</v>
      </c>
      <c r="AD110" s="14">
        <v>3051.5578431967624</v>
      </c>
      <c r="AE110" s="85">
        <f t="shared" si="30"/>
        <v>146793678.27175307</v>
      </c>
      <c r="AF110" s="14">
        <f t="shared" si="31"/>
        <v>2355.257049339652</v>
      </c>
      <c r="AG110" s="203">
        <f t="shared" si="32"/>
        <v>2.0859634472658648</v>
      </c>
      <c r="AH110" s="14">
        <f t="shared" si="33"/>
        <v>4912.9801138377697</v>
      </c>
      <c r="AI110" s="14">
        <f t="shared" si="34"/>
        <v>5993.9727589253062</v>
      </c>
      <c r="AJ110" s="41">
        <f t="shared" si="35"/>
        <v>10906.952872763075</v>
      </c>
      <c r="AK110" s="41">
        <f t="shared" si="36"/>
        <v>1080.9926450875364</v>
      </c>
    </row>
    <row r="111" spans="18:37" x14ac:dyDescent="0.2">
      <c r="R111" s="85">
        <f t="shared" si="22"/>
        <v>43922908.0955204</v>
      </c>
      <c r="S111" s="14">
        <v>3404.0226158038149</v>
      </c>
      <c r="T111" s="85">
        <f t="shared" si="23"/>
        <v>9041945.7820741162</v>
      </c>
      <c r="U111" s="14">
        <f t="shared" si="24"/>
        <v>2217.6626809047066</v>
      </c>
      <c r="V111" s="203">
        <f t="shared" si="25"/>
        <v>2.0859634472658648</v>
      </c>
      <c r="W111" s="14">
        <f t="shared" si="26"/>
        <v>4625.9632907328414</v>
      </c>
      <c r="X111" s="14">
        <f t="shared" si="37"/>
        <v>12184.488320246572</v>
      </c>
      <c r="Y111" s="41">
        <f t="shared" si="27"/>
        <v>16810.451610979413</v>
      </c>
      <c r="Z111" s="41">
        <f t="shared" si="28"/>
        <v>7558.5250295137303</v>
      </c>
      <c r="AC111" s="85">
        <f t="shared" si="29"/>
        <v>6420743.8639351446</v>
      </c>
      <c r="AD111" s="14">
        <v>5531.0614156502161</v>
      </c>
      <c r="AE111" s="85">
        <f t="shared" si="30"/>
        <v>92859058.775759116</v>
      </c>
      <c r="AF111" s="14">
        <f t="shared" si="31"/>
        <v>2018.4450868514384</v>
      </c>
      <c r="AG111" s="203">
        <f t="shared" si="32"/>
        <v>2.0859634472658648</v>
      </c>
      <c r="AH111" s="14">
        <f t="shared" si="33"/>
        <v>4210.4026714854745</v>
      </c>
      <c r="AI111" s="14">
        <f t="shared" si="34"/>
        <v>7185.1489910580631</v>
      </c>
      <c r="AJ111" s="41">
        <f t="shared" si="35"/>
        <v>11395.551662543538</v>
      </c>
      <c r="AK111" s="41">
        <f t="shared" si="36"/>
        <v>2974.7463195725886</v>
      </c>
    </row>
    <row r="112" spans="18:37" x14ac:dyDescent="0.2">
      <c r="R112" s="85">
        <f t="shared" si="22"/>
        <v>22975476.802804697</v>
      </c>
      <c r="S112" s="14">
        <v>3711.3642802126451</v>
      </c>
      <c r="T112" s="85">
        <f t="shared" si="23"/>
        <v>7288062.4608046832</v>
      </c>
      <c r="U112" s="14">
        <f t="shared" si="24"/>
        <v>2111.8411549826187</v>
      </c>
      <c r="V112" s="203">
        <f t="shared" si="25"/>
        <v>2.0859634472658648</v>
      </c>
      <c r="W112" s="14">
        <f t="shared" si="26"/>
        <v>4405.2234557254687</v>
      </c>
      <c r="X112" s="14">
        <f t="shared" si="37"/>
        <v>12568.768846251762</v>
      </c>
      <c r="Y112" s="41">
        <f t="shared" si="27"/>
        <v>16973.992301977232</v>
      </c>
      <c r="Z112" s="41">
        <f t="shared" si="28"/>
        <v>8163.545390526293</v>
      </c>
      <c r="AC112" s="85">
        <f t="shared" si="29"/>
        <v>3281953.9899462289</v>
      </c>
      <c r="AD112" s="14">
        <v>7458.0987478072302</v>
      </c>
      <c r="AE112" s="85">
        <f t="shared" si="30"/>
        <v>59433355.768782012</v>
      </c>
      <c r="AF112" s="14">
        <f t="shared" si="31"/>
        <v>1777.9665353605953</v>
      </c>
      <c r="AG112" s="203">
        <f t="shared" si="32"/>
        <v>2.0859634472658648</v>
      </c>
      <c r="AH112" s="14">
        <f t="shared" si="33"/>
        <v>3708.7732032241338</v>
      </c>
      <c r="AI112" s="14">
        <f t="shared" si="34"/>
        <v>8110.9153799431679</v>
      </c>
      <c r="AJ112" s="41">
        <f t="shared" si="35"/>
        <v>11819.688583167303</v>
      </c>
      <c r="AK112" s="41">
        <f t="shared" si="36"/>
        <v>4402.1421767190341</v>
      </c>
    </row>
    <row r="113" spans="18:37" x14ac:dyDescent="0.2">
      <c r="R113" s="85">
        <f t="shared" si="22"/>
        <v>36890274.65305803</v>
      </c>
      <c r="S113" s="14">
        <v>3995.6029377845221</v>
      </c>
      <c r="T113" s="85">
        <f t="shared" si="23"/>
        <v>5834169.3096109638</v>
      </c>
      <c r="U113" s="14">
        <f t="shared" si="24"/>
        <v>2019.9214589791804</v>
      </c>
      <c r="V113" s="203">
        <f t="shared" si="25"/>
        <v>2.0859634472658648</v>
      </c>
      <c r="W113" s="14">
        <f t="shared" si="26"/>
        <v>4213.482329778506</v>
      </c>
      <c r="X113" s="14">
        <f t="shared" si="37"/>
        <v>12924.162837667887</v>
      </c>
      <c r="Y113" s="41">
        <f t="shared" si="27"/>
        <v>17137.645167446393</v>
      </c>
      <c r="Z113" s="41">
        <f t="shared" si="28"/>
        <v>8710.6805078893813</v>
      </c>
      <c r="AC113" s="85">
        <f t="shared" si="29"/>
        <v>24765.118773049224</v>
      </c>
      <c r="AD113" s="14">
        <v>8170.5960446952085</v>
      </c>
      <c r="AE113" s="85">
        <f t="shared" si="30"/>
        <v>48955292.790689386</v>
      </c>
      <c r="AF113" s="14">
        <f t="shared" si="31"/>
        <v>1695.5759709167148</v>
      </c>
      <c r="AG113" s="203">
        <f t="shared" si="32"/>
        <v>2.0859634472658648</v>
      </c>
      <c r="AH113" s="14">
        <f t="shared" si="33"/>
        <v>3536.9094973945962</v>
      </c>
      <c r="AI113" s="14">
        <f t="shared" si="34"/>
        <v>8453.2056088989593</v>
      </c>
      <c r="AJ113" s="41">
        <f t="shared" si="35"/>
        <v>11990.115106293555</v>
      </c>
      <c r="AK113" s="41">
        <f t="shared" si="36"/>
        <v>4916.2961115043636</v>
      </c>
    </row>
    <row r="114" spans="18:37" x14ac:dyDescent="0.2">
      <c r="R114" s="85">
        <f t="shared" si="22"/>
        <v>478088.65084769885</v>
      </c>
      <c r="S114" s="14">
        <v>4099.0984331061572</v>
      </c>
      <c r="T114" s="85">
        <f t="shared" si="23"/>
        <v>5344914.0677746264</v>
      </c>
      <c r="U114" s="14">
        <f t="shared" si="24"/>
        <v>1988.0336937207308</v>
      </c>
      <c r="V114" s="203">
        <f t="shared" si="25"/>
        <v>2.0859634472658648</v>
      </c>
      <c r="W114" s="14">
        <f t="shared" si="26"/>
        <v>4146.965617034386</v>
      </c>
      <c r="X114" s="14">
        <f t="shared" si="37"/>
        <v>13053.567041480819</v>
      </c>
      <c r="Y114" s="41">
        <f t="shared" si="27"/>
        <v>17200.532658515207</v>
      </c>
      <c r="Z114" s="41">
        <f t="shared" si="28"/>
        <v>8906.6014244464332</v>
      </c>
      <c r="AC114" s="85">
        <f t="shared" si="29"/>
        <v>21363053.990712117</v>
      </c>
      <c r="AD114" s="14">
        <v>9505.6302045294869</v>
      </c>
      <c r="AE114" s="85">
        <f t="shared" si="30"/>
        <v>32055659.22836433</v>
      </c>
      <c r="AF114" s="14">
        <f t="shared" si="31"/>
        <v>1553.5116718487589</v>
      </c>
      <c r="AG114" s="203">
        <f>TINV(0.05,20)</f>
        <v>2.0859634472658648</v>
      </c>
      <c r="AH114" s="14">
        <f>AF114*AG114</f>
        <v>3240.5685623773938</v>
      </c>
      <c r="AI114" s="14">
        <f t="shared" si="34"/>
        <v>9094.5682501741103</v>
      </c>
      <c r="AJ114" s="41">
        <f>AI114+AH114</f>
        <v>12335.136812551504</v>
      </c>
      <c r="AK114" s="41">
        <f>AI114-AH114</f>
        <v>5853.9996877967169</v>
      </c>
    </row>
    <row r="115" spans="18:37" x14ac:dyDescent="0.2">
      <c r="R115" s="85">
        <f t="shared" si="22"/>
        <v>5587143.0956382379</v>
      </c>
      <c r="S115" s="14">
        <v>4274.874892114507</v>
      </c>
      <c r="T115" s="85">
        <f t="shared" si="23"/>
        <v>4563053.7723545395</v>
      </c>
      <c r="U115" s="14">
        <f t="shared" si="24"/>
        <v>1935.9850355257913</v>
      </c>
      <c r="V115" s="203">
        <f t="shared" si="25"/>
        <v>2.0859634472658648</v>
      </c>
      <c r="W115" s="14">
        <f t="shared" si="26"/>
        <v>4038.3940185605074</v>
      </c>
      <c r="X115" s="14">
        <f t="shared" si="37"/>
        <v>13273.346778331614</v>
      </c>
      <c r="Y115" s="41">
        <f t="shared" si="27"/>
        <v>17311.740796892122</v>
      </c>
      <c r="Z115" s="41">
        <f t="shared" si="28"/>
        <v>9234.9527597711058</v>
      </c>
      <c r="AC115" s="85">
        <f t="shared" si="29"/>
        <v>23933795.153705738</v>
      </c>
      <c r="AD115" s="14">
        <v>10934.001362397819</v>
      </c>
      <c r="AE115" s="85">
        <f t="shared" si="30"/>
        <v>17921680.483186141</v>
      </c>
      <c r="AF115" s="14">
        <f t="shared" si="31"/>
        <v>1423.8530231488962</v>
      </c>
      <c r="AG115" s="203">
        <f t="shared" si="32"/>
        <v>2.0859634472658648</v>
      </c>
      <c r="AH115" s="14">
        <f t="shared" si="33"/>
        <v>2970.1053605675947</v>
      </c>
      <c r="AI115" s="14">
        <f t="shared" si="34"/>
        <v>9780.7708404099994</v>
      </c>
      <c r="AJ115" s="41">
        <f t="shared" si="35"/>
        <v>12750.876200977595</v>
      </c>
      <c r="AK115" s="41">
        <f t="shared" si="36"/>
        <v>6810.6654798424042</v>
      </c>
    </row>
    <row r="116" spans="18:37" x14ac:dyDescent="0.2">
      <c r="R116" s="85">
        <f t="shared" si="22"/>
        <v>7882442.3677218165</v>
      </c>
      <c r="S116" s="14">
        <v>4867.2350353348838</v>
      </c>
      <c r="T116" s="85">
        <f t="shared" si="23"/>
        <v>2383227.101883796</v>
      </c>
      <c r="U116" s="14">
        <f t="shared" si="24"/>
        <v>1782.8676749167564</v>
      </c>
      <c r="V116" s="203">
        <f t="shared" si="25"/>
        <v>2.0859634472658648</v>
      </c>
      <c r="W116" s="14">
        <f t="shared" si="26"/>
        <v>3718.9968011882343</v>
      </c>
      <c r="X116" s="14">
        <f t="shared" si="37"/>
        <v>14013.996334775857</v>
      </c>
      <c r="Y116" s="41">
        <f t="shared" si="27"/>
        <v>17732.99313596409</v>
      </c>
      <c r="Z116" s="41">
        <f t="shared" si="28"/>
        <v>10294.999533587623</v>
      </c>
      <c r="AC116" s="85">
        <f t="shared" si="29"/>
        <v>3995079.4649317958</v>
      </c>
      <c r="AD116" s="14">
        <v>11858.659201287777</v>
      </c>
      <c r="AE116" s="85">
        <f t="shared" si="30"/>
        <v>10947778.536572665</v>
      </c>
      <c r="AF116" s="14">
        <f t="shared" si="31"/>
        <v>1355.3152345643227</v>
      </c>
      <c r="AG116" s="203">
        <f t="shared" si="32"/>
        <v>2.0859634472658648</v>
      </c>
      <c r="AH116" s="14">
        <f t="shared" si="33"/>
        <v>2827.138038823739</v>
      </c>
      <c r="AI116" s="14">
        <f t="shared" si="34"/>
        <v>10224.984937448424</v>
      </c>
      <c r="AJ116" s="41">
        <f t="shared" si="35"/>
        <v>13052.122976272163</v>
      </c>
      <c r="AK116" s="41">
        <f t="shared" si="36"/>
        <v>7397.8468986246844</v>
      </c>
    </row>
    <row r="117" spans="18:37" x14ac:dyDescent="0.2">
      <c r="R117" s="85">
        <f t="shared" si="22"/>
        <v>38046266.107604466</v>
      </c>
      <c r="S117" s="14">
        <v>4881.937207853005</v>
      </c>
      <c r="T117" s="85">
        <f t="shared" si="23"/>
        <v>2338049.6977482471</v>
      </c>
      <c r="U117" s="14">
        <f t="shared" si="24"/>
        <v>1779.5549354272234</v>
      </c>
      <c r="V117" s="203">
        <f t="shared" si="25"/>
        <v>2.0859634472658648</v>
      </c>
      <c r="W117" s="14">
        <f t="shared" si="26"/>
        <v>3712.0865477027546</v>
      </c>
      <c r="X117" s="14">
        <f t="shared" si="37"/>
        <v>14032.378998901626</v>
      </c>
      <c r="Y117" s="41">
        <f t="shared" si="27"/>
        <v>17744.465546604381</v>
      </c>
      <c r="Z117" s="41">
        <f t="shared" si="28"/>
        <v>10320.292451198871</v>
      </c>
      <c r="AC117" s="85">
        <f t="shared" si="29"/>
        <v>176783428.44212136</v>
      </c>
      <c r="AD117" s="14">
        <v>14802.845636774544</v>
      </c>
      <c r="AE117" s="85">
        <f t="shared" si="30"/>
        <v>132901.30104110815</v>
      </c>
      <c r="AF117" s="14">
        <f t="shared" si="31"/>
        <v>1241.5687077853011</v>
      </c>
      <c r="AG117" s="203">
        <f t="shared" si="32"/>
        <v>2.0859634472658648</v>
      </c>
      <c r="AH117" s="14">
        <f t="shared" si="33"/>
        <v>2589.8669417092519</v>
      </c>
      <c r="AI117" s="14">
        <f t="shared" si="34"/>
        <v>11639.399074165838</v>
      </c>
      <c r="AJ117" s="41">
        <f t="shared" si="35"/>
        <v>14229.26601587509</v>
      </c>
      <c r="AK117" s="41">
        <f t="shared" si="36"/>
        <v>9049.5321324565866</v>
      </c>
    </row>
    <row r="118" spans="18:37" x14ac:dyDescent="0.2">
      <c r="R118" s="85">
        <f t="shared" si="22"/>
        <v>16314689.858952846</v>
      </c>
      <c r="S118" s="14">
        <v>5746.6855436995647</v>
      </c>
      <c r="T118" s="85">
        <f t="shared" si="23"/>
        <v>441320.94164587668</v>
      </c>
      <c r="U118" s="14">
        <f t="shared" si="24"/>
        <v>1634.4254493730627</v>
      </c>
      <c r="V118" s="203">
        <f t="shared" si="25"/>
        <v>2.0859634472658648</v>
      </c>
      <c r="W118" s="14">
        <f t="shared" si="26"/>
        <v>3409.351744673294</v>
      </c>
      <c r="X118" s="14">
        <f t="shared" si="37"/>
        <v>15113.605476933548</v>
      </c>
      <c r="Y118" s="41">
        <f t="shared" si="27"/>
        <v>18522.957221606841</v>
      </c>
      <c r="Z118" s="41">
        <f t="shared" si="28"/>
        <v>11704.253732260255</v>
      </c>
      <c r="AC118" s="85">
        <f t="shared" si="29"/>
        <v>81667705.263246641</v>
      </c>
      <c r="AD118" s="14">
        <v>14882.578315821893</v>
      </c>
      <c r="AE118" s="85">
        <f t="shared" si="30"/>
        <v>81124.499092948667</v>
      </c>
      <c r="AF118" s="14">
        <f t="shared" si="31"/>
        <v>1240.9990642139944</v>
      </c>
      <c r="AG118" s="203">
        <f t="shared" si="32"/>
        <v>2.0859634472658648</v>
      </c>
      <c r="AH118" s="14">
        <f t="shared" si="33"/>
        <v>2588.6786860415359</v>
      </c>
      <c r="AI118" s="14">
        <f t="shared" si="34"/>
        <v>11677.703383649648</v>
      </c>
      <c r="AJ118" s="41">
        <f t="shared" si="35"/>
        <v>14266.382069691184</v>
      </c>
      <c r="AK118" s="41">
        <f t="shared" si="36"/>
        <v>9089.0246976081125</v>
      </c>
    </row>
    <row r="119" spans="18:37" x14ac:dyDescent="0.2">
      <c r="R119" s="85">
        <f t="shared" si="22"/>
        <v>17469090.554243993</v>
      </c>
      <c r="S119" s="14">
        <v>6000</v>
      </c>
      <c r="T119" s="85">
        <f t="shared" si="23"/>
        <v>168925.48224288147</v>
      </c>
      <c r="U119" s="14">
        <f t="shared" si="24"/>
        <v>1612.5106462661065</v>
      </c>
      <c r="V119" s="203">
        <f t="shared" si="25"/>
        <v>2.0859634472658648</v>
      </c>
      <c r="W119" s="14">
        <f t="shared" si="26"/>
        <v>3363.6382664381549</v>
      </c>
      <c r="X119" s="14">
        <f t="shared" si="37"/>
        <v>15430.333808248764</v>
      </c>
      <c r="Y119" s="41">
        <f t="shared" si="27"/>
        <v>18793.972074686921</v>
      </c>
      <c r="Z119" s="41">
        <f t="shared" si="28"/>
        <v>12066.69554181061</v>
      </c>
      <c r="AC119" s="85">
        <f t="shared" si="29"/>
        <v>69028171.151692241</v>
      </c>
      <c r="AD119" s="14">
        <v>16848.121276159211</v>
      </c>
      <c r="AE119" s="85">
        <f t="shared" si="30"/>
        <v>2824817.4739397643</v>
      </c>
      <c r="AF119" s="14">
        <f t="shared" si="31"/>
        <v>1270.833234359905</v>
      </c>
      <c r="AG119" s="203">
        <f t="shared" si="32"/>
        <v>2.0859634472658648</v>
      </c>
      <c r="AH119" s="14">
        <f t="shared" si="33"/>
        <v>2650.9116744454159</v>
      </c>
      <c r="AI119" s="14">
        <f t="shared" si="34"/>
        <v>12621.968229081172</v>
      </c>
      <c r="AJ119" s="41">
        <f t="shared" si="35"/>
        <v>15272.879903526587</v>
      </c>
      <c r="AK119" s="41">
        <f t="shared" si="36"/>
        <v>9971.0565546357575</v>
      </c>
    </row>
    <row r="120" spans="18:37" x14ac:dyDescent="0.2">
      <c r="R120" s="85">
        <f t="shared" si="22"/>
        <v>480994.59640024678</v>
      </c>
      <c r="S120" s="14">
        <v>6114.3709191172993</v>
      </c>
      <c r="T120" s="85">
        <f t="shared" si="23"/>
        <v>87992.046581488146</v>
      </c>
      <c r="U120" s="14">
        <f t="shared" si="24"/>
        <v>1605.9417510083988</v>
      </c>
      <c r="V120" s="203">
        <f t="shared" si="25"/>
        <v>2.0859634472658648</v>
      </c>
      <c r="W120" s="14">
        <f t="shared" si="26"/>
        <v>3349.9357910416588</v>
      </c>
      <c r="X120" s="14">
        <f t="shared" si="37"/>
        <v>15573.335952271869</v>
      </c>
      <c r="Y120" s="41">
        <f t="shared" si="27"/>
        <v>18923.271743313529</v>
      </c>
      <c r="Z120" s="41">
        <f t="shared" si="28"/>
        <v>12223.400161230211</v>
      </c>
      <c r="AC120" s="85">
        <f t="shared" si="29"/>
        <v>278883.83247145684</v>
      </c>
      <c r="AD120" s="14">
        <v>17360.515340599457</v>
      </c>
      <c r="AE120" s="85">
        <f t="shared" si="30"/>
        <v>4809746.3709260579</v>
      </c>
      <c r="AF120" s="14">
        <f t="shared" si="31"/>
        <v>1291.9873967712249</v>
      </c>
      <c r="AG120" s="203">
        <f t="shared" si="32"/>
        <v>2.0859634472658648</v>
      </c>
      <c r="AH120" s="14">
        <f t="shared" si="33"/>
        <v>2695.0384839929548</v>
      </c>
      <c r="AI120" s="14">
        <f t="shared" si="34"/>
        <v>12868.127031927012</v>
      </c>
      <c r="AJ120" s="41">
        <f t="shared" si="35"/>
        <v>15563.165515919965</v>
      </c>
      <c r="AK120" s="41">
        <f t="shared" si="36"/>
        <v>10173.088547934058</v>
      </c>
    </row>
    <row r="121" spans="18:37" x14ac:dyDescent="0.2">
      <c r="R121" s="85">
        <f t="shared" si="22"/>
        <v>67941191.269836128</v>
      </c>
      <c r="S121" s="14">
        <v>6373.8753980095698</v>
      </c>
      <c r="T121" s="85">
        <f t="shared" si="23"/>
        <v>1378.640969783628</v>
      </c>
      <c r="U121" s="14">
        <f t="shared" si="24"/>
        <v>1598.881950621696</v>
      </c>
      <c r="V121" s="203">
        <f>TINV(0.05,20)</f>
        <v>2.0859634472658648</v>
      </c>
      <c r="W121" s="14">
        <f>U121*V121</f>
        <v>3335.2093054900033</v>
      </c>
      <c r="X121" s="14">
        <f t="shared" si="37"/>
        <v>15897.803895273479</v>
      </c>
      <c r="Y121" s="41">
        <f>X121+W121</f>
        <v>19233.013200763482</v>
      </c>
      <c r="Z121" s="41">
        <f>X121-W121</f>
        <v>12562.594589783475</v>
      </c>
      <c r="AC121" s="85">
        <f t="shared" si="29"/>
        <v>94754.885381675849</v>
      </c>
      <c r="AD121" s="14">
        <v>18716.02230015882</v>
      </c>
      <c r="AE121" s="85">
        <f t="shared" si="30"/>
        <v>12592706.433086554</v>
      </c>
      <c r="AF121" s="14">
        <f t="shared" si="31"/>
        <v>1371.7898046989537</v>
      </c>
      <c r="AG121" s="203">
        <f t="shared" si="32"/>
        <v>2.0859634472658648</v>
      </c>
      <c r="AH121" s="14">
        <f t="shared" si="33"/>
        <v>2861.5033899339969</v>
      </c>
      <c r="AI121" s="14">
        <f t="shared" si="34"/>
        <v>13519.324993751266</v>
      </c>
      <c r="AJ121" s="41">
        <f t="shared" si="35"/>
        <v>16380.828383685264</v>
      </c>
      <c r="AK121" s="41">
        <f t="shared" si="36"/>
        <v>10657.821603817269</v>
      </c>
    </row>
    <row r="122" spans="18:37" x14ac:dyDescent="0.2">
      <c r="R122" s="85">
        <f t="shared" si="22"/>
        <v>33817109.656517722</v>
      </c>
      <c r="S122" s="14">
        <v>6422.0087217705513</v>
      </c>
      <c r="T122" s="85">
        <f t="shared" si="23"/>
        <v>121.07192772912776</v>
      </c>
      <c r="U122" s="14">
        <f t="shared" si="24"/>
        <v>1598.7792174148362</v>
      </c>
      <c r="V122" s="203">
        <f t="shared" si="25"/>
        <v>2.0859634472658648</v>
      </c>
      <c r="W122" s="14">
        <f t="shared" si="26"/>
        <v>3334.9950077756735</v>
      </c>
      <c r="X122" s="14">
        <f t="shared" si="37"/>
        <v>15957.986750757216</v>
      </c>
      <c r="Y122" s="41">
        <f t="shared" si="27"/>
        <v>19292.981758532889</v>
      </c>
      <c r="Z122" s="41">
        <f t="shared" si="28"/>
        <v>12622.991742981543</v>
      </c>
      <c r="AC122" s="85">
        <f t="shared" si="29"/>
        <v>5286648.097900928</v>
      </c>
      <c r="AD122" s="14">
        <v>18756.338044263775</v>
      </c>
      <c r="AE122" s="85">
        <f t="shared" si="30"/>
        <v>12880462.332729056</v>
      </c>
      <c r="AF122" s="14">
        <f t="shared" si="31"/>
        <v>1374.6514974692277</v>
      </c>
      <c r="AG122" s="203">
        <f t="shared" si="32"/>
        <v>2.0859634472658648</v>
      </c>
      <c r="AH122" s="14">
        <f t="shared" ref="AH122:AH129" si="38">AF122*AG122</f>
        <v>2867.4727764500935</v>
      </c>
      <c r="AI122" s="14">
        <f t="shared" si="34"/>
        <v>13538.693046571232</v>
      </c>
      <c r="AJ122" s="41">
        <f t="shared" ref="AJ122:AJ129" si="39">AI122+AH122</f>
        <v>16406.165823021325</v>
      </c>
      <c r="AK122" s="41">
        <f t="shared" ref="AK122:AK129" si="40">AI122-AH122</f>
        <v>10671.220270121139</v>
      </c>
    </row>
    <row r="123" spans="18:37" x14ac:dyDescent="0.2">
      <c r="R123" s="85">
        <f t="shared" si="22"/>
        <v>34360499.402224913</v>
      </c>
      <c r="S123" s="14">
        <v>6769.6250872914889</v>
      </c>
      <c r="T123" s="85">
        <f t="shared" si="23"/>
        <v>128608.04223273255</v>
      </c>
      <c r="U123" s="14">
        <f t="shared" si="24"/>
        <v>1609.2416663696642</v>
      </c>
      <c r="V123" s="203">
        <f t="shared" si="25"/>
        <v>2.0859634472658648</v>
      </c>
      <c r="W123" s="14">
        <f t="shared" si="26"/>
        <v>3356.8192938643297</v>
      </c>
      <c r="X123" s="14">
        <f t="shared" si="37"/>
        <v>16392.62420886867</v>
      </c>
      <c r="Y123" s="41">
        <f t="shared" si="27"/>
        <v>19749.443502733</v>
      </c>
      <c r="Z123" s="41">
        <f t="shared" si="28"/>
        <v>13035.804915004341</v>
      </c>
      <c r="AC123" s="85">
        <f t="shared" si="29"/>
        <v>34934191.214253061</v>
      </c>
      <c r="AD123" s="14">
        <v>18765.555515315231</v>
      </c>
      <c r="AE123" s="85">
        <f t="shared" si="30"/>
        <v>12946709.123723498</v>
      </c>
      <c r="AF123" s="14">
        <f t="shared" si="31"/>
        <v>1375.309469461989</v>
      </c>
      <c r="AG123" s="203">
        <f t="shared" si="32"/>
        <v>2.0859634472658648</v>
      </c>
      <c r="AH123" s="14">
        <f t="shared" si="38"/>
        <v>2868.8452819763183</v>
      </c>
      <c r="AI123" s="14">
        <f t="shared" si="34"/>
        <v>13543.121204110041</v>
      </c>
      <c r="AJ123" s="41">
        <f t="shared" si="39"/>
        <v>16411.96648608636</v>
      </c>
      <c r="AK123" s="41">
        <f t="shared" si="40"/>
        <v>10674.275922133722</v>
      </c>
    </row>
    <row r="124" spans="18:37" x14ac:dyDescent="0.2">
      <c r="R124" s="85">
        <f t="shared" si="22"/>
        <v>97337157.043195993</v>
      </c>
      <c r="S124" s="14">
        <v>7068.1164156502155</v>
      </c>
      <c r="T124" s="85">
        <f t="shared" si="23"/>
        <v>431794.81747947371</v>
      </c>
      <c r="U124" s="14">
        <f t="shared" si="24"/>
        <v>1633.6640127671021</v>
      </c>
      <c r="V124" s="203">
        <f t="shared" si="25"/>
        <v>2.0859634472658648</v>
      </c>
      <c r="W124" s="14">
        <f t="shared" si="26"/>
        <v>3407.7634157458501</v>
      </c>
      <c r="X124" s="14">
        <f t="shared" si="37"/>
        <v>16765.838835952549</v>
      </c>
      <c r="Y124" s="41">
        <f t="shared" si="27"/>
        <v>20173.602251698398</v>
      </c>
      <c r="Z124" s="41">
        <f t="shared" si="28"/>
        <v>13358.075420206698</v>
      </c>
      <c r="AC124" s="85">
        <f t="shared" si="29"/>
        <v>6742990.8387383288</v>
      </c>
      <c r="AD124" s="14">
        <v>18811.924332425067</v>
      </c>
      <c r="AE124" s="85">
        <f t="shared" si="30"/>
        <v>13282543.440698812</v>
      </c>
      <c r="AF124" s="14">
        <f t="shared" si="31"/>
        <v>1378.6401897796695</v>
      </c>
      <c r="AG124" s="203">
        <f t="shared" si="32"/>
        <v>2.0859634472658648</v>
      </c>
      <c r="AH124" s="14">
        <f t="shared" si="38"/>
        <v>2875.7930428120653</v>
      </c>
      <c r="AI124" s="14">
        <f t="shared" si="34"/>
        <v>13565.397208656668</v>
      </c>
      <c r="AJ124" s="41">
        <f t="shared" si="39"/>
        <v>16441.190251468732</v>
      </c>
      <c r="AK124" s="41">
        <f t="shared" si="40"/>
        <v>10689.604165844603</v>
      </c>
    </row>
    <row r="125" spans="18:37" x14ac:dyDescent="0.2">
      <c r="R125" s="85">
        <f t="shared" si="22"/>
        <v>37430084.86520227</v>
      </c>
      <c r="S125" s="14">
        <v>7853.8536803897678</v>
      </c>
      <c r="T125" s="85">
        <f t="shared" si="23"/>
        <v>2081811.0078183929</v>
      </c>
      <c r="U125" s="14">
        <f t="shared" si="24"/>
        <v>1760.6476998886412</v>
      </c>
      <c r="V125" s="203">
        <f t="shared" si="25"/>
        <v>2.0859634472658648</v>
      </c>
      <c r="W125" s="14">
        <f t="shared" si="26"/>
        <v>3672.646745480426</v>
      </c>
      <c r="X125" s="14">
        <f t="shared" si="37"/>
        <v>17748.274881442117</v>
      </c>
      <c r="Y125" s="41">
        <f t="shared" si="27"/>
        <v>21420.921626922544</v>
      </c>
      <c r="Z125" s="41">
        <f t="shared" si="28"/>
        <v>14075.628135961691</v>
      </c>
      <c r="AC125" s="85">
        <f t="shared" si="29"/>
        <v>16043173.310406014</v>
      </c>
      <c r="AD125" s="14">
        <v>19937.094111327642</v>
      </c>
      <c r="AE125" s="85">
        <f t="shared" si="30"/>
        <v>22749963.372332532</v>
      </c>
      <c r="AF125" s="14">
        <f t="shared" si="31"/>
        <v>1469.4326207650936</v>
      </c>
      <c r="AG125" s="203">
        <f t="shared" si="32"/>
        <v>2.0859634472658648</v>
      </c>
      <c r="AH125" s="14">
        <f t="shared" si="38"/>
        <v>3065.1827351360689</v>
      </c>
      <c r="AI125" s="14">
        <f t="shared" si="34"/>
        <v>14105.939078663581</v>
      </c>
      <c r="AJ125" s="41">
        <f t="shared" si="39"/>
        <v>17171.121813799651</v>
      </c>
      <c r="AK125" s="41">
        <f t="shared" si="40"/>
        <v>11040.756343527511</v>
      </c>
    </row>
    <row r="126" spans="18:37" x14ac:dyDescent="0.2">
      <c r="R126" s="85">
        <f t="shared" si="22"/>
        <v>54657948.636239715</v>
      </c>
      <c r="S126" s="14">
        <v>9180.8459423460517</v>
      </c>
      <c r="T126" s="85">
        <f t="shared" si="23"/>
        <v>7672016.3374508843</v>
      </c>
      <c r="U126" s="14">
        <f t="shared" si="24"/>
        <v>2135.4556085433792</v>
      </c>
      <c r="V126" s="203">
        <f t="shared" si="25"/>
        <v>2.0859634472658648</v>
      </c>
      <c r="W126" s="14">
        <f t="shared" si="26"/>
        <v>4454.4823426803723</v>
      </c>
      <c r="X126" s="14">
        <f t="shared" si="37"/>
        <v>19407.461849828709</v>
      </c>
      <c r="Y126" s="41">
        <f t="shared" si="27"/>
        <v>23861.94419250908</v>
      </c>
      <c r="Z126" s="41">
        <f t="shared" si="28"/>
        <v>14952.979507148337</v>
      </c>
      <c r="AC126" s="85">
        <f t="shared" si="29"/>
        <v>1185245.1350310715</v>
      </c>
      <c r="AD126" s="14">
        <v>20087.732800334601</v>
      </c>
      <c r="AE126" s="85">
        <f t="shared" si="30"/>
        <v>24209655.737104241</v>
      </c>
      <c r="AF126" s="14">
        <f t="shared" si="31"/>
        <v>1482.9365380126428</v>
      </c>
      <c r="AG126" s="203">
        <f t="shared" si="32"/>
        <v>2.0859634472658648</v>
      </c>
      <c r="AH126" s="14">
        <f t="shared" si="38"/>
        <v>3093.3514129093596</v>
      </c>
      <c r="AI126" s="14">
        <f t="shared" si="34"/>
        <v>14178.307284936087</v>
      </c>
      <c r="AJ126" s="41">
        <f t="shared" si="39"/>
        <v>17271.658697845447</v>
      </c>
      <c r="AK126" s="41">
        <f t="shared" si="40"/>
        <v>11084.955872026727</v>
      </c>
    </row>
    <row r="127" spans="18:37" x14ac:dyDescent="0.2">
      <c r="R127" s="85">
        <f t="shared" si="22"/>
        <v>47954306.281641215</v>
      </c>
      <c r="S127" s="14">
        <v>9603.5370744242482</v>
      </c>
      <c r="T127" s="85">
        <f t="shared" si="23"/>
        <v>10192258.154981049</v>
      </c>
      <c r="U127" s="14">
        <f t="shared" si="24"/>
        <v>2284.4071093428324</v>
      </c>
      <c r="V127" s="203">
        <f t="shared" si="25"/>
        <v>2.0859634472658648</v>
      </c>
      <c r="W127" s="14">
        <f t="shared" si="26"/>
        <v>4765.1897287634238</v>
      </c>
      <c r="X127" s="14">
        <f t="shared" si="37"/>
        <v>19935.96803490835</v>
      </c>
      <c r="Y127" s="41">
        <f t="shared" si="27"/>
        <v>24701.157763671774</v>
      </c>
      <c r="Z127" s="41">
        <f t="shared" si="28"/>
        <v>15170.778306144926</v>
      </c>
      <c r="AC127" s="85">
        <f t="shared" si="29"/>
        <v>28639575.897182316</v>
      </c>
      <c r="AD127" s="14">
        <v>21508.4259441217</v>
      </c>
      <c r="AE127" s="85">
        <f t="shared" si="30"/>
        <v>40208585.371802308</v>
      </c>
      <c r="AF127" s="14">
        <f t="shared" si="31"/>
        <v>1623.6006977457721</v>
      </c>
      <c r="AG127" s="203">
        <f t="shared" si="32"/>
        <v>2.0859634472658648</v>
      </c>
      <c r="AH127" s="14">
        <f t="shared" si="38"/>
        <v>3386.7717084530341</v>
      </c>
      <c r="AI127" s="14">
        <f t="shared" si="34"/>
        <v>14860.821286865372</v>
      </c>
      <c r="AJ127" s="41">
        <f t="shared" si="39"/>
        <v>18247.592995318406</v>
      </c>
      <c r="AK127" s="41">
        <f t="shared" si="40"/>
        <v>11474.049578412338</v>
      </c>
    </row>
    <row r="128" spans="18:37" x14ac:dyDescent="0.2">
      <c r="R128" s="85">
        <f t="shared" si="22"/>
        <v>477146.11231395777</v>
      </c>
      <c r="S128" s="14">
        <v>10159.118528610354</v>
      </c>
      <c r="T128" s="85">
        <f t="shared" si="23"/>
        <v>14048351.628955236</v>
      </c>
      <c r="U128" s="14">
        <f t="shared" si="24"/>
        <v>2495.1585588416083</v>
      </c>
      <c r="V128" s="203">
        <f t="shared" si="25"/>
        <v>2.0859634472658648</v>
      </c>
      <c r="W128" s="14">
        <f t="shared" si="26"/>
        <v>5204.8095488761683</v>
      </c>
      <c r="X128" s="14">
        <f t="shared" si="37"/>
        <v>20630.631851036338</v>
      </c>
      <c r="Y128" s="41">
        <f t="shared" si="27"/>
        <v>25835.441399912506</v>
      </c>
      <c r="Z128" s="41">
        <f t="shared" si="28"/>
        <v>15425.82230216017</v>
      </c>
      <c r="AC128" s="85">
        <f t="shared" si="29"/>
        <v>9574965.2367430534</v>
      </c>
      <c r="AD128" s="14">
        <v>23690.743620976038</v>
      </c>
      <c r="AE128" s="85">
        <f t="shared" si="30"/>
        <v>72647353.344738796</v>
      </c>
      <c r="AF128" s="14">
        <f t="shared" si="31"/>
        <v>1876.720185949443</v>
      </c>
      <c r="AG128" s="203">
        <f t="shared" si="32"/>
        <v>2.0859634472658648</v>
      </c>
      <c r="AH128" s="14">
        <f t="shared" si="38"/>
        <v>3914.7697086365351</v>
      </c>
      <c r="AI128" s="14">
        <f t="shared" si="34"/>
        <v>15909.226692089225</v>
      </c>
      <c r="AJ128" s="41">
        <f t="shared" si="39"/>
        <v>19823.996400725759</v>
      </c>
      <c r="AK128" s="41">
        <f t="shared" si="40"/>
        <v>11994.45698345269</v>
      </c>
    </row>
    <row r="129" spans="1:68" x14ac:dyDescent="0.2">
      <c r="R129" s="85">
        <f t="shared" si="22"/>
        <v>26348945.554222956</v>
      </c>
      <c r="S129" s="14">
        <v>10428.50276242994</v>
      </c>
      <c r="T129" s="85">
        <f t="shared" si="23"/>
        <v>16140284.632770922</v>
      </c>
      <c r="U129" s="14">
        <f t="shared" si="24"/>
        <v>2602.3599474342045</v>
      </c>
      <c r="V129" s="203">
        <f t="shared" si="25"/>
        <v>2.0859634472658648</v>
      </c>
      <c r="W129" s="14">
        <f t="shared" si="26"/>
        <v>5428.427726976468</v>
      </c>
      <c r="X129" s="14">
        <f t="shared" si="37"/>
        <v>20967.452813039046</v>
      </c>
      <c r="Y129" s="41">
        <f t="shared" si="27"/>
        <v>26395.880540015514</v>
      </c>
      <c r="Z129" s="41">
        <f t="shared" si="28"/>
        <v>15539.025086062578</v>
      </c>
      <c r="AC129" s="85">
        <f t="shared" si="29"/>
        <v>54297882.591057807</v>
      </c>
      <c r="AD129" s="14">
        <v>35135.129426624197</v>
      </c>
      <c r="AE129" s="85">
        <f t="shared" si="30"/>
        <v>398710140.82564515</v>
      </c>
      <c r="AF129" s="14">
        <f t="shared" si="31"/>
        <v>3525.3120638697151</v>
      </c>
      <c r="AG129" s="203">
        <f t="shared" si="32"/>
        <v>2.0859634472658648</v>
      </c>
      <c r="AH129" s="14">
        <f t="shared" si="38"/>
        <v>7353.6721054376112</v>
      </c>
      <c r="AI129" s="14">
        <f>AD$65+AD$66*AD129</f>
        <v>21407.214480651484</v>
      </c>
      <c r="AJ129" s="41">
        <f t="shared" si="39"/>
        <v>28760.886586089095</v>
      </c>
      <c r="AK129" s="41">
        <f t="shared" si="40"/>
        <v>14053.542375213874</v>
      </c>
    </row>
    <row r="130" spans="1:68" x14ac:dyDescent="0.2">
      <c r="R130" s="85">
        <f t="shared" si="22"/>
        <v>127467340.45816658</v>
      </c>
      <c r="S130" s="14">
        <v>15794.368857250491</v>
      </c>
      <c r="T130" s="85">
        <f t="shared" si="23"/>
        <v>88047508.779717028</v>
      </c>
      <c r="U130" s="14">
        <f t="shared" si="24"/>
        <v>5055.3041186021937</v>
      </c>
      <c r="V130" s="203">
        <f t="shared" si="25"/>
        <v>2.0859634472658648</v>
      </c>
      <c r="W130" s="14">
        <f t="shared" si="26"/>
        <v>10545.179606216756</v>
      </c>
      <c r="X130" s="14">
        <f t="shared" si="37"/>
        <v>27676.591482400036</v>
      </c>
      <c r="Y130" s="41">
        <f t="shared" si="27"/>
        <v>38221.771088616792</v>
      </c>
      <c r="Z130" s="41">
        <f t="shared" si="28"/>
        <v>17131.41187618328</v>
      </c>
      <c r="AC130" s="85"/>
      <c r="AD130" s="14"/>
      <c r="AE130" s="14"/>
      <c r="AF130" s="14"/>
      <c r="AG130" s="203"/>
      <c r="AH130" s="14"/>
      <c r="AI130" s="14"/>
      <c r="AJ130" s="41"/>
      <c r="AK130" s="41"/>
    </row>
    <row r="131" spans="1:68" x14ac:dyDescent="0.2">
      <c r="R131" s="84"/>
      <c r="T131" s="85"/>
      <c r="U131" s="14"/>
    </row>
    <row r="134" spans="1:68" x14ac:dyDescent="0.2">
      <c r="A134" s="19" t="s">
        <v>298</v>
      </c>
    </row>
    <row r="137" spans="1:68" ht="13.5" thickBot="1" x14ac:dyDescent="0.25">
      <c r="B137" s="80" t="s">
        <v>205</v>
      </c>
      <c r="C137" s="80"/>
      <c r="D137" s="80"/>
      <c r="E137" s="80"/>
      <c r="F137" s="80"/>
      <c r="G137" s="80"/>
      <c r="H137" s="80"/>
      <c r="J137" s="77" t="s">
        <v>497</v>
      </c>
      <c r="K137" s="77" t="s">
        <v>497</v>
      </c>
      <c r="L137" s="77" t="s">
        <v>497</v>
      </c>
      <c r="M137" s="77" t="s">
        <v>497</v>
      </c>
      <c r="N137" s="77" t="s">
        <v>497</v>
      </c>
      <c r="O137" s="77" t="s">
        <v>497</v>
      </c>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c r="BP137" s="36"/>
    </row>
    <row r="138" spans="1:68" ht="13.5" thickTop="1" x14ac:dyDescent="0.2">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180"/>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c r="BP138" s="36"/>
    </row>
    <row r="139" spans="1:68" x14ac:dyDescent="0.2">
      <c r="C139" s="19" t="str">
        <f>C9</f>
        <v>BROOD YEAR RETURN BY AGE</v>
      </c>
      <c r="Q139" s="180"/>
      <c r="R139" s="36"/>
      <c r="S139" s="36"/>
      <c r="T139" s="36"/>
      <c r="U139" s="181"/>
      <c r="V139" s="181"/>
      <c r="W139" s="181"/>
      <c r="X139" s="36"/>
      <c r="Y139" s="36"/>
      <c r="Z139" s="181"/>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182"/>
      <c r="BF139" s="182"/>
      <c r="BG139" s="180"/>
      <c r="BH139" s="36"/>
      <c r="BI139" s="36"/>
      <c r="BJ139" s="36"/>
      <c r="BK139" s="36"/>
      <c r="BL139" s="36"/>
      <c r="BM139" s="36"/>
      <c r="BN139" s="36"/>
      <c r="BO139" s="36"/>
      <c r="BP139" s="179"/>
    </row>
    <row r="140" spans="1:68" ht="13.5" thickBot="1" x14ac:dyDescent="0.25">
      <c r="C140" s="19" t="str">
        <f>C10</f>
        <v>(ESCAPEMENT + SPORT HARVEST +MARINE. HARVEST)</v>
      </c>
      <c r="J140" s="60" t="s">
        <v>20</v>
      </c>
      <c r="K140" s="34"/>
      <c r="L140" s="34"/>
      <c r="M140" s="34"/>
      <c r="N140" s="34"/>
      <c r="O140" s="34"/>
      <c r="Q140" s="36"/>
      <c r="R140" s="36"/>
      <c r="S140" s="36"/>
      <c r="T140" s="36"/>
      <c r="U140" s="181"/>
      <c r="V140" s="181"/>
      <c r="W140" s="181"/>
      <c r="X140" s="181"/>
      <c r="Y140" s="181"/>
      <c r="Z140" s="181"/>
      <c r="AA140" s="36"/>
      <c r="AB140" s="36"/>
      <c r="AC140" s="58"/>
      <c r="AD140" s="180"/>
      <c r="AE140" s="36"/>
      <c r="AF140" s="36"/>
      <c r="AG140" s="36"/>
      <c r="AH140" s="36"/>
      <c r="AI140" s="36"/>
      <c r="AJ140" s="36"/>
      <c r="AK140" s="36"/>
      <c r="AL140" s="36"/>
      <c r="AM140" s="36"/>
      <c r="AN140" s="36"/>
      <c r="AO140" s="58"/>
      <c r="AP140" s="180"/>
      <c r="AQ140" s="188"/>
      <c r="AR140" s="188"/>
      <c r="AS140" s="190" t="s">
        <v>139</v>
      </c>
      <c r="AT140" s="188"/>
      <c r="AU140" s="188"/>
      <c r="AV140" s="188"/>
      <c r="AW140" s="188"/>
      <c r="AX140" s="188"/>
      <c r="AY140" s="188"/>
      <c r="AZ140" s="188"/>
      <c r="BA140" s="189"/>
      <c r="BB140" s="188"/>
      <c r="BC140" s="188"/>
      <c r="BD140" s="188"/>
      <c r="BE140" s="190"/>
      <c r="BF140" s="188"/>
      <c r="BG140" s="188"/>
      <c r="BH140" s="36"/>
      <c r="BI140" s="36"/>
      <c r="BJ140" s="58"/>
      <c r="BK140" s="180"/>
      <c r="BL140" s="36"/>
      <c r="BM140" s="36"/>
      <c r="BN140" s="36"/>
      <c r="BO140" s="36"/>
      <c r="BP140" s="179"/>
    </row>
    <row r="141" spans="1:68" ht="13.5" thickTop="1" x14ac:dyDescent="0.2">
      <c r="Q141" s="180"/>
      <c r="R141" s="36"/>
      <c r="S141" s="36" t="s">
        <v>180</v>
      </c>
      <c r="T141" s="36"/>
      <c r="U141" s="181"/>
      <c r="V141" s="181"/>
      <c r="W141" s="181"/>
      <c r="X141" s="181"/>
      <c r="Y141" s="181"/>
      <c r="Z141" s="181"/>
      <c r="AA141" s="167"/>
      <c r="AB141" s="36"/>
      <c r="AC141" s="58"/>
      <c r="AD141" s="36"/>
      <c r="AE141" s="36"/>
      <c r="AF141" s="36"/>
      <c r="AG141" s="36"/>
      <c r="AH141" s="36"/>
      <c r="AI141" s="36"/>
      <c r="AJ141" s="36"/>
      <c r="AK141" s="36"/>
      <c r="AL141" s="36"/>
      <c r="AM141" s="36"/>
      <c r="AN141" s="36"/>
      <c r="AO141" s="58"/>
      <c r="AP141" s="36"/>
      <c r="AQ141" s="12"/>
      <c r="AR141" s="194" t="s">
        <v>147</v>
      </c>
      <c r="AS141" s="193"/>
      <c r="AT141" s="193"/>
      <c r="AU141" s="194"/>
      <c r="AV141" s="193"/>
      <c r="AW141" s="193"/>
      <c r="AX141" s="193"/>
      <c r="AY141" s="219"/>
      <c r="AZ141" s="193"/>
      <c r="BA141" s="194" t="s">
        <v>148</v>
      </c>
      <c r="BB141" s="193"/>
      <c r="BC141" s="193"/>
      <c r="BD141" s="193"/>
      <c r="BE141" s="193"/>
      <c r="BF141" s="193"/>
      <c r="BG141" s="193"/>
      <c r="BH141" s="36"/>
      <c r="BI141" s="36"/>
      <c r="BJ141" s="58"/>
      <c r="BK141" s="36"/>
      <c r="BL141" s="36"/>
      <c r="BM141" s="36"/>
      <c r="BN141" s="36"/>
      <c r="BO141" s="36"/>
      <c r="BP141" s="179"/>
    </row>
    <row r="142" spans="1:68" x14ac:dyDescent="0.2">
      <c r="B142" s="13" t="str">
        <f>B12</f>
        <v>Brood</v>
      </c>
      <c r="C142" s="17"/>
      <c r="D142" s="17" t="str">
        <f>D12</f>
        <v>Returning Number per Age Class</v>
      </c>
      <c r="E142" s="17"/>
      <c r="F142" s="17"/>
      <c r="G142" s="17"/>
      <c r="H142" s="17"/>
      <c r="J142" s="11"/>
      <c r="K142" s="11" t="s">
        <v>490</v>
      </c>
      <c r="L142" s="11"/>
      <c r="M142" s="11"/>
      <c r="N142" s="11"/>
      <c r="O142" s="11"/>
      <c r="Q142" s="36"/>
      <c r="R142" s="180"/>
      <c r="S142" s="2"/>
      <c r="T142" s="2"/>
      <c r="U142" s="36"/>
      <c r="V142" s="167"/>
      <c r="W142" s="167"/>
      <c r="X142" s="167"/>
      <c r="Y142" s="167"/>
      <c r="Z142" s="167"/>
      <c r="AA142" s="167"/>
      <c r="AB142" s="36"/>
      <c r="AC142" s="58"/>
      <c r="AD142" s="180"/>
      <c r="AE142" s="180"/>
      <c r="AF142" s="36"/>
      <c r="AG142" s="36"/>
      <c r="AH142" s="36"/>
      <c r="AI142" s="180"/>
      <c r="AJ142" s="36"/>
      <c r="AK142" s="36"/>
      <c r="AL142" s="180"/>
      <c r="AM142" s="36"/>
      <c r="AN142" s="36"/>
      <c r="AO142" s="58"/>
      <c r="AP142" s="180"/>
      <c r="AQ142" s="2" t="s">
        <v>439</v>
      </c>
      <c r="AR142" s="220"/>
      <c r="AS142" s="220"/>
      <c r="AT142" s="220"/>
      <c r="AU142" s="2" t="s">
        <v>439</v>
      </c>
      <c r="AV142" s="36" t="s">
        <v>142</v>
      </c>
      <c r="AW142" s="36"/>
      <c r="AX142" s="58" t="s">
        <v>144</v>
      </c>
      <c r="AY142" s="36"/>
      <c r="AZ142" s="2" t="str">
        <f>AU142</f>
        <v>Return</v>
      </c>
      <c r="BA142" s="220"/>
      <c r="BB142" s="220"/>
      <c r="BC142" s="220"/>
      <c r="BD142" s="36" t="str">
        <f>AU142</f>
        <v>Return</v>
      </c>
      <c r="BE142" s="36" t="s">
        <v>142</v>
      </c>
      <c r="BF142" s="36"/>
      <c r="BG142" s="58" t="s">
        <v>144</v>
      </c>
      <c r="BH142" s="36"/>
      <c r="BI142" s="36"/>
      <c r="BJ142" s="58"/>
      <c r="BK142" s="180"/>
      <c r="BL142" s="180"/>
      <c r="BM142" s="36"/>
      <c r="BN142" s="36"/>
      <c r="BO142" s="36"/>
      <c r="BP142" s="179"/>
    </row>
    <row r="143" spans="1:68" x14ac:dyDescent="0.2">
      <c r="B143" s="17" t="str">
        <f t="shared" ref="B143:H143" si="41">B13</f>
        <v>Year</v>
      </c>
      <c r="C143" s="17">
        <f t="shared" si="41"/>
        <v>1.1000000000000001</v>
      </c>
      <c r="D143" s="17">
        <f t="shared" si="41"/>
        <v>1.2</v>
      </c>
      <c r="E143" s="17" t="str">
        <f t="shared" si="41"/>
        <v>1.3</v>
      </c>
      <c r="F143" s="17" t="str">
        <f t="shared" si="41"/>
        <v>1.4</v>
      </c>
      <c r="G143" s="17" t="str">
        <f t="shared" si="41"/>
        <v>1.5</v>
      </c>
      <c r="H143" s="17" t="str">
        <f t="shared" si="41"/>
        <v>All</v>
      </c>
      <c r="J143" s="17">
        <v>3</v>
      </c>
      <c r="K143" s="17">
        <v>4</v>
      </c>
      <c r="L143" s="17">
        <v>5</v>
      </c>
      <c r="M143" s="17">
        <v>6</v>
      </c>
      <c r="N143" s="17">
        <v>7</v>
      </c>
      <c r="O143" s="17" t="s">
        <v>422</v>
      </c>
      <c r="Q143" s="36"/>
      <c r="R143" s="36"/>
      <c r="S143" s="36"/>
      <c r="T143" s="36"/>
      <c r="U143" s="36"/>
      <c r="V143" s="167"/>
      <c r="W143" s="167"/>
      <c r="X143" s="167"/>
      <c r="Y143" s="167"/>
      <c r="Z143" s="167"/>
      <c r="AA143" s="167"/>
      <c r="AB143" s="36"/>
      <c r="AC143" s="58"/>
      <c r="AD143" s="167"/>
      <c r="AE143" s="183"/>
      <c r="AF143" s="167"/>
      <c r="AG143" s="36"/>
      <c r="AH143" s="36"/>
      <c r="AI143" s="167"/>
      <c r="AJ143" s="167"/>
      <c r="AK143" s="36"/>
      <c r="AL143" s="167"/>
      <c r="AM143" s="167"/>
      <c r="AN143" s="36"/>
      <c r="AO143" s="58"/>
      <c r="AP143" s="167"/>
      <c r="AQ143" s="191" t="s">
        <v>416</v>
      </c>
      <c r="AR143" s="221" t="s">
        <v>543</v>
      </c>
      <c r="AS143" s="221" t="s">
        <v>140</v>
      </c>
      <c r="AT143" s="221" t="s">
        <v>141</v>
      </c>
      <c r="AU143" s="191" t="s">
        <v>416</v>
      </c>
      <c r="AV143" s="221" t="s">
        <v>544</v>
      </c>
      <c r="AW143" s="221" t="s">
        <v>143</v>
      </c>
      <c r="AX143" s="221" t="s">
        <v>145</v>
      </c>
      <c r="AY143" s="58"/>
      <c r="AZ143" s="191" t="str">
        <f>AU143</f>
        <v>Year</v>
      </c>
      <c r="BA143" s="221" t="s">
        <v>544</v>
      </c>
      <c r="BB143" s="221" t="s">
        <v>140</v>
      </c>
      <c r="BC143" s="221" t="s">
        <v>141</v>
      </c>
      <c r="BD143" s="12" t="str">
        <f>AU143</f>
        <v>Year</v>
      </c>
      <c r="BE143" s="221" t="s">
        <v>146</v>
      </c>
      <c r="BF143" s="221" t="s">
        <v>143</v>
      </c>
      <c r="BG143" s="221" t="s">
        <v>145</v>
      </c>
      <c r="BH143" s="36"/>
      <c r="BI143" s="36"/>
      <c r="BJ143" s="58"/>
      <c r="BK143" s="167"/>
      <c r="BL143" s="183"/>
      <c r="BM143" s="167"/>
      <c r="BN143" s="36"/>
      <c r="BO143" s="36"/>
      <c r="BP143" s="179"/>
    </row>
    <row r="144" spans="1:68" x14ac:dyDescent="0.2">
      <c r="B144" s="42"/>
      <c r="C144" s="42"/>
      <c r="D144" s="42"/>
      <c r="E144" s="42"/>
      <c r="F144" s="42"/>
      <c r="G144" s="42"/>
      <c r="H144" s="42"/>
      <c r="J144" s="42"/>
      <c r="K144" s="42"/>
      <c r="L144" s="42"/>
      <c r="M144" s="42"/>
      <c r="N144" s="42"/>
      <c r="O144" s="42"/>
      <c r="Q144" s="36"/>
      <c r="R144" s="36"/>
      <c r="S144" s="36"/>
      <c r="T144" s="36"/>
      <c r="U144" s="36"/>
      <c r="V144" s="167"/>
      <c r="W144" s="167"/>
      <c r="X144" s="167"/>
      <c r="Y144" s="167"/>
      <c r="Z144" s="167"/>
      <c r="AA144" s="167"/>
      <c r="AB144" s="36"/>
      <c r="AC144" s="58"/>
      <c r="AD144" s="167"/>
      <c r="AE144" s="183"/>
      <c r="AF144" s="167"/>
      <c r="AG144" s="36"/>
      <c r="AH144" s="36"/>
      <c r="AI144" s="167"/>
      <c r="AJ144" s="167"/>
      <c r="AK144" s="36"/>
      <c r="AL144" s="167"/>
      <c r="AM144" s="167"/>
      <c r="AN144" s="36"/>
      <c r="AO144" s="58"/>
      <c r="AP144" s="167"/>
      <c r="AQ144" s="2"/>
      <c r="AR144" s="58"/>
      <c r="AS144" s="58"/>
      <c r="AT144" s="58"/>
      <c r="AU144" s="2"/>
      <c r="AV144" s="58"/>
      <c r="AW144" s="58"/>
      <c r="AX144" s="58"/>
      <c r="AY144" s="58"/>
      <c r="AZ144" s="2"/>
      <c r="BA144" s="58"/>
      <c r="BB144" s="58"/>
      <c r="BC144" s="58"/>
      <c r="BD144" s="36"/>
      <c r="BE144" s="58"/>
      <c r="BF144" s="58"/>
      <c r="BG144" s="58"/>
      <c r="BH144" s="36"/>
      <c r="BI144" s="36"/>
      <c r="BJ144" s="58"/>
      <c r="BK144" s="167"/>
      <c r="BL144" s="183"/>
      <c r="BM144" s="167"/>
      <c r="BN144" s="36"/>
      <c r="BO144" s="36"/>
      <c r="BP144" s="179"/>
    </row>
    <row r="145" spans="2:68" x14ac:dyDescent="0.2">
      <c r="B145" s="13">
        <f t="shared" ref="B145:H151" si="42">B33</f>
        <v>1990</v>
      </c>
      <c r="C145" s="14">
        <f t="shared" si="42"/>
        <v>3.1621097740336701</v>
      </c>
      <c r="D145" s="14"/>
      <c r="E145" s="14">
        <f t="shared" si="42"/>
        <v>3098.7645462437235</v>
      </c>
      <c r="F145" s="14">
        <f t="shared" si="42"/>
        <v>2013.7231180938411</v>
      </c>
      <c r="G145" s="14">
        <f t="shared" si="42"/>
        <v>0</v>
      </c>
      <c r="H145" s="14">
        <f t="shared" si="42"/>
        <v>6846.1434121709262</v>
      </c>
      <c r="Q145" s="36"/>
      <c r="R145" s="36"/>
      <c r="S145" s="36"/>
      <c r="T145" s="36"/>
      <c r="U145" s="36"/>
      <c r="V145" s="167"/>
      <c r="W145" s="167"/>
      <c r="X145" s="167"/>
      <c r="Y145" s="167"/>
      <c r="Z145" s="167"/>
      <c r="AA145" s="167"/>
      <c r="AB145" s="36"/>
      <c r="AC145" s="58"/>
      <c r="AD145" s="36"/>
      <c r="AE145" s="36"/>
      <c r="AF145" s="36"/>
      <c r="AG145" s="36"/>
      <c r="AH145" s="36"/>
      <c r="AI145" s="36"/>
      <c r="AJ145" s="36"/>
      <c r="AK145" s="36"/>
      <c r="AL145" s="36"/>
      <c r="AM145" s="36"/>
      <c r="AN145" s="36"/>
      <c r="AO145" s="58"/>
      <c r="AP145" s="36"/>
      <c r="AQ145" s="2"/>
      <c r="AR145" s="5"/>
      <c r="AS145" s="5"/>
      <c r="AT145" s="5"/>
      <c r="AU145" s="5"/>
      <c r="AV145" s="36"/>
      <c r="AW145" s="36"/>
      <c r="AX145" s="36"/>
      <c r="AY145" s="36"/>
      <c r="AZ145" s="36"/>
      <c r="BA145" s="5"/>
      <c r="BB145" s="5"/>
      <c r="BC145" s="5"/>
      <c r="BD145" s="5"/>
      <c r="BE145" s="36"/>
      <c r="BF145" s="36"/>
      <c r="BG145" s="36"/>
      <c r="BH145" s="36"/>
      <c r="BI145" s="36"/>
      <c r="BJ145" s="58"/>
      <c r="BK145" s="36"/>
      <c r="BL145" s="36"/>
      <c r="BM145" s="36"/>
      <c r="BN145" s="36"/>
      <c r="BO145" s="36"/>
      <c r="BP145" s="184"/>
    </row>
    <row r="146" spans="2:68" x14ac:dyDescent="0.2">
      <c r="B146" s="13">
        <f t="shared" si="42"/>
        <v>1991</v>
      </c>
      <c r="C146" s="14">
        <f t="shared" si="42"/>
        <v>3.9570827542759091</v>
      </c>
      <c r="D146" s="14">
        <f t="shared" si="42"/>
        <v>4059.8806994979118</v>
      </c>
      <c r="E146" s="14">
        <f t="shared" si="42"/>
        <v>5572.1171873742987</v>
      </c>
      <c r="F146" s="14">
        <f t="shared" si="42"/>
        <v>6113.3832126036305</v>
      </c>
      <c r="G146" s="14">
        <f t="shared" si="42"/>
        <v>117.44684920097559</v>
      </c>
      <c r="H146" s="14">
        <f t="shared" si="42"/>
        <v>15866.785031431093</v>
      </c>
      <c r="J146" s="24">
        <f t="shared" ref="J146:J151" si="43">C146/$H146</f>
        <v>2.4939411143701636E-4</v>
      </c>
      <c r="K146" s="39">
        <f t="shared" ref="K146:K151" si="44">D146/$H146</f>
        <v>0.25587292519912169</v>
      </c>
      <c r="L146" s="39">
        <f t="shared" ref="L146:L151" si="45">E146/$H146</f>
        <v>0.35118123654768679</v>
      </c>
      <c r="M146" s="39">
        <f t="shared" ref="M146:M151" si="46">F146/$H146</f>
        <v>0.38529438701623592</v>
      </c>
      <c r="N146" s="39">
        <f t="shared" ref="N146:N151" si="47">G146/$H146</f>
        <v>7.4020571255185505E-3</v>
      </c>
      <c r="O146" s="24">
        <f t="shared" ref="O146:O151" si="48">SUM(J146:N146)</f>
        <v>1</v>
      </c>
      <c r="Q146" s="57"/>
      <c r="R146" s="165"/>
      <c r="S146" s="165"/>
      <c r="T146" s="1"/>
      <c r="U146" s="1"/>
      <c r="V146" s="174"/>
      <c r="W146" s="174"/>
      <c r="X146" s="174"/>
      <c r="Y146" s="174"/>
      <c r="Z146" s="174"/>
      <c r="AA146" s="174"/>
      <c r="AB146" s="1"/>
      <c r="AC146" s="57"/>
      <c r="AD146" s="174"/>
      <c r="AE146" s="176"/>
      <c r="AF146" s="174"/>
      <c r="AG146" s="128"/>
      <c r="AH146" s="1"/>
      <c r="AI146" s="174"/>
      <c r="AJ146" s="174"/>
      <c r="AK146" s="1"/>
      <c r="AL146" s="165"/>
      <c r="AM146" s="165"/>
      <c r="AN146" s="1"/>
      <c r="AO146" s="57"/>
      <c r="AP146" s="167"/>
      <c r="AQ146" s="2">
        <f t="shared" ref="AQ146:AQ171" si="49">AQ15</f>
        <v>1976</v>
      </c>
      <c r="AR146" s="2"/>
      <c r="AS146" s="2"/>
      <c r="AT146" s="2"/>
      <c r="AU146" s="2"/>
      <c r="AV146" s="2"/>
      <c r="AW146" s="2"/>
      <c r="AX146" s="2"/>
      <c r="AY146" s="2"/>
      <c r="AZ146" s="2"/>
      <c r="BA146" s="2"/>
      <c r="BB146" s="2"/>
      <c r="BC146" s="2"/>
      <c r="BD146" s="2"/>
      <c r="BE146" s="2"/>
      <c r="BF146" s="2"/>
      <c r="BG146" s="2"/>
      <c r="BH146" s="174"/>
      <c r="BI146" s="1"/>
      <c r="BJ146" s="57"/>
      <c r="BK146" s="167"/>
      <c r="BL146" s="176"/>
      <c r="BM146" s="174"/>
      <c r="BN146" s="174"/>
      <c r="BO146" s="174"/>
      <c r="BP146" s="175"/>
    </row>
    <row r="147" spans="2:68" x14ac:dyDescent="0.2">
      <c r="B147" s="13">
        <f t="shared" si="42"/>
        <v>1992</v>
      </c>
      <c r="C147" s="14">
        <f t="shared" si="42"/>
        <v>108.66499835765568</v>
      </c>
      <c r="D147" s="14">
        <f t="shared" si="42"/>
        <v>7108.6371873742992</v>
      </c>
      <c r="E147" s="14">
        <f t="shared" si="42"/>
        <v>23730.285356550539</v>
      </c>
      <c r="F147" s="14">
        <f t="shared" si="42"/>
        <v>10444.361381326702</v>
      </c>
      <c r="G147" s="14">
        <f t="shared" si="42"/>
        <v>69.812918082805467</v>
      </c>
      <c r="H147" s="14">
        <f t="shared" si="42"/>
        <v>41461.761841692001</v>
      </c>
      <c r="J147" s="24">
        <f t="shared" si="43"/>
        <v>2.6208485489004774E-3</v>
      </c>
      <c r="K147" s="39">
        <f t="shared" si="44"/>
        <v>0.17145043701992874</v>
      </c>
      <c r="L147" s="39">
        <f t="shared" si="45"/>
        <v>0.57234146120362106</v>
      </c>
      <c r="M147" s="39">
        <f t="shared" si="46"/>
        <v>0.25190346279072834</v>
      </c>
      <c r="N147" s="39">
        <f t="shared" si="47"/>
        <v>1.6837904368213526E-3</v>
      </c>
      <c r="O147" s="24">
        <f t="shared" si="48"/>
        <v>0.99999999999999989</v>
      </c>
      <c r="Q147" s="57"/>
      <c r="R147" s="165"/>
      <c r="S147" s="165"/>
      <c r="T147" s="1"/>
      <c r="U147" s="1"/>
      <c r="V147" s="174"/>
      <c r="W147" s="174"/>
      <c r="X147" s="174"/>
      <c r="Y147" s="174"/>
      <c r="Z147" s="174"/>
      <c r="AA147" s="174"/>
      <c r="AB147" s="1"/>
      <c r="AC147" s="57"/>
      <c r="AD147" s="174"/>
      <c r="AE147" s="176"/>
      <c r="AF147" s="174"/>
      <c r="AG147" s="128"/>
      <c r="AH147" s="1"/>
      <c r="AI147" s="174"/>
      <c r="AJ147" s="174"/>
      <c r="AK147" s="1"/>
      <c r="AL147" s="165"/>
      <c r="AM147" s="165"/>
      <c r="AN147" s="1"/>
      <c r="AO147" s="57"/>
      <c r="AP147" s="167"/>
      <c r="AQ147" s="2">
        <f t="shared" si="49"/>
        <v>1977</v>
      </c>
      <c r="AR147" s="2"/>
      <c r="AS147" s="2"/>
      <c r="AT147" s="2"/>
      <c r="AU147" s="2"/>
      <c r="AV147" s="2"/>
      <c r="AW147" s="2"/>
      <c r="AX147" s="2"/>
      <c r="AY147" s="2"/>
      <c r="AZ147" s="2"/>
      <c r="BA147" s="2"/>
      <c r="BB147" s="2"/>
      <c r="BC147" s="2"/>
      <c r="BD147" s="2"/>
      <c r="BE147" s="2"/>
      <c r="BF147" s="2"/>
      <c r="BG147" s="2"/>
      <c r="BH147" s="174"/>
      <c r="BI147" s="1"/>
      <c r="BJ147" s="57"/>
      <c r="BK147" s="167"/>
      <c r="BL147" s="176"/>
      <c r="BM147" s="174"/>
      <c r="BN147" s="174"/>
      <c r="BO147" s="174"/>
      <c r="BP147" s="175"/>
    </row>
    <row r="148" spans="2:68" x14ac:dyDescent="0.2">
      <c r="B148" s="13">
        <f t="shared" si="42"/>
        <v>1993</v>
      </c>
      <c r="C148" s="14">
        <f t="shared" si="42"/>
        <v>11.328340155691741</v>
      </c>
      <c r="D148" s="14">
        <f t="shared" si="42"/>
        <v>6135.3280389717856</v>
      </c>
      <c r="E148" s="14">
        <f t="shared" si="42"/>
        <v>15777.198181257876</v>
      </c>
      <c r="F148" s="14">
        <f t="shared" si="42"/>
        <v>8452.9820339873313</v>
      </c>
      <c r="G148" s="14">
        <f t="shared" si="42"/>
        <v>0</v>
      </c>
      <c r="H148" s="14">
        <f t="shared" si="42"/>
        <v>30376.836594372682</v>
      </c>
      <c r="J148" s="24">
        <f t="shared" si="43"/>
        <v>3.7292692148827369E-4</v>
      </c>
      <c r="K148" s="39">
        <f t="shared" si="44"/>
        <v>0.20197389612677302</v>
      </c>
      <c r="L148" s="39">
        <f t="shared" si="45"/>
        <v>0.51938252794172146</v>
      </c>
      <c r="M148" s="39">
        <f t="shared" si="46"/>
        <v>0.27827064901001736</v>
      </c>
      <c r="N148" s="39">
        <f t="shared" si="47"/>
        <v>0</v>
      </c>
      <c r="O148" s="24">
        <f t="shared" si="48"/>
        <v>1</v>
      </c>
      <c r="Q148" s="57"/>
      <c r="R148" s="57"/>
      <c r="S148" s="165"/>
      <c r="T148" s="1"/>
      <c r="U148" s="1"/>
      <c r="V148" s="174"/>
      <c r="W148" s="174"/>
      <c r="X148" s="174"/>
      <c r="Y148" s="174"/>
      <c r="Z148" s="174"/>
      <c r="AA148" s="174"/>
      <c r="AB148" s="1"/>
      <c r="AC148" s="57"/>
      <c r="AD148" s="174"/>
      <c r="AE148" s="176"/>
      <c r="AF148" s="174"/>
      <c r="AG148" s="128"/>
      <c r="AH148" s="1"/>
      <c r="AI148" s="174"/>
      <c r="AJ148" s="174"/>
      <c r="AK148" s="1"/>
      <c r="AL148" s="165"/>
      <c r="AM148" s="165"/>
      <c r="AN148" s="1"/>
      <c r="AO148" s="57"/>
      <c r="AP148" s="167"/>
      <c r="AQ148" s="2">
        <f t="shared" si="49"/>
        <v>1978</v>
      </c>
      <c r="AR148" s="2"/>
      <c r="AS148" s="2"/>
      <c r="AT148" s="2"/>
      <c r="AU148" s="2"/>
      <c r="AV148" s="2"/>
      <c r="AW148" s="2"/>
      <c r="AX148" s="2"/>
      <c r="AY148" s="2"/>
      <c r="AZ148" s="2"/>
      <c r="BA148" s="2"/>
      <c r="BB148" s="2"/>
      <c r="BC148" s="2"/>
      <c r="BD148" s="2"/>
      <c r="BE148" s="2"/>
      <c r="BF148" s="2"/>
      <c r="BG148" s="2"/>
      <c r="BH148" s="174"/>
      <c r="BI148" s="1"/>
      <c r="BJ148" s="57"/>
      <c r="BK148" s="167"/>
      <c r="BL148" s="176"/>
      <c r="BM148" s="174"/>
      <c r="BN148" s="174"/>
      <c r="BO148" s="174"/>
      <c r="BP148" s="175"/>
    </row>
    <row r="149" spans="2:68" x14ac:dyDescent="0.2">
      <c r="B149" s="13">
        <f t="shared" si="42"/>
        <v>1994</v>
      </c>
      <c r="C149" s="14">
        <f t="shared" si="42"/>
        <v>79.863814262021492</v>
      </c>
      <c r="D149" s="14">
        <f t="shared" si="42"/>
        <v>10865.774069892588</v>
      </c>
      <c r="E149" s="14">
        <f t="shared" si="42"/>
        <v>14606.017381700909</v>
      </c>
      <c r="F149" s="14">
        <f t="shared" si="42"/>
        <v>4416.0035800613459</v>
      </c>
      <c r="G149" s="14">
        <f t="shared" si="42"/>
        <v>2.8947748492642518</v>
      </c>
      <c r="H149" s="14">
        <f t="shared" si="42"/>
        <v>29970.553620766128</v>
      </c>
      <c r="J149" s="24">
        <f t="shared" si="43"/>
        <v>2.6647427095469168E-3</v>
      </c>
      <c r="K149" s="24">
        <f t="shared" si="44"/>
        <v>0.36254832684718452</v>
      </c>
      <c r="L149" s="24">
        <f t="shared" si="45"/>
        <v>0.48734559816674949</v>
      </c>
      <c r="M149" s="24">
        <f t="shared" si="46"/>
        <v>0.14734474497666825</v>
      </c>
      <c r="N149" s="24">
        <f t="shared" si="47"/>
        <v>9.6587299850827831E-5</v>
      </c>
      <c r="O149" s="24">
        <f t="shared" si="48"/>
        <v>1</v>
      </c>
      <c r="Q149" s="57"/>
      <c r="R149" s="165"/>
      <c r="S149" s="165"/>
      <c r="T149" s="1"/>
      <c r="U149" s="1"/>
      <c r="V149" s="174"/>
      <c r="W149" s="174"/>
      <c r="X149" s="174"/>
      <c r="Y149" s="174"/>
      <c r="Z149" s="174"/>
      <c r="AA149" s="174"/>
      <c r="AB149" s="1"/>
      <c r="AC149" s="57"/>
      <c r="AD149" s="174"/>
      <c r="AE149" s="176"/>
      <c r="AF149" s="174"/>
      <c r="AG149" s="128"/>
      <c r="AH149" s="1"/>
      <c r="AI149" s="174"/>
      <c r="AJ149" s="174"/>
      <c r="AK149" s="1"/>
      <c r="AL149" s="165"/>
      <c r="AM149" s="165"/>
      <c r="AN149" s="1"/>
      <c r="AO149" s="57"/>
      <c r="AP149" s="167"/>
      <c r="AQ149" s="2">
        <f t="shared" si="49"/>
        <v>1979</v>
      </c>
      <c r="AR149" s="2">
        <f t="shared" ref="AR149:AR170" si="50">AR18</f>
        <v>4503.5344558577508</v>
      </c>
      <c r="AS149" s="2">
        <f>S$194</f>
        <v>-3695.9158924642234</v>
      </c>
      <c r="AT149" s="2">
        <f>S$195</f>
        <v>2.9466278255785769</v>
      </c>
      <c r="AU149" s="2">
        <f t="shared" ref="AU149:AU170" si="51">AU18</f>
        <v>1980</v>
      </c>
      <c r="AV149" s="52">
        <f t="shared" ref="AV149:AV170" si="52">AR149*AT149+AS149</f>
        <v>9574.3240486181003</v>
      </c>
      <c r="AW149" s="222">
        <f t="shared" ref="AW149:AW169" si="53">E18-AV149</f>
        <v>10631.224024185483</v>
      </c>
      <c r="AX149" s="223">
        <f>AW149^2</f>
        <v>113022924.25241858</v>
      </c>
      <c r="AY149" s="2"/>
      <c r="AZ149" s="2">
        <f t="shared" ref="AZ149:BA170" si="54">AZ18</f>
        <v>1979</v>
      </c>
      <c r="BA149" s="2">
        <f t="shared" si="54"/>
        <v>38601.723907352149</v>
      </c>
      <c r="BB149" s="2">
        <f>AD$194</f>
        <v>3784.4173943096475</v>
      </c>
      <c r="BC149" s="2">
        <f>AD$195</f>
        <v>0.24395086579552319</v>
      </c>
      <c r="BD149" s="2">
        <f t="shared" ref="BD149:BD170" si="55">BD18</f>
        <v>1980</v>
      </c>
      <c r="BE149" s="54">
        <f>BB149+BA149*BC149</f>
        <v>13201.34136270795</v>
      </c>
      <c r="BF149" s="222" t="e">
        <f t="shared" ref="BF149:BF169" si="56">F16-BE149</f>
        <v>#REF!</v>
      </c>
      <c r="BG149" s="223" t="e">
        <f>BF149^2</f>
        <v>#REF!</v>
      </c>
      <c r="BH149" s="174"/>
      <c r="BI149" s="1"/>
      <c r="BJ149" s="57"/>
      <c r="BK149" s="167"/>
      <c r="BL149" s="176"/>
      <c r="BM149" s="174"/>
      <c r="BN149" s="174"/>
      <c r="BO149" s="174"/>
      <c r="BP149" s="175"/>
    </row>
    <row r="150" spans="2:68" x14ac:dyDescent="0.2">
      <c r="B150" s="13">
        <f t="shared" si="42"/>
        <v>1995</v>
      </c>
      <c r="C150" s="14">
        <f t="shared" si="42"/>
        <v>0</v>
      </c>
      <c r="D150" s="14">
        <f t="shared" si="42"/>
        <v>10309.713446624437</v>
      </c>
      <c r="E150" s="14">
        <f t="shared" si="42"/>
        <v>33202.17060982425</v>
      </c>
      <c r="F150" s="14">
        <f t="shared" si="42"/>
        <v>9463.3110676139477</v>
      </c>
      <c r="G150" s="14">
        <f t="shared" si="42"/>
        <v>0</v>
      </c>
      <c r="H150" s="14">
        <f t="shared" si="42"/>
        <v>52975.195124062637</v>
      </c>
      <c r="J150" s="24">
        <f t="shared" si="43"/>
        <v>0</v>
      </c>
      <c r="K150" s="24">
        <f t="shared" si="44"/>
        <v>0.19461397777733738</v>
      </c>
      <c r="L150" s="24">
        <f t="shared" si="45"/>
        <v>0.62674937830937805</v>
      </c>
      <c r="M150" s="24">
        <f t="shared" si="46"/>
        <v>0.1786366439132846</v>
      </c>
      <c r="N150" s="24">
        <f t="shared" si="47"/>
        <v>0</v>
      </c>
      <c r="O150" s="24">
        <f t="shared" si="48"/>
        <v>1</v>
      </c>
      <c r="Q150" s="165"/>
      <c r="R150" s="165"/>
      <c r="S150" s="165"/>
      <c r="T150" s="1"/>
      <c r="U150" s="1"/>
      <c r="V150" s="174"/>
      <c r="W150" s="174"/>
      <c r="X150" s="174"/>
      <c r="Y150" s="174"/>
      <c r="Z150" s="174"/>
      <c r="AA150" s="174"/>
      <c r="AB150" s="1"/>
      <c r="AC150" s="57"/>
      <c r="AD150" s="174"/>
      <c r="AE150" s="176"/>
      <c r="AF150" s="174"/>
      <c r="AG150" s="128"/>
      <c r="AH150" s="1"/>
      <c r="AI150" s="174"/>
      <c r="AJ150" s="174"/>
      <c r="AK150" s="1"/>
      <c r="AL150" s="165"/>
      <c r="AM150" s="165"/>
      <c r="AN150" s="1"/>
      <c r="AO150" s="57"/>
      <c r="AP150" s="167"/>
      <c r="AQ150" s="2">
        <f t="shared" si="49"/>
        <v>1980</v>
      </c>
      <c r="AR150" s="2">
        <f t="shared" si="50"/>
        <v>3961.8721711379576</v>
      </c>
      <c r="AS150" s="2">
        <f t="shared" ref="AS150:AS170" si="57">S$194</f>
        <v>-3695.9158924642234</v>
      </c>
      <c r="AT150" s="2">
        <f t="shared" ref="AT150:AT170" si="58">S$195</f>
        <v>2.9466278255785769</v>
      </c>
      <c r="AU150" s="2">
        <f t="shared" si="51"/>
        <v>1981</v>
      </c>
      <c r="AV150" s="52">
        <f t="shared" si="52"/>
        <v>7978.246888396292</v>
      </c>
      <c r="AW150" s="222">
        <f t="shared" si="53"/>
        <v>7293.4598790173241</v>
      </c>
      <c r="AX150" s="223">
        <f t="shared" ref="AX150:AX169" si="59">AW150^2</f>
        <v>53194557.006835401</v>
      </c>
      <c r="AY150" s="2"/>
      <c r="AZ150" s="2">
        <f t="shared" si="54"/>
        <v>1980</v>
      </c>
      <c r="BA150" s="2">
        <f t="shared" si="54"/>
        <v>20205.548072803584</v>
      </c>
      <c r="BB150" s="2">
        <f t="shared" ref="BB150:BB170" si="60">AD$194</f>
        <v>3784.4173943096475</v>
      </c>
      <c r="BC150" s="2">
        <f t="shared" ref="BC150:BC170" si="61">AD$195</f>
        <v>0.24395086579552319</v>
      </c>
      <c r="BD150" s="2">
        <f t="shared" si="55"/>
        <v>1981</v>
      </c>
      <c r="BE150" s="54">
        <f t="shared" ref="BE150:BE170" si="62">BB150+BA150*BC150</f>
        <v>8713.5783405431466</v>
      </c>
      <c r="BF150" s="222">
        <f t="shared" si="56"/>
        <v>6737.7231268948872</v>
      </c>
      <c r="BG150" s="223">
        <f t="shared" ref="BG150:BG169" si="63">BF150^2</f>
        <v>45396912.934694216</v>
      </c>
      <c r="BH150" s="174"/>
      <c r="BI150" s="1"/>
      <c r="BJ150" s="57"/>
      <c r="BK150" s="167"/>
      <c r="BL150" s="176"/>
      <c r="BM150" s="174"/>
      <c r="BN150" s="174"/>
      <c r="BO150" s="174"/>
      <c r="BP150" s="175"/>
    </row>
    <row r="151" spans="2:68" x14ac:dyDescent="0.2">
      <c r="B151" s="13">
        <f t="shared" si="42"/>
        <v>1996</v>
      </c>
      <c r="C151" s="14">
        <f t="shared" si="42"/>
        <v>0</v>
      </c>
      <c r="D151" s="14">
        <f t="shared" si="42"/>
        <v>4654.2777213619256</v>
      </c>
      <c r="E151" s="14">
        <f t="shared" si="42"/>
        <v>15580.03386399629</v>
      </c>
      <c r="F151" s="14">
        <f t="shared" si="42"/>
        <v>5263.1451543065714</v>
      </c>
      <c r="G151" s="14">
        <f t="shared" si="42"/>
        <v>0</v>
      </c>
      <c r="H151" s="14">
        <f t="shared" si="42"/>
        <v>25497.456739664787</v>
      </c>
      <c r="J151" s="24">
        <f t="shared" si="43"/>
        <v>0</v>
      </c>
      <c r="K151" s="24">
        <f t="shared" si="44"/>
        <v>0.18253890060029238</v>
      </c>
      <c r="L151" s="24">
        <f t="shared" si="45"/>
        <v>0.61104266292407949</v>
      </c>
      <c r="M151" s="24">
        <f t="shared" si="46"/>
        <v>0.2064184364756281</v>
      </c>
      <c r="N151" s="24">
        <f t="shared" si="47"/>
        <v>0</v>
      </c>
      <c r="O151" s="24">
        <f t="shared" si="48"/>
        <v>1</v>
      </c>
      <c r="Q151" s="165"/>
      <c r="R151" s="165"/>
      <c r="S151" s="165"/>
      <c r="T151" s="1"/>
      <c r="U151" s="1"/>
      <c r="V151" s="174"/>
      <c r="W151" s="174"/>
      <c r="X151" s="174"/>
      <c r="Y151" s="174"/>
      <c r="Z151" s="174"/>
      <c r="AA151" s="174"/>
      <c r="AB151" s="1"/>
      <c r="AC151" s="57"/>
      <c r="AD151" s="174"/>
      <c r="AE151" s="176"/>
      <c r="AF151" s="174"/>
      <c r="AG151" s="128"/>
      <c r="AH151" s="1"/>
      <c r="AI151" s="174"/>
      <c r="AJ151" s="174"/>
      <c r="AK151" s="1"/>
      <c r="AL151" s="165"/>
      <c r="AM151" s="165"/>
      <c r="AN151" s="1"/>
      <c r="AO151" s="57"/>
      <c r="AP151" s="167"/>
      <c r="AQ151" s="2">
        <f t="shared" si="49"/>
        <v>1981</v>
      </c>
      <c r="AR151" s="2">
        <f t="shared" si="50"/>
        <v>2679.2468013006346</v>
      </c>
      <c r="AS151" s="2">
        <f t="shared" si="57"/>
        <v>-3695.9158924642234</v>
      </c>
      <c r="AT151" s="2">
        <f t="shared" si="58"/>
        <v>2.9466278255785769</v>
      </c>
      <c r="AU151" s="2">
        <f t="shared" si="51"/>
        <v>1982</v>
      </c>
      <c r="AV151" s="52">
        <f t="shared" si="52"/>
        <v>4198.8272838406228</v>
      </c>
      <c r="AW151" s="222">
        <f t="shared" si="53"/>
        <v>15188.840021341715</v>
      </c>
      <c r="AX151" s="223">
        <f t="shared" si="59"/>
        <v>230700861.19391179</v>
      </c>
      <c r="AY151" s="2"/>
      <c r="AZ151" s="2">
        <f t="shared" si="54"/>
        <v>1981</v>
      </c>
      <c r="BA151" s="2">
        <f t="shared" si="54"/>
        <v>15271.706767413616</v>
      </c>
      <c r="BB151" s="2">
        <f t="shared" si="60"/>
        <v>3784.4173943096475</v>
      </c>
      <c r="BC151" s="2">
        <f t="shared" si="61"/>
        <v>0.24395086579552319</v>
      </c>
      <c r="BD151" s="2">
        <f t="shared" si="55"/>
        <v>1982</v>
      </c>
      <c r="BE151" s="54">
        <f t="shared" si="62"/>
        <v>7509.9634823955494</v>
      </c>
      <c r="BF151" s="222">
        <f t="shared" si="56"/>
        <v>1331.5509618965461</v>
      </c>
      <c r="BG151" s="223">
        <f t="shared" si="63"/>
        <v>1773027.9641276172</v>
      </c>
      <c r="BH151" s="174"/>
      <c r="BI151" s="1"/>
      <c r="BJ151" s="57"/>
      <c r="BK151" s="167"/>
      <c r="BL151" s="176"/>
      <c r="BM151" s="174"/>
      <c r="BN151" s="174"/>
      <c r="BO151" s="174"/>
      <c r="BP151" s="175"/>
    </row>
    <row r="152" spans="2:68" x14ac:dyDescent="0.2">
      <c r="B152" s="13"/>
      <c r="C152" s="14"/>
      <c r="D152" s="14"/>
      <c r="E152" s="14"/>
      <c r="F152" s="14"/>
      <c r="G152" s="14"/>
      <c r="H152" s="14"/>
      <c r="J152" s="24"/>
      <c r="K152" s="24"/>
      <c r="L152" s="24"/>
      <c r="M152" s="24"/>
      <c r="N152" s="24"/>
      <c r="O152" s="24"/>
      <c r="Q152" s="165"/>
      <c r="R152" s="165"/>
      <c r="S152" s="165"/>
      <c r="T152" s="1"/>
      <c r="U152" s="1"/>
      <c r="V152" s="174"/>
      <c r="W152" s="174"/>
      <c r="X152" s="174"/>
      <c r="Y152" s="174"/>
      <c r="Z152" s="174"/>
      <c r="AA152" s="174"/>
      <c r="AB152" s="1"/>
      <c r="AC152" s="57"/>
      <c r="AD152" s="174"/>
      <c r="AE152" s="176"/>
      <c r="AF152" s="174"/>
      <c r="AG152" s="128"/>
      <c r="AH152" s="1"/>
      <c r="AI152" s="174"/>
      <c r="AJ152" s="174"/>
      <c r="AK152" s="1"/>
      <c r="AL152" s="165"/>
      <c r="AM152" s="165"/>
      <c r="AN152" s="1"/>
      <c r="AO152" s="57"/>
      <c r="AP152" s="167"/>
      <c r="AQ152" s="2">
        <f t="shared" si="49"/>
        <v>1982</v>
      </c>
      <c r="AR152" s="2">
        <f t="shared" si="50"/>
        <v>5600.8816659415634</v>
      </c>
      <c r="AS152" s="2">
        <f t="shared" si="57"/>
        <v>-3695.9158924642234</v>
      </c>
      <c r="AT152" s="2">
        <f t="shared" si="58"/>
        <v>2.9466278255785769</v>
      </c>
      <c r="AU152" s="2">
        <f t="shared" si="51"/>
        <v>1983</v>
      </c>
      <c r="AV152" s="52">
        <f t="shared" si="52"/>
        <v>12807.797872172085</v>
      </c>
      <c r="AW152" s="222">
        <f t="shared" si="53"/>
        <v>10054.477552661558</v>
      </c>
      <c r="AX152" s="223">
        <f t="shared" si="59"/>
        <v>101092518.85697514</v>
      </c>
      <c r="AY152" s="2"/>
      <c r="AZ152" s="2">
        <f t="shared" si="54"/>
        <v>1982</v>
      </c>
      <c r="BA152" s="2">
        <f t="shared" si="54"/>
        <v>19387.667305182338</v>
      </c>
      <c r="BB152" s="2">
        <f t="shared" si="60"/>
        <v>3784.4173943096475</v>
      </c>
      <c r="BC152" s="2">
        <f t="shared" si="61"/>
        <v>0.24395086579552319</v>
      </c>
      <c r="BD152" s="2">
        <f t="shared" si="55"/>
        <v>1983</v>
      </c>
      <c r="BE152" s="54">
        <f t="shared" si="62"/>
        <v>8514.0556191644373</v>
      </c>
      <c r="BF152" s="222">
        <f t="shared" si="56"/>
        <v>10011.93758356535</v>
      </c>
      <c r="BG152" s="223">
        <f t="shared" si="63"/>
        <v>100238894.17720838</v>
      </c>
      <c r="BH152" s="174"/>
      <c r="BI152" s="1"/>
      <c r="BJ152" s="57"/>
      <c r="BK152" s="167"/>
      <c r="BL152" s="176"/>
      <c r="BM152" s="174"/>
      <c r="BN152" s="174"/>
      <c r="BO152" s="174"/>
      <c r="BP152" s="175"/>
    </row>
    <row r="153" spans="2:68" x14ac:dyDescent="0.2">
      <c r="B153" s="13" t="s">
        <v>259</v>
      </c>
      <c r="C153" s="75">
        <f>CORREL(D146:D151,E146:E151)</f>
        <v>0.61211966018729402</v>
      </c>
      <c r="D153" s="14" t="s">
        <v>261</v>
      </c>
      <c r="E153" s="75">
        <f>C153^2</f>
        <v>0.37469047838780833</v>
      </c>
      <c r="F153" s="205" t="s">
        <v>299</v>
      </c>
      <c r="G153" s="14"/>
      <c r="H153" s="14"/>
      <c r="J153" s="24"/>
      <c r="K153" s="24"/>
      <c r="L153" s="24"/>
      <c r="M153" s="24"/>
      <c r="N153" s="24"/>
      <c r="O153" s="24"/>
      <c r="Q153" s="165"/>
      <c r="R153" s="165"/>
      <c r="S153" s="165"/>
      <c r="T153" s="1"/>
      <c r="U153" s="1"/>
      <c r="V153" s="174"/>
      <c r="W153" s="174"/>
      <c r="X153" s="174"/>
      <c r="Y153" s="174"/>
      <c r="Z153" s="174"/>
      <c r="AA153" s="174"/>
      <c r="AB153" s="1"/>
      <c r="AC153" s="57"/>
      <c r="AD153" s="174"/>
      <c r="AE153" s="176"/>
      <c r="AF153" s="174"/>
      <c r="AG153" s="128"/>
      <c r="AH153" s="1"/>
      <c r="AI153" s="174"/>
      <c r="AJ153" s="174"/>
      <c r="AK153" s="1"/>
      <c r="AL153" s="165"/>
      <c r="AM153" s="165"/>
      <c r="AN153" s="1"/>
      <c r="AO153" s="57"/>
      <c r="AP153" s="167"/>
      <c r="AQ153" s="2">
        <f t="shared" si="49"/>
        <v>1983</v>
      </c>
      <c r="AR153" s="2">
        <f t="shared" si="50"/>
        <v>10468.965098592047</v>
      </c>
      <c r="AS153" s="2">
        <f t="shared" si="57"/>
        <v>-3695.9158924642234</v>
      </c>
      <c r="AT153" s="2">
        <f t="shared" si="58"/>
        <v>2.9466278255785769</v>
      </c>
      <c r="AU153" s="2">
        <f t="shared" si="51"/>
        <v>1984</v>
      </c>
      <c r="AV153" s="52">
        <f t="shared" si="52"/>
        <v>27152.22797205807</v>
      </c>
      <c r="AW153" s="222">
        <f t="shared" si="53"/>
        <v>-5734.9923020875904</v>
      </c>
      <c r="AX153" s="223">
        <f t="shared" si="59"/>
        <v>32890136.705003921</v>
      </c>
      <c r="AY153" s="2"/>
      <c r="AZ153" s="2">
        <f t="shared" si="54"/>
        <v>1983</v>
      </c>
      <c r="BA153" s="2">
        <f t="shared" si="54"/>
        <v>22862.275424833642</v>
      </c>
      <c r="BB153" s="2">
        <f t="shared" si="60"/>
        <v>3784.4173943096475</v>
      </c>
      <c r="BC153" s="2">
        <f t="shared" si="61"/>
        <v>0.24395086579552319</v>
      </c>
      <c r="BD153" s="2">
        <f t="shared" si="55"/>
        <v>1984</v>
      </c>
      <c r="BE153" s="54">
        <f t="shared" si="62"/>
        <v>9361.6892782535269</v>
      </c>
      <c r="BF153" s="222">
        <f t="shared" si="56"/>
        <v>7109.6455495648097</v>
      </c>
      <c r="BG153" s="223">
        <f t="shared" si="63"/>
        <v>50547059.840446703</v>
      </c>
      <c r="BH153" s="174"/>
      <c r="BI153" s="1"/>
      <c r="BJ153" s="57"/>
      <c r="BK153" s="167"/>
      <c r="BL153" s="176"/>
      <c r="BM153" s="174"/>
      <c r="BN153" s="174"/>
      <c r="BO153" s="174"/>
      <c r="BP153" s="175"/>
    </row>
    <row r="154" spans="2:68" x14ac:dyDescent="0.2">
      <c r="B154" s="13" t="s">
        <v>260</v>
      </c>
      <c r="C154" s="75">
        <f>CORREL(E145:E150,F145:F150)</f>
        <v>0.80270321547299572</v>
      </c>
      <c r="D154" s="14" t="s">
        <v>261</v>
      </c>
      <c r="E154" s="75">
        <f>C154^2</f>
        <v>0.64433245213068657</v>
      </c>
      <c r="F154" s="14"/>
      <c r="G154" s="14"/>
      <c r="H154" s="14"/>
      <c r="J154" s="24"/>
      <c r="K154" s="24"/>
      <c r="L154" s="24"/>
      <c r="M154" s="24"/>
      <c r="N154" s="24"/>
      <c r="O154" s="24"/>
      <c r="Q154" s="165"/>
      <c r="R154" s="165"/>
      <c r="S154" s="165"/>
      <c r="T154" s="1"/>
      <c r="U154" s="1"/>
      <c r="V154" s="174"/>
      <c r="W154" s="174"/>
      <c r="X154" s="174"/>
      <c r="Y154" s="174"/>
      <c r="Z154" s="174"/>
      <c r="AA154" s="174"/>
      <c r="AB154" s="1"/>
      <c r="AC154" s="57"/>
      <c r="AD154" s="174"/>
      <c r="AE154" s="176"/>
      <c r="AF154" s="174"/>
      <c r="AG154" s="128"/>
      <c r="AH154" s="1"/>
      <c r="AI154" s="174"/>
      <c r="AJ154" s="174"/>
      <c r="AK154" s="1"/>
      <c r="AL154" s="165"/>
      <c r="AM154" s="165"/>
      <c r="AN154" s="1"/>
      <c r="AO154" s="57"/>
      <c r="AP154" s="167"/>
      <c r="AQ154" s="2">
        <f t="shared" si="49"/>
        <v>1984</v>
      </c>
      <c r="AR154" s="2">
        <f t="shared" si="50"/>
        <v>7746.659710414855</v>
      </c>
      <c r="AS154" s="2">
        <f t="shared" si="57"/>
        <v>-3695.9158924642234</v>
      </c>
      <c r="AT154" s="2">
        <f t="shared" si="58"/>
        <v>2.9466278255785769</v>
      </c>
      <c r="AU154" s="2">
        <f t="shared" si="51"/>
        <v>1985</v>
      </c>
      <c r="AV154" s="52">
        <f t="shared" si="52"/>
        <v>19130.607165532667</v>
      </c>
      <c r="AW154" s="222">
        <f t="shared" si="53"/>
        <v>2140.8837919812868</v>
      </c>
      <c r="AX154" s="223">
        <f t="shared" si="59"/>
        <v>4583383.4107681736</v>
      </c>
      <c r="AY154" s="2"/>
      <c r="AZ154" s="2">
        <f t="shared" si="54"/>
        <v>1984</v>
      </c>
      <c r="BA154" s="2">
        <f t="shared" si="54"/>
        <v>21417.23566997048</v>
      </c>
      <c r="BB154" s="2">
        <f t="shared" si="60"/>
        <v>3784.4173943096475</v>
      </c>
      <c r="BC154" s="2">
        <f t="shared" si="61"/>
        <v>0.24395086579552319</v>
      </c>
      <c r="BD154" s="2">
        <f t="shared" si="55"/>
        <v>1985</v>
      </c>
      <c r="BE154" s="54">
        <f t="shared" si="62"/>
        <v>9009.1705789457083</v>
      </c>
      <c r="BF154" s="222">
        <f t="shared" si="56"/>
        <v>7395.5205725210399</v>
      </c>
      <c r="BG154" s="223">
        <f t="shared" si="63"/>
        <v>54693724.53858193</v>
      </c>
      <c r="BH154" s="174"/>
      <c r="BI154" s="1"/>
      <c r="BJ154" s="57"/>
      <c r="BK154" s="167"/>
      <c r="BL154" s="176"/>
      <c r="BM154" s="174"/>
      <c r="BN154" s="174"/>
      <c r="BO154" s="174"/>
      <c r="BP154" s="175"/>
    </row>
    <row r="155" spans="2:68" x14ac:dyDescent="0.2">
      <c r="B155" s="13"/>
      <c r="F155" s="14"/>
      <c r="G155" s="14"/>
      <c r="H155" s="14"/>
      <c r="J155" s="24"/>
      <c r="K155" s="24"/>
      <c r="L155" s="24"/>
      <c r="M155" s="24"/>
      <c r="N155" s="24"/>
      <c r="O155" s="24"/>
      <c r="Q155" s="165"/>
      <c r="R155" s="165"/>
      <c r="S155" s="165"/>
      <c r="T155" s="1"/>
      <c r="U155" s="1"/>
      <c r="V155" s="174"/>
      <c r="W155" s="174"/>
      <c r="X155" s="174"/>
      <c r="Y155" s="174"/>
      <c r="Z155" s="174"/>
      <c r="AA155" s="174"/>
      <c r="AB155" s="1"/>
      <c r="AC155" s="57"/>
      <c r="AD155" s="174"/>
      <c r="AE155" s="176"/>
      <c r="AF155" s="174"/>
      <c r="AG155" s="128"/>
      <c r="AH155" s="1"/>
      <c r="AI155" s="174"/>
      <c r="AJ155" s="174"/>
      <c r="AK155" s="1"/>
      <c r="AL155" s="165"/>
      <c r="AM155" s="165"/>
      <c r="AN155" s="1"/>
      <c r="AO155" s="57"/>
      <c r="AP155" s="167"/>
      <c r="AQ155" s="2">
        <f t="shared" si="49"/>
        <v>1985</v>
      </c>
      <c r="AR155" s="2">
        <f t="shared" si="50"/>
        <v>7231.5618756382864</v>
      </c>
      <c r="AS155" s="2">
        <f t="shared" si="57"/>
        <v>-3695.9158924642234</v>
      </c>
      <c r="AT155" s="2">
        <f t="shared" si="58"/>
        <v>2.9466278255785769</v>
      </c>
      <c r="AU155" s="2">
        <f t="shared" si="51"/>
        <v>1986</v>
      </c>
      <c r="AV155" s="52">
        <f t="shared" si="52"/>
        <v>17612.805552684753</v>
      </c>
      <c r="AW155" s="222">
        <f t="shared" si="53"/>
        <v>6092.0812780271372</v>
      </c>
      <c r="AX155" s="223">
        <f t="shared" si="59"/>
        <v>37113454.298088759</v>
      </c>
      <c r="AY155" s="2"/>
      <c r="AZ155" s="2">
        <f t="shared" si="54"/>
        <v>1985</v>
      </c>
      <c r="BA155" s="2">
        <f t="shared" si="54"/>
        <v>21271.490957513954</v>
      </c>
      <c r="BB155" s="2">
        <f t="shared" si="60"/>
        <v>3784.4173943096475</v>
      </c>
      <c r="BC155" s="2">
        <f t="shared" si="61"/>
        <v>0.24395086579552319</v>
      </c>
      <c r="BD155" s="2">
        <f t="shared" si="55"/>
        <v>1986</v>
      </c>
      <c r="BE155" s="54">
        <f t="shared" si="62"/>
        <v>8973.6160301568198</v>
      </c>
      <c r="BF155" s="222">
        <f t="shared" si="56"/>
        <v>11524.079745258947</v>
      </c>
      <c r="BG155" s="223">
        <f t="shared" si="63"/>
        <v>132804413.97508751</v>
      </c>
      <c r="BH155" s="174"/>
      <c r="BI155" s="1"/>
      <c r="BJ155" s="57"/>
      <c r="BK155" s="167"/>
      <c r="BL155" s="176"/>
      <c r="BM155" s="174"/>
      <c r="BN155" s="174"/>
      <c r="BO155" s="174"/>
      <c r="BP155" s="175"/>
    </row>
    <row r="156" spans="2:68" x14ac:dyDescent="0.2">
      <c r="B156" s="13"/>
      <c r="C156" s="11" t="s">
        <v>207</v>
      </c>
      <c r="D156" s="11"/>
      <c r="E156" s="11"/>
      <c r="F156" s="67"/>
      <c r="G156" s="67"/>
      <c r="H156" s="67"/>
      <c r="J156" s="24"/>
      <c r="K156" s="24"/>
      <c r="L156" s="24"/>
      <c r="M156" s="24"/>
      <c r="N156" s="24"/>
      <c r="O156" s="24"/>
      <c r="Q156" s="165"/>
      <c r="R156" s="165"/>
      <c r="S156" s="165"/>
      <c r="T156" s="1"/>
      <c r="U156" s="1"/>
      <c r="V156" s="174"/>
      <c r="W156" s="174"/>
      <c r="X156" s="174"/>
      <c r="Y156" s="174"/>
      <c r="Z156" s="174"/>
      <c r="AA156" s="174"/>
      <c r="AB156" s="1"/>
      <c r="AC156" s="57"/>
      <c r="AD156" s="174"/>
      <c r="AE156" s="176"/>
      <c r="AF156" s="174"/>
      <c r="AG156" s="128"/>
      <c r="AH156" s="1"/>
      <c r="AI156" s="174"/>
      <c r="AJ156" s="174"/>
      <c r="AK156" s="1"/>
      <c r="AL156" s="165"/>
      <c r="AM156" s="165"/>
      <c r="AN156" s="1"/>
      <c r="AO156" s="57"/>
      <c r="AP156" s="167"/>
      <c r="AQ156" s="2">
        <f t="shared" si="49"/>
        <v>1986</v>
      </c>
      <c r="AR156" s="2">
        <f t="shared" si="50"/>
        <v>19192.455588049419</v>
      </c>
      <c r="AS156" s="2">
        <f t="shared" si="57"/>
        <v>-3695.9158924642234</v>
      </c>
      <c r="AT156" s="2">
        <f t="shared" si="58"/>
        <v>2.9466278255785769</v>
      </c>
      <c r="AU156" s="2">
        <f t="shared" si="51"/>
        <v>1987</v>
      </c>
      <c r="AV156" s="52">
        <f t="shared" si="52"/>
        <v>52857.107784463245</v>
      </c>
      <c r="AW156" s="222">
        <f t="shared" si="53"/>
        <v>-28494.891648831901</v>
      </c>
      <c r="AX156" s="223">
        <f t="shared" si="59"/>
        <v>811958850.07867002</v>
      </c>
      <c r="AY156" s="2"/>
      <c r="AZ156" s="2">
        <f t="shared" si="54"/>
        <v>1986</v>
      </c>
      <c r="BA156" s="2">
        <f t="shared" si="54"/>
        <v>23704.88683071189</v>
      </c>
      <c r="BB156" s="2">
        <f t="shared" si="60"/>
        <v>3784.4173943096475</v>
      </c>
      <c r="BC156" s="2">
        <f t="shared" si="61"/>
        <v>0.24395086579552319</v>
      </c>
      <c r="BD156" s="2">
        <f t="shared" si="55"/>
        <v>1987</v>
      </c>
      <c r="BE156" s="54">
        <f t="shared" si="62"/>
        <v>9567.2450602467088</v>
      </c>
      <c r="BF156" s="222">
        <f t="shared" si="56"/>
        <v>6411.5797974371144</v>
      </c>
      <c r="BG156" s="223">
        <f t="shared" si="63"/>
        <v>41108355.498903751</v>
      </c>
      <c r="BH156" s="174"/>
      <c r="BI156" s="1"/>
      <c r="BJ156" s="57"/>
      <c r="BK156" s="167"/>
      <c r="BL156" s="176"/>
      <c r="BM156" s="174"/>
      <c r="BN156" s="174"/>
      <c r="BO156" s="174"/>
      <c r="BP156" s="175"/>
    </row>
    <row r="157" spans="2:68" x14ac:dyDescent="0.2">
      <c r="B157" s="13"/>
      <c r="D157" t="s">
        <v>206</v>
      </c>
      <c r="F157" s="14"/>
      <c r="G157" s="14"/>
      <c r="H157" s="14"/>
      <c r="J157" s="24"/>
      <c r="K157" s="24"/>
      <c r="L157" s="24"/>
      <c r="M157" s="24"/>
      <c r="N157" s="24"/>
      <c r="O157" s="24"/>
      <c r="Q157" s="165"/>
      <c r="R157" s="165"/>
      <c r="S157" s="165"/>
      <c r="T157" s="1"/>
      <c r="U157" s="1"/>
      <c r="V157" s="174"/>
      <c r="W157" s="174"/>
      <c r="X157" s="174"/>
      <c r="Y157" s="174"/>
      <c r="Z157" s="174"/>
      <c r="AA157" s="174"/>
      <c r="AB157" s="1"/>
      <c r="AC157" s="57"/>
      <c r="AD157" s="174"/>
      <c r="AE157" s="176"/>
      <c r="AF157" s="174"/>
      <c r="AG157" s="128"/>
      <c r="AH157" s="1"/>
      <c r="AI157" s="174"/>
      <c r="AJ157" s="174"/>
      <c r="AK157" s="1"/>
      <c r="AL157" s="165"/>
      <c r="AM157" s="165"/>
      <c r="AN157" s="1"/>
      <c r="AO157" s="57"/>
      <c r="AP157" s="167"/>
      <c r="AQ157" s="2">
        <f t="shared" si="49"/>
        <v>1987</v>
      </c>
      <c r="AR157" s="2">
        <f t="shared" si="50"/>
        <v>7183.191347251166</v>
      </c>
      <c r="AS157" s="2">
        <f t="shared" si="57"/>
        <v>-3695.9158924642234</v>
      </c>
      <c r="AT157" s="2">
        <f t="shared" si="58"/>
        <v>2.9466278255785769</v>
      </c>
      <c r="AU157" s="2">
        <f t="shared" si="51"/>
        <v>1988</v>
      </c>
      <c r="AV157" s="52">
        <f t="shared" si="52"/>
        <v>17470.275607801326</v>
      </c>
      <c r="AW157" s="222">
        <f t="shared" si="53"/>
        <v>-4210.5502939386752</v>
      </c>
      <c r="AX157" s="223">
        <f t="shared" si="59"/>
        <v>17728733.777787063</v>
      </c>
      <c r="AY157" s="2"/>
      <c r="AZ157" s="2">
        <f t="shared" si="54"/>
        <v>1987</v>
      </c>
      <c r="BA157" s="2">
        <f t="shared" si="54"/>
        <v>24362.216135631345</v>
      </c>
      <c r="BB157" s="2">
        <f t="shared" si="60"/>
        <v>3784.4173943096475</v>
      </c>
      <c r="BC157" s="2">
        <f t="shared" si="61"/>
        <v>0.24395086579552319</v>
      </c>
      <c r="BD157" s="2">
        <f t="shared" si="55"/>
        <v>1988</v>
      </c>
      <c r="BE157" s="54">
        <f t="shared" si="62"/>
        <v>9727.6011132945787</v>
      </c>
      <c r="BF157" s="222">
        <f t="shared" si="56"/>
        <v>3261.9431142258982</v>
      </c>
      <c r="BG157" s="223">
        <f t="shared" si="63"/>
        <v>10640272.88044575</v>
      </c>
      <c r="BH157" s="174"/>
      <c r="BI157" s="1"/>
      <c r="BJ157" s="57"/>
      <c r="BK157" s="167"/>
      <c r="BL157" s="176"/>
      <c r="BM157" s="174"/>
      <c r="BN157" s="174"/>
      <c r="BO157" s="174"/>
      <c r="BP157" s="175"/>
    </row>
    <row r="158" spans="2:68" x14ac:dyDescent="0.2">
      <c r="B158" s="13"/>
      <c r="F158" s="14"/>
      <c r="G158" s="14"/>
      <c r="H158" s="14"/>
      <c r="J158" s="24"/>
      <c r="K158" s="24"/>
      <c r="L158" s="24"/>
      <c r="M158" s="24"/>
      <c r="N158" s="24"/>
      <c r="O158" s="24"/>
      <c r="Q158" s="165"/>
      <c r="R158" s="165"/>
      <c r="S158" s="165"/>
      <c r="T158" s="1"/>
      <c r="U158" s="1"/>
      <c r="V158" s="174"/>
      <c r="W158" s="174"/>
      <c r="X158" s="174"/>
      <c r="Y158" s="174"/>
      <c r="Z158" s="174"/>
      <c r="AA158" s="174"/>
      <c r="AB158" s="1"/>
      <c r="AC158" s="57"/>
      <c r="AD158" s="174"/>
      <c r="AE158" s="176"/>
      <c r="AF158" s="174"/>
      <c r="AG158" s="128"/>
      <c r="AH158" s="1"/>
      <c r="AI158" s="174"/>
      <c r="AJ158" s="174"/>
      <c r="AK158" s="1"/>
      <c r="AL158" s="165"/>
      <c r="AM158" s="165"/>
      <c r="AN158" s="1"/>
      <c r="AO158" s="57"/>
      <c r="AP158" s="167"/>
      <c r="AQ158" s="2">
        <f t="shared" si="49"/>
        <v>1988</v>
      </c>
      <c r="AR158" s="2">
        <f t="shared" si="50"/>
        <v>6415.0947290311151</v>
      </c>
      <c r="AS158" s="2">
        <f t="shared" si="57"/>
        <v>-3695.9158924642234</v>
      </c>
      <c r="AT158" s="2">
        <f t="shared" si="58"/>
        <v>2.9466278255785769</v>
      </c>
      <c r="AU158" s="2">
        <f t="shared" si="51"/>
        <v>1989</v>
      </c>
      <c r="AV158" s="52">
        <f t="shared" si="52"/>
        <v>15206.980739821322</v>
      </c>
      <c r="AW158" s="222">
        <f t="shared" si="53"/>
        <v>-6434.626026805463</v>
      </c>
      <c r="AX158" s="223">
        <f t="shared" si="59"/>
        <v>41404412.10484226</v>
      </c>
      <c r="AY158" s="2"/>
      <c r="AZ158" s="2">
        <f t="shared" si="54"/>
        <v>1988</v>
      </c>
      <c r="BA158" s="2">
        <f t="shared" si="54"/>
        <v>13259.725313862651</v>
      </c>
      <c r="BB158" s="2">
        <f t="shared" si="60"/>
        <v>3784.4173943096475</v>
      </c>
      <c r="BC158" s="2">
        <f t="shared" si="61"/>
        <v>0.24395086579552319</v>
      </c>
      <c r="BD158" s="2">
        <f t="shared" si="55"/>
        <v>1989</v>
      </c>
      <c r="BE158" s="54">
        <f t="shared" si="62"/>
        <v>7019.1388648372567</v>
      </c>
      <c r="BF158" s="222">
        <f t="shared" si="56"/>
        <v>24427.625970809386</v>
      </c>
      <c r="BG158" s="223">
        <f t="shared" si="63"/>
        <v>596708910.56976116</v>
      </c>
      <c r="BH158" s="174"/>
      <c r="BI158" s="1"/>
      <c r="BJ158" s="57"/>
      <c r="BK158" s="167"/>
      <c r="BL158" s="176"/>
      <c r="BM158" s="174"/>
      <c r="BN158" s="174"/>
      <c r="BO158" s="174"/>
      <c r="BP158" s="175"/>
    </row>
    <row r="159" spans="2:68" x14ac:dyDescent="0.2">
      <c r="B159" s="13"/>
      <c r="D159" s="67" t="s">
        <v>529</v>
      </c>
      <c r="E159" s="11" t="s">
        <v>181</v>
      </c>
      <c r="F159" s="67" t="s">
        <v>528</v>
      </c>
      <c r="G159" s="11" t="s">
        <v>182</v>
      </c>
      <c r="H159" s="14"/>
      <c r="J159" s="24"/>
      <c r="K159" s="24"/>
      <c r="L159" s="24"/>
      <c r="M159" s="24"/>
      <c r="N159" s="24"/>
      <c r="O159" s="24"/>
      <c r="Q159" s="165"/>
      <c r="R159" s="165"/>
      <c r="S159" s="165"/>
      <c r="T159" s="1"/>
      <c r="U159" s="1"/>
      <c r="V159" s="174"/>
      <c r="W159" s="174"/>
      <c r="X159" s="174"/>
      <c r="Y159" s="174"/>
      <c r="Z159" s="174"/>
      <c r="AA159" s="174"/>
      <c r="AB159" s="1"/>
      <c r="AC159" s="57"/>
      <c r="AD159" s="174"/>
      <c r="AE159" s="176"/>
      <c r="AF159" s="174"/>
      <c r="AG159" s="128"/>
      <c r="AH159" s="1"/>
      <c r="AI159" s="174"/>
      <c r="AJ159" s="174"/>
      <c r="AK159" s="1"/>
      <c r="AL159" s="165"/>
      <c r="AM159" s="165"/>
      <c r="AN159" s="1"/>
      <c r="AO159" s="57"/>
      <c r="AP159" s="167"/>
      <c r="AQ159" s="2">
        <f t="shared" si="49"/>
        <v>1989</v>
      </c>
      <c r="AR159" s="2">
        <f t="shared" si="50"/>
        <v>8405.053144055224</v>
      </c>
      <c r="AS159" s="2">
        <f t="shared" si="57"/>
        <v>-3695.9158924642234</v>
      </c>
      <c r="AT159" s="2">
        <f t="shared" si="58"/>
        <v>2.9466278255785769</v>
      </c>
      <c r="AU159" s="2">
        <f t="shared" si="51"/>
        <v>1990</v>
      </c>
      <c r="AV159" s="52">
        <f t="shared" si="52"/>
        <v>21070.647577275602</v>
      </c>
      <c r="AW159" s="222">
        <f t="shared" si="53"/>
        <v>1267.6227910190028</v>
      </c>
      <c r="AX159" s="223">
        <f t="shared" si="59"/>
        <v>1606867.5403108064</v>
      </c>
      <c r="AY159" s="2"/>
      <c r="AZ159" s="2">
        <f t="shared" si="54"/>
        <v>1989</v>
      </c>
      <c r="BA159" s="2">
        <f t="shared" si="54"/>
        <v>8772.3547130158586</v>
      </c>
      <c r="BB159" s="2">
        <f t="shared" si="60"/>
        <v>3784.4173943096475</v>
      </c>
      <c r="BC159" s="2">
        <f t="shared" si="61"/>
        <v>0.24395086579552319</v>
      </c>
      <c r="BD159" s="2">
        <f t="shared" si="55"/>
        <v>1990</v>
      </c>
      <c r="BE159" s="54">
        <f t="shared" si="62"/>
        <v>5924.4409216153044</v>
      </c>
      <c r="BF159" s="222">
        <f t="shared" si="56"/>
        <v>9684.4024687451092</v>
      </c>
      <c r="BG159" s="223">
        <f t="shared" si="63"/>
        <v>93787651.176636368</v>
      </c>
      <c r="BH159" s="174"/>
      <c r="BI159" s="1"/>
      <c r="BJ159" s="57"/>
      <c r="BK159" s="167"/>
      <c r="BL159" s="176"/>
      <c r="BM159" s="174"/>
      <c r="BN159" s="174"/>
      <c r="BO159" s="174"/>
      <c r="BP159" s="175"/>
    </row>
    <row r="160" spans="2:68" x14ac:dyDescent="0.2">
      <c r="B160" s="13"/>
      <c r="D160" s="75"/>
      <c r="E160" s="14"/>
      <c r="F160" s="75">
        <f>F145/E145</f>
        <v>0.64984708842588457</v>
      </c>
      <c r="G160" s="14">
        <f t="shared" ref="G160:G165" si="64">F$167*E145</f>
        <v>2109.3951767067292</v>
      </c>
      <c r="H160" s="14"/>
      <c r="J160" s="24"/>
      <c r="K160" s="24"/>
      <c r="L160" s="24"/>
      <c r="M160" s="24"/>
      <c r="N160" s="24"/>
      <c r="O160" s="24"/>
      <c r="Q160" s="165"/>
      <c r="R160" s="165"/>
      <c r="S160" s="165"/>
      <c r="T160" s="1"/>
      <c r="U160" s="1"/>
      <c r="V160" s="174"/>
      <c r="W160" s="174"/>
      <c r="X160" s="174"/>
      <c r="Y160" s="174"/>
      <c r="Z160" s="174"/>
      <c r="AA160" s="174"/>
      <c r="AB160" s="1"/>
      <c r="AC160" s="57"/>
      <c r="AD160" s="174"/>
      <c r="AE160" s="176"/>
      <c r="AF160" s="174"/>
      <c r="AG160" s="128"/>
      <c r="AH160" s="1"/>
      <c r="AI160" s="174"/>
      <c r="AJ160" s="174"/>
      <c r="AK160" s="1"/>
      <c r="AL160" s="165"/>
      <c r="AM160" s="165"/>
      <c r="AN160" s="1"/>
      <c r="AO160" s="57"/>
      <c r="AP160" s="167"/>
      <c r="AQ160" s="2">
        <f t="shared" si="49"/>
        <v>1990</v>
      </c>
      <c r="AR160" s="2">
        <f t="shared" si="50"/>
        <v>8767.5373197158842</v>
      </c>
      <c r="AS160" s="2">
        <f t="shared" si="57"/>
        <v>-3695.9158924642234</v>
      </c>
      <c r="AT160" s="2">
        <f t="shared" si="58"/>
        <v>2.9466278255785769</v>
      </c>
      <c r="AU160" s="2">
        <f t="shared" si="51"/>
        <v>1991</v>
      </c>
      <c r="AV160" s="52">
        <f t="shared" si="52"/>
        <v>22138.753535609219</v>
      </c>
      <c r="AW160" s="222">
        <f t="shared" si="53"/>
        <v>-11078.258325859566</v>
      </c>
      <c r="AX160" s="223">
        <f t="shared" si="59"/>
        <v>122727807.53447679</v>
      </c>
      <c r="AY160" s="2"/>
      <c r="AZ160" s="2">
        <f t="shared" si="54"/>
        <v>1990</v>
      </c>
      <c r="BA160" s="2">
        <f t="shared" si="54"/>
        <v>22338.270368294605</v>
      </c>
      <c r="BB160" s="2">
        <f t="shared" si="60"/>
        <v>3784.4173943096475</v>
      </c>
      <c r="BC160" s="2">
        <f t="shared" si="61"/>
        <v>0.24395086579552319</v>
      </c>
      <c r="BD160" s="2">
        <f t="shared" si="55"/>
        <v>1991</v>
      </c>
      <c r="BE160" s="54">
        <f t="shared" si="62"/>
        <v>9233.8577910295971</v>
      </c>
      <c r="BF160" s="222">
        <f t="shared" si="56"/>
        <v>10739.813080289296</v>
      </c>
      <c r="BG160" s="223">
        <f t="shared" si="63"/>
        <v>115343584.99955305</v>
      </c>
      <c r="BH160" s="174"/>
      <c r="BI160" s="1"/>
      <c r="BJ160" s="57"/>
      <c r="BK160" s="167"/>
      <c r="BL160" s="176"/>
      <c r="BM160" s="174"/>
      <c r="BN160" s="174"/>
      <c r="BO160" s="174"/>
      <c r="BP160" s="175"/>
    </row>
    <row r="161" spans="2:68" x14ac:dyDescent="0.2">
      <c r="B161" s="13"/>
      <c r="D161" s="75">
        <f>E146/D146</f>
        <v>1.3724829865230785</v>
      </c>
      <c r="E161" s="14">
        <f>D146*D$167</f>
        <v>8755.6108917105666</v>
      </c>
      <c r="F161" s="75">
        <f>F146/E146</f>
        <v>1.0971383061461397</v>
      </c>
      <c r="G161" s="14">
        <f t="shared" si="64"/>
        <v>3793.0591187832556</v>
      </c>
      <c r="H161" s="14"/>
      <c r="J161" s="24"/>
      <c r="K161" s="24"/>
      <c r="L161" s="24"/>
      <c r="M161" s="24"/>
      <c r="N161" s="24"/>
      <c r="O161" s="24"/>
      <c r="Q161" s="165"/>
      <c r="R161" s="165"/>
      <c r="S161" s="165"/>
      <c r="T161" s="1"/>
      <c r="U161" s="1"/>
      <c r="V161" s="174"/>
      <c r="W161" s="174"/>
      <c r="X161" s="174"/>
      <c r="Y161" s="174"/>
      <c r="Z161" s="174"/>
      <c r="AA161" s="174"/>
      <c r="AB161" s="1"/>
      <c r="AC161" s="57"/>
      <c r="AD161" s="174"/>
      <c r="AE161" s="176"/>
      <c r="AF161" s="174"/>
      <c r="AG161" s="128"/>
      <c r="AH161" s="1"/>
      <c r="AI161" s="174"/>
      <c r="AJ161" s="174"/>
      <c r="AK161" s="1"/>
      <c r="AL161" s="165"/>
      <c r="AM161" s="165"/>
      <c r="AN161" s="1"/>
      <c r="AO161" s="57"/>
      <c r="AP161" s="167"/>
      <c r="AQ161" s="2">
        <f t="shared" si="49"/>
        <v>1991</v>
      </c>
      <c r="AR161" s="2">
        <f t="shared" si="50"/>
        <v>4906.3184184722631</v>
      </c>
      <c r="AS161" s="2">
        <f t="shared" si="57"/>
        <v>-3695.9158924642234</v>
      </c>
      <c r="AT161" s="2">
        <f t="shared" si="58"/>
        <v>2.9466278255785769</v>
      </c>
      <c r="AU161" s="2">
        <f t="shared" si="51"/>
        <v>1992</v>
      </c>
      <c r="AV161" s="52">
        <f t="shared" si="52"/>
        <v>10761.178480554823</v>
      </c>
      <c r="AW161" s="222">
        <f t="shared" si="53"/>
        <v>-1808.8411736746912</v>
      </c>
      <c r="AX161" s="223">
        <f t="shared" si="59"/>
        <v>3271906.3915808341</v>
      </c>
      <c r="AY161" s="2"/>
      <c r="AZ161" s="2">
        <f t="shared" si="54"/>
        <v>1991</v>
      </c>
      <c r="BA161" s="2">
        <f t="shared" si="54"/>
        <v>11060.495209749653</v>
      </c>
      <c r="BB161" s="2">
        <f t="shared" si="60"/>
        <v>3784.4173943096475</v>
      </c>
      <c r="BC161" s="2">
        <f t="shared" si="61"/>
        <v>0.24395086579552319</v>
      </c>
      <c r="BD161" s="2">
        <f t="shared" si="55"/>
        <v>1992</v>
      </c>
      <c r="BE161" s="54">
        <f t="shared" si="62"/>
        <v>6482.6347768553123</v>
      </c>
      <c r="BF161" s="222">
        <f t="shared" si="56"/>
        <v>9422.2079861329257</v>
      </c>
      <c r="BG161" s="223">
        <f t="shared" si="63"/>
        <v>88778003.333947077</v>
      </c>
      <c r="BH161" s="174"/>
      <c r="BI161" s="1"/>
      <c r="BJ161" s="57"/>
      <c r="BK161" s="167"/>
      <c r="BL161" s="176"/>
      <c r="BM161" s="174"/>
      <c r="BN161" s="174"/>
      <c r="BO161" s="174"/>
      <c r="BP161" s="175"/>
    </row>
    <row r="162" spans="2:68" x14ac:dyDescent="0.2">
      <c r="B162" s="13"/>
      <c r="C162" s="14"/>
      <c r="D162" s="75">
        <f>E147/D147</f>
        <v>3.3382327344962923</v>
      </c>
      <c r="E162" s="14">
        <f>D147*D$167</f>
        <v>15330.613333217032</v>
      </c>
      <c r="F162" s="75">
        <f>F147/E147</f>
        <v>0.44012793038089726</v>
      </c>
      <c r="G162" s="14">
        <f t="shared" si="64"/>
        <v>16153.711818363174</v>
      </c>
      <c r="H162" s="14"/>
      <c r="J162" s="24"/>
      <c r="K162" s="24"/>
      <c r="L162" s="24"/>
      <c r="M162" s="24"/>
      <c r="N162" s="24"/>
      <c r="O162" s="24"/>
      <c r="Q162" s="165"/>
      <c r="R162" s="165"/>
      <c r="S162" s="165"/>
      <c r="T162" s="1"/>
      <c r="U162" s="1"/>
      <c r="V162" s="174"/>
      <c r="W162" s="174"/>
      <c r="X162" s="174"/>
      <c r="Y162" s="174"/>
      <c r="Z162" s="174"/>
      <c r="AA162" s="174"/>
      <c r="AB162" s="1"/>
      <c r="AC162" s="57"/>
      <c r="AD162" s="174"/>
      <c r="AE162" s="176"/>
      <c r="AF162" s="174"/>
      <c r="AG162" s="128"/>
      <c r="AH162" s="1"/>
      <c r="AI162" s="174"/>
      <c r="AJ162" s="174"/>
      <c r="AK162" s="1"/>
      <c r="AL162" s="165"/>
      <c r="AM162" s="165"/>
      <c r="AN162" s="1"/>
      <c r="AO162" s="57"/>
      <c r="AP162" s="167"/>
      <c r="AQ162" s="2">
        <f t="shared" si="49"/>
        <v>1992</v>
      </c>
      <c r="AR162" s="2">
        <f t="shared" si="50"/>
        <v>5848.313870963615</v>
      </c>
      <c r="AS162" s="2">
        <f t="shared" si="57"/>
        <v>-3695.9158924642234</v>
      </c>
      <c r="AT162" s="2">
        <f t="shared" si="58"/>
        <v>2.9466278255785769</v>
      </c>
      <c r="AU162" s="2">
        <f t="shared" si="51"/>
        <v>1993</v>
      </c>
      <c r="AV162" s="52">
        <f t="shared" si="52"/>
        <v>13536.888492434324</v>
      </c>
      <c r="AW162" s="222">
        <f t="shared" si="53"/>
        <v>-3167.4147773411732</v>
      </c>
      <c r="AX162" s="223">
        <f t="shared" si="59"/>
        <v>10032516.371719234</v>
      </c>
      <c r="AY162" s="2"/>
      <c r="AZ162" s="2">
        <f t="shared" si="54"/>
        <v>1992</v>
      </c>
      <c r="BA162" s="2">
        <f t="shared" si="54"/>
        <v>8952.337306880132</v>
      </c>
      <c r="BB162" s="2">
        <f t="shared" si="60"/>
        <v>3784.4173943096475</v>
      </c>
      <c r="BC162" s="2">
        <f t="shared" si="61"/>
        <v>0.24395086579552319</v>
      </c>
      <c r="BD162" s="2">
        <f t="shared" si="55"/>
        <v>1993</v>
      </c>
      <c r="BE162" s="54">
        <f t="shared" si="62"/>
        <v>5968.347831216618</v>
      </c>
      <c r="BF162" s="222">
        <f t="shared" si="56"/>
        <v>4597.9991176308731</v>
      </c>
      <c r="BG162" s="223">
        <f t="shared" si="63"/>
        <v>21141595.885734286</v>
      </c>
      <c r="BH162" s="174"/>
      <c r="BI162" s="1"/>
      <c r="BJ162" s="57"/>
      <c r="BK162" s="167"/>
      <c r="BL162" s="176"/>
      <c r="BM162" s="174"/>
      <c r="BN162" s="174"/>
      <c r="BO162" s="174"/>
      <c r="BP162" s="175"/>
    </row>
    <row r="163" spans="2:68" x14ac:dyDescent="0.2">
      <c r="B163" s="13"/>
      <c r="C163" s="14"/>
      <c r="D163" s="75">
        <f>E148/D148</f>
        <v>2.5715329451075224</v>
      </c>
      <c r="E163" s="14">
        <f>D148*D$167</f>
        <v>13231.557520614339</v>
      </c>
      <c r="F163" s="75">
        <f>F148/E148</f>
        <v>0.53577206401760469</v>
      </c>
      <c r="G163" s="14">
        <f t="shared" si="64"/>
        <v>10739.875601659858</v>
      </c>
      <c r="H163" s="14"/>
      <c r="J163" s="24"/>
      <c r="K163" s="24"/>
      <c r="L163" s="24"/>
      <c r="M163" s="24"/>
      <c r="N163" s="24"/>
      <c r="O163" s="24"/>
      <c r="Q163" s="165"/>
      <c r="R163" s="165"/>
      <c r="S163" s="165"/>
      <c r="T163" s="1"/>
      <c r="U163" s="1"/>
      <c r="V163" s="174"/>
      <c r="W163" s="174"/>
      <c r="X163" s="174"/>
      <c r="Y163" s="174"/>
      <c r="Z163" s="174"/>
      <c r="AA163" s="174"/>
      <c r="AB163" s="1"/>
      <c r="AC163" s="57"/>
      <c r="AD163" s="174"/>
      <c r="AE163" s="176"/>
      <c r="AF163" s="174"/>
      <c r="AG163" s="128"/>
      <c r="AH163" s="1"/>
      <c r="AI163" s="174"/>
      <c r="AJ163" s="174"/>
      <c r="AK163" s="1"/>
      <c r="AL163" s="165"/>
      <c r="AM163" s="165"/>
      <c r="AN163" s="1"/>
      <c r="AO163" s="57"/>
      <c r="AP163" s="167"/>
      <c r="AQ163" s="2">
        <f t="shared" si="49"/>
        <v>1993</v>
      </c>
      <c r="AR163" s="2">
        <f t="shared" si="50"/>
        <v>4711.3773275208714</v>
      </c>
      <c r="AS163" s="2">
        <f t="shared" si="57"/>
        <v>-3695.9158924642234</v>
      </c>
      <c r="AT163" s="2">
        <f t="shared" si="58"/>
        <v>2.9466278255785769</v>
      </c>
      <c r="AU163" s="2">
        <f t="shared" si="51"/>
        <v>1994</v>
      </c>
      <c r="AV163" s="52">
        <f t="shared" si="52"/>
        <v>10186.759637608809</v>
      </c>
      <c r="AW163" s="222">
        <f t="shared" si="53"/>
        <v>-5602.8905688194636</v>
      </c>
      <c r="AX163" s="223">
        <f t="shared" si="59"/>
        <v>31392382.726166092</v>
      </c>
      <c r="AY163" s="2"/>
      <c r="AZ163" s="2">
        <f t="shared" si="54"/>
        <v>1993</v>
      </c>
      <c r="BA163" s="2">
        <f t="shared" si="54"/>
        <v>10369.473715093151</v>
      </c>
      <c r="BB163" s="2">
        <f t="shared" si="60"/>
        <v>3784.4173943096475</v>
      </c>
      <c r="BC163" s="2">
        <f t="shared" si="61"/>
        <v>0.24395086579552319</v>
      </c>
      <c r="BD163" s="2">
        <f t="shared" si="55"/>
        <v>1994</v>
      </c>
      <c r="BE163" s="54">
        <f t="shared" si="62"/>
        <v>6314.0594849505414</v>
      </c>
      <c r="BF163" s="222">
        <f t="shared" si="56"/>
        <v>1053.3653327050051</v>
      </c>
      <c r="BG163" s="223">
        <f t="shared" si="63"/>
        <v>1109578.5241447261</v>
      </c>
      <c r="BH163" s="174"/>
      <c r="BI163" s="1"/>
      <c r="BJ163" s="57"/>
      <c r="BK163" s="167"/>
      <c r="BL163" s="176"/>
      <c r="BM163" s="174"/>
      <c r="BN163" s="174"/>
      <c r="BO163" s="174"/>
      <c r="BP163" s="175"/>
    </row>
    <row r="164" spans="2:68" x14ac:dyDescent="0.2">
      <c r="B164" s="13"/>
      <c r="C164" s="14"/>
      <c r="D164" s="75">
        <f>E149/D149</f>
        <v>1.3442224445078392</v>
      </c>
      <c r="E164" s="14">
        <f>D149*D$167</f>
        <v>23433.321527153097</v>
      </c>
      <c r="F164" s="75"/>
      <c r="G164" s="14">
        <f t="shared" si="64"/>
        <v>9942.627829920737</v>
      </c>
      <c r="H164" s="14"/>
      <c r="J164" s="24"/>
      <c r="K164" s="24"/>
      <c r="L164" s="24"/>
      <c r="M164" s="24"/>
      <c r="N164" s="24"/>
      <c r="O164" s="24"/>
      <c r="Q164" s="165"/>
      <c r="R164" s="165"/>
      <c r="S164" s="165"/>
      <c r="T164" s="1"/>
      <c r="U164" s="1"/>
      <c r="V164" s="174"/>
      <c r="W164" s="174"/>
      <c r="X164" s="174"/>
      <c r="Y164" s="174"/>
      <c r="Z164" s="174"/>
      <c r="AA164" s="174"/>
      <c r="AB164" s="1"/>
      <c r="AC164" s="57"/>
      <c r="AD164" s="174"/>
      <c r="AE164" s="176"/>
      <c r="AF164" s="174"/>
      <c r="AG164" s="128"/>
      <c r="AH164" s="1"/>
      <c r="AI164" s="174"/>
      <c r="AJ164" s="174"/>
      <c r="AK164" s="1"/>
      <c r="AL164" s="165"/>
      <c r="AM164" s="165"/>
      <c r="AN164" s="1"/>
      <c r="AO164" s="57"/>
      <c r="AP164" s="167"/>
      <c r="AQ164" s="2">
        <f t="shared" si="49"/>
        <v>1994</v>
      </c>
      <c r="AR164" s="2">
        <f t="shared" si="50"/>
        <v>1730.4936380593278</v>
      </c>
      <c r="AS164" s="2">
        <f t="shared" si="57"/>
        <v>-3695.9158924642234</v>
      </c>
      <c r="AT164" s="2">
        <f t="shared" si="58"/>
        <v>2.9466278255785769</v>
      </c>
      <c r="AU164" s="2">
        <f t="shared" si="51"/>
        <v>1995</v>
      </c>
      <c r="AV164" s="52">
        <f t="shared" si="52"/>
        <v>1403.2048134280949</v>
      </c>
      <c r="AW164" s="222">
        <f t="shared" si="53"/>
        <v>1695.5597328156286</v>
      </c>
      <c r="AX164" s="223">
        <f t="shared" si="59"/>
        <v>2874922.8075458058</v>
      </c>
      <c r="AY164" s="2"/>
      <c r="AZ164" s="2">
        <f t="shared" si="54"/>
        <v>1994</v>
      </c>
      <c r="BA164" s="2">
        <f t="shared" si="54"/>
        <v>4583.8690687893459</v>
      </c>
      <c r="BB164" s="2">
        <f t="shared" si="60"/>
        <v>3784.4173943096475</v>
      </c>
      <c r="BC164" s="2">
        <f t="shared" si="61"/>
        <v>0.24395086579552319</v>
      </c>
      <c r="BD164" s="2">
        <f t="shared" si="55"/>
        <v>1995</v>
      </c>
      <c r="BE164" s="54">
        <f t="shared" si="62"/>
        <v>4902.6562223341271</v>
      </c>
      <c r="BF164" s="222">
        <f t="shared" si="56"/>
        <v>-597.19465721383949</v>
      </c>
      <c r="BG164" s="223">
        <f t="shared" si="63"/>
        <v>356641.45860475523</v>
      </c>
      <c r="BH164" s="174"/>
      <c r="BI164" s="1"/>
      <c r="BJ164" s="57"/>
      <c r="BK164" s="167"/>
      <c r="BL164" s="176"/>
      <c r="BM164" s="174"/>
      <c r="BN164" s="174"/>
      <c r="BO164" s="174"/>
      <c r="BP164" s="175"/>
    </row>
    <row r="165" spans="2:68" x14ac:dyDescent="0.2">
      <c r="B165" s="13"/>
      <c r="C165" s="67"/>
      <c r="D165" s="227"/>
      <c r="E165" s="67">
        <f>D150*D$167</f>
        <v>22234.111301557034</v>
      </c>
      <c r="F165" s="227"/>
      <c r="G165" s="67">
        <f t="shared" si="64"/>
        <v>22601.42630889927</v>
      </c>
      <c r="H165" s="228" t="s">
        <v>183</v>
      </c>
      <c r="J165" s="24"/>
      <c r="K165" s="24"/>
      <c r="L165" s="24"/>
      <c r="M165" s="24"/>
      <c r="N165" s="24"/>
      <c r="O165" s="24"/>
      <c r="Q165" s="165"/>
      <c r="R165" s="165"/>
      <c r="S165" s="165"/>
      <c r="T165" s="1"/>
      <c r="U165" s="1"/>
      <c r="V165" s="174"/>
      <c r="W165" s="174"/>
      <c r="X165" s="174"/>
      <c r="Y165" s="174"/>
      <c r="Z165" s="174"/>
      <c r="AA165" s="174"/>
      <c r="AB165" s="1"/>
      <c r="AC165" s="57"/>
      <c r="AD165" s="174"/>
      <c r="AE165" s="176"/>
      <c r="AF165" s="174"/>
      <c r="AG165" s="128"/>
      <c r="AH165" s="1"/>
      <c r="AI165" s="174"/>
      <c r="AJ165" s="174"/>
      <c r="AK165" s="1"/>
      <c r="AL165" s="165"/>
      <c r="AM165" s="165"/>
      <c r="AN165" s="1"/>
      <c r="AO165" s="57"/>
      <c r="AP165" s="167"/>
      <c r="AQ165" s="2">
        <f t="shared" si="49"/>
        <v>1995</v>
      </c>
      <c r="AR165" s="2">
        <f t="shared" si="50"/>
        <v>4059.8806994979118</v>
      </c>
      <c r="AS165" s="2">
        <f t="shared" si="57"/>
        <v>-3695.9158924642234</v>
      </c>
      <c r="AT165" s="2">
        <f t="shared" si="58"/>
        <v>2.9466278255785769</v>
      </c>
      <c r="AU165" s="2">
        <f t="shared" si="51"/>
        <v>1996</v>
      </c>
      <c r="AV165" s="52">
        <f t="shared" si="52"/>
        <v>8267.0415452057405</v>
      </c>
      <c r="AW165" s="222">
        <f t="shared" si="53"/>
        <v>-2694.9243578314417</v>
      </c>
      <c r="AX165" s="223">
        <f t="shared" si="59"/>
        <v>7262617.2944332082</v>
      </c>
      <c r="AY165" s="2"/>
      <c r="AZ165" s="2">
        <f t="shared" si="54"/>
        <v>1995</v>
      </c>
      <c r="BA165" s="2">
        <f t="shared" si="54"/>
        <v>3098.7645462437235</v>
      </c>
      <c r="BB165" s="2">
        <f t="shared" si="60"/>
        <v>3784.4173943096475</v>
      </c>
      <c r="BC165" s="2">
        <f t="shared" si="61"/>
        <v>0.24395086579552319</v>
      </c>
      <c r="BD165" s="2">
        <f t="shared" si="55"/>
        <v>1996</v>
      </c>
      <c r="BE165" s="54">
        <f t="shared" si="62"/>
        <v>4540.3636882622759</v>
      </c>
      <c r="BF165" s="222">
        <f t="shared" si="56"/>
        <v>-1254.0466494091015</v>
      </c>
      <c r="BG165" s="223">
        <f t="shared" si="63"/>
        <v>1572632.9988941939</v>
      </c>
      <c r="BH165" s="174"/>
      <c r="BI165" s="1"/>
      <c r="BJ165" s="57"/>
      <c r="BK165" s="167"/>
      <c r="BL165" s="176"/>
      <c r="BM165" s="174"/>
      <c r="BN165" s="174"/>
      <c r="BO165" s="174"/>
      <c r="BP165" s="175"/>
    </row>
    <row r="166" spans="2:68" x14ac:dyDescent="0.2">
      <c r="B166" s="13"/>
      <c r="C166" s="14"/>
      <c r="D166" s="14"/>
      <c r="E166" s="14"/>
      <c r="F166" s="14"/>
      <c r="G166" s="14"/>
      <c r="H166" s="14"/>
      <c r="J166" s="24"/>
      <c r="K166" s="24"/>
      <c r="L166" s="24"/>
      <c r="M166" s="24"/>
      <c r="N166" s="24"/>
      <c r="O166" s="24"/>
      <c r="Q166" s="165"/>
      <c r="R166" s="165"/>
      <c r="S166" s="165"/>
      <c r="T166" s="1"/>
      <c r="U166" s="1"/>
      <c r="V166" s="174"/>
      <c r="W166" s="174"/>
      <c r="X166" s="174"/>
      <c r="Y166" s="174"/>
      <c r="Z166" s="174"/>
      <c r="AA166" s="174"/>
      <c r="AB166" s="1"/>
      <c r="AC166" s="57"/>
      <c r="AD166" s="174"/>
      <c r="AE166" s="176"/>
      <c r="AF166" s="174"/>
      <c r="AG166" s="128"/>
      <c r="AH166" s="1"/>
      <c r="AI166" s="174"/>
      <c r="AJ166" s="174"/>
      <c r="AK166" s="1"/>
      <c r="AL166" s="165"/>
      <c r="AM166" s="165"/>
      <c r="AN166" s="1"/>
      <c r="AO166" s="57"/>
      <c r="AP166" s="167"/>
      <c r="AQ166" s="2">
        <f t="shared" si="49"/>
        <v>1996</v>
      </c>
      <c r="AR166" s="2">
        <f t="shared" si="50"/>
        <v>7108.6371873742992</v>
      </c>
      <c r="AS166" s="2">
        <f t="shared" si="57"/>
        <v>-3695.9158924642234</v>
      </c>
      <c r="AT166" s="2">
        <f t="shared" si="58"/>
        <v>2.9466278255785769</v>
      </c>
      <c r="AU166" s="2">
        <f t="shared" si="51"/>
        <v>1997</v>
      </c>
      <c r="AV166" s="52">
        <f t="shared" si="52"/>
        <v>17250.592245795517</v>
      </c>
      <c r="AW166" s="222">
        <f t="shared" si="53"/>
        <v>6479.6931107550226</v>
      </c>
      <c r="AX166" s="223">
        <f t="shared" si="59"/>
        <v>41986422.809566103</v>
      </c>
      <c r="AY166" s="2"/>
      <c r="AZ166" s="2">
        <f t="shared" si="54"/>
        <v>1996</v>
      </c>
      <c r="BA166" s="2">
        <f t="shared" si="54"/>
        <v>5572.1171873742987</v>
      </c>
      <c r="BB166" s="2">
        <f t="shared" si="60"/>
        <v>3784.4173943096475</v>
      </c>
      <c r="BC166" s="2">
        <f t="shared" si="61"/>
        <v>0.24395086579552319</v>
      </c>
      <c r="BD166" s="2">
        <f t="shared" si="55"/>
        <v>1997</v>
      </c>
      <c r="BE166" s="54">
        <f t="shared" si="62"/>
        <v>5143.7402064837233</v>
      </c>
      <c r="BF166" s="222">
        <f t="shared" si="56"/>
        <v>-3130.0170883898822</v>
      </c>
      <c r="BG166" s="223">
        <f t="shared" si="63"/>
        <v>9797006.9736126754</v>
      </c>
      <c r="BH166" s="174"/>
      <c r="BI166" s="1"/>
      <c r="BJ166" s="57"/>
      <c r="BK166" s="167"/>
      <c r="BL166" s="176"/>
      <c r="BM166" s="174"/>
      <c r="BN166" s="174"/>
      <c r="BO166" s="174"/>
      <c r="BP166" s="175"/>
    </row>
    <row r="167" spans="2:68" x14ac:dyDescent="0.2">
      <c r="B167" s="13"/>
      <c r="C167" s="14" t="s">
        <v>24</v>
      </c>
      <c r="D167" s="75">
        <f>AVERAGE(D161:D165)</f>
        <v>2.156617777658683</v>
      </c>
      <c r="E167" s="205"/>
      <c r="F167" s="75">
        <f>AVERAGE(F160:F163)</f>
        <v>0.68072134724263156</v>
      </c>
      <c r="G167" s="205"/>
      <c r="H167" s="14"/>
      <c r="J167" s="24"/>
      <c r="K167" s="24"/>
      <c r="L167" s="24"/>
      <c r="M167" s="24"/>
      <c r="N167" s="24"/>
      <c r="O167" s="24"/>
      <c r="Q167" s="165"/>
      <c r="R167" s="165"/>
      <c r="S167" s="165"/>
      <c r="T167" s="1"/>
      <c r="U167" s="1"/>
      <c r="V167" s="174"/>
      <c r="W167" s="174"/>
      <c r="X167" s="174"/>
      <c r="Y167" s="174"/>
      <c r="Z167" s="174"/>
      <c r="AA167" s="174"/>
      <c r="AB167" s="1"/>
      <c r="AC167" s="57"/>
      <c r="AD167" s="174"/>
      <c r="AE167" s="176"/>
      <c r="AF167" s="174"/>
      <c r="AG167" s="128"/>
      <c r="AH167" s="1"/>
      <c r="AI167" s="174"/>
      <c r="AJ167" s="174"/>
      <c r="AK167" s="1"/>
      <c r="AL167" s="165"/>
      <c r="AM167" s="165"/>
      <c r="AN167" s="1"/>
      <c r="AO167" s="57"/>
      <c r="AP167" s="167"/>
      <c r="AQ167" s="2">
        <f t="shared" si="49"/>
        <v>1997</v>
      </c>
      <c r="AR167" s="2">
        <f t="shared" si="50"/>
        <v>6135.3280389717856</v>
      </c>
      <c r="AS167" s="2">
        <f t="shared" si="57"/>
        <v>-3695.9158924642234</v>
      </c>
      <c r="AT167" s="2">
        <f t="shared" si="58"/>
        <v>2.9466278255785769</v>
      </c>
      <c r="AU167" s="2">
        <f t="shared" si="51"/>
        <v>1998</v>
      </c>
      <c r="AV167" s="52">
        <f t="shared" si="52"/>
        <v>14382.612426222486</v>
      </c>
      <c r="AW167" s="222">
        <f t="shared" si="53"/>
        <v>1394.5857550353903</v>
      </c>
      <c r="AX167" s="223">
        <f t="shared" si="59"/>
        <v>1944869.4281476296</v>
      </c>
      <c r="AY167" s="2"/>
      <c r="AZ167" s="2">
        <f t="shared" si="54"/>
        <v>1997</v>
      </c>
      <c r="BA167" s="2">
        <f t="shared" si="54"/>
        <v>23730.285356550539</v>
      </c>
      <c r="BB167" s="2">
        <f t="shared" si="60"/>
        <v>3784.4173943096475</v>
      </c>
      <c r="BC167" s="2">
        <f t="shared" si="61"/>
        <v>0.24395086579552319</v>
      </c>
      <c r="BD167" s="2">
        <f t="shared" si="55"/>
        <v>1998</v>
      </c>
      <c r="BE167" s="54">
        <f t="shared" si="62"/>
        <v>9573.4410526149768</v>
      </c>
      <c r="BF167" s="222">
        <f t="shared" si="56"/>
        <v>-3460.0578400113463</v>
      </c>
      <c r="BG167" s="223">
        <f t="shared" si="63"/>
        <v>11972000.256223984</v>
      </c>
      <c r="BH167" s="174"/>
      <c r="BI167" s="1"/>
      <c r="BJ167" s="57"/>
      <c r="BK167" s="167"/>
      <c r="BL167" s="176"/>
      <c r="BM167" s="174"/>
      <c r="BN167" s="174"/>
      <c r="BO167" s="174"/>
      <c r="BP167" s="175"/>
    </row>
    <row r="168" spans="2:68" x14ac:dyDescent="0.2">
      <c r="B168" s="13"/>
      <c r="C168" s="14"/>
      <c r="D168" s="14"/>
      <c r="E168" s="14"/>
      <c r="F168" s="14"/>
      <c r="G168" s="14"/>
      <c r="H168" s="14"/>
      <c r="J168" s="24"/>
      <c r="K168" s="24"/>
      <c r="L168" s="24"/>
      <c r="M168" s="24"/>
      <c r="N168" s="24"/>
      <c r="O168" s="24"/>
      <c r="Q168" s="165"/>
      <c r="R168" s="165"/>
      <c r="S168" s="165"/>
      <c r="T168" s="1"/>
      <c r="U168" s="1"/>
      <c r="V168" s="174"/>
      <c r="W168" s="174"/>
      <c r="X168" s="174"/>
      <c r="Y168" s="174"/>
      <c r="Z168" s="174"/>
      <c r="AA168" s="174"/>
      <c r="AB168" s="1"/>
      <c r="AC168" s="57"/>
      <c r="AD168" s="174"/>
      <c r="AE168" s="176"/>
      <c r="AF168" s="174"/>
      <c r="AG168" s="128"/>
      <c r="AH168" s="1"/>
      <c r="AI168" s="174"/>
      <c r="AJ168" s="174"/>
      <c r="AK168" s="1"/>
      <c r="AL168" s="165"/>
      <c r="AM168" s="165"/>
      <c r="AN168" s="1"/>
      <c r="AO168" s="57"/>
      <c r="AP168" s="167"/>
      <c r="AQ168" s="2">
        <f t="shared" si="49"/>
        <v>1998</v>
      </c>
      <c r="AR168" s="2">
        <f t="shared" si="50"/>
        <v>10865.774069892588</v>
      </c>
      <c r="AS168" s="2">
        <f t="shared" si="57"/>
        <v>-3695.9158924642234</v>
      </c>
      <c r="AT168" s="2">
        <f t="shared" si="58"/>
        <v>2.9466278255785769</v>
      </c>
      <c r="AU168" s="2">
        <f t="shared" si="51"/>
        <v>1999</v>
      </c>
      <c r="AV168" s="52">
        <f t="shared" si="52"/>
        <v>28321.476328331461</v>
      </c>
      <c r="AW168" s="222">
        <f t="shared" si="53"/>
        <v>-13715.458946630552</v>
      </c>
      <c r="AX168" s="223">
        <f t="shared" si="59"/>
        <v>188113814.11670804</v>
      </c>
      <c r="AY168" s="2"/>
      <c r="AZ168" s="2">
        <f t="shared" si="54"/>
        <v>1998</v>
      </c>
      <c r="BA168" s="2">
        <f t="shared" si="54"/>
        <v>15777.198181257876</v>
      </c>
      <c r="BB168" s="2">
        <f t="shared" si="60"/>
        <v>3784.4173943096475</v>
      </c>
      <c r="BC168" s="2">
        <f t="shared" si="61"/>
        <v>0.24395086579552319</v>
      </c>
      <c r="BD168" s="2">
        <f t="shared" si="55"/>
        <v>1999</v>
      </c>
      <c r="BE168" s="54">
        <f t="shared" si="62"/>
        <v>7633.2785504550602</v>
      </c>
      <c r="BF168" s="222">
        <f t="shared" si="56"/>
        <v>2811.0828308716418</v>
      </c>
      <c r="BG168" s="223">
        <f t="shared" si="63"/>
        <v>7902186.6820213236</v>
      </c>
      <c r="BH168" s="174"/>
      <c r="BI168" s="1"/>
      <c r="BJ168" s="57"/>
      <c r="BK168" s="167"/>
      <c r="BL168" s="176"/>
      <c r="BM168" s="174"/>
      <c r="BN168" s="174"/>
      <c r="BO168" s="174"/>
      <c r="BP168" s="175"/>
    </row>
    <row r="169" spans="2:68" x14ac:dyDescent="0.2">
      <c r="B169" s="13"/>
      <c r="C169" s="14"/>
      <c r="D169" s="14"/>
      <c r="E169" s="14"/>
      <c r="F169" s="14"/>
      <c r="G169" s="14"/>
      <c r="H169" s="14"/>
      <c r="J169" s="24"/>
      <c r="K169" s="24"/>
      <c r="L169" s="24"/>
      <c r="M169" s="24"/>
      <c r="N169" s="24"/>
      <c r="O169" s="24"/>
      <c r="Q169" s="165"/>
      <c r="R169" s="165"/>
      <c r="S169" s="165"/>
      <c r="T169" s="1"/>
      <c r="U169" s="1"/>
      <c r="V169" s="174"/>
      <c r="W169" s="174"/>
      <c r="X169" s="174"/>
      <c r="Y169" s="174"/>
      <c r="Z169" s="174"/>
      <c r="AA169" s="174"/>
      <c r="AB169" s="1"/>
      <c r="AC169" s="57"/>
      <c r="AD169" s="174"/>
      <c r="AE169" s="176"/>
      <c r="AF169" s="174"/>
      <c r="AG169" s="128"/>
      <c r="AH169" s="1"/>
      <c r="AI169" s="174"/>
      <c r="AJ169" s="174"/>
      <c r="AK169" s="1"/>
      <c r="AL169" s="165"/>
      <c r="AM169" s="165"/>
      <c r="AN169" s="1"/>
      <c r="AO169" s="57"/>
      <c r="AP169" s="167"/>
      <c r="AQ169" s="2">
        <f t="shared" si="49"/>
        <v>1999</v>
      </c>
      <c r="AR169" s="2">
        <f t="shared" si="50"/>
        <v>10309.713446624437</v>
      </c>
      <c r="AS169" s="2">
        <f t="shared" si="57"/>
        <v>-3695.9158924642234</v>
      </c>
      <c r="AT169" s="2">
        <f t="shared" si="58"/>
        <v>2.9466278255785769</v>
      </c>
      <c r="AU169" s="2">
        <f t="shared" si="51"/>
        <v>2000</v>
      </c>
      <c r="AV169" s="52">
        <f t="shared" si="52"/>
        <v>26682.972623100955</v>
      </c>
      <c r="AW169" s="222">
        <f t="shared" si="53"/>
        <v>6519.1979867232949</v>
      </c>
      <c r="AX169" s="223">
        <f t="shared" si="59"/>
        <v>42499942.390097059</v>
      </c>
      <c r="AY169" s="2"/>
      <c r="AZ169" s="2">
        <f t="shared" si="54"/>
        <v>1999</v>
      </c>
      <c r="BA169" s="2">
        <f t="shared" si="54"/>
        <v>14606.017381700909</v>
      </c>
      <c r="BB169" s="2">
        <f t="shared" si="60"/>
        <v>3784.4173943096475</v>
      </c>
      <c r="BC169" s="2">
        <f t="shared" si="61"/>
        <v>0.24395086579552319</v>
      </c>
      <c r="BD169" s="2">
        <f t="shared" si="55"/>
        <v>2000</v>
      </c>
      <c r="BE169" s="54">
        <f t="shared" si="62"/>
        <v>7347.5679804000447</v>
      </c>
      <c r="BF169" s="222">
        <f t="shared" si="56"/>
        <v>1105.4140535872866</v>
      </c>
      <c r="BG169" s="223">
        <f t="shared" si="63"/>
        <v>1221940.2298682765</v>
      </c>
      <c r="BH169" s="174"/>
      <c r="BI169" s="1"/>
      <c r="BJ169" s="57"/>
      <c r="BK169" s="167"/>
      <c r="BL169" s="176"/>
      <c r="BM169" s="174"/>
      <c r="BN169" s="174"/>
      <c r="BO169" s="174"/>
      <c r="BP169" s="175"/>
    </row>
    <row r="170" spans="2:68" x14ac:dyDescent="0.2">
      <c r="B170" s="13"/>
      <c r="C170" s="14"/>
      <c r="D170" s="14"/>
      <c r="E170" s="234" t="s">
        <v>300</v>
      </c>
      <c r="F170" s="75"/>
      <c r="G170" s="14"/>
      <c r="H170" s="14"/>
      <c r="J170" s="24"/>
      <c r="K170" s="24"/>
      <c r="L170" s="24"/>
      <c r="M170" s="24"/>
      <c r="N170" s="24"/>
      <c r="O170" s="24"/>
      <c r="Q170" s="165"/>
      <c r="R170" s="165"/>
      <c r="S170" s="165"/>
      <c r="T170" s="1"/>
      <c r="U170" s="1"/>
      <c r="V170" s="174"/>
      <c r="W170" s="174"/>
      <c r="X170" s="174"/>
      <c r="Y170" s="174"/>
      <c r="Z170" s="174"/>
      <c r="AA170" s="174"/>
      <c r="AB170" s="1"/>
      <c r="AC170" s="57"/>
      <c r="AD170" s="174"/>
      <c r="AE170" s="176"/>
      <c r="AF170" s="174"/>
      <c r="AG170" s="128"/>
      <c r="AH170" s="1"/>
      <c r="AI170" s="174"/>
      <c r="AJ170" s="174"/>
      <c r="AK170" s="1"/>
      <c r="AL170" s="165"/>
      <c r="AM170" s="165"/>
      <c r="AN170" s="1"/>
      <c r="AO170" s="57"/>
      <c r="AP170" s="167"/>
      <c r="AQ170" s="2">
        <f t="shared" si="49"/>
        <v>2000</v>
      </c>
      <c r="AR170" s="2">
        <f t="shared" si="50"/>
        <v>4654.2777213619256</v>
      </c>
      <c r="AS170" s="2">
        <f t="shared" si="57"/>
        <v>-3695.9158924642234</v>
      </c>
      <c r="AT170" s="2">
        <f t="shared" si="58"/>
        <v>2.9466278255785769</v>
      </c>
      <c r="AU170" s="198">
        <f t="shared" si="51"/>
        <v>2001</v>
      </c>
      <c r="AV170" s="53">
        <f t="shared" si="52"/>
        <v>10018.508349271282</v>
      </c>
      <c r="AW170" s="222"/>
      <c r="AX170" s="223"/>
      <c r="AY170" s="2"/>
      <c r="AZ170" s="2">
        <f t="shared" si="54"/>
        <v>2000</v>
      </c>
      <c r="BA170" s="2">
        <f t="shared" si="54"/>
        <v>33202.17060982425</v>
      </c>
      <c r="BB170" s="2">
        <f t="shared" si="60"/>
        <v>3784.4173943096475</v>
      </c>
      <c r="BC170" s="2">
        <f t="shared" si="61"/>
        <v>0.24395086579552319</v>
      </c>
      <c r="BD170" s="198">
        <f t="shared" si="55"/>
        <v>2001</v>
      </c>
      <c r="BE170" s="224">
        <f t="shared" si="62"/>
        <v>11884.115660866948</v>
      </c>
      <c r="BF170" s="2"/>
      <c r="BG170" s="2"/>
      <c r="BH170" s="174"/>
      <c r="BI170" s="1"/>
      <c r="BJ170" s="57"/>
      <c r="BK170" s="167"/>
      <c r="BL170" s="176"/>
      <c r="BM170" s="174"/>
      <c r="BN170" s="174"/>
      <c r="BO170" s="174"/>
      <c r="BP170" s="175"/>
    </row>
    <row r="171" spans="2:68" x14ac:dyDescent="0.2">
      <c r="B171" s="13"/>
      <c r="C171" s="14"/>
      <c r="D171" s="14"/>
      <c r="E171" s="14"/>
      <c r="F171" s="14"/>
      <c r="G171" s="14"/>
      <c r="H171" s="14"/>
      <c r="J171" s="24"/>
      <c r="K171" s="24"/>
      <c r="L171" s="24"/>
      <c r="M171" s="24"/>
      <c r="N171" s="24"/>
      <c r="O171" s="24"/>
      <c r="Q171" s="165"/>
      <c r="R171" s="165"/>
      <c r="S171" s="165"/>
      <c r="T171" s="1"/>
      <c r="U171" s="171" t="s">
        <v>539</v>
      </c>
      <c r="V171" s="171" t="s">
        <v>497</v>
      </c>
      <c r="W171" s="174"/>
      <c r="X171" s="167"/>
      <c r="Y171" s="167"/>
      <c r="Z171" s="167"/>
      <c r="AA171" s="167"/>
      <c r="AB171" s="36"/>
      <c r="AC171" s="57"/>
      <c r="AD171" s="167"/>
      <c r="AE171" s="178"/>
      <c r="AF171" s="167"/>
      <c r="AG171" s="128"/>
      <c r="AH171" s="1"/>
      <c r="AI171" s="174"/>
      <c r="AJ171" s="174"/>
      <c r="AK171" s="1"/>
      <c r="AL171" s="165"/>
      <c r="AM171" s="165"/>
      <c r="AN171" s="1"/>
      <c r="AO171" s="57"/>
      <c r="AP171" s="167"/>
      <c r="AQ171" s="2">
        <f t="shared" si="49"/>
        <v>2001</v>
      </c>
      <c r="AR171" s="2"/>
      <c r="AS171" s="2"/>
      <c r="AT171" s="2"/>
      <c r="AU171" s="2"/>
      <c r="AV171" s="52"/>
      <c r="AW171" s="222"/>
      <c r="AX171" s="2"/>
      <c r="AY171" s="2"/>
      <c r="AZ171" s="2"/>
      <c r="BA171" s="2"/>
      <c r="BB171" s="2"/>
      <c r="BC171" s="2"/>
      <c r="BD171" s="2"/>
      <c r="BE171" s="54"/>
      <c r="BF171" s="2"/>
      <c r="BG171" s="2"/>
      <c r="BH171" s="174"/>
      <c r="BI171" s="1"/>
      <c r="BJ171" s="57"/>
      <c r="BK171" s="167"/>
      <c r="BL171" s="176"/>
      <c r="BM171" s="174"/>
      <c r="BN171" s="174"/>
      <c r="BO171" s="174"/>
      <c r="BP171" s="175"/>
    </row>
    <row r="172" spans="2:68" ht="13.5" thickBot="1" x14ac:dyDescent="0.25">
      <c r="B172" s="13"/>
      <c r="C172" s="14"/>
      <c r="D172" s="14"/>
      <c r="E172" s="88"/>
      <c r="F172" s="88"/>
      <c r="G172" s="88"/>
      <c r="H172" s="88"/>
      <c r="I172" s="1"/>
      <c r="J172" s="24"/>
      <c r="K172" s="24"/>
      <c r="L172" s="24"/>
      <c r="M172" s="24"/>
      <c r="N172" s="24"/>
      <c r="O172" s="24"/>
      <c r="Q172" s="165"/>
      <c r="R172" s="165"/>
      <c r="S172" s="165"/>
      <c r="T172" s="1"/>
      <c r="W172" s="174"/>
      <c r="X172" s="167"/>
      <c r="Y172" s="167"/>
      <c r="Z172" s="167"/>
      <c r="AA172" s="167"/>
      <c r="AB172" s="36"/>
      <c r="AC172" s="57"/>
      <c r="AD172" s="174"/>
      <c r="AE172" s="176"/>
      <c r="AF172" s="174"/>
      <c r="AG172" s="128"/>
      <c r="AH172" s="1"/>
      <c r="AI172" s="171" t="s">
        <v>539</v>
      </c>
      <c r="AJ172" s="171" t="s">
        <v>497</v>
      </c>
      <c r="AK172" s="1"/>
      <c r="AL172" s="165"/>
      <c r="AM172" s="165"/>
      <c r="AN172" s="1"/>
      <c r="AO172" s="57"/>
      <c r="AP172" s="167"/>
      <c r="AQ172" s="2"/>
      <c r="AR172" s="1"/>
      <c r="AS172" s="174"/>
      <c r="AT172" s="128"/>
      <c r="AU172" s="1"/>
      <c r="AV172" s="174"/>
      <c r="AW172" s="174"/>
      <c r="AX172" s="1"/>
      <c r="AY172" s="1"/>
      <c r="AZ172" s="1"/>
      <c r="BA172" s="1"/>
      <c r="BB172" s="174"/>
      <c r="BC172" s="128"/>
      <c r="BD172" s="128"/>
      <c r="BE172" s="174"/>
      <c r="BF172" s="174"/>
      <c r="BG172" s="1"/>
      <c r="BH172" s="174"/>
      <c r="BI172" s="1"/>
      <c r="BJ172" s="57"/>
      <c r="BK172" s="167"/>
      <c r="BL172" s="176"/>
      <c r="BM172" s="174"/>
      <c r="BN172" s="174"/>
      <c r="BO172" s="174"/>
      <c r="BP172" s="175"/>
    </row>
    <row r="173" spans="2:68" x14ac:dyDescent="0.2">
      <c r="B173" s="13"/>
      <c r="C173" s="14"/>
      <c r="D173" s="14"/>
      <c r="E173" s="206"/>
      <c r="F173" s="207"/>
      <c r="G173" s="207"/>
      <c r="H173" s="208"/>
      <c r="I173" s="1"/>
      <c r="J173" s="206"/>
      <c r="K173" s="207"/>
      <c r="L173" s="207"/>
      <c r="M173" s="208"/>
      <c r="N173" s="24"/>
      <c r="O173" s="24"/>
      <c r="Q173" s="165"/>
      <c r="U173" s="16" t="s">
        <v>133</v>
      </c>
      <c r="V173" s="16" t="s">
        <v>134</v>
      </c>
      <c r="AA173" s="167"/>
      <c r="AB173" s="36"/>
      <c r="AM173" s="165"/>
      <c r="AN173" s="1"/>
      <c r="AO173" s="57"/>
      <c r="AP173" s="167"/>
      <c r="AR173" s="1"/>
      <c r="AS173" s="167"/>
      <c r="AT173" s="179"/>
      <c r="AU173" s="1"/>
      <c r="AV173" s="174"/>
      <c r="AW173" s="174"/>
      <c r="AX173" s="1"/>
      <c r="AY173" s="1"/>
      <c r="AZ173" s="1"/>
      <c r="BA173" s="57"/>
      <c r="BB173" s="165"/>
      <c r="BC173" s="1"/>
      <c r="BD173" s="1"/>
      <c r="BE173" s="167"/>
      <c r="BF173" s="176"/>
      <c r="BG173" s="174"/>
      <c r="BH173" s="167"/>
      <c r="BI173" s="1"/>
      <c r="BJ173" s="57"/>
      <c r="BK173" s="167"/>
      <c r="BL173" s="176"/>
      <c r="BM173" s="174"/>
      <c r="BN173" s="167"/>
      <c r="BO173" s="167"/>
      <c r="BP173" s="175"/>
    </row>
    <row r="174" spans="2:68" x14ac:dyDescent="0.2">
      <c r="B174" s="13"/>
      <c r="C174" s="69"/>
      <c r="D174" s="69"/>
      <c r="E174" s="209"/>
      <c r="F174" s="210" t="s">
        <v>184</v>
      </c>
      <c r="G174" s="174"/>
      <c r="H174" s="211"/>
      <c r="I174" s="1"/>
      <c r="J174" s="209"/>
      <c r="K174" s="210" t="s">
        <v>203</v>
      </c>
      <c r="L174" s="174"/>
      <c r="M174" s="211"/>
      <c r="N174" s="24"/>
      <c r="O174" s="24"/>
      <c r="Q174" s="165"/>
      <c r="U174" s="90">
        <v>8552</v>
      </c>
      <c r="V174" s="90">
        <f>S194+S195*U174</f>
        <v>21503.645271883768</v>
      </c>
      <c r="AA174" s="167"/>
      <c r="AB174" s="36"/>
      <c r="AI174" s="16" t="s">
        <v>135</v>
      </c>
      <c r="AJ174" s="16" t="s">
        <v>136</v>
      </c>
      <c r="AM174" s="165"/>
      <c r="AN174" s="1"/>
      <c r="AO174" s="57"/>
      <c r="AP174" s="167"/>
      <c r="AQ174" s="225" t="s">
        <v>202</v>
      </c>
      <c r="AR174" s="1"/>
      <c r="AS174" s="174"/>
      <c r="AT174" s="128"/>
      <c r="AU174" s="1"/>
      <c r="AV174" s="174"/>
      <c r="AW174" s="174"/>
      <c r="AX174" s="1"/>
      <c r="AY174" s="1"/>
      <c r="AZ174" s="1"/>
      <c r="BA174" s="1"/>
      <c r="BB174" s="165"/>
      <c r="BC174" s="1"/>
      <c r="BD174" s="1"/>
      <c r="BE174" s="128"/>
      <c r="BF174" s="128"/>
      <c r="BG174" s="1"/>
      <c r="BH174" s="174"/>
      <c r="BI174" s="1"/>
      <c r="BJ174" s="1"/>
      <c r="BK174" s="1"/>
      <c r="BL174" s="1"/>
      <c r="BM174" s="1"/>
      <c r="BN174" s="1"/>
      <c r="BO174" s="1"/>
      <c r="BP174" s="1"/>
    </row>
    <row r="175" spans="2:68" x14ac:dyDescent="0.2">
      <c r="B175" s="13"/>
      <c r="E175" s="212"/>
      <c r="F175" s="1"/>
      <c r="G175" s="1"/>
      <c r="H175" s="213"/>
      <c r="I175" s="1"/>
      <c r="J175" s="212"/>
      <c r="K175" s="1"/>
      <c r="L175" s="1"/>
      <c r="M175" s="213"/>
      <c r="Q175" s="1"/>
      <c r="AA175" s="1"/>
      <c r="AB175" s="1"/>
      <c r="AI175" s="90">
        <v>9582</v>
      </c>
      <c r="AJ175" s="90">
        <f>AD194+AD195*AI175</f>
        <v>6121.9545903623512</v>
      </c>
      <c r="AM175" s="1"/>
      <c r="AN175" s="1"/>
      <c r="AO175" s="1"/>
      <c r="AP175" s="1"/>
      <c r="AQ175" s="1" t="s">
        <v>188</v>
      </c>
      <c r="AR175" s="1"/>
      <c r="AS175" s="1"/>
      <c r="AT175" s="1"/>
      <c r="AU175" s="1"/>
      <c r="AV175" s="1"/>
      <c r="AW175" s="1"/>
      <c r="AX175" s="187">
        <f>SUM(AX149:AX169)</f>
        <v>1897403901.0960524</v>
      </c>
      <c r="AY175" s="187"/>
      <c r="AZ175" s="187"/>
      <c r="BA175" s="1"/>
      <c r="BB175" s="1"/>
      <c r="BC175" s="1"/>
      <c r="BD175" s="1"/>
      <c r="BE175" s="1"/>
      <c r="BF175" s="1"/>
      <c r="BG175" s="187" t="e">
        <f>SUM(BG149:BG169)</f>
        <v>#REF!</v>
      </c>
      <c r="BH175" s="1"/>
      <c r="BI175" s="1"/>
      <c r="BJ175" s="1"/>
      <c r="BK175" s="1"/>
      <c r="BL175" s="1"/>
      <c r="BM175" s="1"/>
      <c r="BN175" s="1"/>
      <c r="BO175" s="1"/>
      <c r="BP175" s="1"/>
    </row>
    <row r="176" spans="2:68" x14ac:dyDescent="0.2">
      <c r="D176" s="41"/>
      <c r="E176" s="214"/>
      <c r="F176" s="1"/>
      <c r="G176" s="1"/>
      <c r="H176" s="213"/>
      <c r="I176" s="1"/>
      <c r="J176" s="214"/>
      <c r="K176" s="1"/>
      <c r="L176" s="1"/>
      <c r="M176" s="213"/>
      <c r="N176" s="24"/>
      <c r="O176" s="13"/>
      <c r="P176" s="13"/>
      <c r="Q176" s="165"/>
      <c r="AA176" s="1"/>
      <c r="AB176" s="1"/>
      <c r="AM176" s="22"/>
      <c r="AN176" s="1"/>
      <c r="AO176" s="1"/>
      <c r="AP176" s="1"/>
      <c r="AQ176" s="1" t="s">
        <v>149</v>
      </c>
      <c r="AR176" s="1"/>
      <c r="AS176" s="1"/>
      <c r="AT176" s="1"/>
      <c r="AU176" s="1"/>
      <c r="AV176" s="1"/>
      <c r="AW176" s="1"/>
      <c r="AX176" s="187">
        <f>AVERAGE(AX149:AX169)</f>
        <v>90352566.718859643</v>
      </c>
      <c r="AY176" s="1"/>
      <c r="AZ176" s="1" t="s">
        <v>189</v>
      </c>
      <c r="BA176" s="1"/>
      <c r="BB176" s="22"/>
      <c r="BC176" s="1"/>
      <c r="BD176" s="1"/>
      <c r="BE176" s="1"/>
      <c r="BF176" s="1"/>
      <c r="BG176" s="187" t="e">
        <f>AVERAGE(BG149:BG169)</f>
        <v>#REF!</v>
      </c>
      <c r="BH176" s="1" t="s">
        <v>201</v>
      </c>
      <c r="BI176" s="1"/>
      <c r="BJ176" s="1"/>
      <c r="BK176" s="1"/>
      <c r="BL176" s="1"/>
      <c r="BM176" s="1"/>
      <c r="BN176" s="1"/>
      <c r="BO176" s="1"/>
      <c r="BP176" s="1"/>
    </row>
    <row r="177" spans="4:60" x14ac:dyDescent="0.2">
      <c r="E177" s="212"/>
      <c r="F177" s="1"/>
      <c r="G177" s="1"/>
      <c r="H177" s="213"/>
      <c r="I177" s="1"/>
      <c r="J177" s="212"/>
      <c r="K177" s="1"/>
      <c r="L177" s="1"/>
      <c r="M177" s="213"/>
      <c r="Q177" s="1"/>
      <c r="AM177" s="21"/>
      <c r="AZ177" t="s">
        <v>190</v>
      </c>
      <c r="BB177" s="21"/>
    </row>
    <row r="178" spans="4:60" x14ac:dyDescent="0.2">
      <c r="D178" s="41"/>
      <c r="E178" s="226">
        <f>F178/F$181</f>
        <v>0.28710151287235552</v>
      </c>
      <c r="F178" s="88">
        <v>8552</v>
      </c>
      <c r="G178" s="1" t="s">
        <v>543</v>
      </c>
      <c r="H178" s="213"/>
      <c r="I178" s="1"/>
      <c r="J178" s="226">
        <f>K178/K$181</f>
        <v>0.16896376934031718</v>
      </c>
      <c r="K178" s="88">
        <v>7000</v>
      </c>
      <c r="L178" s="1" t="s">
        <v>543</v>
      </c>
      <c r="M178" s="213"/>
      <c r="N178" s="24"/>
      <c r="Q178" s="57"/>
      <c r="R178" t="s">
        <v>109</v>
      </c>
      <c r="AC178" t="s">
        <v>109</v>
      </c>
      <c r="AL178" s="165"/>
      <c r="AX178" s="14">
        <f>SQRT(AX176)</f>
        <v>9505.3967154906077</v>
      </c>
      <c r="BG178" s="14" t="e">
        <f>SQRT(BG176)</f>
        <v>#REF!</v>
      </c>
    </row>
    <row r="179" spans="4:60" ht="13.5" thickBot="1" x14ac:dyDescent="0.25">
      <c r="E179" s="226">
        <f>F179/F$181</f>
        <v>0.32166612761264746</v>
      </c>
      <c r="F179" s="128">
        <v>9581.5890895928442</v>
      </c>
      <c r="G179" s="1" t="s">
        <v>544</v>
      </c>
      <c r="H179" s="213"/>
      <c r="I179" s="1"/>
      <c r="J179" s="226">
        <f>K179/K$181</f>
        <v>0.65251393951097059</v>
      </c>
      <c r="K179" s="128">
        <v>27033</v>
      </c>
      <c r="L179" s="1" t="s">
        <v>544</v>
      </c>
      <c r="M179" s="213"/>
      <c r="Q179" s="1"/>
      <c r="AL179" s="165"/>
    </row>
    <row r="180" spans="4:60" x14ac:dyDescent="0.2">
      <c r="E180" s="226">
        <f>F180/F$181</f>
        <v>0.39123235951499696</v>
      </c>
      <c r="F180" s="164">
        <v>11653.784423141635</v>
      </c>
      <c r="G180" s="11" t="s">
        <v>146</v>
      </c>
      <c r="H180" s="213"/>
      <c r="I180" s="1"/>
      <c r="J180" s="226">
        <f>K180/K$181</f>
        <v>0.17852229114871226</v>
      </c>
      <c r="K180" s="164">
        <v>7396</v>
      </c>
      <c r="L180" s="11" t="s">
        <v>146</v>
      </c>
      <c r="M180" s="213"/>
      <c r="Q180" s="57"/>
      <c r="R180" s="173" t="s">
        <v>110</v>
      </c>
      <c r="S180" s="173"/>
      <c r="AC180" s="173" t="s">
        <v>110</v>
      </c>
      <c r="AD180" s="173"/>
      <c r="AL180" s="1"/>
    </row>
    <row r="181" spans="4:60" x14ac:dyDescent="0.2">
      <c r="E181" s="212"/>
      <c r="F181" s="128">
        <f>SUM(F178:F180)</f>
        <v>29787.373512734481</v>
      </c>
      <c r="G181" s="1" t="s">
        <v>185</v>
      </c>
      <c r="H181" s="213"/>
      <c r="J181" s="212"/>
      <c r="K181" s="128">
        <f>SUM(K178:K180)</f>
        <v>41429</v>
      </c>
      <c r="L181" s="1" t="s">
        <v>185</v>
      </c>
      <c r="M181" s="213"/>
      <c r="Q181" s="57"/>
      <c r="R181" s="168" t="s">
        <v>111</v>
      </c>
      <c r="S181" s="168">
        <v>0.76059879223499594</v>
      </c>
      <c r="AC181" s="168" t="s">
        <v>111</v>
      </c>
      <c r="AD181" s="168">
        <v>0.65527877960523373</v>
      </c>
      <c r="AL181" s="22"/>
      <c r="AQ181" s="1"/>
      <c r="AR181" s="1"/>
      <c r="AS181" s="1"/>
      <c r="AT181" s="1"/>
      <c r="AU181" s="1"/>
      <c r="AV181" s="1"/>
      <c r="AW181" s="1"/>
      <c r="AX181" s="187"/>
      <c r="AY181" s="187"/>
      <c r="AZ181" s="187"/>
      <c r="BA181" s="1"/>
      <c r="BB181" s="1"/>
      <c r="BC181" s="1"/>
      <c r="BD181" s="1"/>
      <c r="BE181" s="1"/>
      <c r="BF181" s="1"/>
      <c r="BG181" s="187"/>
      <c r="BH181" s="1"/>
    </row>
    <row r="182" spans="4:60" x14ac:dyDescent="0.2">
      <c r="E182" s="212"/>
      <c r="F182" s="1"/>
      <c r="G182" s="1"/>
      <c r="H182" s="213"/>
      <c r="J182" s="212"/>
      <c r="K182" s="1"/>
      <c r="L182" s="1"/>
      <c r="M182" s="213"/>
      <c r="Q182" s="1"/>
      <c r="R182" s="168" t="s">
        <v>112</v>
      </c>
      <c r="S182" s="168">
        <v>0.57851052274933445</v>
      </c>
      <c r="AC182" s="168" t="s">
        <v>112</v>
      </c>
      <c r="AD182" s="168">
        <v>0.42939027900092452</v>
      </c>
      <c r="AL182" s="21"/>
      <c r="AQ182" s="1"/>
      <c r="AR182" s="1"/>
      <c r="AS182" s="1"/>
      <c r="AT182" s="1"/>
      <c r="AU182" s="1"/>
      <c r="AV182" s="1"/>
      <c r="AW182" s="1"/>
      <c r="AX182" s="187"/>
      <c r="AY182" s="1"/>
      <c r="AZ182" s="1"/>
      <c r="BA182" s="1"/>
      <c r="BB182" s="22"/>
      <c r="BC182" s="1"/>
      <c r="BD182" s="1"/>
      <c r="BE182" s="1"/>
      <c r="BF182" s="1"/>
      <c r="BG182" s="187"/>
      <c r="BH182" s="1"/>
    </row>
    <row r="183" spans="4:60" x14ac:dyDescent="0.2">
      <c r="E183" s="212"/>
      <c r="F183" s="128">
        <v>5000</v>
      </c>
      <c r="G183" s="215" t="s">
        <v>187</v>
      </c>
      <c r="H183" s="213"/>
      <c r="J183" s="212"/>
      <c r="K183" s="128">
        <v>5000</v>
      </c>
      <c r="L183" s="215" t="s">
        <v>187</v>
      </c>
      <c r="M183" s="213"/>
      <c r="N183" s="24"/>
      <c r="O183" s="24"/>
      <c r="Q183" s="165"/>
      <c r="R183" s="168" t="s">
        <v>113</v>
      </c>
      <c r="S183" s="168">
        <v>0.43801403033244596</v>
      </c>
      <c r="AC183" s="168" t="s">
        <v>113</v>
      </c>
      <c r="AD183" s="168">
        <v>0.14408541850138679</v>
      </c>
      <c r="BB183" s="21"/>
    </row>
    <row r="184" spans="4:60" x14ac:dyDescent="0.2">
      <c r="E184" s="212"/>
      <c r="F184" s="11">
        <v>1300</v>
      </c>
      <c r="G184" s="163" t="s">
        <v>186</v>
      </c>
      <c r="H184" s="213"/>
      <c r="J184" s="212"/>
      <c r="K184" s="11">
        <v>1300</v>
      </c>
      <c r="L184" s="163" t="s">
        <v>186</v>
      </c>
      <c r="M184" s="213"/>
      <c r="N184" s="24"/>
      <c r="O184" s="24"/>
      <c r="Q184" s="165"/>
      <c r="R184" s="168" t="s">
        <v>114</v>
      </c>
      <c r="S184" s="168">
        <v>7597.1648560002195</v>
      </c>
      <c r="AC184" s="168" t="s">
        <v>114</v>
      </c>
      <c r="AD184" s="168">
        <v>2553.8714389663305</v>
      </c>
    </row>
    <row r="185" spans="4:60" ht="13.5" thickBot="1" x14ac:dyDescent="0.25">
      <c r="E185" s="212"/>
      <c r="F185" s="128">
        <f>F181-F183-F184</f>
        <v>23487.373512734481</v>
      </c>
      <c r="G185" s="1" t="s">
        <v>39</v>
      </c>
      <c r="H185" s="213"/>
      <c r="J185" s="212"/>
      <c r="K185" s="128">
        <f>K181-K183-K184</f>
        <v>35129</v>
      </c>
      <c r="L185" s="1" t="s">
        <v>39</v>
      </c>
      <c r="M185" s="213"/>
      <c r="Q185" s="165"/>
      <c r="R185" s="169" t="s">
        <v>115</v>
      </c>
      <c r="S185" s="169">
        <v>5</v>
      </c>
      <c r="AC185" s="169" t="s">
        <v>115</v>
      </c>
      <c r="AD185" s="169">
        <v>4</v>
      </c>
    </row>
    <row r="186" spans="4:60" ht="13.5" thickBot="1" x14ac:dyDescent="0.25">
      <c r="E186" s="216"/>
      <c r="F186" s="217"/>
      <c r="G186" s="217"/>
      <c r="H186" s="218"/>
      <c r="J186" s="216"/>
      <c r="K186" s="217"/>
      <c r="L186" s="217"/>
      <c r="M186" s="218"/>
      <c r="Q186" s="165"/>
    </row>
    <row r="187" spans="4:60" ht="13.5" thickBot="1" x14ac:dyDescent="0.25">
      <c r="Q187" s="1"/>
      <c r="R187" t="s">
        <v>116</v>
      </c>
      <c r="AC187" t="s">
        <v>116</v>
      </c>
    </row>
    <row r="188" spans="4:60" ht="13.5" thickBot="1" x14ac:dyDescent="0.25">
      <c r="Q188" s="165"/>
      <c r="R188" s="166"/>
      <c r="S188" s="166" t="s">
        <v>120</v>
      </c>
      <c r="T188" s="166" t="s">
        <v>121</v>
      </c>
      <c r="U188" s="166" t="s">
        <v>122</v>
      </c>
      <c r="V188" s="166" t="s">
        <v>123</v>
      </c>
      <c r="W188" s="166" t="s">
        <v>124</v>
      </c>
      <c r="AC188" s="166"/>
      <c r="AD188" s="166" t="s">
        <v>120</v>
      </c>
      <c r="AE188" s="166" t="s">
        <v>121</v>
      </c>
      <c r="AF188" s="166" t="s">
        <v>122</v>
      </c>
      <c r="AG188" s="166" t="s">
        <v>123</v>
      </c>
      <c r="AH188" s="166" t="s">
        <v>124</v>
      </c>
    </row>
    <row r="189" spans="4:60" x14ac:dyDescent="0.2">
      <c r="E189" s="206"/>
      <c r="F189" s="207"/>
      <c r="G189" s="207"/>
      <c r="H189" s="208"/>
      <c r="Q189" s="1"/>
      <c r="R189" s="168" t="s">
        <v>117</v>
      </c>
      <c r="S189" s="168">
        <v>1</v>
      </c>
      <c r="T189" s="168">
        <v>237656054.09798309</v>
      </c>
      <c r="U189" s="168">
        <v>237656054.09798309</v>
      </c>
      <c r="V189" s="168">
        <v>4.117615413719709</v>
      </c>
      <c r="W189" s="168">
        <v>0.13544961529047836</v>
      </c>
      <c r="AC189" s="168" t="s">
        <v>117</v>
      </c>
      <c r="AD189" s="168">
        <v>1</v>
      </c>
      <c r="AE189" s="168">
        <v>9816148.0569722429</v>
      </c>
      <c r="AF189" s="168">
        <v>9816148.0569722429</v>
      </c>
      <c r="AG189" s="168">
        <v>1.5050226562881155</v>
      </c>
      <c r="AH189" s="168">
        <v>0.34472121759244267</v>
      </c>
    </row>
    <row r="190" spans="4:60" x14ac:dyDescent="0.2">
      <c r="E190" s="209"/>
      <c r="F190" s="210" t="s">
        <v>204</v>
      </c>
      <c r="G190" s="174"/>
      <c r="H190" s="211"/>
      <c r="Q190" s="1"/>
      <c r="R190" s="168" t="s">
        <v>118</v>
      </c>
      <c r="S190" s="168">
        <v>3</v>
      </c>
      <c r="T190" s="168">
        <v>173150741.54773453</v>
      </c>
      <c r="U190" s="168">
        <v>57716913.84924484</v>
      </c>
      <c r="V190" s="168"/>
      <c r="W190" s="168"/>
      <c r="AC190" s="168" t="s">
        <v>118</v>
      </c>
      <c r="AD190" s="168">
        <v>2</v>
      </c>
      <c r="AE190" s="168">
        <v>13044518.65353591</v>
      </c>
      <c r="AF190" s="168">
        <v>6522259.326767955</v>
      </c>
      <c r="AG190" s="168"/>
      <c r="AH190" s="168"/>
    </row>
    <row r="191" spans="4:60" ht="13.5" thickBot="1" x14ac:dyDescent="0.25">
      <c r="E191" s="212"/>
      <c r="F191" s="1"/>
      <c r="G191" s="1"/>
      <c r="H191" s="213"/>
      <c r="Q191" s="1"/>
      <c r="R191" s="169" t="s">
        <v>426</v>
      </c>
      <c r="S191" s="169">
        <v>4</v>
      </c>
      <c r="T191" s="169">
        <v>410806795.64571762</v>
      </c>
      <c r="U191" s="169"/>
      <c r="V191" s="169"/>
      <c r="W191" s="169"/>
      <c r="AC191" s="169" t="s">
        <v>426</v>
      </c>
      <c r="AD191" s="169">
        <v>3</v>
      </c>
      <c r="AE191" s="169">
        <v>22860666.710508153</v>
      </c>
      <c r="AF191" s="169"/>
      <c r="AG191" s="169"/>
      <c r="AH191" s="169"/>
    </row>
    <row r="192" spans="4:60" ht="13.5" thickBot="1" x14ac:dyDescent="0.25">
      <c r="E192" s="214"/>
      <c r="F192" s="1"/>
      <c r="G192" s="1"/>
      <c r="H192" s="213"/>
    </row>
    <row r="193" spans="5:37" x14ac:dyDescent="0.2">
      <c r="E193" s="212"/>
      <c r="F193" s="1"/>
      <c r="G193" s="1"/>
      <c r="H193" s="213"/>
      <c r="R193" s="166"/>
      <c r="S193" s="166" t="s">
        <v>125</v>
      </c>
      <c r="T193" s="166" t="s">
        <v>114</v>
      </c>
      <c r="U193" s="166" t="s">
        <v>126</v>
      </c>
      <c r="V193" s="166" t="s">
        <v>127</v>
      </c>
      <c r="W193" s="166" t="s">
        <v>128</v>
      </c>
      <c r="X193" s="166" t="s">
        <v>129</v>
      </c>
      <c r="Y193" s="166" t="s">
        <v>130</v>
      </c>
      <c r="Z193" s="166" t="s">
        <v>131</v>
      </c>
      <c r="AC193" s="166"/>
      <c r="AD193" s="166" t="s">
        <v>125</v>
      </c>
      <c r="AE193" s="166" t="s">
        <v>114</v>
      </c>
      <c r="AF193" s="166" t="s">
        <v>126</v>
      </c>
      <c r="AG193" s="166" t="s">
        <v>127</v>
      </c>
      <c r="AH193" s="166" t="s">
        <v>128</v>
      </c>
      <c r="AI193" s="166" t="s">
        <v>129</v>
      </c>
      <c r="AJ193" s="166" t="s">
        <v>130</v>
      </c>
      <c r="AK193" s="166" t="s">
        <v>131</v>
      </c>
    </row>
    <row r="194" spans="5:37" x14ac:dyDescent="0.2">
      <c r="E194" s="226">
        <f>F194/F$181</f>
        <v>0.23499889968504309</v>
      </c>
      <c r="F194" s="88">
        <v>7000</v>
      </c>
      <c r="G194" s="1" t="s">
        <v>543</v>
      </c>
      <c r="H194" s="213"/>
      <c r="R194" s="168" t="s">
        <v>119</v>
      </c>
      <c r="S194" s="168">
        <v>-3695.9158924642234</v>
      </c>
      <c r="T194" s="168">
        <v>11328.212921175813</v>
      </c>
      <c r="U194" s="168">
        <v>-0.32625762935259212</v>
      </c>
      <c r="V194" s="168">
        <v>0.76566416134898363</v>
      </c>
      <c r="W194" s="168">
        <v>-39747.379069057992</v>
      </c>
      <c r="X194" s="168">
        <v>32355.547284129541</v>
      </c>
      <c r="Y194" s="168">
        <v>-39747.379069057992</v>
      </c>
      <c r="Z194" s="168">
        <v>32355.547284129541</v>
      </c>
      <c r="AC194" s="168" t="s">
        <v>119</v>
      </c>
      <c r="AD194" s="168">
        <v>3784.4173943096475</v>
      </c>
      <c r="AE194" s="168">
        <v>3194.7533193875906</v>
      </c>
      <c r="AF194" s="168">
        <v>1.1845726464524313</v>
      </c>
      <c r="AG194" s="168">
        <v>0.35787855360458964</v>
      </c>
      <c r="AH194" s="168">
        <v>-9961.5062654483991</v>
      </c>
      <c r="AI194" s="168">
        <v>17530.341054067696</v>
      </c>
      <c r="AJ194" s="168">
        <v>-9961.5062654483991</v>
      </c>
      <c r="AK194" s="168">
        <v>17530.341054067696</v>
      </c>
    </row>
    <row r="195" spans="5:37" ht="13.5" thickBot="1" x14ac:dyDescent="0.25">
      <c r="E195" s="226">
        <f>F195/F$181</f>
        <v>0.72191661983245237</v>
      </c>
      <c r="F195" s="128">
        <v>21504</v>
      </c>
      <c r="G195" s="1" t="s">
        <v>544</v>
      </c>
      <c r="H195" s="213"/>
      <c r="R195" s="169" t="s">
        <v>132</v>
      </c>
      <c r="S195" s="169">
        <v>2.9466278255785769</v>
      </c>
      <c r="T195" s="169">
        <v>1.4521196261545883</v>
      </c>
      <c r="U195" s="169">
        <v>2.0291908273298742</v>
      </c>
      <c r="V195" s="169">
        <v>0.13544961529047875</v>
      </c>
      <c r="W195" s="169">
        <v>-1.6746692487782728</v>
      </c>
      <c r="X195" s="169">
        <v>7.5679248999354272</v>
      </c>
      <c r="Y195" s="169">
        <v>-1.6746692487782728</v>
      </c>
      <c r="Z195" s="169">
        <v>7.5679248999354272</v>
      </c>
      <c r="AC195" s="169" t="s">
        <v>132</v>
      </c>
      <c r="AD195" s="169">
        <v>0.24395086579552319</v>
      </c>
      <c r="AE195" s="169">
        <v>0.19885240363809015</v>
      </c>
      <c r="AF195" s="169">
        <v>1.2267936486174535</v>
      </c>
      <c r="AG195" s="169">
        <v>0.34472121759244156</v>
      </c>
      <c r="AH195" s="169">
        <v>-0.61164256715614962</v>
      </c>
      <c r="AI195" s="169">
        <v>1.0995442987471959</v>
      </c>
      <c r="AJ195" s="169">
        <v>-0.61164256715614962</v>
      </c>
      <c r="AK195" s="169">
        <v>1.0995442987471959</v>
      </c>
    </row>
    <row r="196" spans="5:37" x14ac:dyDescent="0.2">
      <c r="E196" s="226">
        <f>F196/F$181</f>
        <v>0.20552332341026197</v>
      </c>
      <c r="F196" s="164">
        <v>6122</v>
      </c>
      <c r="G196" s="11" t="s">
        <v>146</v>
      </c>
      <c r="H196" s="213"/>
    </row>
    <row r="197" spans="5:37" x14ac:dyDescent="0.2">
      <c r="E197" s="212"/>
      <c r="F197" s="128">
        <f>SUM(F194:F196)</f>
        <v>34626</v>
      </c>
      <c r="G197" s="1" t="s">
        <v>185</v>
      </c>
      <c r="H197" s="213"/>
    </row>
    <row r="198" spans="5:37" x14ac:dyDescent="0.2">
      <c r="E198" s="212"/>
      <c r="F198" s="1"/>
      <c r="G198" s="1"/>
      <c r="H198" s="213"/>
    </row>
    <row r="199" spans="5:37" x14ac:dyDescent="0.2">
      <c r="E199" s="212"/>
      <c r="F199" s="128">
        <v>5000</v>
      </c>
      <c r="G199" s="215" t="s">
        <v>187</v>
      </c>
      <c r="H199" s="213"/>
      <c r="R199" t="s">
        <v>153</v>
      </c>
      <c r="AC199" t="s">
        <v>153</v>
      </c>
    </row>
    <row r="200" spans="5:37" ht="13.5" thickBot="1" x14ac:dyDescent="0.25">
      <c r="E200" s="212"/>
      <c r="F200" s="11">
        <v>1300</v>
      </c>
      <c r="G200" s="163" t="s">
        <v>186</v>
      </c>
      <c r="H200" s="213"/>
    </row>
    <row r="201" spans="5:37" x14ac:dyDescent="0.2">
      <c r="E201" s="212"/>
      <c r="F201" s="128">
        <f>F197-F199-F200</f>
        <v>28326</v>
      </c>
      <c r="G201" s="1" t="s">
        <v>39</v>
      </c>
      <c r="H201" s="213"/>
      <c r="R201" s="166" t="s">
        <v>154</v>
      </c>
      <c r="S201" s="166" t="s">
        <v>156</v>
      </c>
      <c r="T201" s="166" t="s">
        <v>157</v>
      </c>
      <c r="AC201" s="166" t="s">
        <v>154</v>
      </c>
      <c r="AD201" s="166" t="s">
        <v>156</v>
      </c>
      <c r="AE201" s="166" t="s">
        <v>157</v>
      </c>
    </row>
    <row r="202" spans="5:37" ht="13.5" thickBot="1" x14ac:dyDescent="0.25">
      <c r="E202" s="216"/>
      <c r="F202" s="217"/>
      <c r="G202" s="217"/>
      <c r="H202" s="218"/>
      <c r="R202" s="168">
        <v>1</v>
      </c>
      <c r="S202" s="168">
        <v>8077.6389039751575</v>
      </c>
      <c r="T202" s="168">
        <v>-2546.5774883249414</v>
      </c>
      <c r="AC202" s="168">
        <v>1</v>
      </c>
      <c r="AD202" s="168">
        <v>5133.72461542573</v>
      </c>
      <c r="AE202" s="168">
        <v>962.73473435201322</v>
      </c>
    </row>
    <row r="203" spans="5:37" x14ac:dyDescent="0.2">
      <c r="R203" s="168">
        <v>2</v>
      </c>
      <c r="S203" s="168">
        <v>17131.192612319413</v>
      </c>
      <c r="T203" s="168">
        <v>6559.5510086566246</v>
      </c>
      <c r="AC203" s="168">
        <v>2</v>
      </c>
      <c r="AD203" s="168">
        <v>9563.7948119865214</v>
      </c>
      <c r="AE203" s="168">
        <v>993.83623981164055</v>
      </c>
    </row>
    <row r="204" spans="5:37" x14ac:dyDescent="0.2">
      <c r="R204" s="168">
        <v>3</v>
      </c>
      <c r="S204" s="168">
        <v>14320.85959371527</v>
      </c>
      <c r="T204" s="168">
        <v>561.71872210662332</v>
      </c>
      <c r="AC204" s="168">
        <v>3</v>
      </c>
      <c r="AD204" s="168">
        <v>7415.0352597240781</v>
      </c>
      <c r="AE204" s="168">
        <v>1168.3240517928261</v>
      </c>
    </row>
    <row r="205" spans="5:37" ht="13.5" thickBot="1" x14ac:dyDescent="0.25">
      <c r="R205" s="168">
        <v>4</v>
      </c>
      <c r="S205" s="168">
        <v>24602.133675009747</v>
      </c>
      <c r="T205" s="168">
        <v>-9799.2880382352032</v>
      </c>
      <c r="AC205" s="169">
        <v>4</v>
      </c>
      <c r="AD205" s="169">
        <v>7395.5844036382805</v>
      </c>
      <c r="AE205" s="169">
        <v>-3124.8950259564754</v>
      </c>
    </row>
    <row r="206" spans="5:37" ht="13.5" thickBot="1" x14ac:dyDescent="0.25">
      <c r="R206" s="169">
        <v>5</v>
      </c>
      <c r="S206" s="169">
        <v>27033.000526434895</v>
      </c>
      <c r="T206" s="169">
        <v>5224.5957957968749</v>
      </c>
      <c r="AC206" s="168"/>
      <c r="AD206" s="168"/>
      <c r="AE206" s="168"/>
    </row>
    <row r="207" spans="5:37" x14ac:dyDescent="0.2">
      <c r="R207" s="168"/>
      <c r="S207" s="52"/>
      <c r="T207" s="52"/>
      <c r="AC207" s="168"/>
      <c r="AD207" s="168"/>
      <c r="AE207" s="168"/>
    </row>
    <row r="208" spans="5:37" x14ac:dyDescent="0.2">
      <c r="R208" s="168"/>
      <c r="S208" s="52"/>
      <c r="T208" s="52"/>
      <c r="AC208" s="168"/>
      <c r="AD208" s="168"/>
      <c r="AE208" s="168"/>
    </row>
    <row r="209" spans="18:31" x14ac:dyDescent="0.2">
      <c r="R209" s="168"/>
      <c r="S209" s="52"/>
      <c r="T209" s="52"/>
      <c r="AC209" s="168"/>
      <c r="AD209" s="168"/>
      <c r="AE209" s="168"/>
    </row>
    <row r="210" spans="18:31" x14ac:dyDescent="0.2">
      <c r="R210" s="168"/>
      <c r="S210" s="52"/>
      <c r="T210" s="52"/>
      <c r="AC210" s="168"/>
      <c r="AD210" s="168"/>
      <c r="AE210" s="168"/>
    </row>
    <row r="211" spans="18:31" x14ac:dyDescent="0.2">
      <c r="R211" s="168"/>
      <c r="S211" s="52"/>
      <c r="T211" s="52"/>
      <c r="AC211" s="168"/>
      <c r="AD211" s="168"/>
      <c r="AE211" s="168"/>
    </row>
    <row r="212" spans="18:31" x14ac:dyDescent="0.2">
      <c r="R212" s="168"/>
      <c r="S212" s="52"/>
      <c r="T212" s="52"/>
      <c r="AC212" s="168"/>
      <c r="AD212" s="168"/>
      <c r="AE212" s="168"/>
    </row>
    <row r="213" spans="18:31" x14ac:dyDescent="0.2">
      <c r="R213" s="168"/>
      <c r="S213" s="52"/>
      <c r="T213" s="52"/>
      <c r="AC213" s="168"/>
      <c r="AD213" s="168"/>
      <c r="AE213" s="168"/>
    </row>
    <row r="214" spans="18:31" x14ac:dyDescent="0.2">
      <c r="R214" s="168"/>
      <c r="S214" s="52"/>
      <c r="T214" s="52"/>
      <c r="AC214" s="168"/>
      <c r="AD214" s="168"/>
      <c r="AE214" s="168"/>
    </row>
    <row r="215" spans="18:31" x14ac:dyDescent="0.2">
      <c r="R215" s="168"/>
      <c r="S215" s="52"/>
      <c r="T215" s="52"/>
      <c r="AC215" s="168"/>
      <c r="AD215" s="168"/>
      <c r="AE215" s="168"/>
    </row>
    <row r="216" spans="18:31" x14ac:dyDescent="0.2">
      <c r="R216" s="168"/>
      <c r="S216" s="52"/>
      <c r="T216" s="52"/>
      <c r="AC216" s="168"/>
      <c r="AD216" s="168"/>
      <c r="AE216" s="168"/>
    </row>
    <row r="217" spans="18:31" x14ac:dyDescent="0.2">
      <c r="R217" s="168"/>
      <c r="S217" s="52"/>
      <c r="T217" s="52"/>
      <c r="AC217" s="168"/>
      <c r="AD217" s="168"/>
      <c r="AE217" s="168"/>
    </row>
    <row r="218" spans="18:31" x14ac:dyDescent="0.2">
      <c r="R218" s="168"/>
      <c r="S218" s="52"/>
      <c r="T218" s="52"/>
      <c r="AC218" s="168"/>
      <c r="AD218" s="168"/>
      <c r="AE218" s="168"/>
    </row>
    <row r="219" spans="18:31" x14ac:dyDescent="0.2">
      <c r="R219" s="168"/>
      <c r="S219" s="52"/>
      <c r="T219" s="52"/>
      <c r="AC219" s="168"/>
      <c r="AD219" s="168"/>
      <c r="AE219" s="168"/>
    </row>
    <row r="220" spans="18:31" x14ac:dyDescent="0.2">
      <c r="R220" s="168"/>
      <c r="S220" s="52"/>
      <c r="T220" s="52"/>
      <c r="AC220" s="168"/>
      <c r="AD220" s="168"/>
      <c r="AE220" s="168"/>
    </row>
    <row r="221" spans="18:31" x14ac:dyDescent="0.2">
      <c r="R221" s="168"/>
      <c r="S221" s="52"/>
      <c r="T221" s="52"/>
      <c r="AC221" s="168"/>
      <c r="AD221" s="168"/>
      <c r="AE221" s="168"/>
    </row>
    <row r="222" spans="18:31" ht="13.5" thickBot="1" x14ac:dyDescent="0.25">
      <c r="R222" s="168"/>
      <c r="S222" s="52"/>
      <c r="T222" s="52"/>
      <c r="AC222" s="169"/>
      <c r="AD222" s="169"/>
      <c r="AE222" s="169"/>
    </row>
    <row r="223" spans="18:31" ht="13.5" thickBot="1" x14ac:dyDescent="0.25">
      <c r="R223" s="169"/>
      <c r="S223" s="200"/>
      <c r="T223" s="200"/>
    </row>
    <row r="226" spans="18:37" x14ac:dyDescent="0.2">
      <c r="R226" t="s">
        <v>158</v>
      </c>
      <c r="AC226" t="s">
        <v>158</v>
      </c>
    </row>
    <row r="227" spans="18:37" x14ac:dyDescent="0.2">
      <c r="R227" t="s">
        <v>159</v>
      </c>
      <c r="AC227" t="s">
        <v>159</v>
      </c>
    </row>
    <row r="228" spans="18:37" x14ac:dyDescent="0.2">
      <c r="R228" t="s">
        <v>179</v>
      </c>
      <c r="W228" s="13"/>
      <c r="X228" s="13"/>
      <c r="AC228" t="s">
        <v>179</v>
      </c>
      <c r="AH228" s="13"/>
      <c r="AI228" s="13"/>
    </row>
    <row r="230" spans="18:37" x14ac:dyDescent="0.2">
      <c r="S230" t="s">
        <v>177</v>
      </c>
      <c r="T230" t="s">
        <v>176</v>
      </c>
      <c r="AD230" t="s">
        <v>177</v>
      </c>
      <c r="AE230" t="s">
        <v>176</v>
      </c>
    </row>
    <row r="231" spans="18:37" x14ac:dyDescent="0.2">
      <c r="R231" s="17" t="s">
        <v>175</v>
      </c>
      <c r="S231" s="17" t="s">
        <v>162</v>
      </c>
      <c r="T231" s="17" t="s">
        <v>161</v>
      </c>
      <c r="U231" s="11" t="s">
        <v>169</v>
      </c>
      <c r="AC231" s="17" t="s">
        <v>175</v>
      </c>
      <c r="AD231" s="17" t="s">
        <v>162</v>
      </c>
      <c r="AE231" s="17" t="s">
        <v>161</v>
      </c>
      <c r="AF231" s="11" t="s">
        <v>169</v>
      </c>
    </row>
    <row r="232" spans="18:37" x14ac:dyDescent="0.2">
      <c r="R232" s="13">
        <f>COUNT(R238:R259)</f>
        <v>5</v>
      </c>
      <c r="S232" s="85">
        <f>SUM(R238:R259)</f>
        <v>173150741.54773453</v>
      </c>
      <c r="T232" s="85">
        <f>S232/(R232-2)</f>
        <v>57716913.84924484</v>
      </c>
      <c r="U232" s="85">
        <f>SUM(T238:T260)</f>
        <v>61198053.932188325</v>
      </c>
      <c r="V232" s="41"/>
      <c r="AC232" s="13">
        <f>COUNT(AC238:AC259)</f>
        <v>4</v>
      </c>
      <c r="AD232" s="85">
        <f>SUM(AC238:AC259)</f>
        <v>13044518.65353591</v>
      </c>
      <c r="AE232" s="85">
        <f>AD232/(AC232-2)</f>
        <v>6522259.326767955</v>
      </c>
      <c r="AF232" s="85">
        <f>SUM(AE238:AE260)</f>
        <v>454452161.67778301</v>
      </c>
      <c r="AG232" s="41"/>
    </row>
    <row r="233" spans="18:37" x14ac:dyDescent="0.2">
      <c r="R233" s="13"/>
      <c r="S233" s="42"/>
      <c r="T233" s="42"/>
      <c r="V233" s="41"/>
      <c r="AC233" s="13"/>
      <c r="AD233" s="42"/>
      <c r="AE233" s="42"/>
      <c r="AG233" s="41"/>
    </row>
    <row r="234" spans="18:37" x14ac:dyDescent="0.2">
      <c r="R234" s="13"/>
      <c r="AC234" s="13"/>
      <c r="AF234" t="s">
        <v>166</v>
      </c>
    </row>
    <row r="235" spans="18:37" x14ac:dyDescent="0.2">
      <c r="U235" t="s">
        <v>166</v>
      </c>
      <c r="AD235" s="202" t="s">
        <v>530</v>
      </c>
      <c r="AE235" s="13" t="s">
        <v>168</v>
      </c>
      <c r="AF235" t="s">
        <v>167</v>
      </c>
      <c r="AH235" s="204" t="s">
        <v>172</v>
      </c>
      <c r="AI235" s="202" t="s">
        <v>530</v>
      </c>
    </row>
    <row r="236" spans="18:37" x14ac:dyDescent="0.2">
      <c r="S236" s="202" t="s">
        <v>530</v>
      </c>
      <c r="T236" s="13" t="s">
        <v>168</v>
      </c>
      <c r="U236" t="s">
        <v>167</v>
      </c>
      <c r="W236" s="204" t="s">
        <v>172</v>
      </c>
      <c r="X236" s="202" t="s">
        <v>530</v>
      </c>
    </row>
    <row r="237" spans="18:37" x14ac:dyDescent="0.2">
      <c r="R237" s="17" t="s">
        <v>163</v>
      </c>
      <c r="S237" s="17" t="s">
        <v>164</v>
      </c>
      <c r="T237" s="17" t="s">
        <v>165</v>
      </c>
      <c r="U237" s="11" t="s">
        <v>160</v>
      </c>
      <c r="V237" s="11" t="s">
        <v>170</v>
      </c>
      <c r="W237" s="11" t="s">
        <v>171</v>
      </c>
      <c r="X237" s="17" t="s">
        <v>178</v>
      </c>
      <c r="Y237" s="11" t="s">
        <v>173</v>
      </c>
      <c r="Z237" s="11" t="s">
        <v>174</v>
      </c>
      <c r="AC237" s="17" t="s">
        <v>163</v>
      </c>
      <c r="AD237" s="17" t="s">
        <v>164</v>
      </c>
      <c r="AE237" s="17" t="s">
        <v>165</v>
      </c>
      <c r="AF237" s="11" t="s">
        <v>160</v>
      </c>
      <c r="AG237" s="11" t="s">
        <v>170</v>
      </c>
      <c r="AH237" s="11" t="s">
        <v>171</v>
      </c>
      <c r="AI237" s="17" t="s">
        <v>178</v>
      </c>
      <c r="AJ237" s="11" t="s">
        <v>173</v>
      </c>
      <c r="AK237" s="11" t="s">
        <v>174</v>
      </c>
    </row>
    <row r="238" spans="18:37" x14ac:dyDescent="0.2">
      <c r="R238" s="85">
        <f>T202^2</f>
        <v>6485056.9040433671</v>
      </c>
      <c r="S238" s="14">
        <v>992.73802653013729</v>
      </c>
      <c r="T238" s="85">
        <f>(S238-AVERAGE(S$109:S$130))^2</f>
        <v>29357621.902729288</v>
      </c>
      <c r="U238" s="14">
        <f>SQRT(T$103*(1/R$103+T238/U$103))</f>
        <v>3197.6475865642055</v>
      </c>
      <c r="V238" s="203">
        <f>TINV(0.05,20)</f>
        <v>2.0859634472658648</v>
      </c>
      <c r="W238" s="14">
        <f>U238*V238</f>
        <v>6670.1759828108434</v>
      </c>
      <c r="X238" s="14">
        <f>S$65+S$66*S238</f>
        <v>9169.5709900608872</v>
      </c>
      <c r="Y238" s="41">
        <f>X238+W238</f>
        <v>15839.74697287173</v>
      </c>
      <c r="Z238" s="41">
        <f>X238-W238</f>
        <v>2499.3950072500438</v>
      </c>
      <c r="AC238" s="85">
        <f>AE202^2</f>
        <v>926858.16872784146</v>
      </c>
      <c r="AD238" s="14">
        <v>2702.8093367465672</v>
      </c>
      <c r="AE238" s="85">
        <f>(AD238-AVERAGE(AD$109:AD$130))^2</f>
        <v>155366068.86148882</v>
      </c>
      <c r="AF238" s="14">
        <f>SQRT(AE$103*(1/AC$103+AE238/AF$103))</f>
        <v>2404.4486486038759</v>
      </c>
      <c r="AG238" s="203">
        <f>TINV(0.05,20)</f>
        <v>2.0859634472658648</v>
      </c>
      <c r="AH238" s="14">
        <f>AF238*AG238</f>
        <v>5015.5919918154914</v>
      </c>
      <c r="AI238" s="14">
        <f>AD$65+AD$66*AD238</f>
        <v>5826.4307813736414</v>
      </c>
      <c r="AJ238" s="41">
        <f>AI238+AH238</f>
        <v>10842.022773189132</v>
      </c>
      <c r="AK238" s="41">
        <f>AI238-AH238</f>
        <v>810.83878955814998</v>
      </c>
    </row>
    <row r="239" spans="18:37" x14ac:dyDescent="0.2">
      <c r="R239" s="85">
        <f>T203^2</f>
        <v>43027709.43516814</v>
      </c>
      <c r="S239" s="14">
        <v>3300.3376021798367</v>
      </c>
      <c r="T239" s="85">
        <f>(S239-AVERAGE(S$109:S$130))^2</f>
        <v>9676254.47696927</v>
      </c>
      <c r="U239" s="14">
        <f>SQRT(T$103*(1/R$103+T239/U$103))</f>
        <v>2254.7114673043848</v>
      </c>
      <c r="V239" s="203">
        <f>TINV(0.05,20)</f>
        <v>2.0859634472658648</v>
      </c>
      <c r="W239" s="14">
        <f>U239*V239</f>
        <v>4703.2457049281311</v>
      </c>
      <c r="X239" s="14">
        <f>S$65+S$66*S239</f>
        <v>12054.847154767373</v>
      </c>
      <c r="Y239" s="41">
        <f>X239+W239</f>
        <v>16758.092859695505</v>
      </c>
      <c r="Z239" s="41">
        <f>X239-W239</f>
        <v>7351.6014498392415</v>
      </c>
      <c r="AC239" s="85">
        <f>AE203^2</f>
        <v>987710.47156294074</v>
      </c>
      <c r="AD239" s="14">
        <v>3051.5578431967624</v>
      </c>
      <c r="AE239" s="85">
        <f>(AD239-AVERAGE(AD$109:AD$130))^2</f>
        <v>146793678.27175307</v>
      </c>
      <c r="AF239" s="14">
        <f>SQRT(AE$103*(1/AC$103+AE239/AF$103))</f>
        <v>2355.257049339652</v>
      </c>
      <c r="AG239" s="203">
        <f>TINV(0.05,20)</f>
        <v>2.0859634472658648</v>
      </c>
      <c r="AH239" s="14">
        <f>AF239*AG239</f>
        <v>4912.9801138377697</v>
      </c>
      <c r="AI239" s="14">
        <f>AD$65+AD$66*AD239</f>
        <v>5993.9727589253062</v>
      </c>
      <c r="AJ239" s="41">
        <f>AI239+AH239</f>
        <v>10906.952872763075</v>
      </c>
      <c r="AK239" s="41">
        <f>AI239-AH239</f>
        <v>1080.9926450875364</v>
      </c>
    </row>
    <row r="240" spans="18:37" x14ac:dyDescent="0.2">
      <c r="R240" s="85">
        <f>T204^2</f>
        <v>315527.92276509793</v>
      </c>
      <c r="S240" s="14">
        <v>3404.0226158038149</v>
      </c>
      <c r="T240" s="85">
        <f>(S240-AVERAGE(S$109:S$130))^2</f>
        <v>9041945.7820741162</v>
      </c>
      <c r="U240" s="14">
        <f>SQRT(T$103*(1/R$103+T240/U$103))</f>
        <v>2217.6626809047066</v>
      </c>
      <c r="V240" s="203">
        <f>TINV(0.05,20)</f>
        <v>2.0859634472658648</v>
      </c>
      <c r="W240" s="14">
        <f>U240*V240</f>
        <v>4625.9632907328414</v>
      </c>
      <c r="X240" s="14">
        <f>S$65+S$66*S240</f>
        <v>12184.488320246572</v>
      </c>
      <c r="Y240" s="41">
        <f>X240+W240</f>
        <v>16810.451610979413</v>
      </c>
      <c r="Z240" s="41">
        <f>X240-W240</f>
        <v>7558.5250295137303</v>
      </c>
      <c r="AC240" s="85">
        <f>AE204^2</f>
        <v>1364981.0899976064</v>
      </c>
      <c r="AD240" s="14">
        <v>5531.0614156502161</v>
      </c>
      <c r="AE240" s="85">
        <f>(AD240-AVERAGE(AD$109:AD$130))^2</f>
        <v>92859058.775759116</v>
      </c>
      <c r="AF240" s="14">
        <f>SQRT(AE$103*(1/AC$103+AE240/AF$103))</f>
        <v>2018.4450868514384</v>
      </c>
      <c r="AG240" s="203">
        <f>TINV(0.05,20)</f>
        <v>2.0859634472658648</v>
      </c>
      <c r="AH240" s="14">
        <f>AF240*AG240</f>
        <v>4210.4026714854745</v>
      </c>
      <c r="AI240" s="14">
        <f>AD$65+AD$66*AD240</f>
        <v>7185.1489910580631</v>
      </c>
      <c r="AJ240" s="41">
        <f>AI240+AH240</f>
        <v>11395.551662543538</v>
      </c>
      <c r="AK240" s="41">
        <f>AI240-AH240</f>
        <v>2974.7463195725886</v>
      </c>
    </row>
    <row r="241" spans="18:37" x14ac:dyDescent="0.2">
      <c r="R241" s="85">
        <f>T205^2</f>
        <v>96026046.056299537</v>
      </c>
      <c r="S241" s="14">
        <v>3711.3642802126451</v>
      </c>
      <c r="T241" s="85">
        <f>(S241-AVERAGE(S$109:S$130))^2</f>
        <v>7288062.4608046832</v>
      </c>
      <c r="U241" s="14">
        <f>SQRT(T$103*(1/R$103+T241/U$103))</f>
        <v>2111.8411549826187</v>
      </c>
      <c r="V241" s="203">
        <f>TINV(0.05,20)</f>
        <v>2.0859634472658648</v>
      </c>
      <c r="W241" s="14">
        <f>U241*V241</f>
        <v>4405.2234557254687</v>
      </c>
      <c r="X241" s="14">
        <f>S$65+S$66*S241</f>
        <v>12568.768846251762</v>
      </c>
      <c r="Y241" s="41">
        <f>X241+W241</f>
        <v>16973.992301977232</v>
      </c>
      <c r="Z241" s="41">
        <f>X241-W241</f>
        <v>8163.545390526293</v>
      </c>
      <c r="AC241" s="85">
        <f>AE205^2</f>
        <v>9764968.9232475217</v>
      </c>
      <c r="AD241" s="14">
        <v>7458.0987478072302</v>
      </c>
      <c r="AE241" s="85">
        <f>(AD241-AVERAGE(AD$109:AD$130))^2</f>
        <v>59433355.768782012</v>
      </c>
      <c r="AF241" s="14">
        <f>SQRT(AE$103*(1/AC$103+AE241/AF$103))</f>
        <v>1777.9665353605953</v>
      </c>
      <c r="AG241" s="203">
        <f>TINV(0.05,20)</f>
        <v>2.0859634472658648</v>
      </c>
      <c r="AH241" s="14">
        <f>AF241*AG241</f>
        <v>3708.7732032241338</v>
      </c>
      <c r="AI241" s="14">
        <f>AD$65+AD$66*AD241</f>
        <v>8110.9153799431679</v>
      </c>
      <c r="AJ241" s="41">
        <f>AI241+AH241</f>
        <v>11819.688583167303</v>
      </c>
      <c r="AK241" s="41">
        <f>AI241-AH241</f>
        <v>4402.1421767190341</v>
      </c>
    </row>
    <row r="242" spans="18:37" x14ac:dyDescent="0.2">
      <c r="R242" s="85">
        <f>T206^2</f>
        <v>27296401.22945838</v>
      </c>
      <c r="S242" s="14">
        <v>3995.6029377845221</v>
      </c>
      <c r="T242" s="85">
        <f>(S242-AVERAGE(S$109:S$130))^2</f>
        <v>5834169.3096109638</v>
      </c>
      <c r="U242" s="14">
        <f>SQRT(T$103*(1/R$103+T242/U$103))</f>
        <v>2019.9214589791804</v>
      </c>
      <c r="V242" s="203">
        <f>TINV(0.05,20)</f>
        <v>2.0859634472658648</v>
      </c>
      <c r="W242" s="14">
        <f>U242*V242</f>
        <v>4213.482329778506</v>
      </c>
      <c r="X242" s="14">
        <f>S$65+S$66*S242</f>
        <v>12924.162837667887</v>
      </c>
      <c r="Y242" s="41">
        <f>X242+W242</f>
        <v>17137.645167446393</v>
      </c>
      <c r="Z242" s="41">
        <f>X242-W242</f>
        <v>8710.6805078893813</v>
      </c>
      <c r="AC242" s="85"/>
      <c r="AD242" s="14"/>
      <c r="AE242" s="85"/>
      <c r="AF242" s="14"/>
      <c r="AG242" s="203"/>
      <c r="AH242" s="14"/>
      <c r="AI242" s="14"/>
      <c r="AJ242" s="41"/>
      <c r="AK242" s="41"/>
    </row>
    <row r="243" spans="18:37" x14ac:dyDescent="0.2">
      <c r="R243" s="85"/>
      <c r="S243" s="14"/>
      <c r="T243" s="85"/>
      <c r="U243" s="14"/>
      <c r="V243" s="203"/>
      <c r="W243" s="14"/>
      <c r="X243" s="14"/>
      <c r="Y243" s="41"/>
      <c r="Z243" s="41"/>
      <c r="AC243" s="85"/>
      <c r="AD243" s="14"/>
      <c r="AE243" s="85"/>
      <c r="AF243" s="14"/>
      <c r="AG243" s="203"/>
      <c r="AH243" s="14"/>
      <c r="AI243" s="14"/>
      <c r="AJ243" s="41"/>
      <c r="AK243" s="41"/>
    </row>
    <row r="244" spans="18:37" x14ac:dyDescent="0.2">
      <c r="R244" s="85"/>
      <c r="S244" s="14"/>
      <c r="T244" s="85"/>
      <c r="U244" s="14"/>
      <c r="V244" s="203"/>
      <c r="W244" s="14"/>
      <c r="X244" s="14"/>
      <c r="Y244" s="41"/>
      <c r="Z244" s="41"/>
      <c r="AC244" s="85"/>
      <c r="AD244" s="14"/>
      <c r="AE244" s="85"/>
      <c r="AF244" s="14"/>
      <c r="AG244" s="203"/>
      <c r="AH244" s="14"/>
      <c r="AI244" s="14"/>
      <c r="AJ244" s="41"/>
      <c r="AK244" s="41"/>
    </row>
    <row r="245" spans="18:37" x14ac:dyDescent="0.2">
      <c r="R245" s="85"/>
      <c r="S245" s="14"/>
      <c r="T245" s="85"/>
      <c r="U245" s="14"/>
      <c r="V245" s="203"/>
      <c r="W245" s="14"/>
      <c r="X245" s="14"/>
      <c r="Y245" s="41"/>
      <c r="Z245" s="41"/>
      <c r="AC245" s="85"/>
      <c r="AD245" s="14"/>
      <c r="AE245" s="85"/>
      <c r="AF245" s="14"/>
      <c r="AG245" s="203"/>
      <c r="AH245" s="14"/>
      <c r="AI245" s="14"/>
      <c r="AJ245" s="41"/>
      <c r="AK245" s="41"/>
    </row>
    <row r="246" spans="18:37" x14ac:dyDescent="0.2">
      <c r="R246" s="85"/>
      <c r="S246" s="14"/>
      <c r="T246" s="85"/>
      <c r="U246" s="14"/>
      <c r="V246" s="203"/>
      <c r="W246" s="14"/>
      <c r="X246" s="14"/>
      <c r="Y246" s="41"/>
      <c r="Z246" s="41"/>
      <c r="AC246" s="85"/>
      <c r="AD246" s="14"/>
      <c r="AE246" s="85"/>
      <c r="AF246" s="14"/>
      <c r="AG246" s="203"/>
      <c r="AH246" s="14"/>
      <c r="AI246" s="14"/>
      <c r="AJ246" s="41"/>
      <c r="AK246" s="41"/>
    </row>
    <row r="247" spans="18:37" x14ac:dyDescent="0.2">
      <c r="R247" s="85"/>
      <c r="S247" s="14"/>
      <c r="T247" s="85"/>
      <c r="U247" s="14"/>
      <c r="V247" s="203"/>
      <c r="W247" s="14"/>
      <c r="X247" s="14"/>
      <c r="Y247" s="41"/>
      <c r="Z247" s="41"/>
      <c r="AC247" s="85"/>
      <c r="AD247" s="14"/>
      <c r="AE247" s="85"/>
      <c r="AF247" s="14"/>
      <c r="AG247" s="203"/>
      <c r="AH247" s="14"/>
      <c r="AI247" s="14"/>
      <c r="AJ247" s="41"/>
      <c r="AK247" s="41"/>
    </row>
    <row r="248" spans="18:37" x14ac:dyDescent="0.2">
      <c r="R248" s="85"/>
      <c r="S248" s="14"/>
      <c r="T248" s="85"/>
      <c r="U248" s="14"/>
      <c r="V248" s="203"/>
      <c r="W248" s="14"/>
      <c r="X248" s="14"/>
      <c r="Y248" s="41"/>
      <c r="Z248" s="41"/>
      <c r="AC248" s="85"/>
      <c r="AD248" s="14"/>
      <c r="AE248" s="85"/>
      <c r="AF248" s="14"/>
      <c r="AG248" s="203"/>
      <c r="AH248" s="14"/>
      <c r="AI248" s="14"/>
      <c r="AJ248" s="41"/>
      <c r="AK248" s="41"/>
    </row>
    <row r="249" spans="18:37" x14ac:dyDescent="0.2">
      <c r="R249" s="85"/>
      <c r="S249" s="14"/>
      <c r="T249" s="85"/>
      <c r="U249" s="14"/>
      <c r="V249" s="203"/>
      <c r="W249" s="14"/>
      <c r="X249" s="14"/>
      <c r="Y249" s="41"/>
      <c r="Z249" s="41"/>
      <c r="AC249" s="85"/>
      <c r="AD249" s="14"/>
      <c r="AE249" s="85"/>
      <c r="AF249" s="14"/>
      <c r="AG249" s="203"/>
      <c r="AH249" s="14"/>
      <c r="AI249" s="14"/>
      <c r="AJ249" s="41"/>
      <c r="AK249" s="41"/>
    </row>
    <row r="250" spans="18:37" x14ac:dyDescent="0.2">
      <c r="R250" s="85"/>
      <c r="S250" s="14"/>
      <c r="T250" s="85"/>
      <c r="U250" s="14"/>
      <c r="V250" s="203"/>
      <c r="W250" s="14"/>
      <c r="X250" s="14"/>
      <c r="Y250" s="41"/>
      <c r="Z250" s="41"/>
      <c r="AC250" s="85"/>
      <c r="AD250" s="14"/>
      <c r="AE250" s="85"/>
      <c r="AF250" s="14"/>
      <c r="AG250" s="203"/>
      <c r="AH250" s="14"/>
      <c r="AI250" s="14"/>
      <c r="AJ250" s="41"/>
      <c r="AK250" s="41"/>
    </row>
    <row r="251" spans="18:37" x14ac:dyDescent="0.2">
      <c r="R251" s="85"/>
      <c r="S251" s="14"/>
      <c r="T251" s="85"/>
      <c r="U251" s="14"/>
      <c r="V251" s="203"/>
      <c r="W251" s="14"/>
      <c r="X251" s="14"/>
      <c r="Y251" s="41"/>
      <c r="Z251" s="41"/>
      <c r="AC251" s="85"/>
      <c r="AD251" s="14"/>
      <c r="AE251" s="85"/>
      <c r="AF251" s="14"/>
      <c r="AG251" s="203"/>
      <c r="AH251" s="14"/>
      <c r="AI251" s="14"/>
      <c r="AJ251" s="41"/>
      <c r="AK251" s="41"/>
    </row>
    <row r="252" spans="18:37" x14ac:dyDescent="0.2">
      <c r="R252" s="85"/>
      <c r="S252" s="14"/>
      <c r="T252" s="85"/>
      <c r="U252" s="14"/>
      <c r="V252" s="203"/>
      <c r="W252" s="14"/>
      <c r="X252" s="14"/>
      <c r="Y252" s="41"/>
      <c r="Z252" s="41"/>
      <c r="AC252" s="85"/>
      <c r="AD252" s="14"/>
      <c r="AE252" s="85"/>
      <c r="AF252" s="14"/>
      <c r="AG252" s="203"/>
      <c r="AH252" s="14"/>
      <c r="AI252" s="14"/>
      <c r="AJ252" s="41"/>
      <c r="AK252" s="41"/>
    </row>
    <row r="253" spans="18:37" x14ac:dyDescent="0.2">
      <c r="R253" s="85"/>
      <c r="S253" s="14"/>
      <c r="T253" s="85"/>
      <c r="U253" s="14"/>
      <c r="V253" s="203"/>
      <c r="W253" s="14"/>
      <c r="X253" s="14"/>
      <c r="Y253" s="41"/>
      <c r="Z253" s="41"/>
      <c r="AC253" s="85"/>
      <c r="AD253" s="14"/>
      <c r="AE253" s="85"/>
      <c r="AF253" s="14"/>
      <c r="AG253" s="203"/>
      <c r="AH253" s="14"/>
      <c r="AI253" s="14"/>
      <c r="AJ253" s="41"/>
      <c r="AK253" s="41"/>
    </row>
    <row r="254" spans="18:37" x14ac:dyDescent="0.2">
      <c r="R254" s="85"/>
      <c r="S254" s="14"/>
      <c r="T254" s="85"/>
      <c r="U254" s="14"/>
      <c r="V254" s="203"/>
      <c r="W254" s="14"/>
      <c r="X254" s="14"/>
      <c r="Y254" s="41"/>
      <c r="Z254" s="41"/>
      <c r="AC254" s="85"/>
      <c r="AD254" s="14"/>
      <c r="AE254" s="85"/>
      <c r="AF254" s="14"/>
      <c r="AG254" s="203"/>
      <c r="AH254" s="14"/>
      <c r="AI254" s="14"/>
      <c r="AJ254" s="41"/>
      <c r="AK254" s="41"/>
    </row>
    <row r="255" spans="18:37" x14ac:dyDescent="0.2">
      <c r="R255" s="85"/>
      <c r="S255" s="14"/>
      <c r="T255" s="85"/>
      <c r="U255" s="14"/>
      <c r="V255" s="203"/>
      <c r="W255" s="14"/>
      <c r="X255" s="14"/>
      <c r="Y255" s="41"/>
      <c r="Z255" s="41"/>
      <c r="AC255" s="85"/>
      <c r="AD255" s="14"/>
      <c r="AE255" s="85"/>
      <c r="AF255" s="14"/>
      <c r="AG255" s="203"/>
      <c r="AH255" s="14"/>
      <c r="AI255" s="14"/>
      <c r="AJ255" s="41"/>
      <c r="AK255" s="41"/>
    </row>
    <row r="256" spans="18:37" x14ac:dyDescent="0.2">
      <c r="R256" s="85"/>
      <c r="S256" s="14"/>
      <c r="T256" s="85"/>
      <c r="U256" s="14"/>
      <c r="V256" s="203"/>
      <c r="W256" s="14"/>
      <c r="X256" s="14"/>
      <c r="Y256" s="41"/>
      <c r="Z256" s="41"/>
      <c r="AC256" s="85"/>
      <c r="AD256" s="14"/>
      <c r="AE256" s="85"/>
      <c r="AF256" s="14"/>
      <c r="AG256" s="203"/>
      <c r="AH256" s="14"/>
      <c r="AI256" s="14"/>
      <c r="AJ256" s="41"/>
      <c r="AK256" s="41"/>
    </row>
    <row r="257" spans="18:37" x14ac:dyDescent="0.2">
      <c r="R257" s="85"/>
      <c r="S257" s="14"/>
      <c r="T257" s="85"/>
      <c r="U257" s="14"/>
      <c r="V257" s="203"/>
      <c r="W257" s="14"/>
      <c r="X257" s="14"/>
      <c r="Y257" s="41"/>
      <c r="Z257" s="41"/>
      <c r="AC257" s="85"/>
      <c r="AD257" s="14"/>
      <c r="AE257" s="85"/>
      <c r="AF257" s="14"/>
      <c r="AG257" s="203"/>
      <c r="AH257" s="14"/>
      <c r="AI257" s="14"/>
      <c r="AJ257" s="41"/>
      <c r="AK257" s="41"/>
    </row>
    <row r="258" spans="18:37" x14ac:dyDescent="0.2">
      <c r="R258" s="85"/>
      <c r="S258" s="14"/>
      <c r="T258" s="85"/>
      <c r="U258" s="14"/>
      <c r="V258" s="203"/>
      <c r="W258" s="14"/>
      <c r="X258" s="14"/>
      <c r="Y258" s="41"/>
      <c r="Z258" s="41"/>
      <c r="AC258" s="85"/>
      <c r="AD258" s="14"/>
      <c r="AE258" s="85"/>
      <c r="AF258" s="14"/>
      <c r="AG258" s="203"/>
      <c r="AH258" s="14"/>
      <c r="AI258" s="14"/>
      <c r="AJ258" s="41"/>
      <c r="AK258" s="41"/>
    </row>
    <row r="259" spans="18:37" x14ac:dyDescent="0.2">
      <c r="R259" s="85"/>
      <c r="S259" s="14"/>
      <c r="T259" s="85"/>
      <c r="U259" s="14"/>
      <c r="V259" s="203"/>
      <c r="W259" s="14"/>
      <c r="X259" s="14"/>
      <c r="Y259" s="41"/>
      <c r="Z259" s="41"/>
      <c r="AC259" s="85"/>
      <c r="AD259" s="14"/>
      <c r="AE259" s="14"/>
      <c r="AF259" s="14"/>
      <c r="AG259" s="203"/>
      <c r="AH259" s="14"/>
      <c r="AI259" s="14"/>
      <c r="AJ259" s="41"/>
      <c r="AK259" s="41"/>
    </row>
    <row r="260" spans="18:37" x14ac:dyDescent="0.2">
      <c r="R260" s="84"/>
      <c r="T260" s="85"/>
      <c r="U260" s="14"/>
    </row>
  </sheetData>
  <phoneticPr fontId="0" type="noConversion"/>
  <pageMargins left="0.75" right="0.75" top="1" bottom="1" header="0.5" footer="0.5"/>
  <pageSetup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runsiblings</vt:lpstr>
      <vt:lpstr>Master</vt:lpstr>
      <vt:lpstr>old forecasts</vt:lpstr>
      <vt:lpstr>siblings correlation</vt:lpstr>
      <vt:lpstr>Master!Print_Area</vt:lpstr>
      <vt:lpstr>'old forecasts'!Print_Area</vt:lpstr>
    </vt:vector>
  </TitlesOfParts>
  <Company>ADFG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dc:creator>
  <cp:lastModifiedBy>Reimer, Adam M (DFG)</cp:lastModifiedBy>
  <cp:lastPrinted>2015-01-15T20:03:22Z</cp:lastPrinted>
  <dcterms:created xsi:type="dcterms:W3CDTF">2000-11-13T21:19:14Z</dcterms:created>
  <dcterms:modified xsi:type="dcterms:W3CDTF">2018-01-19T21:02:09Z</dcterms:modified>
</cp:coreProperties>
</file>