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pgadev\usrp3\top\n3xx\doc\"/>
    </mc:Choice>
  </mc:AlternateContent>
  <bookViews>
    <workbookView xWindow="0" yWindow="0" windowWidth="28800" windowHeight="11610" firstSheet="1" activeTab="1"/>
  </bookViews>
  <sheets>
    <sheet name="Copy of PPS Timing Closure" sheetId="1" state="hidden" r:id="rId1"/>
    <sheet name="Ext PPS Capture" sheetId="2" r:id="rId2"/>
    <sheet name="GPS PPS Capture" sheetId="3" r:id="rId3"/>
  </sheets>
  <calcPr calcId="171027"/>
</workbook>
</file>

<file path=xl/calcChain.xml><?xml version="1.0" encoding="utf-8"?>
<calcChain xmlns="http://schemas.openxmlformats.org/spreadsheetml/2006/main">
  <c r="B39" i="3" l="1"/>
  <c r="C35" i="3"/>
  <c r="B35" i="3"/>
  <c r="B30" i="3"/>
  <c r="C30" i="3" s="1"/>
  <c r="B24" i="3"/>
  <c r="B22" i="3"/>
  <c r="C20" i="3"/>
  <c r="B20" i="3"/>
  <c r="B15" i="3"/>
  <c r="C15" i="3" s="1"/>
  <c r="I9" i="3"/>
  <c r="B38" i="3" s="1"/>
  <c r="H9" i="3"/>
  <c r="B23" i="3" s="1"/>
  <c r="G9" i="3"/>
  <c r="I8" i="3"/>
  <c r="H8" i="3"/>
  <c r="I7" i="3"/>
  <c r="B36" i="3" s="1"/>
  <c r="H7" i="3"/>
  <c r="B21" i="3" s="1"/>
  <c r="I4" i="3"/>
  <c r="H4" i="3"/>
  <c r="B4" i="3"/>
  <c r="I3" i="3"/>
  <c r="B16" i="3" s="1"/>
  <c r="H3" i="3"/>
  <c r="B31" i="3" s="1"/>
  <c r="B47" i="2"/>
  <c r="C43" i="2"/>
  <c r="B43" i="2"/>
  <c r="C42" i="2"/>
  <c r="B42" i="2"/>
  <c r="B37" i="2"/>
  <c r="B35" i="2"/>
  <c r="B34" i="2"/>
  <c r="C34" i="2" s="1"/>
  <c r="C35" i="2" s="1"/>
  <c r="B28" i="2"/>
  <c r="B26" i="2"/>
  <c r="B24" i="2"/>
  <c r="B23" i="2"/>
  <c r="C23" i="2" s="1"/>
  <c r="C24" i="2" s="1"/>
  <c r="B19" i="2"/>
  <c r="B16" i="2"/>
  <c r="B15" i="2"/>
  <c r="C15" i="2" s="1"/>
  <c r="C16" i="2" s="1"/>
  <c r="I9" i="2"/>
  <c r="B46" i="2" s="1"/>
  <c r="H9" i="2"/>
  <c r="B27" i="2" s="1"/>
  <c r="G9" i="2"/>
  <c r="I8" i="2"/>
  <c r="H8" i="2"/>
  <c r="G7" i="2"/>
  <c r="H7" i="2" s="1"/>
  <c r="B25" i="2" s="1"/>
  <c r="I5" i="2"/>
  <c r="H5" i="2"/>
  <c r="I4" i="2"/>
  <c r="H4" i="2"/>
  <c r="B38" i="2" s="1"/>
  <c r="B4" i="2"/>
  <c r="I3" i="2"/>
  <c r="B17" i="2" s="1"/>
  <c r="H3" i="2"/>
  <c r="B36" i="2" s="1"/>
  <c r="E37" i="1"/>
  <c r="D37" i="1"/>
  <c r="E36" i="1"/>
  <c r="D36" i="1"/>
  <c r="E34" i="1"/>
  <c r="D34" i="1"/>
  <c r="E33" i="1"/>
  <c r="D33" i="1"/>
  <c r="E32" i="1"/>
  <c r="E38" i="1" s="1"/>
  <c r="D32" i="1"/>
  <c r="D38" i="1" s="1"/>
  <c r="D28" i="1"/>
  <c r="J12" i="1" s="1"/>
  <c r="E27" i="1"/>
  <c r="E28" i="1" s="1"/>
  <c r="I12" i="1" s="1"/>
  <c r="I13" i="1" s="1"/>
  <c r="J15" i="1" s="1"/>
  <c r="D27" i="1"/>
  <c r="E21" i="1"/>
  <c r="D21" i="1"/>
  <c r="E20" i="1"/>
  <c r="D20" i="1"/>
  <c r="E18" i="1"/>
  <c r="D18" i="1"/>
  <c r="E17" i="1"/>
  <c r="D17" i="1"/>
  <c r="E16" i="1"/>
  <c r="E22" i="1" s="1"/>
  <c r="D16" i="1"/>
  <c r="D22" i="1" s="1"/>
  <c r="E11" i="1"/>
  <c r="E12" i="1" s="1"/>
  <c r="I4" i="1" s="1"/>
  <c r="I5" i="1" s="1"/>
  <c r="J7" i="1" s="1"/>
  <c r="D11" i="1"/>
  <c r="D12" i="1" s="1"/>
  <c r="J4" i="1" s="1"/>
  <c r="J5" i="1" s="1"/>
  <c r="E10" i="1"/>
  <c r="D10" i="1"/>
  <c r="E8" i="1"/>
  <c r="D8" i="1"/>
  <c r="B4" i="1"/>
  <c r="C21" i="3" l="1"/>
  <c r="C22" i="3" s="1"/>
  <c r="C23" i="3" s="1"/>
  <c r="C24" i="3" s="1"/>
  <c r="C25" i="3" s="1"/>
  <c r="C36" i="2"/>
  <c r="C37" i="2" s="1"/>
  <c r="C38" i="2" s="1"/>
  <c r="C39" i="2" s="1"/>
  <c r="J13" i="1"/>
  <c r="C17" i="2"/>
  <c r="C18" i="2" s="1"/>
  <c r="C19" i="2" s="1"/>
  <c r="C20" i="2" s="1"/>
  <c r="C31" i="3"/>
  <c r="C32" i="3" s="1"/>
  <c r="C41" i="3" s="1"/>
  <c r="I6" i="1"/>
  <c r="I7" i="1"/>
  <c r="C36" i="3"/>
  <c r="C37" i="3" s="1"/>
  <c r="C38" i="3" s="1"/>
  <c r="C39" i="3" s="1"/>
  <c r="C40" i="3" s="1"/>
  <c r="C25" i="2"/>
  <c r="C26" i="2" s="1"/>
  <c r="C27" i="2" s="1"/>
  <c r="C28" i="2" s="1"/>
  <c r="C29" i="2" s="1"/>
  <c r="C30" i="2" s="1"/>
  <c r="L7" i="2" s="1"/>
  <c r="C16" i="3"/>
  <c r="C17" i="3" s="1"/>
  <c r="I7" i="2"/>
  <c r="B44" i="2" s="1"/>
  <c r="C44" i="2" s="1"/>
  <c r="C45" i="2" s="1"/>
  <c r="C46" i="2" s="1"/>
  <c r="C47" i="2" s="1"/>
  <c r="C48" i="2" s="1"/>
  <c r="L6" i="3" l="1"/>
  <c r="L8" i="3"/>
  <c r="I15" i="1"/>
  <c r="I14" i="1"/>
  <c r="C49" i="2"/>
  <c r="L5" i="2"/>
  <c r="C26" i="3"/>
  <c r="L7" i="3" l="1"/>
  <c r="L5" i="3"/>
  <c r="L6" i="2"/>
  <c r="L8" i="2"/>
</calcChain>
</file>

<file path=xl/sharedStrings.xml><?xml version="1.0" encoding="utf-8"?>
<sst xmlns="http://schemas.openxmlformats.org/spreadsheetml/2006/main" count="295" uniqueCount="133">
  <si>
    <t>Delay Min</t>
  </si>
  <si>
    <t>ns/inch</t>
  </si>
  <si>
    <t>all values updated for Rev C on 6/11</t>
  </si>
  <si>
    <t>System Delays / Constraints</t>
  </si>
  <si>
    <t>PPS Input</t>
  </si>
  <si>
    <t>Delay Max</t>
  </si>
  <si>
    <t>Item</t>
  </si>
  <si>
    <t>Trace Constants</t>
  </si>
  <si>
    <t>Setup</t>
  </si>
  <si>
    <t>Hold</t>
  </si>
  <si>
    <t>Notes</t>
  </si>
  <si>
    <t>Trace Delay Min</t>
  </si>
  <si>
    <t>RefClk Rate</t>
  </si>
  <si>
    <t>MHz</t>
  </si>
  <si>
    <t>Spec at N310 Connectors</t>
  </si>
  <si>
    <t>ps/inch</t>
  </si>
  <si>
    <t>PPS</t>
  </si>
  <si>
    <t>length (mils)</t>
  </si>
  <si>
    <t>delay min (ns)</t>
  </si>
  <si>
    <t>delay max (ns)</t>
  </si>
  <si>
    <t>Trace Delay Max</t>
  </si>
  <si>
    <t>J21 to U24.3</t>
  </si>
  <si>
    <t>imaginary spec</t>
  </si>
  <si>
    <t>from compile tests, this gives us 0.5 ns of setup and hold slack in the tools</t>
  </si>
  <si>
    <t>RefClk Period</t>
  </si>
  <si>
    <t>U20.4 to R242</t>
  </si>
  <si>
    <t>ns</t>
  </si>
  <si>
    <t>Margin at FPGA (data only)</t>
  </si>
  <si>
    <t>taking into account data skew</t>
  </si>
  <si>
    <t>Margin at FPGA (with clock)</t>
  </si>
  <si>
    <t>U24.3 to R265</t>
  </si>
  <si>
    <t>R242 to U1.W30</t>
  </si>
  <si>
    <t>Summary</t>
  </si>
  <si>
    <t>PPS Launch Edge</t>
  </si>
  <si>
    <t>taking ino account clk skew</t>
  </si>
  <si>
    <t>PPS In (Connector to FPGA) - "data"</t>
  </si>
  <si>
    <t>launch on RE</t>
  </si>
  <si>
    <t>R265 to U1.U24</t>
  </si>
  <si>
    <t>Input Delay (max)</t>
  </si>
  <si>
    <t>Valid Window at FPGA</t>
  </si>
  <si>
    <t>give these min/max numbers to vivado, and see what it says</t>
  </si>
  <si>
    <t>PPS Capture Edge at FPGA</t>
  </si>
  <si>
    <t>latch on RE</t>
  </si>
  <si>
    <t>Clock</t>
  </si>
  <si>
    <t>Input Delay (min)</t>
  </si>
  <si>
    <t>window at FPGA</t>
  </si>
  <si>
    <t>requires a phase shift of 15.958 degrees forward for rev B</t>
  </si>
  <si>
    <t>PPS Setup at GPSDO</t>
  </si>
  <si>
    <t>from</t>
  </si>
  <si>
    <t>U20.6 to U19.4</t>
  </si>
  <si>
    <t>to</t>
  </si>
  <si>
    <t>trace</t>
  </si>
  <si>
    <t>min</t>
  </si>
  <si>
    <t>max</t>
  </si>
  <si>
    <t>notes</t>
  </si>
  <si>
    <t>Input Delay Constraint</t>
  </si>
  <si>
    <t>PPS Setup at MB Conn</t>
  </si>
  <si>
    <t>imaginary</t>
  </si>
  <si>
    <t>J18 to T1</t>
  </si>
  <si>
    <t>Setup Slack</t>
  </si>
  <si>
    <t>min/max, max depends on refclk period</t>
  </si>
  <si>
    <t>J24</t>
  </si>
  <si>
    <t>U24.3</t>
  </si>
  <si>
    <t>it's OK for these numbers not to be positive, since Vivado handles all the timing internal to the part</t>
  </si>
  <si>
    <t>PPS Hold at GPSDO</t>
  </si>
  <si>
    <t>U19.6 to U17.16</t>
  </si>
  <si>
    <t>Hold Slack</t>
  </si>
  <si>
    <t>PPS Hold at MB Conn</t>
  </si>
  <si>
    <t>T1 to U17.13</t>
  </si>
  <si>
    <t>instead the important thing is, given the input delay min/max, for Vivado to meet timing on these paths</t>
  </si>
  <si>
    <t>U17.1 to U1.AC18</t>
  </si>
  <si>
    <t>NC7SV157 @ 3.3V, 30 pF Capacitive load</t>
  </si>
  <si>
    <t>U24.4</t>
  </si>
  <si>
    <t>Panel to MB Cable Length</t>
  </si>
  <si>
    <t>n.a</t>
  </si>
  <si>
    <t>Clock Uncertainty</t>
  </si>
  <si>
    <t>inches</t>
  </si>
  <si>
    <t>GPS PPS</t>
  </si>
  <si>
    <t>setup (fast capture clock, slow data)</t>
  </si>
  <si>
    <t>Data Path (max/slow)</t>
  </si>
  <si>
    <t>R275</t>
  </si>
  <si>
    <t>incr</t>
  </si>
  <si>
    <t>path</t>
  </si>
  <si>
    <t>comment</t>
  </si>
  <si>
    <t>PPS setup before RefClk RE</t>
  </si>
  <si>
    <t>16 ohm resistor</t>
  </si>
  <si>
    <t>gpsdo to fpga</t>
  </si>
  <si>
    <t>U1E.U24</t>
  </si>
  <si>
    <t>cable delay</t>
  </si>
  <si>
    <t>Spec at GPS Outputs</t>
  </si>
  <si>
    <t>Arrival Time</t>
  </si>
  <si>
    <t>from Jackson Labs spec</t>
  </si>
  <si>
    <t>total</t>
  </si>
  <si>
    <t>input to buffer</t>
  </si>
  <si>
    <t>Destination Clock Path (min/fst)</t>
  </si>
  <si>
    <t>RefClk RE</t>
  </si>
  <si>
    <t>buffer delay</t>
  </si>
  <si>
    <t>gpsdo to buffer</t>
  </si>
  <si>
    <t>buffer to fpga</t>
  </si>
  <si>
    <t>LMK00725 t_PD</t>
  </si>
  <si>
    <t>clock uncertainty</t>
  </si>
  <si>
    <t>Required Time</t>
  </si>
  <si>
    <t>Required - Arrival Time</t>
  </si>
  <si>
    <t>Reference Clock In (Connector to FPGA) - "clock"</t>
  </si>
  <si>
    <t>hold (slow capture clock, fast data)</t>
  </si>
  <si>
    <t>Data Path (min)</t>
  </si>
  <si>
    <t>PPS hold after RefClk RE</t>
  </si>
  <si>
    <t>Destination Clock Path (max)</t>
  </si>
  <si>
    <t>J21</t>
  </si>
  <si>
    <t>C169</t>
  </si>
  <si>
    <t>T1</t>
  </si>
  <si>
    <t>max is latest data can change from the earliest the clock can rise</t>
  </si>
  <si>
    <t>U17.13</t>
  </si>
  <si>
    <t>Arrival - Required</t>
  </si>
  <si>
    <t>min is the earliest the data can change from the latest the clock can rise</t>
  </si>
  <si>
    <t>U17.1</t>
  </si>
  <si>
    <t>LMK00725</t>
  </si>
  <si>
    <t>C188</t>
  </si>
  <si>
    <t>U1D.AE28</t>
  </si>
  <si>
    <t>NC7SV157</t>
  </si>
  <si>
    <t>U15.4</t>
  </si>
  <si>
    <t>U1E.W28</t>
  </si>
  <si>
    <t>GPS Reference Clock</t>
  </si>
  <si>
    <t>U15.6</t>
  </si>
  <si>
    <t>C193</t>
  </si>
  <si>
    <t>C194</t>
  </si>
  <si>
    <t>U13.11</t>
  </si>
  <si>
    <t>U13.29</t>
  </si>
  <si>
    <t>n/a</t>
  </si>
  <si>
    <t>no spec, but the input is inverted!</t>
  </si>
  <si>
    <t>R205</t>
  </si>
  <si>
    <t>U1E.U26</t>
  </si>
  <si>
    <t>LMK00304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</si>
</sst>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0" borderId="4" xfId="0" applyFont="1" applyBorder="1" applyAlignment="1"/>
    <xf numFmtId="0" fontId="2" fillId="5" borderId="4" xfId="0" applyFont="1" applyFill="1" applyBorder="1" applyAlignment="1"/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/>
    <xf numFmtId="164" fontId="1" fillId="6" borderId="4" xfId="0" applyNumberFormat="1" applyFont="1" applyFill="1" applyBorder="1"/>
    <xf numFmtId="0" fontId="1" fillId="0" borderId="4" xfId="0" applyFont="1" applyBorder="1" applyAlignment="1">
      <alignment horizontal="center"/>
    </xf>
    <xf numFmtId="0" fontId="2" fillId="0" borderId="0" xfId="0" applyFont="1" applyAlignment="1"/>
    <xf numFmtId="164" fontId="2" fillId="0" borderId="4" xfId="0" applyNumberFormat="1" applyFont="1" applyBorder="1"/>
    <xf numFmtId="164" fontId="1" fillId="0" borderId="0" xfId="0" applyNumberFormat="1" applyFont="1"/>
    <xf numFmtId="164" fontId="1" fillId="0" borderId="0" xfId="0" applyNumberFormat="1" applyFont="1" applyAlignment="1"/>
    <xf numFmtId="0" fontId="2" fillId="9" borderId="0" xfId="0" applyFont="1" applyFill="1" applyAlignment="1"/>
    <xf numFmtId="0" fontId="1" fillId="9" borderId="0" xfId="0" applyFont="1" applyFill="1" applyAlignment="1"/>
    <xf numFmtId="0" fontId="2" fillId="8" borderId="4" xfId="0" applyFont="1" applyFill="1" applyBorder="1" applyAlignment="1"/>
    <xf numFmtId="0" fontId="1" fillId="8" borderId="4" xfId="0" applyFont="1" applyFill="1" applyBorder="1" applyAlignment="1"/>
    <xf numFmtId="0" fontId="4" fillId="0" borderId="0" xfId="0" applyFont="1" applyAlignment="1"/>
    <xf numFmtId="164" fontId="2" fillId="0" borderId="0" xfId="0" applyNumberFormat="1" applyFont="1"/>
    <xf numFmtId="0" fontId="1" fillId="8" borderId="4" xfId="0" applyFont="1" applyFill="1" applyBorder="1"/>
    <xf numFmtId="164" fontId="1" fillId="8" borderId="4" xfId="0" applyNumberFormat="1" applyFont="1" applyFill="1" applyBorder="1"/>
    <xf numFmtId="0" fontId="1" fillId="9" borderId="0" xfId="0" applyFont="1" applyFill="1"/>
    <xf numFmtId="0" fontId="3" fillId="9" borderId="0" xfId="0" applyFont="1" applyFill="1" applyAlignment="1"/>
    <xf numFmtId="164" fontId="2" fillId="8" borderId="4" xfId="0" applyNumberFormat="1" applyFont="1" applyFill="1" applyBorder="1"/>
    <xf numFmtId="0" fontId="2" fillId="8" borderId="0" xfId="0" applyFont="1" applyFill="1" applyAlignment="1"/>
    <xf numFmtId="0" fontId="1" fillId="8" borderId="0" xfId="0" applyFont="1" applyFill="1" applyAlignment="1"/>
    <xf numFmtId="164" fontId="1" fillId="8" borderId="0" xfId="0" applyNumberFormat="1" applyFont="1" applyFill="1"/>
    <xf numFmtId="164" fontId="1" fillId="8" borderId="0" xfId="0" applyNumberFormat="1" applyFont="1" applyFill="1" applyAlignment="1"/>
    <xf numFmtId="0" fontId="1" fillId="8" borderId="0" xfId="0" applyFont="1" applyFill="1"/>
    <xf numFmtId="164" fontId="1" fillId="2" borderId="1" xfId="0" applyNumberFormat="1" applyFont="1" applyFill="1" applyBorder="1" applyAlignment="1">
      <alignment horizontal="center"/>
    </xf>
    <xf numFmtId="0" fontId="1" fillId="0" borderId="3" xfId="0" applyFont="1" applyBorder="1"/>
    <xf numFmtId="0" fontId="2" fillId="8" borderId="1" xfId="0" applyFont="1" applyFill="1" applyBorder="1" applyAlignment="1">
      <alignment horizontal="center"/>
    </xf>
    <xf numFmtId="0" fontId="1" fillId="0" borderId="2" xfId="0" applyFont="1" applyBorder="1"/>
    <xf numFmtId="164" fontId="1" fillId="8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50</xdr:row>
      <xdr:rowOff>0</xdr:rowOff>
    </xdr:from>
    <xdr:to>
      <xdr:col>13</xdr:col>
      <xdr:colOff>114300</xdr:colOff>
      <xdr:row>63</xdr:row>
      <xdr:rowOff>114300</xdr:rowOff>
    </xdr:to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86600" cy="271462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0</xdr:colOff>
      <xdr:row>21</xdr:row>
      <xdr:rowOff>190500</xdr:rowOff>
    </xdr:from>
    <xdr:to>
      <xdr:col>13</xdr:col>
      <xdr:colOff>581025</xdr:colOff>
      <xdr:row>31</xdr:row>
      <xdr:rowOff>142875</xdr:rowOff>
    </xdr:to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7610475" cy="19526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1228725</xdr:colOff>
      <xdr:row>33</xdr:row>
      <xdr:rowOff>28575</xdr:rowOff>
    </xdr:from>
    <xdr:to>
      <xdr:col>12</xdr:col>
      <xdr:colOff>847725</xdr:colOff>
      <xdr:row>49</xdr:row>
      <xdr:rowOff>0</xdr:rowOff>
    </xdr:to>
    <xdr:pic>
      <xdr:nvPicPr>
        <xdr:cNvPr id="4" name="image5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934200" cy="31718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17</xdr:row>
      <xdr:rowOff>38100</xdr:rowOff>
    </xdr:from>
    <xdr:to>
      <xdr:col>11</xdr:col>
      <xdr:colOff>695325</xdr:colOff>
      <xdr:row>30</xdr:row>
      <xdr:rowOff>180975</xdr:rowOff>
    </xdr:to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48350" y="3438525"/>
          <a:ext cx="5638800" cy="27432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514350</xdr:colOff>
      <xdr:row>12</xdr:row>
      <xdr:rowOff>47625</xdr:rowOff>
    </xdr:from>
    <xdr:to>
      <xdr:col>12</xdr:col>
      <xdr:colOff>5334000</xdr:colOff>
      <xdr:row>38</xdr:row>
      <xdr:rowOff>9525</xdr:rowOff>
    </xdr:to>
    <xdr:pic>
      <xdr:nvPicPr>
        <xdr:cNvPr id="3" name="image3.jp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06025" y="2447925"/>
          <a:ext cx="6981825" cy="51625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1638300</xdr:colOff>
      <xdr:row>25</xdr:row>
      <xdr:rowOff>28575</xdr:rowOff>
    </xdr:from>
    <xdr:to>
      <xdr:col>14</xdr:col>
      <xdr:colOff>666750</xdr:colOff>
      <xdr:row>38</xdr:row>
      <xdr:rowOff>171450</xdr:rowOff>
    </xdr:to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638800" cy="27432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1123950</xdr:colOff>
      <xdr:row>16</xdr:row>
      <xdr:rowOff>47625</xdr:rowOff>
    </xdr:from>
    <xdr:to>
      <xdr:col>12</xdr:col>
      <xdr:colOff>1524000</xdr:colOff>
      <xdr:row>42</xdr:row>
      <xdr:rowOff>9525</xdr:rowOff>
    </xdr:to>
    <xdr:pic>
      <xdr:nvPicPr>
        <xdr:cNvPr id="3" name="image3.jp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981825" cy="51625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/>
  </sheetViews>
  <sheetFormatPr defaultColWidth="14.42578125" defaultRowHeight="15.75" customHeight="1" x14ac:dyDescent="0.2"/>
  <cols>
    <col min="1" max="1" width="13.42578125" customWidth="1"/>
    <col min="2" max="2" width="13.140625" customWidth="1"/>
    <col min="3" max="3" width="10.42578125" customWidth="1"/>
    <col min="4" max="5" width="6.7109375" customWidth="1"/>
    <col min="6" max="6" width="46.42578125" customWidth="1"/>
    <col min="7" max="7" width="18.7109375" customWidth="1"/>
    <col min="8" max="8" width="28.85546875" customWidth="1"/>
    <col min="9" max="10" width="7" customWidth="1"/>
    <col min="11" max="11" width="33.7109375" customWidth="1"/>
  </cols>
  <sheetData>
    <row r="1" spans="1:25" ht="15.75" customHeight="1" x14ac:dyDescent="0.2">
      <c r="A1" s="1" t="s">
        <v>0</v>
      </c>
      <c r="B1" s="1">
        <v>0.16</v>
      </c>
      <c r="C1" s="1" t="s">
        <v>1</v>
      </c>
      <c r="F1" s="2" t="s">
        <v>2</v>
      </c>
      <c r="H1" s="43" t="s">
        <v>4</v>
      </c>
      <c r="I1" s="37"/>
      <c r="J1" s="37"/>
      <c r="K1" s="35"/>
    </row>
    <row r="2" spans="1:25" ht="15.75" customHeight="1" x14ac:dyDescent="0.2">
      <c r="A2" s="1" t="s">
        <v>5</v>
      </c>
      <c r="B2" s="1">
        <v>0.17</v>
      </c>
      <c r="C2" s="1" t="s">
        <v>1</v>
      </c>
      <c r="D2" s="1"/>
      <c r="E2" s="1"/>
      <c r="F2" s="1"/>
      <c r="G2" s="1"/>
      <c r="H2" s="4" t="s">
        <v>6</v>
      </c>
      <c r="I2" s="4" t="s">
        <v>8</v>
      </c>
      <c r="J2" s="4" t="s">
        <v>9</v>
      </c>
      <c r="K2" s="4" t="s">
        <v>10</v>
      </c>
    </row>
    <row r="3" spans="1:25" ht="15.75" customHeight="1" x14ac:dyDescent="0.2">
      <c r="A3" s="1" t="s">
        <v>12</v>
      </c>
      <c r="B3" s="1">
        <v>10</v>
      </c>
      <c r="C3" s="1" t="s">
        <v>13</v>
      </c>
      <c r="D3" s="1"/>
      <c r="E3" s="1"/>
      <c r="F3" s="1"/>
      <c r="G3" s="1"/>
      <c r="H3" s="5" t="s">
        <v>14</v>
      </c>
      <c r="I3" s="5">
        <v>5</v>
      </c>
      <c r="J3" s="5">
        <v>5</v>
      </c>
      <c r="K3" s="5" t="s">
        <v>22</v>
      </c>
      <c r="L3" s="1" t="s">
        <v>23</v>
      </c>
    </row>
    <row r="4" spans="1:25" ht="15.75" customHeight="1" x14ac:dyDescent="0.2">
      <c r="A4" s="1" t="s">
        <v>24</v>
      </c>
      <c r="B4">
        <f>1000/B3</f>
        <v>100</v>
      </c>
      <c r="C4" s="1" t="s">
        <v>26</v>
      </c>
      <c r="D4" s="1"/>
      <c r="E4" s="1"/>
      <c r="F4" s="1"/>
      <c r="G4" s="1"/>
      <c r="H4" s="5" t="s">
        <v>27</v>
      </c>
      <c r="I4" s="10">
        <f>I3-E12</f>
        <v>0.59976987999999931</v>
      </c>
      <c r="J4" s="10">
        <f>J3+D12</f>
        <v>6.4531577599999999</v>
      </c>
      <c r="K4" s="5" t="s">
        <v>28</v>
      </c>
    </row>
    <row r="5" spans="1:25" ht="15.75" customHeight="1" x14ac:dyDescent="0.2">
      <c r="A5" s="1"/>
      <c r="B5" s="1"/>
      <c r="C5" s="1"/>
      <c r="D5" s="1"/>
      <c r="E5" s="1"/>
      <c r="F5" s="1"/>
      <c r="H5" s="5" t="s">
        <v>29</v>
      </c>
      <c r="I5" s="10">
        <f>I4+D22</f>
        <v>1.3264010799999992</v>
      </c>
      <c r="J5" s="10">
        <f>J4-E22</f>
        <v>5.4917371099999999</v>
      </c>
      <c r="K5" s="5" t="s">
        <v>34</v>
      </c>
    </row>
    <row r="6" spans="1:25" ht="15.75" customHeight="1" x14ac:dyDescent="0.2">
      <c r="A6" s="39" t="s">
        <v>35</v>
      </c>
      <c r="B6" s="40"/>
      <c r="C6" s="40"/>
      <c r="D6" s="40"/>
      <c r="E6" s="40"/>
      <c r="F6" s="40"/>
      <c r="H6" s="5" t="s">
        <v>39</v>
      </c>
      <c r="I6" s="34">
        <f>J5--I5</f>
        <v>6.8181381899999991</v>
      </c>
      <c r="J6" s="35"/>
      <c r="K6" s="5" t="s">
        <v>45</v>
      </c>
      <c r="L6" s="1" t="s">
        <v>46</v>
      </c>
      <c r="M6" s="1"/>
    </row>
    <row r="7" spans="1:25" ht="15.75" customHeight="1" x14ac:dyDescent="0.2">
      <c r="A7" s="14" t="s">
        <v>48</v>
      </c>
      <c r="B7" s="14" t="s">
        <v>50</v>
      </c>
      <c r="C7" s="14" t="s">
        <v>51</v>
      </c>
      <c r="D7" s="14" t="s">
        <v>52</v>
      </c>
      <c r="E7" s="14" t="s">
        <v>53</v>
      </c>
      <c r="F7" s="14" t="s">
        <v>54</v>
      </c>
      <c r="H7" s="4" t="s">
        <v>55</v>
      </c>
      <c r="I7" s="15">
        <f>J5</f>
        <v>5.4917371099999999</v>
      </c>
      <c r="J7" s="15">
        <f>B4-I5</f>
        <v>98.673598920000003</v>
      </c>
      <c r="K7" s="5" t="s">
        <v>60</v>
      </c>
      <c r="L7" s="1"/>
    </row>
    <row r="8" spans="1:25" ht="15.75" customHeight="1" x14ac:dyDescent="0.2">
      <c r="A8" s="1" t="s">
        <v>61</v>
      </c>
      <c r="B8" s="1" t="s">
        <v>62</v>
      </c>
      <c r="C8" s="1">
        <v>572.48099999999999</v>
      </c>
      <c r="D8" s="16">
        <f>C8/1000*$B$1</f>
        <v>9.1596960000000005E-2</v>
      </c>
      <c r="E8" s="17">
        <f>C8/1000*$B$2</f>
        <v>9.7321770000000016E-2</v>
      </c>
      <c r="F8" s="1" t="s">
        <v>71</v>
      </c>
    </row>
    <row r="9" spans="1:25" ht="15.75" customHeight="1" x14ac:dyDescent="0.2">
      <c r="A9" s="1" t="s">
        <v>62</v>
      </c>
      <c r="B9" s="1" t="s">
        <v>72</v>
      </c>
      <c r="C9" s="1" t="s">
        <v>74</v>
      </c>
      <c r="D9" s="17">
        <v>0.7</v>
      </c>
      <c r="E9" s="17">
        <v>3.6</v>
      </c>
      <c r="H9" s="36" t="s">
        <v>77</v>
      </c>
      <c r="I9" s="37"/>
      <c r="J9" s="37"/>
      <c r="K9" s="35"/>
    </row>
    <row r="10" spans="1:25" ht="15.75" customHeight="1" x14ac:dyDescent="0.2">
      <c r="A10" s="1" t="s">
        <v>72</v>
      </c>
      <c r="B10" s="1" t="s">
        <v>80</v>
      </c>
      <c r="C10" s="1">
        <v>31</v>
      </c>
      <c r="D10" s="16">
        <f t="shared" ref="D10:D11" si="0">C10/1000*$B$1</f>
        <v>4.96E-3</v>
      </c>
      <c r="E10" s="17">
        <f t="shared" ref="E10:E11" si="1">C10/1000*$B$2</f>
        <v>5.2700000000000004E-3</v>
      </c>
      <c r="F10" s="1" t="s">
        <v>85</v>
      </c>
      <c r="H10" s="20" t="s">
        <v>6</v>
      </c>
      <c r="I10" s="20" t="s">
        <v>8</v>
      </c>
      <c r="J10" s="20" t="s">
        <v>9</v>
      </c>
      <c r="K10" s="20" t="s">
        <v>10</v>
      </c>
    </row>
    <row r="11" spans="1:25" ht="15.75" customHeight="1" x14ac:dyDescent="0.2">
      <c r="A11" s="1" t="s">
        <v>80</v>
      </c>
      <c r="B11" s="1" t="s">
        <v>87</v>
      </c>
      <c r="C11" s="1">
        <v>4103.7550000000001</v>
      </c>
      <c r="D11" s="16">
        <f t="shared" si="0"/>
        <v>0.6566008000000001</v>
      </c>
      <c r="E11" s="17">
        <f t="shared" si="1"/>
        <v>0.69763835000000018</v>
      </c>
      <c r="G11" s="3"/>
      <c r="H11" s="21" t="s">
        <v>89</v>
      </c>
      <c r="I11" s="21">
        <v>2</v>
      </c>
      <c r="J11" s="21">
        <v>2</v>
      </c>
      <c r="K11" s="21" t="s">
        <v>91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">
      <c r="C12" s="14" t="s">
        <v>92</v>
      </c>
      <c r="D12" s="16">
        <f t="shared" ref="D12:E12" si="2">SUM(D8:D11)</f>
        <v>1.4531577599999999</v>
      </c>
      <c r="E12" s="16">
        <f t="shared" si="2"/>
        <v>4.4002301200000007</v>
      </c>
      <c r="H12" s="21" t="s">
        <v>27</v>
      </c>
      <c r="I12" s="24">
        <f>I11-E28</f>
        <v>1.6060187100000001</v>
      </c>
      <c r="J12" s="24">
        <f>J11+D28</f>
        <v>2.37080592</v>
      </c>
      <c r="K12" s="21" t="s">
        <v>28</v>
      </c>
    </row>
    <row r="13" spans="1:25" ht="15.75" customHeight="1" x14ac:dyDescent="0.2">
      <c r="H13" s="21" t="s">
        <v>29</v>
      </c>
      <c r="I13" s="25">
        <f>I12+D38</f>
        <v>2.3311099100000003</v>
      </c>
      <c r="J13" s="25">
        <f>J12-E38</f>
        <v>1.4110215199999998</v>
      </c>
      <c r="K13" s="21" t="s">
        <v>34</v>
      </c>
    </row>
    <row r="14" spans="1:25" ht="15.75" customHeight="1" x14ac:dyDescent="0.2">
      <c r="A14" s="39" t="s">
        <v>103</v>
      </c>
      <c r="B14" s="40"/>
      <c r="C14" s="40"/>
      <c r="D14" s="40"/>
      <c r="E14" s="40"/>
      <c r="F14" s="40"/>
      <c r="H14" s="21" t="s">
        <v>39</v>
      </c>
      <c r="I14" s="38">
        <f>J13--I13</f>
        <v>3.7421314300000001</v>
      </c>
      <c r="J14" s="35"/>
      <c r="K14" s="21" t="s">
        <v>45</v>
      </c>
    </row>
    <row r="15" spans="1:25" ht="15.75" customHeight="1" x14ac:dyDescent="0.2">
      <c r="A15" s="14" t="s">
        <v>48</v>
      </c>
      <c r="B15" s="14" t="s">
        <v>50</v>
      </c>
      <c r="C15" s="14" t="s">
        <v>51</v>
      </c>
      <c r="D15" s="14" t="s">
        <v>52</v>
      </c>
      <c r="E15" s="14" t="s">
        <v>53</v>
      </c>
      <c r="F15" s="14" t="s">
        <v>54</v>
      </c>
      <c r="H15" s="20" t="s">
        <v>55</v>
      </c>
      <c r="I15" s="28">
        <f>J13</f>
        <v>1.4110215199999998</v>
      </c>
      <c r="J15" s="28">
        <f>B4-I13</f>
        <v>97.668890090000005</v>
      </c>
      <c r="K15" s="21" t="s">
        <v>60</v>
      </c>
    </row>
    <row r="16" spans="1:25" ht="15.75" customHeight="1" x14ac:dyDescent="0.2">
      <c r="A16" s="1" t="s">
        <v>108</v>
      </c>
      <c r="B16" s="1" t="s">
        <v>109</v>
      </c>
      <c r="C16" s="1">
        <v>192.649</v>
      </c>
      <c r="D16" s="16">
        <f t="shared" ref="D16:D18" si="3">C16/1000*$B$1</f>
        <v>3.0823840000000002E-2</v>
      </c>
      <c r="E16" s="17">
        <f t="shared" ref="E16:E18" si="4">C16/1000*$B$2</f>
        <v>3.2750330000000008E-2</v>
      </c>
      <c r="F16" s="1"/>
    </row>
    <row r="17" spans="1:13" ht="15.75" customHeight="1" x14ac:dyDescent="0.2">
      <c r="A17" s="1" t="s">
        <v>109</v>
      </c>
      <c r="B17" s="1" t="s">
        <v>110</v>
      </c>
      <c r="C17" s="1">
        <v>61.673000000000002</v>
      </c>
      <c r="D17" s="16">
        <f t="shared" si="3"/>
        <v>9.8676800000000002E-3</v>
      </c>
      <c r="E17" s="17">
        <f t="shared" si="4"/>
        <v>1.0484410000000001E-2</v>
      </c>
      <c r="F17" s="1"/>
      <c r="H17" s="1" t="s">
        <v>111</v>
      </c>
    </row>
    <row r="18" spans="1:13" ht="15.75" customHeight="1" x14ac:dyDescent="0.2">
      <c r="A18" s="1" t="s">
        <v>110</v>
      </c>
      <c r="B18" s="1" t="s">
        <v>112</v>
      </c>
      <c r="C18" s="1">
        <v>1018.664</v>
      </c>
      <c r="D18" s="16">
        <f t="shared" si="3"/>
        <v>0.16298624</v>
      </c>
      <c r="E18" s="17">
        <f t="shared" si="4"/>
        <v>0.17317288</v>
      </c>
      <c r="H18" s="1" t="s">
        <v>114</v>
      </c>
    </row>
    <row r="19" spans="1:13" ht="15.75" customHeight="1" x14ac:dyDescent="0.2">
      <c r="A19" s="1" t="s">
        <v>112</v>
      </c>
      <c r="B19" s="1" t="s">
        <v>115</v>
      </c>
      <c r="C19" s="1" t="s">
        <v>74</v>
      </c>
      <c r="D19" s="17">
        <v>0.17</v>
      </c>
      <c r="E19" s="17">
        <v>0.37</v>
      </c>
      <c r="F19" s="1" t="s">
        <v>116</v>
      </c>
    </row>
    <row r="20" spans="1:13" ht="15.75" customHeight="1" x14ac:dyDescent="0.2">
      <c r="A20" s="1" t="s">
        <v>115</v>
      </c>
      <c r="B20" s="1" t="s">
        <v>117</v>
      </c>
      <c r="C20" s="1">
        <v>139.36099999999999</v>
      </c>
      <c r="D20" s="16">
        <f t="shared" ref="D20:D21" si="5">C20/1000*$B$1</f>
        <v>2.2297759999999996E-2</v>
      </c>
      <c r="E20" s="17">
        <f t="shared" ref="E20:E21" si="6">C20/1000*$B$2</f>
        <v>2.369137E-2</v>
      </c>
    </row>
    <row r="21" spans="1:13" ht="15.75" customHeight="1" x14ac:dyDescent="0.2">
      <c r="A21" s="1" t="s">
        <v>117</v>
      </c>
      <c r="B21" s="1" t="s">
        <v>118</v>
      </c>
      <c r="C21" s="1">
        <v>2066.598</v>
      </c>
      <c r="D21" s="16">
        <f t="shared" si="5"/>
        <v>0.33065568000000001</v>
      </c>
      <c r="E21" s="17">
        <f t="shared" si="6"/>
        <v>0.35132166000000004</v>
      </c>
    </row>
    <row r="22" spans="1:13" ht="15.75" customHeight="1" x14ac:dyDescent="0.2">
      <c r="C22" s="14" t="s">
        <v>92</v>
      </c>
      <c r="D22" s="16">
        <f t="shared" ref="D22:E22" si="7">SUM(D16:D21)</f>
        <v>0.72663120000000003</v>
      </c>
      <c r="E22" s="16">
        <f t="shared" si="7"/>
        <v>0.96142064999999999</v>
      </c>
      <c r="H22" s="1" t="s">
        <v>119</v>
      </c>
      <c r="I22" s="1"/>
    </row>
    <row r="24" spans="1:13" ht="15.75" customHeight="1" x14ac:dyDescent="0.2">
      <c r="A24" s="42"/>
      <c r="B24" s="40"/>
      <c r="C24" s="40"/>
      <c r="D24" s="40"/>
      <c r="E24" s="40"/>
      <c r="F24" s="40"/>
      <c r="M24" s="1"/>
    </row>
    <row r="25" spans="1:13" ht="15.75" customHeight="1" x14ac:dyDescent="0.2">
      <c r="A25" s="41" t="s">
        <v>77</v>
      </c>
      <c r="B25" s="40"/>
      <c r="C25" s="40"/>
      <c r="D25" s="40"/>
      <c r="E25" s="40"/>
      <c r="F25" s="40"/>
    </row>
    <row r="26" spans="1:13" ht="15.75" customHeight="1" x14ac:dyDescent="0.2">
      <c r="A26" s="29" t="s">
        <v>48</v>
      </c>
      <c r="B26" s="29" t="s">
        <v>50</v>
      </c>
      <c r="C26" s="29" t="s">
        <v>51</v>
      </c>
      <c r="D26" s="29" t="s">
        <v>52</v>
      </c>
      <c r="E26" s="29" t="s">
        <v>53</v>
      </c>
      <c r="F26" s="29" t="s">
        <v>54</v>
      </c>
    </row>
    <row r="27" spans="1:13" ht="15.75" customHeight="1" x14ac:dyDescent="0.2">
      <c r="A27" s="30" t="s">
        <v>120</v>
      </c>
      <c r="B27" s="30" t="s">
        <v>121</v>
      </c>
      <c r="C27" s="30">
        <v>2317.5369999999998</v>
      </c>
      <c r="D27" s="31">
        <f>C27/1000*$B$1</f>
        <v>0.37080591999999996</v>
      </c>
      <c r="E27" s="32">
        <f>C27/1000*$B$2</f>
        <v>0.39398128999999998</v>
      </c>
      <c r="F27" s="30"/>
    </row>
    <row r="28" spans="1:13" ht="15.75" customHeight="1" x14ac:dyDescent="0.2">
      <c r="A28" s="30"/>
      <c r="B28" s="30"/>
      <c r="C28" s="29" t="s">
        <v>92</v>
      </c>
      <c r="D28" s="33">
        <f t="shared" ref="D28:E28" si="8">D27</f>
        <v>0.37080591999999996</v>
      </c>
      <c r="E28" s="33">
        <f t="shared" si="8"/>
        <v>0.39398128999999998</v>
      </c>
      <c r="F28" s="30"/>
    </row>
    <row r="29" spans="1:13" ht="15.75" customHeight="1" x14ac:dyDescent="0.2">
      <c r="A29" s="30"/>
      <c r="B29" s="30"/>
      <c r="C29" s="30"/>
      <c r="D29" s="31"/>
      <c r="E29" s="32"/>
      <c r="F29" s="30"/>
    </row>
    <row r="30" spans="1:13" ht="15.75" customHeight="1" x14ac:dyDescent="0.2">
      <c r="A30" s="41" t="s">
        <v>122</v>
      </c>
      <c r="B30" s="40"/>
      <c r="C30" s="40"/>
      <c r="D30" s="40"/>
      <c r="E30" s="40"/>
      <c r="F30" s="40"/>
    </row>
    <row r="31" spans="1:13" ht="15.75" customHeight="1" x14ac:dyDescent="0.2">
      <c r="A31" s="29" t="s">
        <v>48</v>
      </c>
      <c r="B31" s="29" t="s">
        <v>50</v>
      </c>
      <c r="C31" s="29" t="s">
        <v>51</v>
      </c>
      <c r="D31" s="29" t="s">
        <v>52</v>
      </c>
      <c r="E31" s="29" t="s">
        <v>53</v>
      </c>
      <c r="F31" s="29" t="s">
        <v>54</v>
      </c>
    </row>
    <row r="32" spans="1:13" ht="15.75" customHeight="1" x14ac:dyDescent="0.2">
      <c r="A32" s="30" t="s">
        <v>123</v>
      </c>
      <c r="B32" s="30" t="s">
        <v>124</v>
      </c>
      <c r="C32" s="30">
        <v>0</v>
      </c>
      <c r="D32" s="31">
        <f t="shared" ref="D32:D34" si="9">C32/1000*$B$1</f>
        <v>0</v>
      </c>
      <c r="E32" s="32">
        <f t="shared" ref="E32:E34" si="10">C32/1000*$B$2</f>
        <v>0</v>
      </c>
      <c r="F32" s="30"/>
    </row>
    <row r="33" spans="1:8" ht="15.75" customHeight="1" x14ac:dyDescent="0.2">
      <c r="A33" s="30" t="s">
        <v>124</v>
      </c>
      <c r="B33" s="30" t="s">
        <v>125</v>
      </c>
      <c r="C33" s="30">
        <v>1155.7760000000001</v>
      </c>
      <c r="D33" s="31">
        <f t="shared" si="9"/>
        <v>0.18492416000000003</v>
      </c>
      <c r="E33" s="32">
        <f t="shared" si="10"/>
        <v>0.19648192000000003</v>
      </c>
      <c r="F33" s="30"/>
      <c r="H33" s="1" t="s">
        <v>116</v>
      </c>
    </row>
    <row r="34" spans="1:8" ht="15.75" customHeight="1" x14ac:dyDescent="0.2">
      <c r="A34" s="30" t="s">
        <v>125</v>
      </c>
      <c r="B34" s="30" t="s">
        <v>126</v>
      </c>
      <c r="C34" s="30">
        <v>41.491999999999997</v>
      </c>
      <c r="D34" s="31">
        <f t="shared" si="9"/>
        <v>6.638719999999999E-3</v>
      </c>
      <c r="E34" s="32">
        <f t="shared" si="10"/>
        <v>7.0536399999999999E-3</v>
      </c>
      <c r="F34" s="30"/>
    </row>
    <row r="35" spans="1:8" ht="15.75" customHeight="1" x14ac:dyDescent="0.2">
      <c r="A35" s="30" t="s">
        <v>126</v>
      </c>
      <c r="B35" s="30" t="s">
        <v>127</v>
      </c>
      <c r="C35" s="30" t="s">
        <v>128</v>
      </c>
      <c r="D35" s="32">
        <v>0.17</v>
      </c>
      <c r="E35" s="32">
        <v>0.37</v>
      </c>
      <c r="F35" s="30" t="s">
        <v>129</v>
      </c>
    </row>
    <row r="36" spans="1:8" ht="12.75" x14ac:dyDescent="0.2">
      <c r="A36" s="30" t="s">
        <v>127</v>
      </c>
      <c r="B36" s="30" t="s">
        <v>130</v>
      </c>
      <c r="C36" s="30">
        <v>43.781999999999996</v>
      </c>
      <c r="D36" s="31">
        <f t="shared" ref="D36:D37" si="11">C36/1000*$B$1</f>
        <v>7.0051199999999992E-3</v>
      </c>
      <c r="E36" s="32">
        <f t="shared" ref="E36:E37" si="12">C36/1000*$B$2</f>
        <v>7.4429399999999995E-3</v>
      </c>
      <c r="F36" s="33"/>
    </row>
    <row r="37" spans="1:8" ht="12.75" x14ac:dyDescent="0.2">
      <c r="A37" s="30" t="s">
        <v>130</v>
      </c>
      <c r="B37" s="30" t="s">
        <v>131</v>
      </c>
      <c r="C37" s="30">
        <v>2228.27</v>
      </c>
      <c r="D37" s="31">
        <f t="shared" si="11"/>
        <v>0.35652320000000004</v>
      </c>
      <c r="E37" s="32">
        <f t="shared" si="12"/>
        <v>0.37880590000000008</v>
      </c>
      <c r="F37" s="33"/>
    </row>
    <row r="38" spans="1:8" ht="12.75" x14ac:dyDescent="0.2">
      <c r="A38" s="33"/>
      <c r="B38" s="33"/>
      <c r="C38" s="29" t="s">
        <v>92</v>
      </c>
      <c r="D38" s="31">
        <f t="shared" ref="D38:E38" si="13">SUM(D32:D37)</f>
        <v>0.72509120000000005</v>
      </c>
      <c r="E38" s="31">
        <f t="shared" si="13"/>
        <v>0.9597844000000002</v>
      </c>
      <c r="F38" s="33"/>
    </row>
    <row r="50" spans="8:8" ht="12.75" x14ac:dyDescent="0.2">
      <c r="H50" s="1" t="s">
        <v>132</v>
      </c>
    </row>
  </sheetData>
  <mergeCells count="9">
    <mergeCell ref="H1:K1"/>
    <mergeCell ref="A6:F6"/>
    <mergeCell ref="A30:F30"/>
    <mergeCell ref="I6:J6"/>
    <mergeCell ref="H9:K9"/>
    <mergeCell ref="I14:J14"/>
    <mergeCell ref="A14:F14"/>
    <mergeCell ref="A25:F25"/>
    <mergeCell ref="A24:F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7"/>
  <sheetViews>
    <sheetView tabSelected="1" workbookViewId="0">
      <pane ySplit="11" topLeftCell="A12" activePane="bottomLeft" state="frozen"/>
      <selection pane="bottomLeft" activeCell="H13" sqref="H13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84.7109375" customWidth="1"/>
  </cols>
  <sheetData>
    <row r="1" spans="1:24" ht="15.75" customHeight="1" x14ac:dyDescent="0.2">
      <c r="A1" s="45" t="s">
        <v>3</v>
      </c>
      <c r="B1" s="37"/>
      <c r="C1" s="35"/>
      <c r="D1" s="3"/>
      <c r="E1" s="3"/>
      <c r="F1" s="45" t="s">
        <v>7</v>
      </c>
      <c r="G1" s="37"/>
      <c r="H1" s="37"/>
      <c r="I1" s="35"/>
      <c r="J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">
      <c r="A2" s="4" t="s">
        <v>11</v>
      </c>
      <c r="B2" s="5">
        <v>0.16</v>
      </c>
      <c r="C2" s="6" t="s">
        <v>15</v>
      </c>
      <c r="F2" s="7" t="s">
        <v>16</v>
      </c>
      <c r="G2" s="4" t="s">
        <v>17</v>
      </c>
      <c r="H2" s="4" t="s">
        <v>18</v>
      </c>
      <c r="I2" s="4" t="s">
        <v>19</v>
      </c>
    </row>
    <row r="3" spans="1:24" ht="15.75" customHeight="1" x14ac:dyDescent="0.2">
      <c r="A3" s="4" t="s">
        <v>20</v>
      </c>
      <c r="B3" s="5">
        <v>0.17</v>
      </c>
      <c r="C3" s="6" t="s">
        <v>15</v>
      </c>
      <c r="F3" s="4" t="s">
        <v>21</v>
      </c>
      <c r="G3" s="8">
        <v>367</v>
      </c>
      <c r="H3" s="9">
        <f t="shared" ref="H3:H5" si="0">G3/1000*$B$2</f>
        <v>5.8720000000000001E-2</v>
      </c>
      <c r="I3" s="9">
        <f t="shared" ref="I3:I5" si="1">G3/1000*$B$3</f>
        <v>6.2390000000000001E-2</v>
      </c>
    </row>
    <row r="4" spans="1:24" ht="15.75" customHeight="1" x14ac:dyDescent="0.2">
      <c r="A4" s="4" t="s">
        <v>24</v>
      </c>
      <c r="B4" s="10">
        <f>1/25000000*1000000000</f>
        <v>40</v>
      </c>
      <c r="C4" s="6" t="s">
        <v>26</v>
      </c>
      <c r="D4" s="1"/>
      <c r="F4" s="4" t="s">
        <v>30</v>
      </c>
      <c r="G4" s="8">
        <v>31</v>
      </c>
      <c r="H4" s="9">
        <f t="shared" si="0"/>
        <v>4.96E-3</v>
      </c>
      <c r="I4" s="9">
        <f t="shared" si="1"/>
        <v>5.2700000000000004E-3</v>
      </c>
      <c r="K4" s="45" t="s">
        <v>32</v>
      </c>
      <c r="L4" s="35"/>
    </row>
    <row r="5" spans="1:24" ht="15.75" customHeight="1" x14ac:dyDescent="0.2">
      <c r="A5" s="4" t="s">
        <v>33</v>
      </c>
      <c r="B5" s="11">
        <v>0</v>
      </c>
      <c r="C5" s="6" t="s">
        <v>26</v>
      </c>
      <c r="D5" s="1" t="s">
        <v>36</v>
      </c>
      <c r="F5" s="4" t="s">
        <v>37</v>
      </c>
      <c r="G5" s="8">
        <v>4104</v>
      </c>
      <c r="H5" s="9">
        <f t="shared" si="0"/>
        <v>0.65664</v>
      </c>
      <c r="I5" s="9">
        <f t="shared" si="1"/>
        <v>0.69768000000000008</v>
      </c>
      <c r="K5" s="4" t="s">
        <v>38</v>
      </c>
      <c r="L5" s="12">
        <f>B4-C30</f>
        <v>38.885260000000002</v>
      </c>
      <c r="M5" s="1" t="s">
        <v>40</v>
      </c>
    </row>
    <row r="6" spans="1:24" ht="15.75" customHeight="1" x14ac:dyDescent="0.2">
      <c r="A6" s="4" t="s">
        <v>41</v>
      </c>
      <c r="B6" s="11">
        <v>0</v>
      </c>
      <c r="C6" s="6" t="s">
        <v>26</v>
      </c>
      <c r="D6" s="1" t="s">
        <v>42</v>
      </c>
      <c r="F6" s="7" t="s">
        <v>43</v>
      </c>
      <c r="G6" s="13"/>
      <c r="H6" s="9"/>
      <c r="I6" s="9"/>
      <c r="K6" s="4" t="s">
        <v>44</v>
      </c>
      <c r="L6" s="12">
        <f>C49</f>
        <v>5.0608599999999999</v>
      </c>
    </row>
    <row r="7" spans="1:24" ht="15.75" customHeight="1" x14ac:dyDescent="0.2">
      <c r="A7" s="4" t="s">
        <v>56</v>
      </c>
      <c r="B7" s="11">
        <v>5</v>
      </c>
      <c r="C7" s="6" t="s">
        <v>26</v>
      </c>
      <c r="D7" s="1" t="s">
        <v>57</v>
      </c>
      <c r="F7" s="4" t="s">
        <v>58</v>
      </c>
      <c r="G7" s="13">
        <f>192+61</f>
        <v>253</v>
      </c>
      <c r="H7" s="9">
        <f t="shared" ref="H7:H9" si="2">G7/1000*$B$2</f>
        <v>4.0480000000000002E-2</v>
      </c>
      <c r="I7" s="9">
        <f t="shared" ref="I7:I9" si="3">G7/1000*$B$3</f>
        <v>4.3010000000000007E-2</v>
      </c>
      <c r="K7" s="4" t="s">
        <v>59</v>
      </c>
      <c r="L7" s="10">
        <f>C30</f>
        <v>1.1147399999999994</v>
      </c>
      <c r="M7" s="1" t="s">
        <v>63</v>
      </c>
    </row>
    <row r="8" spans="1:24" ht="15.75" customHeight="1" x14ac:dyDescent="0.2">
      <c r="A8" s="4" t="s">
        <v>67</v>
      </c>
      <c r="B8" s="11">
        <v>5</v>
      </c>
      <c r="C8" s="6" t="s">
        <v>26</v>
      </c>
      <c r="D8" s="1" t="s">
        <v>57</v>
      </c>
      <c r="F8" s="4" t="s">
        <v>68</v>
      </c>
      <c r="G8" s="8">
        <v>1015</v>
      </c>
      <c r="H8" s="9">
        <f t="shared" si="2"/>
        <v>0.16239999999999999</v>
      </c>
      <c r="I8" s="9">
        <f t="shared" si="3"/>
        <v>0.17255000000000001</v>
      </c>
      <c r="K8" s="4" t="s">
        <v>66</v>
      </c>
      <c r="L8" s="10">
        <f>C49</f>
        <v>5.0608599999999999</v>
      </c>
      <c r="M8" s="1" t="s">
        <v>69</v>
      </c>
    </row>
    <row r="9" spans="1:24" ht="15.75" customHeight="1" x14ac:dyDescent="0.2">
      <c r="A9" s="4" t="s">
        <v>73</v>
      </c>
      <c r="B9" s="11">
        <v>12</v>
      </c>
      <c r="C9" s="6" t="s">
        <v>76</v>
      </c>
      <c r="D9" s="1"/>
      <c r="E9" s="1"/>
      <c r="F9" s="4" t="s">
        <v>70</v>
      </c>
      <c r="G9" s="13">
        <f>2531+139</f>
        <v>2670</v>
      </c>
      <c r="H9" s="9">
        <f t="shared" si="2"/>
        <v>0.42720000000000002</v>
      </c>
      <c r="I9" s="9">
        <f t="shared" si="3"/>
        <v>0.45390000000000003</v>
      </c>
    </row>
    <row r="10" spans="1:24" ht="15.75" customHeight="1" x14ac:dyDescent="0.2">
      <c r="A10" s="4" t="s">
        <v>75</v>
      </c>
      <c r="B10" s="11">
        <v>0.2</v>
      </c>
      <c r="C10" s="6" t="s">
        <v>26</v>
      </c>
      <c r="D10" s="1"/>
      <c r="E10" s="1"/>
    </row>
    <row r="11" spans="1:24" ht="15.75" customHeight="1" x14ac:dyDescent="0.2">
      <c r="A11" s="3"/>
    </row>
    <row r="13" spans="1:24" ht="15.75" customHeight="1" x14ac:dyDescent="0.2">
      <c r="A13" s="44" t="s">
        <v>78</v>
      </c>
      <c r="B13" s="40"/>
      <c r="C13" s="40"/>
      <c r="D13" s="40"/>
      <c r="F13" s="1"/>
    </row>
    <row r="14" spans="1:24" ht="15.75" customHeight="1" x14ac:dyDescent="0.2">
      <c r="A14" s="18" t="s">
        <v>79</v>
      </c>
      <c r="B14" s="19" t="s">
        <v>81</v>
      </c>
      <c r="C14" s="19" t="s">
        <v>82</v>
      </c>
      <c r="D14" s="19" t="s">
        <v>83</v>
      </c>
      <c r="F14" s="1"/>
    </row>
    <row r="15" spans="1:24" ht="15.75" customHeight="1" x14ac:dyDescent="0.2">
      <c r="A15" s="1" t="s">
        <v>84</v>
      </c>
      <c r="B15" s="17">
        <f>-B7</f>
        <v>-5</v>
      </c>
      <c r="C15" s="16">
        <f>B15</f>
        <v>-5</v>
      </c>
      <c r="D15" s="1"/>
      <c r="F15" s="1"/>
    </row>
    <row r="16" spans="1:24" ht="15.75" customHeight="1" x14ac:dyDescent="0.2">
      <c r="A16" s="1" t="s">
        <v>88</v>
      </c>
      <c r="B16" s="17">
        <f>B9*B3</f>
        <v>2.04</v>
      </c>
      <c r="C16" s="16">
        <f t="shared" ref="C16:C19" si="4">C15+B16</f>
        <v>-2.96</v>
      </c>
      <c r="D16" s="1"/>
      <c r="F16" s="1"/>
    </row>
    <row r="17" spans="1:6" ht="15.75" customHeight="1" x14ac:dyDescent="0.2">
      <c r="A17" s="1" t="s">
        <v>93</v>
      </c>
      <c r="B17" s="17">
        <f>I3</f>
        <v>6.2390000000000001E-2</v>
      </c>
      <c r="C17" s="16">
        <f t="shared" si="4"/>
        <v>-2.8976099999999998</v>
      </c>
      <c r="D17" s="1"/>
      <c r="F17" s="1"/>
    </row>
    <row r="18" spans="1:6" ht="15.75" customHeight="1" x14ac:dyDescent="0.2">
      <c r="A18" s="1" t="s">
        <v>96</v>
      </c>
      <c r="B18" s="17">
        <v>3.6</v>
      </c>
      <c r="C18" s="16">
        <f t="shared" si="4"/>
        <v>0.70239000000000029</v>
      </c>
      <c r="D18" s="1" t="s">
        <v>71</v>
      </c>
    </row>
    <row r="19" spans="1:6" ht="15.75" customHeight="1" x14ac:dyDescent="0.2">
      <c r="A19" s="1" t="s">
        <v>98</v>
      </c>
      <c r="B19" s="16">
        <f>SUM(I4:I5)</f>
        <v>0.70295000000000007</v>
      </c>
      <c r="C19" s="16">
        <f t="shared" si="4"/>
        <v>1.4053400000000003</v>
      </c>
      <c r="D19" s="1"/>
    </row>
    <row r="20" spans="1:6" ht="15.75" customHeight="1" x14ac:dyDescent="0.2">
      <c r="A20" s="22" t="s">
        <v>90</v>
      </c>
      <c r="B20" s="16"/>
      <c r="C20" s="23">
        <f>C19</f>
        <v>1.4053400000000003</v>
      </c>
    </row>
    <row r="21" spans="1:6" ht="15.75" customHeight="1" x14ac:dyDescent="0.2">
      <c r="A21" s="14"/>
      <c r="B21" s="1"/>
      <c r="C21" s="1"/>
    </row>
    <row r="22" spans="1:6" ht="15.75" customHeight="1" x14ac:dyDescent="0.2">
      <c r="A22" s="18" t="s">
        <v>94</v>
      </c>
      <c r="B22" s="19" t="s">
        <v>81</v>
      </c>
      <c r="C22" s="19" t="s">
        <v>82</v>
      </c>
      <c r="D22" s="19" t="s">
        <v>83</v>
      </c>
      <c r="F22" s="1"/>
    </row>
    <row r="23" spans="1:6" ht="15.75" customHeight="1" x14ac:dyDescent="0.2">
      <c r="A23" s="1" t="s">
        <v>95</v>
      </c>
      <c r="B23" s="17">
        <f>B6</f>
        <v>0</v>
      </c>
      <c r="C23" s="16">
        <f>B23</f>
        <v>0</v>
      </c>
    </row>
    <row r="24" spans="1:6" ht="15.75" customHeight="1" x14ac:dyDescent="0.2">
      <c r="A24" s="1" t="s">
        <v>88</v>
      </c>
      <c r="B24" s="17">
        <f>B9*B2</f>
        <v>1.92</v>
      </c>
      <c r="C24" s="16">
        <f t="shared" ref="C24:C28" si="5">C23+B24</f>
        <v>1.92</v>
      </c>
      <c r="D24" s="1"/>
    </row>
    <row r="25" spans="1:6" ht="15.75" customHeight="1" x14ac:dyDescent="0.2">
      <c r="A25" s="1" t="s">
        <v>93</v>
      </c>
      <c r="B25" s="16">
        <f>SUM(H7:H8)</f>
        <v>0.20288</v>
      </c>
      <c r="C25" s="16">
        <f t="shared" si="5"/>
        <v>2.1228799999999999</v>
      </c>
      <c r="D25" s="1"/>
    </row>
    <row r="26" spans="1:6" ht="15.75" customHeight="1" x14ac:dyDescent="0.2">
      <c r="A26" s="1" t="s">
        <v>96</v>
      </c>
      <c r="B26" s="16">
        <f>0.17</f>
        <v>0.17</v>
      </c>
      <c r="C26" s="16">
        <f t="shared" si="5"/>
        <v>2.2928799999999998</v>
      </c>
      <c r="D26" s="1" t="s">
        <v>99</v>
      </c>
    </row>
    <row r="27" spans="1:6" ht="15.75" customHeight="1" x14ac:dyDescent="0.2">
      <c r="A27" s="1" t="s">
        <v>98</v>
      </c>
      <c r="B27" s="16">
        <f>H9</f>
        <v>0.42720000000000002</v>
      </c>
      <c r="C27" s="16">
        <f t="shared" si="5"/>
        <v>2.7200799999999998</v>
      </c>
    </row>
    <row r="28" spans="1:6" ht="15.75" customHeight="1" x14ac:dyDescent="0.2">
      <c r="A28" s="1" t="s">
        <v>100</v>
      </c>
      <c r="B28" s="16">
        <f>-$B$10</f>
        <v>-0.2</v>
      </c>
      <c r="C28" s="16">
        <f t="shared" si="5"/>
        <v>2.5200799999999997</v>
      </c>
    </row>
    <row r="29" spans="1:6" ht="15.75" customHeight="1" x14ac:dyDescent="0.2">
      <c r="A29" s="22" t="s">
        <v>101</v>
      </c>
      <c r="B29" s="3"/>
      <c r="C29" s="23">
        <f>C28</f>
        <v>2.5200799999999997</v>
      </c>
    </row>
    <row r="30" spans="1:6" ht="15.75" customHeight="1" x14ac:dyDescent="0.2">
      <c r="A30" s="18" t="s">
        <v>59</v>
      </c>
      <c r="B30" s="26"/>
      <c r="C30" s="23">
        <f>C29-C20</f>
        <v>1.1147399999999994</v>
      </c>
      <c r="D30" s="27" t="s">
        <v>102</v>
      </c>
    </row>
    <row r="31" spans="1:6" ht="15.75" customHeight="1" x14ac:dyDescent="0.2">
      <c r="A31" s="3"/>
    </row>
    <row r="32" spans="1:6" ht="15.75" customHeight="1" x14ac:dyDescent="0.2">
      <c r="A32" s="46" t="s">
        <v>104</v>
      </c>
      <c r="B32" s="40"/>
      <c r="C32" s="40"/>
      <c r="D32" s="40"/>
    </row>
    <row r="33" spans="1:6" ht="15.75" customHeight="1" x14ac:dyDescent="0.2">
      <c r="A33" s="18" t="s">
        <v>105</v>
      </c>
      <c r="B33" s="19" t="s">
        <v>81</v>
      </c>
      <c r="C33" s="19" t="s">
        <v>82</v>
      </c>
      <c r="D33" s="19" t="s">
        <v>83</v>
      </c>
    </row>
    <row r="34" spans="1:6" ht="15.75" customHeight="1" x14ac:dyDescent="0.2">
      <c r="A34" s="1" t="s">
        <v>106</v>
      </c>
      <c r="B34" s="17">
        <f>B8</f>
        <v>5</v>
      </c>
      <c r="C34" s="16">
        <f>B34</f>
        <v>5</v>
      </c>
      <c r="D34" s="1"/>
      <c r="F34" s="1"/>
    </row>
    <row r="35" spans="1:6" ht="15.75" customHeight="1" x14ac:dyDescent="0.2">
      <c r="A35" s="1" t="s">
        <v>88</v>
      </c>
      <c r="B35" s="17">
        <f>B9*B2</f>
        <v>1.92</v>
      </c>
      <c r="C35" s="16">
        <f t="shared" ref="C35:C38" si="6">C34+B35</f>
        <v>6.92</v>
      </c>
      <c r="D35" s="1"/>
    </row>
    <row r="36" spans="1:6" ht="15.75" customHeight="1" x14ac:dyDescent="0.2">
      <c r="A36" s="1" t="s">
        <v>93</v>
      </c>
      <c r="B36" s="17">
        <f>H3</f>
        <v>5.8720000000000001E-2</v>
      </c>
      <c r="C36" s="16">
        <f t="shared" si="6"/>
        <v>6.97872</v>
      </c>
      <c r="D36" s="1"/>
    </row>
    <row r="37" spans="1:6" ht="15.75" customHeight="1" x14ac:dyDescent="0.2">
      <c r="A37" s="1" t="s">
        <v>96</v>
      </c>
      <c r="B37" s="16">
        <f>0.7</f>
        <v>0.7</v>
      </c>
      <c r="C37" s="16">
        <f t="shared" si="6"/>
        <v>7.6787200000000002</v>
      </c>
      <c r="D37" s="1" t="s">
        <v>71</v>
      </c>
    </row>
    <row r="38" spans="1:6" ht="15.75" customHeight="1" x14ac:dyDescent="0.2">
      <c r="A38" s="1" t="s">
        <v>98</v>
      </c>
      <c r="B38" s="16">
        <f>SUM(H4:H5)</f>
        <v>0.66159999999999997</v>
      </c>
      <c r="C38" s="16">
        <f t="shared" si="6"/>
        <v>8.3403200000000002</v>
      </c>
      <c r="D38" s="1"/>
    </row>
    <row r="39" spans="1:6" ht="15.75" customHeight="1" x14ac:dyDescent="0.2">
      <c r="A39" s="22" t="s">
        <v>90</v>
      </c>
      <c r="B39" s="16"/>
      <c r="C39" s="23">
        <f>C38</f>
        <v>8.3403200000000002</v>
      </c>
    </row>
    <row r="40" spans="1:6" ht="15.75" customHeight="1" x14ac:dyDescent="0.2">
      <c r="A40" s="14"/>
      <c r="B40" s="1"/>
      <c r="C40" s="1"/>
    </row>
    <row r="41" spans="1:6" ht="15.75" customHeight="1" x14ac:dyDescent="0.2">
      <c r="A41" s="18" t="s">
        <v>107</v>
      </c>
      <c r="B41" s="19" t="s">
        <v>81</v>
      </c>
      <c r="C41" s="19" t="s">
        <v>82</v>
      </c>
      <c r="D41" s="19" t="s">
        <v>83</v>
      </c>
    </row>
    <row r="42" spans="1:6" ht="15.75" customHeight="1" x14ac:dyDescent="0.2">
      <c r="A42" s="1" t="s">
        <v>95</v>
      </c>
      <c r="B42" s="17">
        <f>$B$5</f>
        <v>0</v>
      </c>
      <c r="C42" s="16">
        <f>B42</f>
        <v>0</v>
      </c>
    </row>
    <row r="43" spans="1:6" ht="15.75" customHeight="1" x14ac:dyDescent="0.2">
      <c r="A43" s="1" t="s">
        <v>88</v>
      </c>
      <c r="B43" s="16">
        <f>B9*B3</f>
        <v>2.04</v>
      </c>
      <c r="C43" s="16">
        <f t="shared" ref="C43:C47" si="7">C42+B43</f>
        <v>2.04</v>
      </c>
      <c r="D43" s="1"/>
    </row>
    <row r="44" spans="1:6" ht="15.75" customHeight="1" x14ac:dyDescent="0.2">
      <c r="A44" s="1" t="s">
        <v>93</v>
      </c>
      <c r="B44" s="16">
        <f>I7+I8</f>
        <v>0.21556000000000003</v>
      </c>
      <c r="C44" s="16">
        <f t="shared" si="7"/>
        <v>2.25556</v>
      </c>
      <c r="D44" s="1"/>
    </row>
    <row r="45" spans="1:6" ht="15.75" customHeight="1" x14ac:dyDescent="0.2">
      <c r="A45" s="1" t="s">
        <v>96</v>
      </c>
      <c r="B45" s="17">
        <v>0.37</v>
      </c>
      <c r="C45" s="16">
        <f t="shared" si="7"/>
        <v>2.6255600000000001</v>
      </c>
      <c r="D45" s="1" t="s">
        <v>99</v>
      </c>
    </row>
    <row r="46" spans="1:6" ht="15.75" customHeight="1" x14ac:dyDescent="0.2">
      <c r="A46" s="1" t="s">
        <v>98</v>
      </c>
      <c r="B46" s="16">
        <f>I9</f>
        <v>0.45390000000000003</v>
      </c>
      <c r="C46" s="16">
        <f t="shared" si="7"/>
        <v>3.0794600000000001</v>
      </c>
    </row>
    <row r="47" spans="1:6" ht="15.75" customHeight="1" x14ac:dyDescent="0.2">
      <c r="A47" s="1" t="s">
        <v>100</v>
      </c>
      <c r="B47" s="16">
        <f>$B$10</f>
        <v>0.2</v>
      </c>
      <c r="C47" s="16">
        <f t="shared" si="7"/>
        <v>3.2794600000000003</v>
      </c>
    </row>
    <row r="48" spans="1:6" ht="12.75" x14ac:dyDescent="0.2">
      <c r="A48" s="22" t="s">
        <v>101</v>
      </c>
      <c r="B48" s="3"/>
      <c r="C48" s="23">
        <f>C47</f>
        <v>3.2794600000000003</v>
      </c>
    </row>
    <row r="49" spans="1:4" ht="12.75" x14ac:dyDescent="0.2">
      <c r="A49" s="18" t="s">
        <v>66</v>
      </c>
      <c r="B49" s="26"/>
      <c r="C49" s="23">
        <f>C39-C48</f>
        <v>5.0608599999999999</v>
      </c>
      <c r="D49" s="27" t="s">
        <v>113</v>
      </c>
    </row>
    <row r="50" spans="1:4" ht="12.75" x14ac:dyDescent="0.2">
      <c r="A50" s="3"/>
    </row>
    <row r="51" spans="1:4" ht="12.75" x14ac:dyDescent="0.2">
      <c r="A51" s="3"/>
    </row>
    <row r="52" spans="1:4" ht="12.75" x14ac:dyDescent="0.2">
      <c r="A52" s="3"/>
    </row>
    <row r="53" spans="1:4" ht="12.75" x14ac:dyDescent="0.2">
      <c r="A53" s="3"/>
    </row>
    <row r="54" spans="1:4" ht="12.75" x14ac:dyDescent="0.2">
      <c r="A54" s="3"/>
    </row>
    <row r="55" spans="1:4" ht="12.75" x14ac:dyDescent="0.2">
      <c r="A55" s="3"/>
    </row>
    <row r="56" spans="1:4" ht="12.75" x14ac:dyDescent="0.2">
      <c r="A56" s="3"/>
    </row>
    <row r="57" spans="1:4" ht="12.75" x14ac:dyDescent="0.2">
      <c r="A57" s="3"/>
    </row>
    <row r="58" spans="1:4" ht="12.75" x14ac:dyDescent="0.2">
      <c r="A58" s="3"/>
    </row>
    <row r="59" spans="1:4" ht="12.75" x14ac:dyDescent="0.2">
      <c r="A59" s="3"/>
    </row>
    <row r="60" spans="1:4" ht="12.75" x14ac:dyDescent="0.2">
      <c r="A60" s="3"/>
    </row>
    <row r="61" spans="1:4" ht="12.75" x14ac:dyDescent="0.2">
      <c r="A61" s="3"/>
    </row>
    <row r="62" spans="1:4" ht="12.75" x14ac:dyDescent="0.2">
      <c r="A62" s="3"/>
    </row>
    <row r="63" spans="1:4" ht="12.75" x14ac:dyDescent="0.2">
      <c r="A63" s="3"/>
    </row>
    <row r="64" spans="1:4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</sheetData>
  <mergeCells count="5">
    <mergeCell ref="A13:D13"/>
    <mergeCell ref="F1:I1"/>
    <mergeCell ref="A1:C1"/>
    <mergeCell ref="K4:L4"/>
    <mergeCell ref="A32:D32"/>
  </mergeCells>
  <conditionalFormatting sqref="C30 C49">
    <cfRule type="cellIs" dxfId="11" priority="1" operator="greaterThan">
      <formula>0</formula>
    </cfRule>
  </conditionalFormatting>
  <conditionalFormatting sqref="C30 C49">
    <cfRule type="cellIs" dxfId="10" priority="2" operator="lessThanOrEqual">
      <formula>0</formula>
    </cfRule>
  </conditionalFormatting>
  <conditionalFormatting sqref="L7">
    <cfRule type="cellIs" dxfId="9" priority="3" operator="greaterThan">
      <formula>0</formula>
    </cfRule>
  </conditionalFormatting>
  <conditionalFormatting sqref="L7">
    <cfRule type="cellIs" dxfId="8" priority="4" operator="lessThanOrEqual">
      <formula>0</formula>
    </cfRule>
  </conditionalFormatting>
  <conditionalFormatting sqref="L8">
    <cfRule type="cellIs" dxfId="7" priority="5" operator="greaterThan">
      <formula>0</formula>
    </cfRule>
  </conditionalFormatting>
  <conditionalFormatting sqref="L8">
    <cfRule type="cellIs" dxfId="6" priority="6" operator="less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9"/>
  <sheetViews>
    <sheetView workbookViewId="0">
      <pane ySplit="11" topLeftCell="A12" activePane="bottomLeft" state="frozen"/>
      <selection pane="bottomLeft" activeCell="A13" sqref="A13:D13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84.7109375" customWidth="1"/>
  </cols>
  <sheetData>
    <row r="1" spans="1:24" ht="15.75" customHeight="1" x14ac:dyDescent="0.2">
      <c r="A1" s="45" t="s">
        <v>3</v>
      </c>
      <c r="B1" s="37"/>
      <c r="C1" s="35"/>
      <c r="D1" s="3"/>
      <c r="E1" s="3"/>
      <c r="F1" s="45" t="s">
        <v>7</v>
      </c>
      <c r="G1" s="37"/>
      <c r="H1" s="37"/>
      <c r="I1" s="35"/>
      <c r="J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">
      <c r="A2" s="4" t="s">
        <v>11</v>
      </c>
      <c r="B2" s="5">
        <v>0.16</v>
      </c>
      <c r="C2" s="6" t="s">
        <v>15</v>
      </c>
      <c r="F2" s="7" t="s">
        <v>16</v>
      </c>
      <c r="G2" s="4" t="s">
        <v>17</v>
      </c>
      <c r="H2" s="4" t="s">
        <v>18</v>
      </c>
      <c r="I2" s="4" t="s">
        <v>19</v>
      </c>
    </row>
    <row r="3" spans="1:24" ht="15.75" customHeight="1" x14ac:dyDescent="0.2">
      <c r="A3" s="4" t="s">
        <v>20</v>
      </c>
      <c r="B3" s="5">
        <v>0.17</v>
      </c>
      <c r="C3" s="6" t="s">
        <v>15</v>
      </c>
      <c r="F3" s="4" t="s">
        <v>25</v>
      </c>
      <c r="G3" s="8">
        <v>10</v>
      </c>
      <c r="H3" s="9">
        <f t="shared" ref="H3:H4" si="0">G3/1000*$B$2</f>
        <v>1.6000000000000001E-3</v>
      </c>
      <c r="I3" s="9">
        <f t="shared" ref="I3:I4" si="1">G3/1000*$B$3</f>
        <v>1.7000000000000001E-3</v>
      </c>
    </row>
    <row r="4" spans="1:24" ht="15.75" customHeight="1" x14ac:dyDescent="0.2">
      <c r="A4" s="4" t="s">
        <v>24</v>
      </c>
      <c r="B4" s="10">
        <f>1/25000000*1000000000</f>
        <v>40</v>
      </c>
      <c r="C4" s="6" t="s">
        <v>26</v>
      </c>
      <c r="D4" s="1"/>
      <c r="F4" s="4" t="s">
        <v>31</v>
      </c>
      <c r="G4" s="8">
        <v>2258</v>
      </c>
      <c r="H4" s="9">
        <f t="shared" si="0"/>
        <v>0.36127999999999999</v>
      </c>
      <c r="I4" s="9">
        <f t="shared" si="1"/>
        <v>0.38386000000000003</v>
      </c>
      <c r="K4" s="45" t="s">
        <v>32</v>
      </c>
      <c r="L4" s="35"/>
    </row>
    <row r="5" spans="1:24" ht="15.75" customHeight="1" x14ac:dyDescent="0.2">
      <c r="A5" s="4" t="s">
        <v>33</v>
      </c>
      <c r="B5" s="11">
        <v>0</v>
      </c>
      <c r="C5" s="6" t="s">
        <v>26</v>
      </c>
      <c r="D5" s="1" t="s">
        <v>36</v>
      </c>
      <c r="F5" s="4"/>
      <c r="G5" s="8"/>
      <c r="H5" s="9"/>
      <c r="I5" s="9"/>
      <c r="K5" s="4" t="s">
        <v>38</v>
      </c>
      <c r="L5" s="12">
        <f>B4-C26</f>
        <v>37.889159999999997</v>
      </c>
      <c r="M5" s="1" t="s">
        <v>40</v>
      </c>
    </row>
    <row r="6" spans="1:24" ht="15.75" customHeight="1" x14ac:dyDescent="0.2">
      <c r="A6" s="4" t="s">
        <v>41</v>
      </c>
      <c r="B6" s="11">
        <v>0</v>
      </c>
      <c r="C6" s="6" t="s">
        <v>26</v>
      </c>
      <c r="D6" s="1" t="s">
        <v>42</v>
      </c>
      <c r="F6" s="7" t="s">
        <v>43</v>
      </c>
      <c r="G6" s="13"/>
      <c r="H6" s="9"/>
      <c r="I6" s="9"/>
      <c r="K6" s="4" t="s">
        <v>44</v>
      </c>
      <c r="L6" s="12">
        <f>C41</f>
        <v>1.2335800000000001</v>
      </c>
    </row>
    <row r="7" spans="1:24" ht="15.75" customHeight="1" x14ac:dyDescent="0.2">
      <c r="A7" s="4" t="s">
        <v>47</v>
      </c>
      <c r="B7" s="11">
        <v>2</v>
      </c>
      <c r="C7" s="6" t="s">
        <v>26</v>
      </c>
      <c r="D7" s="1"/>
      <c r="F7" s="4" t="s">
        <v>49</v>
      </c>
      <c r="G7" s="8">
        <v>552</v>
      </c>
      <c r="H7" s="9">
        <f t="shared" ref="H7:H9" si="2">G7/1000*$B$2</f>
        <v>8.832000000000001E-2</v>
      </c>
      <c r="I7" s="9">
        <f t="shared" ref="I7:I9" si="3">G7/1000*$B$3</f>
        <v>9.3840000000000021E-2</v>
      </c>
      <c r="K7" s="4" t="s">
        <v>59</v>
      </c>
      <c r="L7" s="10">
        <f>C26</f>
        <v>2.11084</v>
      </c>
      <c r="M7" s="1" t="s">
        <v>63</v>
      </c>
    </row>
    <row r="8" spans="1:24" ht="15.75" customHeight="1" x14ac:dyDescent="0.2">
      <c r="A8" s="4" t="s">
        <v>64</v>
      </c>
      <c r="B8" s="11">
        <v>2</v>
      </c>
      <c r="C8" s="6" t="s">
        <v>26</v>
      </c>
      <c r="D8" s="1"/>
      <c r="F8" s="4" t="s">
        <v>65</v>
      </c>
      <c r="G8" s="8">
        <v>68</v>
      </c>
      <c r="H8" s="9">
        <f t="shared" si="2"/>
        <v>1.0880000000000001E-2</v>
      </c>
      <c r="I8" s="9">
        <f t="shared" si="3"/>
        <v>1.1560000000000001E-2</v>
      </c>
      <c r="K8" s="4" t="s">
        <v>66</v>
      </c>
      <c r="L8" s="10">
        <f>C41</f>
        <v>1.2335800000000001</v>
      </c>
      <c r="M8" s="1" t="s">
        <v>69</v>
      </c>
    </row>
    <row r="9" spans="1:24" ht="15.75" customHeight="1" x14ac:dyDescent="0.2">
      <c r="A9" s="4"/>
      <c r="B9" s="11">
        <v>0</v>
      </c>
      <c r="C9" s="6" t="s">
        <v>26</v>
      </c>
      <c r="D9" s="1"/>
      <c r="E9" s="1"/>
      <c r="F9" s="4" t="s">
        <v>70</v>
      </c>
      <c r="G9" s="13">
        <f>2531+139</f>
        <v>2670</v>
      </c>
      <c r="H9" s="9">
        <f t="shared" si="2"/>
        <v>0.42720000000000002</v>
      </c>
      <c r="I9" s="9">
        <f t="shared" si="3"/>
        <v>0.45390000000000003</v>
      </c>
    </row>
    <row r="10" spans="1:24" ht="15.75" customHeight="1" x14ac:dyDescent="0.2">
      <c r="A10" s="4" t="s">
        <v>75</v>
      </c>
      <c r="B10" s="11">
        <v>0.2</v>
      </c>
      <c r="C10" s="6" t="s">
        <v>26</v>
      </c>
      <c r="D10" s="1"/>
      <c r="E10" s="1"/>
    </row>
    <row r="11" spans="1:24" ht="15.75" customHeight="1" x14ac:dyDescent="0.2">
      <c r="A11" s="3"/>
    </row>
    <row r="13" spans="1:24" ht="15.75" customHeight="1" x14ac:dyDescent="0.2">
      <c r="A13" s="44" t="s">
        <v>78</v>
      </c>
      <c r="B13" s="40"/>
      <c r="C13" s="40"/>
      <c r="D13" s="40"/>
    </row>
    <row r="14" spans="1:24" ht="15.75" customHeight="1" x14ac:dyDescent="0.2">
      <c r="A14" s="18" t="s">
        <v>79</v>
      </c>
      <c r="B14" s="19" t="s">
        <v>81</v>
      </c>
      <c r="C14" s="19" t="s">
        <v>82</v>
      </c>
      <c r="D14" s="19" t="s">
        <v>83</v>
      </c>
      <c r="F14" s="1"/>
    </row>
    <row r="15" spans="1:24" ht="15.75" customHeight="1" x14ac:dyDescent="0.2">
      <c r="A15" s="1" t="s">
        <v>84</v>
      </c>
      <c r="B15" s="17">
        <f>-B7</f>
        <v>-2</v>
      </c>
      <c r="C15" s="16">
        <f>B15</f>
        <v>-2</v>
      </c>
      <c r="D15" s="1"/>
      <c r="F15" s="1"/>
    </row>
    <row r="16" spans="1:24" ht="15.75" customHeight="1" x14ac:dyDescent="0.2">
      <c r="A16" s="1" t="s">
        <v>86</v>
      </c>
      <c r="B16" s="17">
        <f>SUM(I3:I4)</f>
        <v>0.38556000000000001</v>
      </c>
      <c r="C16" s="16">
        <f>C15+B16</f>
        <v>-1.6144400000000001</v>
      </c>
      <c r="D16" s="1"/>
      <c r="F16" s="1"/>
    </row>
    <row r="17" spans="1:6" ht="15.75" customHeight="1" x14ac:dyDescent="0.2">
      <c r="A17" s="22" t="s">
        <v>90</v>
      </c>
      <c r="B17" s="16"/>
      <c r="C17" s="23">
        <f>C16</f>
        <v>-1.6144400000000001</v>
      </c>
    </row>
    <row r="18" spans="1:6" ht="15.75" customHeight="1" x14ac:dyDescent="0.2">
      <c r="A18" s="14"/>
      <c r="B18" s="1"/>
      <c r="C18" s="1"/>
    </row>
    <row r="19" spans="1:6" ht="15.75" customHeight="1" x14ac:dyDescent="0.2">
      <c r="A19" s="18" t="s">
        <v>94</v>
      </c>
      <c r="B19" s="19" t="s">
        <v>81</v>
      </c>
      <c r="C19" s="19" t="s">
        <v>82</v>
      </c>
      <c r="D19" s="19" t="s">
        <v>83</v>
      </c>
      <c r="F19" s="1"/>
    </row>
    <row r="20" spans="1:6" ht="15.75" customHeight="1" x14ac:dyDescent="0.2">
      <c r="A20" s="1" t="s">
        <v>95</v>
      </c>
      <c r="B20" s="17">
        <f>B6</f>
        <v>0</v>
      </c>
      <c r="C20" s="16">
        <f>B20</f>
        <v>0</v>
      </c>
    </row>
    <row r="21" spans="1:6" ht="15.75" customHeight="1" x14ac:dyDescent="0.2">
      <c r="A21" s="1" t="s">
        <v>97</v>
      </c>
      <c r="B21" s="16">
        <f>SUM(H7:H8)</f>
        <v>9.920000000000001E-2</v>
      </c>
      <c r="C21" s="16">
        <f t="shared" ref="C21:C24" si="4">C20+B21</f>
        <v>9.920000000000001E-2</v>
      </c>
      <c r="D21" s="1"/>
    </row>
    <row r="22" spans="1:6" ht="15.75" customHeight="1" x14ac:dyDescent="0.2">
      <c r="A22" s="1" t="s">
        <v>96</v>
      </c>
      <c r="B22" s="16">
        <f>0.17</f>
        <v>0.17</v>
      </c>
      <c r="C22" s="16">
        <f t="shared" si="4"/>
        <v>0.26919999999999999</v>
      </c>
      <c r="D22" s="1" t="s">
        <v>99</v>
      </c>
    </row>
    <row r="23" spans="1:6" ht="15.75" customHeight="1" x14ac:dyDescent="0.2">
      <c r="A23" s="1" t="s">
        <v>98</v>
      </c>
      <c r="B23" s="16">
        <f>H9</f>
        <v>0.42720000000000002</v>
      </c>
      <c r="C23" s="16">
        <f t="shared" si="4"/>
        <v>0.69640000000000002</v>
      </c>
      <c r="F23" s="1"/>
    </row>
    <row r="24" spans="1:6" ht="15.75" customHeight="1" x14ac:dyDescent="0.2">
      <c r="A24" s="1" t="s">
        <v>100</v>
      </c>
      <c r="B24" s="16">
        <f>-$B$10</f>
        <v>-0.2</v>
      </c>
      <c r="C24" s="16">
        <f t="shared" si="4"/>
        <v>0.49640000000000001</v>
      </c>
    </row>
    <row r="25" spans="1:6" ht="15.75" customHeight="1" x14ac:dyDescent="0.2">
      <c r="A25" s="22" t="s">
        <v>101</v>
      </c>
      <c r="B25" s="3"/>
      <c r="C25" s="23">
        <f>C24</f>
        <v>0.49640000000000001</v>
      </c>
    </row>
    <row r="26" spans="1:6" ht="15.75" customHeight="1" x14ac:dyDescent="0.2">
      <c r="A26" s="18" t="s">
        <v>59</v>
      </c>
      <c r="B26" s="26"/>
      <c r="C26" s="23">
        <f>C25-C17</f>
        <v>2.11084</v>
      </c>
      <c r="D26" s="27" t="s">
        <v>102</v>
      </c>
    </row>
    <row r="27" spans="1:6" ht="15.75" customHeight="1" x14ac:dyDescent="0.2">
      <c r="A27" s="3"/>
    </row>
    <row r="28" spans="1:6" ht="15.75" customHeight="1" x14ac:dyDescent="0.2">
      <c r="A28" s="46" t="s">
        <v>104</v>
      </c>
      <c r="B28" s="40"/>
      <c r="C28" s="40"/>
      <c r="D28" s="40"/>
    </row>
    <row r="29" spans="1:6" ht="15.75" customHeight="1" x14ac:dyDescent="0.2">
      <c r="A29" s="18" t="s">
        <v>105</v>
      </c>
      <c r="B29" s="19" t="s">
        <v>81</v>
      </c>
      <c r="C29" s="19" t="s">
        <v>82</v>
      </c>
      <c r="D29" s="19" t="s">
        <v>83</v>
      </c>
    </row>
    <row r="30" spans="1:6" ht="15.75" customHeight="1" x14ac:dyDescent="0.2">
      <c r="A30" s="1" t="s">
        <v>106</v>
      </c>
      <c r="B30" s="17">
        <f>B8</f>
        <v>2</v>
      </c>
      <c r="C30" s="16">
        <f>B30</f>
        <v>2</v>
      </c>
      <c r="D30" s="1"/>
      <c r="F30" s="1"/>
    </row>
    <row r="31" spans="1:6" ht="15.75" customHeight="1" x14ac:dyDescent="0.2">
      <c r="A31" s="1" t="s">
        <v>86</v>
      </c>
      <c r="B31" s="17">
        <f>SUM(H3:H4)</f>
        <v>0.36287999999999998</v>
      </c>
      <c r="C31" s="16">
        <f>C30+B31</f>
        <v>2.3628800000000001</v>
      </c>
      <c r="D31" s="1"/>
    </row>
    <row r="32" spans="1:6" ht="15.75" customHeight="1" x14ac:dyDescent="0.2">
      <c r="A32" s="22" t="s">
        <v>90</v>
      </c>
      <c r="B32" s="16"/>
      <c r="C32" s="23">
        <f>C31</f>
        <v>2.3628800000000001</v>
      </c>
    </row>
    <row r="33" spans="1:4" ht="15.75" customHeight="1" x14ac:dyDescent="0.2">
      <c r="A33" s="14"/>
      <c r="B33" s="1"/>
      <c r="C33" s="1"/>
    </row>
    <row r="34" spans="1:4" ht="15.75" customHeight="1" x14ac:dyDescent="0.2">
      <c r="A34" s="18" t="s">
        <v>107</v>
      </c>
      <c r="B34" s="19" t="s">
        <v>81</v>
      </c>
      <c r="C34" s="19" t="s">
        <v>82</v>
      </c>
      <c r="D34" s="19" t="s">
        <v>83</v>
      </c>
    </row>
    <row r="35" spans="1:4" ht="15.75" customHeight="1" x14ac:dyDescent="0.2">
      <c r="A35" s="1" t="s">
        <v>95</v>
      </c>
      <c r="B35" s="17">
        <f>$B$5</f>
        <v>0</v>
      </c>
      <c r="C35" s="16">
        <f>B35</f>
        <v>0</v>
      </c>
    </row>
    <row r="36" spans="1:4" ht="15.75" customHeight="1" x14ac:dyDescent="0.2">
      <c r="A36" s="1" t="s">
        <v>97</v>
      </c>
      <c r="B36" s="16">
        <f>I7+I8</f>
        <v>0.10540000000000002</v>
      </c>
      <c r="C36" s="16">
        <f t="shared" ref="C36:C39" si="5">C35+B36</f>
        <v>0.10540000000000002</v>
      </c>
      <c r="D36" s="1"/>
    </row>
    <row r="37" spans="1:4" ht="15.75" customHeight="1" x14ac:dyDescent="0.2">
      <c r="A37" s="1" t="s">
        <v>96</v>
      </c>
      <c r="B37" s="17">
        <v>0.37</v>
      </c>
      <c r="C37" s="16">
        <f t="shared" si="5"/>
        <v>0.47540000000000004</v>
      </c>
      <c r="D37" s="1" t="s">
        <v>99</v>
      </c>
    </row>
    <row r="38" spans="1:4" ht="15.75" customHeight="1" x14ac:dyDescent="0.2">
      <c r="A38" s="1" t="s">
        <v>98</v>
      </c>
      <c r="B38" s="16">
        <f>I9</f>
        <v>0.45390000000000003</v>
      </c>
      <c r="C38" s="16">
        <f t="shared" si="5"/>
        <v>0.92930000000000001</v>
      </c>
    </row>
    <row r="39" spans="1:4" ht="15.75" customHeight="1" x14ac:dyDescent="0.2">
      <c r="A39" s="1" t="s">
        <v>100</v>
      </c>
      <c r="B39" s="16">
        <f>$B$10</f>
        <v>0.2</v>
      </c>
      <c r="C39" s="16">
        <f t="shared" si="5"/>
        <v>1.1293</v>
      </c>
    </row>
    <row r="40" spans="1:4" ht="15.75" customHeight="1" x14ac:dyDescent="0.2">
      <c r="A40" s="22" t="s">
        <v>101</v>
      </c>
      <c r="B40" s="3"/>
      <c r="C40" s="23">
        <f>C39</f>
        <v>1.1293</v>
      </c>
    </row>
    <row r="41" spans="1:4" ht="15.75" customHeight="1" x14ac:dyDescent="0.2">
      <c r="A41" s="18" t="s">
        <v>66</v>
      </c>
      <c r="B41" s="26"/>
      <c r="C41" s="23">
        <f>C32-C40</f>
        <v>1.2335800000000001</v>
      </c>
      <c r="D41" s="27" t="s">
        <v>113</v>
      </c>
    </row>
    <row r="42" spans="1:4" ht="15.75" customHeight="1" x14ac:dyDescent="0.2">
      <c r="A42" s="3"/>
    </row>
    <row r="43" spans="1:4" ht="15.75" customHeight="1" x14ac:dyDescent="0.2">
      <c r="A43" s="3"/>
    </row>
    <row r="44" spans="1:4" ht="15.75" customHeight="1" x14ac:dyDescent="0.2">
      <c r="A44" s="3"/>
    </row>
    <row r="45" spans="1:4" ht="15.75" customHeight="1" x14ac:dyDescent="0.2">
      <c r="A45" s="3"/>
    </row>
    <row r="46" spans="1:4" ht="15.75" customHeight="1" x14ac:dyDescent="0.2">
      <c r="A46" s="3"/>
    </row>
    <row r="47" spans="1:4" ht="15.75" customHeight="1" x14ac:dyDescent="0.2">
      <c r="A47" s="3"/>
    </row>
    <row r="48" spans="1:4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</sheetData>
  <mergeCells count="5">
    <mergeCell ref="A13:D13"/>
    <mergeCell ref="F1:I1"/>
    <mergeCell ref="A1:C1"/>
    <mergeCell ref="K4:L4"/>
    <mergeCell ref="A28:D28"/>
  </mergeCells>
  <conditionalFormatting sqref="C26 C41">
    <cfRule type="cellIs" dxfId="5" priority="1" operator="greaterThan">
      <formula>0</formula>
    </cfRule>
  </conditionalFormatting>
  <conditionalFormatting sqref="C26 C41">
    <cfRule type="cellIs" dxfId="4" priority="2" operator="lessThanOrEqual">
      <formula>0</formula>
    </cfRule>
  </conditionalFormatting>
  <conditionalFormatting sqref="L7">
    <cfRule type="cellIs" dxfId="3" priority="3" operator="greaterThan">
      <formula>0</formula>
    </cfRule>
  </conditionalFormatting>
  <conditionalFormatting sqref="L7">
    <cfRule type="cellIs" dxfId="2" priority="4" operator="lessThanOrEqual">
      <formula>0</formula>
    </cfRule>
  </conditionalFormatting>
  <conditionalFormatting sqref="L8">
    <cfRule type="cellIs" dxfId="1" priority="5" operator="greaterThan">
      <formula>0</formula>
    </cfRule>
  </conditionalFormatting>
  <conditionalFormatting sqref="L8">
    <cfRule type="cellIs" dxfId="0" priority="6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 of PPS Timing Closure</vt:lpstr>
      <vt:lpstr>Ext PPS Capture</vt:lpstr>
      <vt:lpstr>GPS PPS 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Jepson</cp:lastModifiedBy>
  <dcterms:modified xsi:type="dcterms:W3CDTF">2017-12-19T17:44:08Z</dcterms:modified>
</cp:coreProperties>
</file>