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6a6be7cfaaa6b3a5/Documents/"/>
    </mc:Choice>
  </mc:AlternateContent>
  <xr:revisionPtr revIDLastSave="3" documentId="8_{39CA2D8D-E19B-40FC-97B7-7CC8331FC12D}" xr6:coauthVersionLast="47" xr6:coauthVersionMax="47" xr10:uidLastSave="{1CBB56EA-459B-46E5-8610-C0F2124E032F}"/>
  <bookViews>
    <workbookView xWindow="-108" yWindow="-108" windowWidth="23256" windowHeight="12456" xr2:uid="{296878C8-8A9A-4BAD-87DF-350F3369FB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4" i="1" l="1"/>
  <c r="J44" i="1"/>
  <c r="I4" i="1"/>
  <c r="H4" i="1"/>
  <c r="B4" i="1"/>
  <c r="C67" i="1"/>
  <c r="C68" i="1"/>
  <c r="C69" i="1"/>
  <c r="C70" i="1"/>
  <c r="C71" i="1"/>
  <c r="C72" i="1"/>
  <c r="C73" i="1"/>
  <c r="C74" i="1"/>
  <c r="C75" i="1"/>
  <c r="C76" i="1"/>
  <c r="C77" i="1"/>
  <c r="C78" i="1"/>
  <c r="C79" i="1"/>
  <c r="C80" i="1"/>
  <c r="C81" i="1"/>
  <c r="C82" i="1"/>
  <c r="C83" i="1"/>
  <c r="C84" i="1"/>
  <c r="C85" i="1"/>
  <c r="C86" i="1"/>
  <c r="C87" i="1"/>
  <c r="C88" i="1"/>
  <c r="C89" i="1"/>
  <c r="C90" i="1"/>
  <c r="C66" i="1"/>
  <c r="C65" i="1"/>
  <c r="C64" i="1"/>
  <c r="B70" i="1"/>
  <c r="B71" i="1"/>
  <c r="B72" i="1"/>
  <c r="B73" i="1"/>
  <c r="B74" i="1"/>
  <c r="B75" i="1"/>
  <c r="B76" i="1"/>
  <c r="B77" i="1"/>
  <c r="B78" i="1"/>
  <c r="B79" i="1"/>
  <c r="B80" i="1"/>
  <c r="B81" i="1"/>
  <c r="B82" i="1"/>
  <c r="B83" i="1"/>
  <c r="B84" i="1"/>
  <c r="B85" i="1"/>
  <c r="B86" i="1"/>
  <c r="B87" i="1"/>
  <c r="B88" i="1"/>
  <c r="B89" i="1"/>
  <c r="B90" i="1"/>
  <c r="B69" i="1"/>
  <c r="B68" i="1"/>
  <c r="B67" i="1"/>
  <c r="C50" i="1"/>
  <c r="C51" i="1"/>
  <c r="C52" i="1"/>
  <c r="C53" i="1"/>
  <c r="C54" i="1"/>
  <c r="C55" i="1"/>
  <c r="C56" i="1"/>
  <c r="C49" i="1"/>
  <c r="D44" i="1"/>
  <c r="B44" i="1"/>
  <c r="C4" i="1"/>
  <c r="D4" i="1" s="1"/>
  <c r="B16" i="1"/>
  <c r="B34" i="1"/>
  <c r="B19" i="1"/>
  <c r="B22" i="1"/>
  <c r="B25" i="1"/>
  <c r="B28" i="1"/>
  <c r="B31" i="1"/>
  <c r="B13" i="1"/>
  <c r="L4" i="1"/>
  <c r="F4" i="1"/>
  <c r="J4" i="1"/>
  <c r="H44" i="1" l="1"/>
  <c r="I44" i="1" s="1"/>
  <c r="G13" i="1"/>
  <c r="G14" i="1" s="1"/>
  <c r="I13" i="1"/>
  <c r="I14" i="1" s="1"/>
  <c r="K25" i="1"/>
  <c r="K26" i="1" s="1"/>
  <c r="E28" i="1"/>
  <c r="E29" i="1" s="1"/>
  <c r="I34" i="1"/>
  <c r="I35" i="1" s="1"/>
  <c r="K31" i="1"/>
  <c r="K32" i="1" s="1"/>
  <c r="G25" i="1"/>
  <c r="G26" i="1" s="1"/>
  <c r="C19" i="1"/>
  <c r="C20" i="1" s="1"/>
  <c r="E16" i="1"/>
  <c r="E17" i="1" s="1"/>
  <c r="G34" i="1"/>
  <c r="G35" i="1" s="1"/>
  <c r="K28" i="1"/>
  <c r="K29" i="1" s="1"/>
  <c r="I25" i="1"/>
  <c r="I26" i="1" s="1"/>
  <c r="E19" i="1"/>
  <c r="E20" i="1" s="1"/>
  <c r="C16" i="1"/>
  <c r="C17" i="1" s="1"/>
  <c r="K13" i="1"/>
  <c r="K14" i="1" s="1"/>
  <c r="G28" i="1"/>
  <c r="G29" i="1" s="1"/>
  <c r="I28" i="1"/>
  <c r="I29" i="1" s="1"/>
  <c r="I19" i="1"/>
  <c r="I20" i="1" s="1"/>
  <c r="C31" i="1"/>
  <c r="C32" i="1" s="1"/>
  <c r="K19" i="1"/>
  <c r="K20" i="1" s="1"/>
  <c r="G19" i="1"/>
  <c r="G20" i="1" s="1"/>
  <c r="C34" i="1"/>
  <c r="C35" i="1" s="1"/>
  <c r="I22" i="1"/>
  <c r="I23" i="1" s="1"/>
  <c r="E34" i="1"/>
  <c r="E35" i="1" s="1"/>
  <c r="F13" i="1"/>
  <c r="F14" i="1" s="1"/>
  <c r="K22" i="1"/>
  <c r="K23" i="1" s="1"/>
  <c r="G16" i="1"/>
  <c r="G17" i="1" s="1"/>
  <c r="C22" i="1"/>
  <c r="C23" i="1" s="1"/>
  <c r="E25" i="1"/>
  <c r="E26" i="1" s="1"/>
  <c r="I31" i="1"/>
  <c r="I32" i="1" s="1"/>
  <c r="K34" i="1"/>
  <c r="K35" i="1" s="1"/>
  <c r="C13" i="1"/>
  <c r="C14" i="1" s="1"/>
  <c r="I16" i="1"/>
  <c r="I17" i="1" s="1"/>
  <c r="E22" i="1"/>
  <c r="E23" i="1" s="1"/>
  <c r="C25" i="1"/>
  <c r="C26" i="1" s="1"/>
  <c r="G31" i="1"/>
  <c r="G32" i="1" s="1"/>
  <c r="E13" i="1"/>
  <c r="E14" i="1" s="1"/>
  <c r="K16" i="1"/>
  <c r="K17" i="1" s="1"/>
  <c r="G22" i="1"/>
  <c r="G23" i="1" s="1"/>
  <c r="C28" i="1"/>
  <c r="C29" i="1" s="1"/>
  <c r="E31" i="1"/>
  <c r="E32" i="1" s="1"/>
  <c r="L16" i="1"/>
  <c r="L17" i="1" s="1"/>
  <c r="J34" i="1"/>
  <c r="J35" i="1" s="1"/>
  <c r="F16" i="1"/>
  <c r="F17" i="1" s="1"/>
  <c r="H16" i="1"/>
  <c r="H17" i="1" s="1"/>
  <c r="H25" i="1"/>
  <c r="H26" i="1" s="1"/>
  <c r="J16" i="1"/>
  <c r="J17" i="1" s="1"/>
  <c r="D16" i="1"/>
  <c r="D17" i="1" s="1"/>
  <c r="L25" i="1"/>
  <c r="L26" i="1" s="1"/>
  <c r="F28" i="1"/>
  <c r="F29" i="1" s="1"/>
  <c r="F22" i="1"/>
  <c r="F23" i="1" s="1"/>
  <c r="D25" i="1"/>
  <c r="D26" i="1" s="1"/>
  <c r="F25" i="1"/>
  <c r="F26" i="1" s="1"/>
  <c r="J28" i="1"/>
  <c r="J29" i="1" s="1"/>
  <c r="J25" i="1"/>
  <c r="J26" i="1" s="1"/>
  <c r="H34" i="1"/>
  <c r="H35" i="1" s="1"/>
  <c r="D22" i="1"/>
  <c r="D23" i="1" s="1"/>
  <c r="F19" i="1"/>
  <c r="F20" i="1" s="1"/>
  <c r="J22" i="1"/>
  <c r="J23" i="1" s="1"/>
  <c r="L31" i="1"/>
  <c r="L32" i="1" s="1"/>
  <c r="D19" i="1"/>
  <c r="D20" i="1" s="1"/>
  <c r="H31" i="1"/>
  <c r="H32" i="1" s="1"/>
  <c r="J19" i="1"/>
  <c r="J20" i="1" s="1"/>
  <c r="H28" i="1"/>
  <c r="H29" i="1" s="1"/>
  <c r="L28" i="1"/>
  <c r="L29" i="1" s="1"/>
  <c r="L13" i="1"/>
  <c r="L14" i="1" s="1"/>
  <c r="F34" i="1"/>
  <c r="F35" i="1" s="1"/>
  <c r="H13" i="1"/>
  <c r="H14" i="1" s="1"/>
  <c r="J13" i="1"/>
  <c r="J14" i="1" s="1"/>
  <c r="H22" i="1"/>
  <c r="H23" i="1" s="1"/>
  <c r="L22" i="1"/>
  <c r="L23" i="1" s="1"/>
  <c r="L34" i="1"/>
  <c r="L35" i="1" s="1"/>
  <c r="D34" i="1"/>
  <c r="D35" i="1" s="1"/>
  <c r="L19" i="1"/>
  <c r="L20" i="1" s="1"/>
  <c r="D31" i="1"/>
  <c r="D32" i="1" s="1"/>
  <c r="F31" i="1"/>
  <c r="F32" i="1" s="1"/>
  <c r="H19" i="1"/>
  <c r="H20" i="1" s="1"/>
  <c r="D13" i="1"/>
  <c r="D14" i="1" s="1"/>
  <c r="D28" i="1"/>
  <c r="D29" i="1" s="1"/>
  <c r="J31" i="1"/>
  <c r="J32" i="1" s="1"/>
  <c r="D53" i="1" l="1"/>
  <c r="G44" i="1"/>
  <c r="D56" i="1"/>
  <c r="G56" i="1" s="1"/>
  <c r="D50" i="1"/>
  <c r="D51" i="1"/>
  <c r="D52" i="1"/>
  <c r="D54" i="1"/>
  <c r="D55" i="1"/>
  <c r="D49" i="1"/>
  <c r="G18" i="1"/>
  <c r="K18" i="1"/>
  <c r="K15" i="1"/>
  <c r="I15" i="1"/>
  <c r="C15" i="1"/>
  <c r="C21" i="1"/>
  <c r="E18" i="1"/>
  <c r="C27" i="1"/>
  <c r="G15" i="1"/>
  <c r="G30" i="1"/>
  <c r="K27" i="1"/>
  <c r="E15" i="1"/>
  <c r="G21" i="1"/>
  <c r="C36" i="1"/>
  <c r="G36" i="1"/>
  <c r="C18" i="1"/>
  <c r="I33" i="1"/>
  <c r="E33" i="1"/>
  <c r="C33" i="1"/>
  <c r="K36" i="1"/>
  <c r="K24" i="1"/>
  <c r="I36" i="1"/>
  <c r="E36" i="1"/>
  <c r="E30" i="1"/>
  <c r="G24" i="1"/>
  <c r="K33" i="1"/>
  <c r="I30" i="1"/>
  <c r="G27" i="1"/>
  <c r="E24" i="1"/>
  <c r="C30" i="1"/>
  <c r="I27" i="1"/>
  <c r="K30" i="1"/>
  <c r="I24" i="1"/>
  <c r="E27" i="1"/>
  <c r="I21" i="1"/>
  <c r="E21" i="1"/>
  <c r="K21" i="1"/>
  <c r="G33" i="1"/>
  <c r="C24" i="1"/>
  <c r="I18" i="1"/>
  <c r="D90" i="1" l="1"/>
  <c r="D87" i="1"/>
  <c r="D64" i="1"/>
  <c r="D75" i="1"/>
  <c r="D71" i="1"/>
  <c r="D89" i="1"/>
  <c r="D69" i="1"/>
  <c r="D74" i="1"/>
  <c r="G74" i="1" s="1"/>
  <c r="D65" i="1"/>
  <c r="D86" i="1"/>
  <c r="D80" i="1"/>
  <c r="D68" i="1"/>
  <c r="D73" i="1"/>
  <c r="D79" i="1"/>
  <c r="D85" i="1"/>
  <c r="D67" i="1"/>
  <c r="D83" i="1"/>
  <c r="D88" i="1"/>
  <c r="D84" i="1"/>
  <c r="D72" i="1"/>
  <c r="D82" i="1"/>
  <c r="D66" i="1"/>
  <c r="D70" i="1"/>
  <c r="D81" i="1"/>
  <c r="J56" i="1"/>
  <c r="I56" i="1" s="1"/>
  <c r="D77" i="1"/>
  <c r="D76" i="1"/>
  <c r="G76" i="1" s="1"/>
  <c r="E76" i="1" s="1"/>
  <c r="D78" i="1"/>
  <c r="G55" i="1"/>
  <c r="J55" i="1" s="1"/>
  <c r="I55" i="1" s="1"/>
  <c r="G54" i="1"/>
  <c r="J54" i="1" s="1"/>
  <c r="I54" i="1" s="1"/>
  <c r="G52" i="1"/>
  <c r="F52" i="1" s="1"/>
  <c r="G49" i="1"/>
  <c r="E49" i="1" s="1"/>
  <c r="G51" i="1"/>
  <c r="F51" i="1" s="1"/>
  <c r="G50" i="1"/>
  <c r="J50" i="1" s="1"/>
  <c r="I50" i="1" s="1"/>
  <c r="G53" i="1"/>
  <c r="F53" i="1" s="1"/>
  <c r="H56" i="1"/>
  <c r="K56" i="1" s="1"/>
  <c r="F56" i="1"/>
  <c r="E56" i="1"/>
  <c r="G88" i="1" l="1"/>
  <c r="J88" i="1" s="1"/>
  <c r="I88" i="1" s="1"/>
  <c r="G86" i="1"/>
  <c r="J86" i="1" s="1"/>
  <c r="I86" i="1" s="1"/>
  <c r="G65" i="1"/>
  <c r="J65" i="1" s="1"/>
  <c r="I65" i="1" s="1"/>
  <c r="G90" i="1"/>
  <c r="J90" i="1" s="1"/>
  <c r="I90" i="1" s="1"/>
  <c r="G81" i="1"/>
  <c r="J81" i="1" s="1"/>
  <c r="I81" i="1" s="1"/>
  <c r="G77" i="1"/>
  <c r="J77" i="1" s="1"/>
  <c r="I77" i="1" s="1"/>
  <c r="G70" i="1"/>
  <c r="J70" i="1" s="1"/>
  <c r="I70" i="1" s="1"/>
  <c r="G85" i="1"/>
  <c r="J85" i="1" s="1"/>
  <c r="I85" i="1" s="1"/>
  <c r="G69" i="1"/>
  <c r="J69" i="1" s="1"/>
  <c r="I69" i="1" s="1"/>
  <c r="G84" i="1"/>
  <c r="J84" i="1" s="1"/>
  <c r="I84" i="1" s="1"/>
  <c r="G64" i="1"/>
  <c r="G87" i="1"/>
  <c r="J87" i="1" s="1"/>
  <c r="I87" i="1" s="1"/>
  <c r="G67" i="1"/>
  <c r="J67" i="1" s="1"/>
  <c r="I67" i="1" s="1"/>
  <c r="G66" i="1"/>
  <c r="G79" i="1"/>
  <c r="J79" i="1" s="1"/>
  <c r="I79" i="1" s="1"/>
  <c r="G89" i="1"/>
  <c r="G80" i="1"/>
  <c r="J80" i="1" s="1"/>
  <c r="I80" i="1" s="1"/>
  <c r="G78" i="1"/>
  <c r="J78" i="1" s="1"/>
  <c r="I78" i="1" s="1"/>
  <c r="G83" i="1"/>
  <c r="J83" i="1" s="1"/>
  <c r="I83" i="1" s="1"/>
  <c r="J74" i="1"/>
  <c r="I74" i="1" s="1"/>
  <c r="H74" i="1"/>
  <c r="L74" i="1" s="1"/>
  <c r="E74" i="1"/>
  <c r="F74" i="1"/>
  <c r="G82" i="1"/>
  <c r="J82" i="1" s="1"/>
  <c r="I82" i="1" s="1"/>
  <c r="G73" i="1"/>
  <c r="J73" i="1" s="1"/>
  <c r="I73" i="1" s="1"/>
  <c r="G71" i="1"/>
  <c r="J71" i="1" s="1"/>
  <c r="I71" i="1" s="1"/>
  <c r="G72" i="1"/>
  <c r="J72" i="1" s="1"/>
  <c r="I72" i="1" s="1"/>
  <c r="G68" i="1"/>
  <c r="J68" i="1" s="1"/>
  <c r="I68" i="1" s="1"/>
  <c r="G75" i="1"/>
  <c r="J75" i="1" s="1"/>
  <c r="I75" i="1" s="1"/>
  <c r="J76" i="1"/>
  <c r="I76" i="1" s="1"/>
  <c r="J49" i="1"/>
  <c r="I49" i="1" s="1"/>
  <c r="H55" i="1"/>
  <c r="L55" i="1" s="1"/>
  <c r="E55" i="1"/>
  <c r="F55" i="1"/>
  <c r="F50" i="1"/>
  <c r="H50" i="1"/>
  <c r="K50" i="1" s="1"/>
  <c r="J51" i="1"/>
  <c r="I51" i="1" s="1"/>
  <c r="L56" i="1"/>
  <c r="H54" i="1"/>
  <c r="L54" i="1" s="1"/>
  <c r="E51" i="1"/>
  <c r="E54" i="1"/>
  <c r="F54" i="1"/>
  <c r="H51" i="1"/>
  <c r="L51" i="1" s="1"/>
  <c r="F49" i="1"/>
  <c r="E52" i="1"/>
  <c r="H52" i="1"/>
  <c r="L52" i="1" s="1"/>
  <c r="E50" i="1"/>
  <c r="J53" i="1"/>
  <c r="I53" i="1" s="1"/>
  <c r="J52" i="1"/>
  <c r="I52" i="1" s="1"/>
  <c r="H53" i="1"/>
  <c r="L53" i="1" s="1"/>
  <c r="E53" i="1"/>
  <c r="H49" i="1"/>
  <c r="L49" i="1" s="1"/>
  <c r="K74" i="1" l="1"/>
  <c r="J66" i="1"/>
  <c r="I66" i="1" s="1"/>
  <c r="H66" i="1"/>
  <c r="L66" i="1" s="1"/>
  <c r="E66" i="1"/>
  <c r="F66" i="1"/>
  <c r="H90" i="1"/>
  <c r="K90" i="1" s="1"/>
  <c r="F90" i="1"/>
  <c r="E90" i="1"/>
  <c r="H70" i="1"/>
  <c r="L70" i="1" s="1"/>
  <c r="E70" i="1"/>
  <c r="F70" i="1"/>
  <c r="H64" i="1"/>
  <c r="L64" i="1" s="1"/>
  <c r="E64" i="1"/>
  <c r="F64" i="1"/>
  <c r="E73" i="1"/>
  <c r="F73" i="1"/>
  <c r="H73" i="1"/>
  <c r="L73" i="1" s="1"/>
  <c r="F80" i="1"/>
  <c r="E80" i="1"/>
  <c r="H80" i="1"/>
  <c r="K80" i="1" s="1"/>
  <c r="E67" i="1"/>
  <c r="H67" i="1"/>
  <c r="L67" i="1" s="1"/>
  <c r="F67" i="1"/>
  <c r="H84" i="1"/>
  <c r="L84" i="1" s="1"/>
  <c r="E84" i="1"/>
  <c r="F84" i="1"/>
  <c r="H65" i="1"/>
  <c r="L65" i="1" s="1"/>
  <c r="E65" i="1"/>
  <c r="F65" i="1"/>
  <c r="E77" i="1"/>
  <c r="H77" i="1"/>
  <c r="L77" i="1" s="1"/>
  <c r="H71" i="1"/>
  <c r="L71" i="1" s="1"/>
  <c r="E71" i="1"/>
  <c r="F71" i="1"/>
  <c r="E89" i="1"/>
  <c r="H89" i="1"/>
  <c r="L89" i="1" s="1"/>
  <c r="F89" i="1"/>
  <c r="H83" i="1"/>
  <c r="L83" i="1" s="1"/>
  <c r="F83" i="1"/>
  <c r="E83" i="1"/>
  <c r="J89" i="1"/>
  <c r="I89" i="1" s="1"/>
  <c r="E87" i="1"/>
  <c r="H87" i="1"/>
  <c r="L87" i="1" s="1"/>
  <c r="F87" i="1"/>
  <c r="E75" i="1"/>
  <c r="H75" i="1"/>
  <c r="L75" i="1" s="1"/>
  <c r="F75" i="1"/>
  <c r="E68" i="1"/>
  <c r="H68" i="1"/>
  <c r="K68" i="1" s="1"/>
  <c r="F68" i="1"/>
  <c r="H69" i="1"/>
  <c r="K69" i="1" s="1"/>
  <c r="E69" i="1"/>
  <c r="F69" i="1"/>
  <c r="E81" i="1"/>
  <c r="H81" i="1"/>
  <c r="L81" i="1" s="1"/>
  <c r="F81" i="1"/>
  <c r="H86" i="1"/>
  <c r="L86" i="1" s="1"/>
  <c r="E86" i="1"/>
  <c r="F86" i="1"/>
  <c r="H78" i="1"/>
  <c r="L78" i="1" s="1"/>
  <c r="E78" i="1"/>
  <c r="E72" i="1"/>
  <c r="H72" i="1"/>
  <c r="L72" i="1" s="1"/>
  <c r="F72" i="1"/>
  <c r="H82" i="1"/>
  <c r="L82" i="1" s="1"/>
  <c r="F82" i="1"/>
  <c r="E82" i="1"/>
  <c r="E79" i="1"/>
  <c r="F79" i="1"/>
  <c r="H79" i="1"/>
  <c r="L79" i="1" s="1"/>
  <c r="J64" i="1"/>
  <c r="I64" i="1" s="1"/>
  <c r="E85" i="1"/>
  <c r="F85" i="1"/>
  <c r="H85" i="1"/>
  <c r="L85" i="1" s="1"/>
  <c r="F88" i="1"/>
  <c r="E88" i="1"/>
  <c r="H88" i="1"/>
  <c r="L88" i="1" s="1"/>
  <c r="H76" i="1"/>
  <c r="L76" i="1" s="1"/>
  <c r="F76" i="1"/>
  <c r="F78" i="1"/>
  <c r="F77" i="1"/>
  <c r="K55" i="1"/>
  <c r="K53" i="1"/>
  <c r="K54" i="1"/>
  <c r="K49" i="1"/>
  <c r="K51" i="1"/>
  <c r="K52" i="1"/>
  <c r="L50" i="1"/>
  <c r="K64" i="1" l="1"/>
  <c r="K83" i="1"/>
  <c r="L68" i="1"/>
  <c r="L69" i="1"/>
  <c r="K77" i="1"/>
  <c r="K73" i="1"/>
  <c r="K88" i="1"/>
  <c r="K86" i="1"/>
  <c r="K82" i="1"/>
  <c r="K81" i="1"/>
  <c r="K79" i="1"/>
  <c r="K89" i="1"/>
  <c r="K72" i="1"/>
  <c r="L90" i="1"/>
  <c r="K70" i="1"/>
  <c r="K84" i="1"/>
  <c r="K66" i="1"/>
  <c r="L80" i="1"/>
  <c r="K71" i="1"/>
  <c r="K87" i="1"/>
  <c r="K67" i="1"/>
  <c r="K65" i="1"/>
  <c r="K75" i="1"/>
  <c r="K85" i="1"/>
  <c r="K78" i="1"/>
  <c r="K76" i="1"/>
</calcChain>
</file>

<file path=xl/sharedStrings.xml><?xml version="1.0" encoding="utf-8"?>
<sst xmlns="http://schemas.openxmlformats.org/spreadsheetml/2006/main" count="126" uniqueCount="56">
  <si>
    <t>lbs</t>
  </si>
  <si>
    <t>Kg</t>
  </si>
  <si>
    <t>inches</t>
  </si>
  <si>
    <t>mm</t>
  </si>
  <si>
    <t>Grade (θ)</t>
  </si>
  <si>
    <t>Acceleration (mps)</t>
  </si>
  <si>
    <t>deg.</t>
  </si>
  <si>
    <t>%</t>
  </si>
  <si>
    <t>Vehicle Weight (W)</t>
  </si>
  <si>
    <t>Wheelbase (L)</t>
  </si>
  <si>
    <t>CG to Front Axle (b)</t>
  </si>
  <si>
    <t>CG to Rear Axle (c)</t>
  </si>
  <si>
    <t>CG Height (h)</t>
  </si>
  <si>
    <t>weight transfer</t>
  </si>
  <si>
    <t>Weight Transfer %</t>
  </si>
  <si>
    <t>N</t>
  </si>
  <si>
    <r>
      <t>ft.lb/s</t>
    </r>
    <r>
      <rPr>
        <vertAlign val="superscript"/>
        <sz val="12"/>
        <color theme="1"/>
        <rFont val="Cambria"/>
        <family val="1"/>
      </rPr>
      <t>2</t>
    </r>
  </si>
  <si>
    <t>Vehicle Mass (M)</t>
  </si>
  <si>
    <r>
      <t>W</t>
    </r>
    <r>
      <rPr>
        <b/>
        <vertAlign val="subscript"/>
        <sz val="12"/>
        <color theme="1"/>
        <rFont val="Cambria"/>
        <family val="1"/>
      </rPr>
      <t>f</t>
    </r>
    <r>
      <rPr>
        <b/>
        <sz val="12"/>
        <color theme="1"/>
        <rFont val="Cambria"/>
        <family val="1"/>
      </rPr>
      <t xml:space="preserve"> (N)</t>
    </r>
  </si>
  <si>
    <r>
      <t>W</t>
    </r>
    <r>
      <rPr>
        <b/>
        <vertAlign val="subscript"/>
        <sz val="12"/>
        <color theme="1"/>
        <rFont val="Cambria"/>
        <family val="1"/>
      </rPr>
      <t>r</t>
    </r>
    <r>
      <rPr>
        <b/>
        <sz val="12"/>
        <color theme="1"/>
        <rFont val="Cambria"/>
        <family val="1"/>
      </rPr>
      <t xml:space="preserve"> (N)</t>
    </r>
  </si>
  <si>
    <r>
      <t>F</t>
    </r>
    <r>
      <rPr>
        <b/>
        <vertAlign val="subscript"/>
        <sz val="12"/>
        <color theme="1"/>
        <rFont val="Cambria"/>
        <family val="1"/>
      </rPr>
      <t>xr</t>
    </r>
    <r>
      <rPr>
        <b/>
        <sz val="12"/>
        <color theme="1"/>
        <rFont val="Cambria"/>
        <family val="1"/>
      </rPr>
      <t xml:space="preserve"> (N)</t>
    </r>
  </si>
  <si>
    <r>
      <t>F</t>
    </r>
    <r>
      <rPr>
        <b/>
        <vertAlign val="subscript"/>
        <sz val="12"/>
        <color theme="1"/>
        <rFont val="Cambria"/>
        <family val="1"/>
      </rPr>
      <t>xf</t>
    </r>
    <r>
      <rPr>
        <b/>
        <sz val="12"/>
        <color theme="1"/>
        <rFont val="Cambria"/>
        <family val="1"/>
      </rPr>
      <t xml:space="preserve"> (N)</t>
    </r>
  </si>
  <si>
    <r>
      <t>μ</t>
    </r>
    <r>
      <rPr>
        <b/>
        <i/>
        <vertAlign val="subscript"/>
        <sz val="14"/>
        <color theme="0"/>
        <rFont val="Cambria"/>
        <family val="1"/>
      </rPr>
      <t>s</t>
    </r>
    <r>
      <rPr>
        <b/>
        <i/>
        <sz val="14"/>
        <color theme="0"/>
        <rFont val="Cambria"/>
        <family val="1"/>
      </rPr>
      <t xml:space="preserve"> =</t>
    </r>
  </si>
  <si>
    <r>
      <t>&amp;         μ</t>
    </r>
    <r>
      <rPr>
        <b/>
        <i/>
        <vertAlign val="subscript"/>
        <sz val="14"/>
        <color theme="0"/>
        <rFont val="Cambria"/>
        <family val="1"/>
      </rPr>
      <t>f</t>
    </r>
    <r>
      <rPr>
        <b/>
        <i/>
        <sz val="14"/>
        <color theme="0"/>
        <rFont val="Cambria"/>
        <family val="1"/>
      </rPr>
      <t xml:space="preserve"> =</t>
    </r>
  </si>
  <si>
    <t>NOTE:</t>
  </si>
  <si>
    <t>In the above table we have observed sliping of front tyres due to weight transfer on the rear axle on 50:50 torque distribution, however Tesla manages to avoid sliping by smartly changing its torque distribution on front and rear wheels according to the dynamic drive conditions.</t>
  </si>
  <si>
    <t>Brake Parameters</t>
  </si>
  <si>
    <t>mph</t>
  </si>
  <si>
    <t>mps</t>
  </si>
  <si>
    <t>ft</t>
  </si>
  <si>
    <t>m</t>
  </si>
  <si>
    <r>
      <t>ft/s</t>
    </r>
    <r>
      <rPr>
        <vertAlign val="superscript"/>
        <sz val="12"/>
        <color theme="1"/>
        <rFont val="Cambria"/>
        <family val="1"/>
      </rPr>
      <t>2</t>
    </r>
  </si>
  <si>
    <r>
      <t>m/s</t>
    </r>
    <r>
      <rPr>
        <vertAlign val="superscript"/>
        <sz val="12"/>
        <color theme="1"/>
        <rFont val="Cambria"/>
        <family val="1"/>
      </rPr>
      <t>2</t>
    </r>
  </si>
  <si>
    <t>s</t>
  </si>
  <si>
    <t>Initial Speed (u)</t>
  </si>
  <si>
    <t>Final Speed (v)</t>
  </si>
  <si>
    <t>Stopping Distance (s)</t>
  </si>
  <si>
    <t>Time Taken (t)</t>
  </si>
  <si>
    <t>Coefficient of Drag (Cd)</t>
  </si>
  <si>
    <r>
      <t>Deceleration (-a</t>
    </r>
    <r>
      <rPr>
        <b/>
        <vertAlign val="subscript"/>
        <sz val="12"/>
        <color theme="1"/>
        <rFont val="Cambria"/>
        <family val="1"/>
      </rPr>
      <t>x</t>
    </r>
    <r>
      <rPr>
        <b/>
        <sz val="12"/>
        <color theme="1"/>
        <rFont val="Cambria"/>
        <family val="1"/>
      </rPr>
      <t>)</t>
    </r>
  </si>
  <si>
    <r>
      <t>Brake Force (F</t>
    </r>
    <r>
      <rPr>
        <b/>
        <vertAlign val="subscript"/>
        <sz val="12"/>
        <color theme="1"/>
        <rFont val="Cambria"/>
        <family val="1"/>
      </rPr>
      <t>b</t>
    </r>
    <r>
      <rPr>
        <b/>
        <sz val="12"/>
        <color theme="1"/>
        <rFont val="Cambria"/>
        <family val="1"/>
      </rPr>
      <t>)</t>
    </r>
  </si>
  <si>
    <r>
      <t>Drag Force (F</t>
    </r>
    <r>
      <rPr>
        <b/>
        <vertAlign val="subscript"/>
        <sz val="12"/>
        <color theme="1"/>
        <rFont val="Cambria"/>
        <family val="1"/>
      </rPr>
      <t>d</t>
    </r>
    <r>
      <rPr>
        <b/>
        <sz val="12"/>
        <color theme="1"/>
        <rFont val="Cambria"/>
        <family val="1"/>
      </rPr>
      <t>)</t>
    </r>
  </si>
  <si>
    <t>Difference (u-v)</t>
  </si>
  <si>
    <t>Power</t>
  </si>
  <si>
    <t>KWh</t>
  </si>
  <si>
    <t>hp</t>
  </si>
  <si>
    <t>Brake Analysis taking Aerodynamic Drag into Consideration</t>
  </si>
  <si>
    <t>ft.lb</t>
  </si>
  <si>
    <t>ft.lb/s</t>
  </si>
  <si>
    <t>Brake Power (P)</t>
  </si>
  <si>
    <t>Energy dissipated (E)</t>
  </si>
  <si>
    <t>Here, energy dissipated by brakes and brake power is calculated using brake force only because the contribution of drag force in stopping is different and should not be added in braking.</t>
  </si>
  <si>
    <t>Traction and Acceleration Analysis @ (50:50 Torque Distribution)</t>
  </si>
  <si>
    <t>Negative grade θ represents down-hill here.</t>
  </si>
  <si>
    <t>Brake Analysis taking Grade into Consideration</t>
  </si>
  <si>
    <t>Vehicle Parameters (BMW 220i M Sport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</si>
</sst>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11" x14ac:knownFonts="1">
    <font>
      <sz val="11"/>
      <color theme="1"/>
      <name val="Calibri"/>
      <family val="2"/>
      <scheme val="minor"/>
    </font>
    <font>
      <sz val="12"/>
      <color theme="1"/>
      <name val="Cambria"/>
      <family val="1"/>
    </font>
    <font>
      <sz val="11"/>
      <color theme="1"/>
      <name val="Calibri"/>
      <family val="2"/>
      <scheme val="minor"/>
    </font>
    <font>
      <b/>
      <sz val="12"/>
      <color theme="1"/>
      <name val="Cambria"/>
      <family val="1"/>
    </font>
    <font>
      <b/>
      <vertAlign val="subscript"/>
      <sz val="12"/>
      <color theme="1"/>
      <name val="Cambria"/>
      <family val="1"/>
    </font>
    <font>
      <b/>
      <i/>
      <sz val="14"/>
      <color theme="0"/>
      <name val="Cambria"/>
      <family val="1"/>
    </font>
    <font>
      <vertAlign val="superscript"/>
      <sz val="12"/>
      <color theme="1"/>
      <name val="Cambria"/>
      <family val="1"/>
    </font>
    <font>
      <b/>
      <i/>
      <vertAlign val="subscript"/>
      <sz val="14"/>
      <color theme="0"/>
      <name val="Cambria"/>
      <family val="1"/>
    </font>
    <font>
      <b/>
      <sz val="12"/>
      <color rgb="FF00B050"/>
      <name val="Cambria"/>
      <family val="1"/>
    </font>
    <font>
      <b/>
      <i/>
      <sz val="14"/>
      <color rgb="FF00B050"/>
      <name val="Cambria"/>
      <family val="1"/>
    </font>
    <font>
      <sz val="12"/>
      <name val="Cambria"/>
      <family val="1"/>
    </font>
  </fonts>
  <fills count="10">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rgb="FFFFC44F"/>
        <bgColor indexed="64"/>
      </patternFill>
    </fill>
    <fill>
      <patternFill patternType="solid">
        <fgColor rgb="FFF09252"/>
        <bgColor indexed="64"/>
      </patternFill>
    </fill>
    <fill>
      <patternFill patternType="solid">
        <fgColor rgb="FFFF7575"/>
        <bgColor indexed="64"/>
      </patternFill>
    </fill>
    <fill>
      <patternFill patternType="solid">
        <fgColor rgb="FF76ABDC"/>
        <bgColor indexed="64"/>
      </patternFill>
    </fill>
    <fill>
      <patternFill patternType="solid">
        <fgColor rgb="FFA8D08C"/>
        <bgColor indexed="64"/>
      </patternFill>
    </fill>
  </fills>
  <borders count="5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
      <left/>
      <right style="medium">
        <color indexed="64"/>
      </right>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right/>
      <top style="thin">
        <color indexed="64"/>
      </top>
      <bottom style="double">
        <color indexed="64"/>
      </bottom>
      <diagonal/>
    </border>
    <border>
      <left style="thin">
        <color indexed="64"/>
      </left>
      <right/>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thin">
        <color indexed="64"/>
      </right>
      <top style="thin">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right style="thin">
        <color indexed="64"/>
      </right>
      <top style="thin">
        <color indexed="64"/>
      </top>
      <bottom/>
      <diagonal/>
    </border>
  </borders>
  <cellStyleXfs count="2">
    <xf numFmtId="0" fontId="0" fillId="0" borderId="0"/>
    <xf numFmtId="9" fontId="2" fillId="0" borderId="0" applyFont="0" applyFill="0" applyBorder="0" applyAlignment="0" applyProtection="0"/>
  </cellStyleXfs>
  <cellXfs count="128">
    <xf numFmtId="0" fontId="0" fillId="0" borderId="0" xfId="0"/>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3" fillId="5" borderId="15" xfId="0" applyFont="1" applyFill="1" applyBorder="1" applyAlignment="1">
      <alignment horizontal="center" vertical="center"/>
    </xf>
    <xf numFmtId="0" fontId="3" fillId="6" borderId="5" xfId="0" applyFont="1" applyFill="1" applyBorder="1" applyAlignment="1">
      <alignment horizontal="center" vertical="center"/>
    </xf>
    <xf numFmtId="0" fontId="3" fillId="8" borderId="1" xfId="0" applyFont="1" applyFill="1" applyBorder="1" applyAlignment="1">
      <alignment horizontal="center" vertical="center"/>
    </xf>
    <xf numFmtId="0" fontId="3" fillId="9" borderId="3" xfId="0" applyFont="1" applyFill="1" applyBorder="1" applyAlignment="1">
      <alignment horizontal="center" vertical="center"/>
    </xf>
    <xf numFmtId="0" fontId="3" fillId="8" borderId="13" xfId="0" applyFont="1" applyFill="1" applyBorder="1" applyAlignment="1">
      <alignment horizontal="center" vertical="center"/>
    </xf>
    <xf numFmtId="0" fontId="3" fillId="5" borderId="4" xfId="0" applyFont="1" applyFill="1" applyBorder="1" applyAlignment="1">
      <alignment horizontal="center" vertical="center"/>
    </xf>
    <xf numFmtId="0" fontId="1" fillId="0" borderId="0" xfId="0" applyFont="1" applyAlignment="1">
      <alignment vertical="center"/>
    </xf>
    <xf numFmtId="1" fontId="1" fillId="0" borderId="6" xfId="0" applyNumberFormat="1" applyFont="1" applyBorder="1" applyAlignment="1">
      <alignment vertical="center"/>
    </xf>
    <xf numFmtId="1" fontId="1" fillId="0" borderId="7" xfId="0" applyNumberFormat="1" applyFont="1" applyBorder="1" applyAlignment="1">
      <alignment vertical="center"/>
    </xf>
    <xf numFmtId="0" fontId="1" fillId="0" borderId="6" xfId="0" applyFont="1" applyBorder="1" applyAlignment="1">
      <alignment vertical="center"/>
    </xf>
    <xf numFmtId="164" fontId="1" fillId="0" borderId="11" xfId="0" applyNumberFormat="1" applyFont="1" applyBorder="1" applyAlignment="1">
      <alignment vertical="center"/>
    </xf>
    <xf numFmtId="164" fontId="1" fillId="0" borderId="12" xfId="0" applyNumberFormat="1" applyFont="1" applyBorder="1" applyAlignment="1">
      <alignment vertical="center"/>
    </xf>
    <xf numFmtId="164" fontId="1" fillId="0" borderId="1" xfId="0" applyNumberFormat="1" applyFont="1" applyBorder="1" applyAlignment="1">
      <alignment vertical="center"/>
    </xf>
    <xf numFmtId="164" fontId="1" fillId="0" borderId="3" xfId="0" applyNumberFormat="1" applyFont="1" applyBorder="1" applyAlignment="1">
      <alignment vertical="center"/>
    </xf>
    <xf numFmtId="164" fontId="1" fillId="0" borderId="4" xfId="0" applyNumberFormat="1" applyFont="1" applyBorder="1" applyAlignment="1">
      <alignment vertical="center"/>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0" fontId="5" fillId="2" borderId="8" xfId="0" applyFont="1" applyFill="1" applyBorder="1" applyAlignment="1">
      <alignment horizontal="right" vertical="center"/>
    </xf>
    <xf numFmtId="166" fontId="1" fillId="0" borderId="7" xfId="0" applyNumberFormat="1" applyFont="1" applyBorder="1" applyAlignment="1">
      <alignment vertical="center"/>
    </xf>
    <xf numFmtId="2" fontId="1" fillId="0" borderId="7" xfId="0" applyNumberFormat="1" applyFont="1" applyBorder="1" applyAlignment="1">
      <alignment vertical="center"/>
    </xf>
    <xf numFmtId="2" fontId="1" fillId="0" borderId="6" xfId="0" applyNumberFormat="1" applyFont="1" applyBorder="1" applyAlignment="1">
      <alignment vertical="center"/>
    </xf>
    <xf numFmtId="164" fontId="1" fillId="0" borderId="6" xfId="0" applyNumberFormat="1" applyFont="1" applyBorder="1" applyAlignment="1">
      <alignment vertical="center"/>
    </xf>
    <xf numFmtId="0" fontId="3" fillId="3" borderId="36" xfId="0" applyFont="1" applyFill="1" applyBorder="1" applyAlignment="1">
      <alignment horizontal="center" vertical="center"/>
    </xf>
    <xf numFmtId="2" fontId="1" fillId="0" borderId="38" xfId="0" applyNumberFormat="1" applyFont="1" applyBorder="1" applyAlignment="1">
      <alignment vertical="center"/>
    </xf>
    <xf numFmtId="0" fontId="1" fillId="3" borderId="14" xfId="0" applyFont="1" applyFill="1" applyBorder="1" applyAlignment="1">
      <alignment horizontal="center" vertical="center"/>
    </xf>
    <xf numFmtId="2" fontId="1" fillId="0" borderId="16" xfId="0" applyNumberFormat="1" applyFont="1" applyBorder="1" applyAlignment="1">
      <alignment vertical="center"/>
    </xf>
    <xf numFmtId="164" fontId="1" fillId="0" borderId="4" xfId="0" applyNumberFormat="1" applyFont="1" applyBorder="1" applyAlignment="1">
      <alignment horizontal="right" vertical="center"/>
    </xf>
    <xf numFmtId="164" fontId="1" fillId="0" borderId="5" xfId="0" applyNumberFormat="1" applyFont="1" applyBorder="1" applyAlignment="1">
      <alignment horizontal="right"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3" fillId="3" borderId="40" xfId="0" applyFont="1" applyFill="1" applyBorder="1" applyAlignment="1">
      <alignment horizontal="center" vertical="center"/>
    </xf>
    <xf numFmtId="0" fontId="1" fillId="3" borderId="41" xfId="0" applyFont="1" applyFill="1" applyBorder="1" applyAlignment="1">
      <alignment horizontal="center" vertical="center"/>
    </xf>
    <xf numFmtId="0" fontId="1" fillId="3" borderId="42" xfId="0" applyFont="1" applyFill="1" applyBorder="1" applyAlignment="1">
      <alignment horizontal="center" vertical="center"/>
    </xf>
    <xf numFmtId="0" fontId="1" fillId="3" borderId="39" xfId="0" applyFont="1" applyFill="1" applyBorder="1" applyAlignment="1">
      <alignment horizontal="center" vertical="center"/>
    </xf>
    <xf numFmtId="0" fontId="1" fillId="3" borderId="43" xfId="0" applyFont="1" applyFill="1" applyBorder="1" applyAlignment="1">
      <alignment horizontal="center" vertical="center"/>
    </xf>
    <xf numFmtId="0" fontId="3" fillId="3" borderId="44" xfId="0" applyFont="1" applyFill="1" applyBorder="1" applyAlignment="1">
      <alignment horizontal="center" vertical="center"/>
    </xf>
    <xf numFmtId="0" fontId="1" fillId="3" borderId="45" xfId="0" applyFont="1" applyFill="1" applyBorder="1" applyAlignment="1">
      <alignment horizontal="center" vertical="center"/>
    </xf>
    <xf numFmtId="0" fontId="1" fillId="3" borderId="32" xfId="0" applyFont="1" applyFill="1" applyBorder="1" applyAlignment="1">
      <alignment horizontal="center" vertical="center"/>
    </xf>
    <xf numFmtId="2" fontId="1" fillId="4" borderId="1" xfId="0" applyNumberFormat="1" applyFont="1" applyFill="1" applyBorder="1" applyAlignment="1">
      <alignment vertical="center"/>
    </xf>
    <xf numFmtId="2" fontId="1" fillId="4" borderId="3" xfId="0" applyNumberFormat="1" applyFont="1" applyFill="1" applyBorder="1" applyAlignment="1">
      <alignment vertical="center"/>
    </xf>
    <xf numFmtId="2" fontId="1" fillId="4" borderId="4" xfId="0" applyNumberFormat="1" applyFont="1" applyFill="1" applyBorder="1" applyAlignment="1">
      <alignment vertical="center"/>
    </xf>
    <xf numFmtId="2" fontId="1" fillId="4" borderId="5" xfId="0" applyNumberFormat="1" applyFont="1" applyFill="1" applyBorder="1" applyAlignment="1">
      <alignment vertical="center"/>
    </xf>
    <xf numFmtId="2" fontId="1" fillId="4" borderId="6" xfId="0" applyNumberFormat="1" applyFont="1" applyFill="1" applyBorder="1" applyAlignment="1">
      <alignment vertical="center"/>
    </xf>
    <xf numFmtId="2" fontId="1" fillId="4" borderId="7" xfId="0" applyNumberFormat="1" applyFont="1" applyFill="1" applyBorder="1" applyAlignment="1">
      <alignment vertical="center"/>
    </xf>
    <xf numFmtId="2" fontId="1" fillId="0" borderId="36" xfId="0" applyNumberFormat="1" applyFont="1" applyBorder="1" applyAlignment="1">
      <alignment vertical="center"/>
    </xf>
    <xf numFmtId="2" fontId="1" fillId="0" borderId="47" xfId="0" applyNumberFormat="1" applyFont="1" applyBorder="1" applyAlignment="1">
      <alignment vertical="center"/>
    </xf>
    <xf numFmtId="2" fontId="1" fillId="0" borderId="48" xfId="0" applyNumberFormat="1" applyFont="1" applyBorder="1" applyAlignment="1">
      <alignment vertical="center"/>
    </xf>
    <xf numFmtId="1" fontId="1" fillId="0" borderId="36" xfId="0" applyNumberFormat="1" applyFont="1" applyBorder="1" applyAlignment="1">
      <alignment vertical="center"/>
    </xf>
    <xf numFmtId="1" fontId="1" fillId="0" borderId="47" xfId="0" applyNumberFormat="1" applyFont="1" applyBorder="1" applyAlignment="1">
      <alignment vertical="center"/>
    </xf>
    <xf numFmtId="1" fontId="1" fillId="0" borderId="48" xfId="0" applyNumberFormat="1" applyFont="1" applyBorder="1" applyAlignment="1">
      <alignment vertical="center"/>
    </xf>
    <xf numFmtId="2" fontId="1" fillId="0" borderId="3" xfId="0" applyNumberFormat="1" applyFont="1" applyBorder="1" applyAlignment="1">
      <alignment vertical="center"/>
    </xf>
    <xf numFmtId="2" fontId="1" fillId="0" borderId="12" xfId="0" applyNumberFormat="1" applyFont="1" applyBorder="1" applyAlignment="1">
      <alignment vertical="center"/>
    </xf>
    <xf numFmtId="164" fontId="1" fillId="0" borderId="49" xfId="0" applyNumberFormat="1" applyFont="1" applyBorder="1" applyAlignment="1">
      <alignment vertical="center"/>
    </xf>
    <xf numFmtId="2" fontId="1" fillId="0" borderId="50" xfId="0" applyNumberFormat="1" applyFont="1" applyBorder="1" applyAlignment="1">
      <alignment vertical="center"/>
    </xf>
    <xf numFmtId="2" fontId="1" fillId="0" borderId="1" xfId="0" applyNumberFormat="1" applyFont="1" applyBorder="1" applyAlignment="1">
      <alignment vertical="center"/>
    </xf>
    <xf numFmtId="2" fontId="1" fillId="0" borderId="11" xfId="0" applyNumberFormat="1" applyFont="1" applyBorder="1" applyAlignment="1">
      <alignment vertical="center"/>
    </xf>
    <xf numFmtId="2" fontId="1" fillId="0" borderId="49" xfId="0" applyNumberFormat="1" applyFont="1" applyBorder="1" applyAlignment="1">
      <alignment vertical="center"/>
    </xf>
    <xf numFmtId="166" fontId="1" fillId="0" borderId="3" xfId="0" applyNumberFormat="1" applyFont="1" applyBorder="1" applyAlignment="1">
      <alignment vertical="center"/>
    </xf>
    <xf numFmtId="166" fontId="1" fillId="0" borderId="12" xfId="0" applyNumberFormat="1" applyFont="1" applyBorder="1" applyAlignment="1">
      <alignment vertical="center"/>
    </xf>
    <xf numFmtId="166" fontId="1" fillId="0" borderId="50" xfId="0" applyNumberFormat="1" applyFont="1" applyBorder="1" applyAlignment="1">
      <alignment vertical="center"/>
    </xf>
    <xf numFmtId="0" fontId="1" fillId="3" borderId="51" xfId="0" applyFont="1" applyFill="1" applyBorder="1" applyAlignment="1">
      <alignment horizontal="center" vertical="center"/>
    </xf>
    <xf numFmtId="0" fontId="1" fillId="3" borderId="52" xfId="0" applyFont="1" applyFill="1" applyBorder="1" applyAlignment="1">
      <alignment horizontal="center" vertical="center"/>
    </xf>
    <xf numFmtId="1" fontId="1" fillId="0" borderId="37" xfId="0" applyNumberFormat="1" applyFont="1" applyBorder="1" applyAlignment="1">
      <alignment vertical="center"/>
    </xf>
    <xf numFmtId="1" fontId="1" fillId="0" borderId="38" xfId="0" applyNumberFormat="1" applyFont="1" applyBorder="1" applyAlignment="1">
      <alignment vertical="center"/>
    </xf>
    <xf numFmtId="2" fontId="1" fillId="0" borderId="5" xfId="0" applyNumberFormat="1" applyFont="1" applyBorder="1" applyAlignment="1">
      <alignment vertical="center"/>
    </xf>
    <xf numFmtId="2" fontId="1" fillId="0" borderId="37" xfId="0" applyNumberFormat="1" applyFont="1" applyBorder="1" applyAlignment="1">
      <alignment vertical="center"/>
    </xf>
    <xf numFmtId="2" fontId="1" fillId="0" borderId="4" xfId="0" applyNumberFormat="1" applyFont="1" applyBorder="1" applyAlignment="1">
      <alignment vertical="center"/>
    </xf>
    <xf numFmtId="166" fontId="1" fillId="0" borderId="5" xfId="0" applyNumberFormat="1" applyFont="1" applyBorder="1" applyAlignment="1">
      <alignment vertical="center"/>
    </xf>
    <xf numFmtId="1" fontId="8" fillId="0" borderId="6" xfId="0" applyNumberFormat="1" applyFont="1" applyBorder="1" applyAlignment="1">
      <alignment vertical="center"/>
    </xf>
    <xf numFmtId="0" fontId="8" fillId="0" borderId="6" xfId="0" applyFont="1" applyBorder="1" applyAlignment="1">
      <alignment vertical="center"/>
    </xf>
    <xf numFmtId="0" fontId="9" fillId="2" borderId="8" xfId="0" applyFont="1" applyFill="1" applyBorder="1" applyAlignment="1">
      <alignment horizontal="left" vertical="center"/>
    </xf>
    <xf numFmtId="0" fontId="9" fillId="2" borderId="9" xfId="0" applyFont="1" applyFill="1" applyBorder="1" applyAlignment="1">
      <alignment horizontal="left" vertical="center"/>
    </xf>
    <xf numFmtId="2" fontId="8" fillId="4" borderId="1" xfId="0" applyNumberFormat="1" applyFont="1" applyFill="1" applyBorder="1" applyAlignment="1">
      <alignment vertical="center"/>
    </xf>
    <xf numFmtId="2" fontId="8" fillId="4" borderId="3" xfId="0" applyNumberFormat="1" applyFont="1" applyFill="1" applyBorder="1" applyAlignment="1">
      <alignment vertical="center"/>
    </xf>
    <xf numFmtId="2" fontId="8" fillId="4" borderId="4" xfId="0" applyNumberFormat="1" applyFont="1" applyFill="1" applyBorder="1" applyAlignment="1">
      <alignment vertical="center"/>
    </xf>
    <xf numFmtId="2" fontId="8" fillId="4" borderId="5" xfId="0" applyNumberFormat="1" applyFont="1" applyFill="1" applyBorder="1" applyAlignment="1">
      <alignment vertical="center"/>
    </xf>
    <xf numFmtId="2" fontId="8" fillId="4" borderId="6" xfId="0" applyNumberFormat="1" applyFont="1" applyFill="1" applyBorder="1" applyAlignment="1">
      <alignment vertical="center"/>
    </xf>
    <xf numFmtId="2" fontId="8" fillId="4" borderId="7" xfId="0" applyNumberFormat="1" applyFont="1" applyFill="1" applyBorder="1" applyAlignment="1">
      <alignment vertical="center"/>
    </xf>
    <xf numFmtId="0" fontId="1" fillId="0" borderId="30" xfId="0" applyFont="1" applyBorder="1" applyAlignment="1">
      <alignment horizontal="left" vertical="center" wrapText="1"/>
    </xf>
    <xf numFmtId="1" fontId="8" fillId="4" borderId="31" xfId="0" applyNumberFormat="1" applyFont="1" applyFill="1" applyBorder="1" applyAlignment="1">
      <alignment horizontal="center" vertical="center"/>
    </xf>
    <xf numFmtId="1" fontId="8" fillId="4" borderId="33" xfId="0" applyNumberFormat="1" applyFont="1" applyFill="1" applyBorder="1" applyAlignment="1">
      <alignment horizontal="center" vertical="center"/>
    </xf>
    <xf numFmtId="1" fontId="8" fillId="4" borderId="34" xfId="0" applyNumberFormat="1" applyFont="1" applyFill="1" applyBorder="1" applyAlignment="1">
      <alignment horizontal="center" vertical="center"/>
    </xf>
    <xf numFmtId="0" fontId="3" fillId="0" borderId="30" xfId="0" applyFont="1" applyBorder="1" applyAlignment="1">
      <alignment horizontal="center" vertical="center" wrapText="1"/>
    </xf>
    <xf numFmtId="0" fontId="5" fillId="2" borderId="34"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0" xfId="0" applyFont="1" applyFill="1" applyAlignment="1">
      <alignment horizontal="center" vertical="center"/>
    </xf>
    <xf numFmtId="0" fontId="3" fillId="3" borderId="44" xfId="0" applyFont="1" applyFill="1" applyBorder="1" applyAlignment="1">
      <alignment horizontal="center" vertical="center"/>
    </xf>
    <xf numFmtId="0" fontId="3" fillId="3" borderId="40"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6" xfId="0" applyFont="1" applyFill="1" applyBorder="1" applyAlignment="1">
      <alignment horizontal="center" vertical="center"/>
    </xf>
    <xf numFmtId="0" fontId="3" fillId="3" borderId="13" xfId="0" applyFont="1" applyFill="1" applyBorder="1" applyAlignment="1">
      <alignment horizontal="center" vertical="center"/>
    </xf>
    <xf numFmtId="0" fontId="1" fillId="3" borderId="15" xfId="0" applyFont="1" applyFill="1" applyBorder="1" applyAlignment="1">
      <alignment horizontal="center" vertical="center"/>
    </xf>
    <xf numFmtId="0" fontId="1" fillId="3" borderId="5" xfId="0" applyFont="1" applyFill="1" applyBorder="1" applyAlignment="1">
      <alignment horizontal="center" vertical="center"/>
    </xf>
    <xf numFmtId="2" fontId="8" fillId="0" borderId="32" xfId="0" applyNumberFormat="1" applyFont="1" applyBorder="1" applyAlignment="1">
      <alignment horizontal="right" vertical="center"/>
    </xf>
    <xf numFmtId="2" fontId="8" fillId="0" borderId="7" xfId="0" applyNumberFormat="1" applyFont="1" applyBorder="1" applyAlignment="1">
      <alignment horizontal="right" vertical="center"/>
    </xf>
    <xf numFmtId="0" fontId="5" fillId="2" borderId="33" xfId="0" applyFont="1" applyFill="1" applyBorder="1" applyAlignment="1">
      <alignment horizontal="center" vertical="center"/>
    </xf>
    <xf numFmtId="0" fontId="3" fillId="3" borderId="19" xfId="0" applyFont="1" applyFill="1" applyBorder="1" applyAlignment="1">
      <alignment horizontal="center" vertical="center"/>
    </xf>
    <xf numFmtId="0" fontId="3" fillId="7" borderId="23" xfId="0" applyFont="1" applyFill="1" applyBorder="1" applyAlignment="1">
      <alignment horizontal="center" vertical="center"/>
    </xf>
    <xf numFmtId="0" fontId="3" fillId="7" borderId="22" xfId="0" applyFont="1" applyFill="1" applyBorder="1" applyAlignment="1">
      <alignment horizontal="center" vertical="center"/>
    </xf>
    <xf numFmtId="165" fontId="1" fillId="0" borderId="6" xfId="1" applyNumberFormat="1" applyFont="1" applyBorder="1" applyAlignment="1">
      <alignment horizontal="center" vertical="center"/>
    </xf>
    <xf numFmtId="165" fontId="1" fillId="0" borderId="7" xfId="1" applyNumberFormat="1" applyFont="1" applyBorder="1" applyAlignment="1">
      <alignment horizontal="center" vertical="center"/>
    </xf>
    <xf numFmtId="164" fontId="8" fillId="4" borderId="11" xfId="0" applyNumberFormat="1" applyFont="1" applyFill="1" applyBorder="1" applyAlignment="1">
      <alignment horizontal="center" vertical="center"/>
    </xf>
    <xf numFmtId="164" fontId="8" fillId="4" borderId="10" xfId="0" applyNumberFormat="1" applyFont="1" applyFill="1" applyBorder="1" applyAlignment="1">
      <alignment horizontal="center" vertical="center"/>
    </xf>
    <xf numFmtId="164" fontId="8" fillId="4" borderId="6" xfId="0" applyNumberFormat="1" applyFont="1" applyFill="1" applyBorder="1" applyAlignment="1">
      <alignment horizontal="center" vertical="center"/>
    </xf>
    <xf numFmtId="164" fontId="10" fillId="4" borderId="24" xfId="0" applyNumberFormat="1" applyFont="1" applyFill="1" applyBorder="1" applyAlignment="1">
      <alignment horizontal="center" vertical="center"/>
    </xf>
    <xf numFmtId="164" fontId="10" fillId="4" borderId="17" xfId="0" applyNumberFormat="1" applyFont="1" applyFill="1" applyBorder="1" applyAlignment="1">
      <alignment horizontal="center" vertical="center"/>
    </xf>
    <xf numFmtId="164" fontId="10" fillId="4" borderId="16" xfId="0" applyNumberFormat="1" applyFont="1" applyFill="1" applyBorder="1" applyAlignment="1">
      <alignment horizontal="center" vertical="center"/>
    </xf>
    <xf numFmtId="164" fontId="8" fillId="4" borderId="1" xfId="0" applyNumberFormat="1" applyFont="1" applyFill="1" applyBorder="1" applyAlignment="1">
      <alignment horizontal="center" vertical="center"/>
    </xf>
    <xf numFmtId="164" fontId="10" fillId="4" borderId="19" xfId="0" applyNumberFormat="1" applyFont="1" applyFill="1" applyBorder="1" applyAlignment="1">
      <alignment horizontal="center" vertical="center"/>
    </xf>
    <xf numFmtId="0" fontId="5" fillId="2" borderId="18"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25"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26" xfId="0" applyFont="1" applyFill="1" applyBorder="1" applyAlignment="1">
      <alignment horizontal="center" vertical="center"/>
    </xf>
    <xf numFmtId="0" fontId="3" fillId="7" borderId="2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14" xfId="0" applyFont="1" applyFill="1" applyBorder="1" applyAlignment="1">
      <alignment horizontal="center" vertical="center"/>
    </xf>
    <xf numFmtId="0" fontId="5" fillId="2" borderId="27" xfId="0" applyFont="1" applyFill="1" applyBorder="1" applyAlignment="1">
      <alignment horizontal="right" vertical="center"/>
    </xf>
    <xf numFmtId="0" fontId="5" fillId="2" borderId="28" xfId="0" applyFont="1" applyFill="1" applyBorder="1" applyAlignment="1">
      <alignment horizontal="right" vertical="center"/>
    </xf>
    <xf numFmtId="0" fontId="5" fillId="2" borderId="29" xfId="0" applyFont="1" applyFill="1" applyBorder="1" applyAlignment="1">
      <alignment horizontal="right" vertical="center"/>
    </xf>
    <xf numFmtId="166" fontId="8" fillId="4" borderId="20" xfId="0" applyNumberFormat="1" applyFont="1" applyFill="1" applyBorder="1" applyAlignment="1">
      <alignment horizontal="center" vertical="center"/>
    </xf>
    <xf numFmtId="166" fontId="8" fillId="4" borderId="7" xfId="0" applyNumberFormat="1" applyFont="1" applyFill="1" applyBorder="1" applyAlignment="1">
      <alignment horizontal="center" vertical="center"/>
    </xf>
    <xf numFmtId="166" fontId="8" fillId="4" borderId="6" xfId="0" applyNumberFormat="1" applyFont="1" applyFill="1" applyBorder="1" applyAlignment="1">
      <alignment horizontal="center" vertical="center"/>
    </xf>
  </cellXfs>
  <cellStyles count="2">
    <cellStyle name="Normal" xfId="0" builtinId="0"/>
    <cellStyle name="Percent" xfId="1" builtinId="5"/>
  </cellStyles>
  <dxfs count="2">
    <dxf>
      <font>
        <b val="0"/>
        <i/>
      </font>
      <fill>
        <patternFill>
          <bgColor rgb="FFF09252"/>
        </patternFill>
      </fill>
    </dxf>
    <dxf>
      <font>
        <b val="0"/>
        <i/>
        <color auto="1"/>
      </font>
      <fill>
        <patternFill>
          <bgColor rgb="FFFFC44F"/>
        </patternFill>
      </fill>
    </dxf>
  </dxfs>
  <tableStyles count="0" defaultTableStyle="TableStyleMedium2" defaultPivotStyle="PivotStyleLight16"/>
  <colors>
    <mruColors>
      <color rgb="FFA8D08C"/>
      <color rgb="FF76ABDC"/>
      <color rgb="FFFF7575"/>
      <color rgb="FFF09252"/>
      <color rgb="FFFFC44F"/>
      <color rgb="FFFFCC65"/>
      <color rgb="FFFF2F2F"/>
      <color rgb="FFFF11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C4D6E-AD3D-4D2F-825E-39A496A6FC9B}">
  <sheetPr>
    <pageSetUpPr fitToPage="1"/>
  </sheetPr>
  <dimension ref="A1:L93"/>
  <sheetViews>
    <sheetView tabSelected="1" topLeftCell="A35" zoomScaleNormal="100" workbookViewId="0">
      <selection activeCell="A41" sqref="A41:L44"/>
    </sheetView>
  </sheetViews>
  <sheetFormatPr defaultColWidth="15.77734375" defaultRowHeight="20.25" customHeight="1" x14ac:dyDescent="0.3"/>
  <cols>
    <col min="1" max="16384" width="15.77734375" style="9"/>
  </cols>
  <sheetData>
    <row r="1" spans="1:12" ht="20.25" customHeight="1" thickBot="1" x14ac:dyDescent="0.35">
      <c r="A1" s="88" t="s">
        <v>55</v>
      </c>
      <c r="B1" s="88"/>
      <c r="C1" s="88"/>
      <c r="D1" s="88"/>
      <c r="E1" s="88"/>
      <c r="F1" s="88"/>
      <c r="G1" s="88"/>
      <c r="H1" s="88"/>
      <c r="I1" s="88"/>
      <c r="J1" s="88"/>
      <c r="K1" s="88"/>
      <c r="L1" s="113"/>
    </row>
    <row r="2" spans="1:12" ht="20.25" customHeight="1" x14ac:dyDescent="0.3">
      <c r="A2" s="91" t="s">
        <v>17</v>
      </c>
      <c r="B2" s="92"/>
      <c r="C2" s="91" t="s">
        <v>8</v>
      </c>
      <c r="D2" s="92"/>
      <c r="E2" s="91" t="s">
        <v>9</v>
      </c>
      <c r="F2" s="92"/>
      <c r="G2" s="91" t="s">
        <v>10</v>
      </c>
      <c r="H2" s="92"/>
      <c r="I2" s="91" t="s">
        <v>11</v>
      </c>
      <c r="J2" s="92"/>
      <c r="K2" s="91" t="s">
        <v>12</v>
      </c>
      <c r="L2" s="92"/>
    </row>
    <row r="3" spans="1:12" ht="20.25" customHeight="1" x14ac:dyDescent="0.3">
      <c r="A3" s="1" t="s">
        <v>0</v>
      </c>
      <c r="B3" s="2" t="s">
        <v>1</v>
      </c>
      <c r="C3" s="1" t="s">
        <v>16</v>
      </c>
      <c r="D3" s="2" t="s">
        <v>15</v>
      </c>
      <c r="E3" s="1" t="s">
        <v>2</v>
      </c>
      <c r="F3" s="2" t="s">
        <v>3</v>
      </c>
      <c r="G3" s="1" t="s">
        <v>2</v>
      </c>
      <c r="H3" s="2" t="s">
        <v>3</v>
      </c>
      <c r="I3" s="1" t="s">
        <v>2</v>
      </c>
      <c r="J3" s="2" t="s">
        <v>3</v>
      </c>
      <c r="K3" s="1" t="s">
        <v>2</v>
      </c>
      <c r="L3" s="2" t="s">
        <v>3</v>
      </c>
    </row>
    <row r="4" spans="1:12" ht="20.25" customHeight="1" thickBot="1" x14ac:dyDescent="0.35">
      <c r="A4" s="71">
        <v>3380</v>
      </c>
      <c r="B4" s="11">
        <f>0.453592*A4</f>
        <v>1533.14096</v>
      </c>
      <c r="C4" s="10">
        <f>A4*32.174049</f>
        <v>108748.28562</v>
      </c>
      <c r="D4" s="11">
        <f>0.138255*C4</f>
        <v>15034.994228393098</v>
      </c>
      <c r="E4" s="72">
        <v>107.9</v>
      </c>
      <c r="F4" s="11">
        <f>25.4*E4</f>
        <v>2740.66</v>
      </c>
      <c r="G4" s="72">
        <v>47.2</v>
      </c>
      <c r="H4" s="11">
        <f>25.4*G4</f>
        <v>1198.8800000000001</v>
      </c>
      <c r="I4" s="12">
        <f>E4-G4</f>
        <v>60.7</v>
      </c>
      <c r="J4" s="11">
        <f>25.4*I4</f>
        <v>1541.78</v>
      </c>
      <c r="K4" s="72">
        <v>18.2</v>
      </c>
      <c r="L4" s="11">
        <f>25.4*K4</f>
        <v>462.28</v>
      </c>
    </row>
    <row r="6" spans="1:12" ht="20.25" customHeight="1" thickBot="1" x14ac:dyDescent="0.35"/>
    <row r="7" spans="1:12" ht="20.25" customHeight="1" thickBot="1" x14ac:dyDescent="0.35">
      <c r="A7" s="122" t="s">
        <v>52</v>
      </c>
      <c r="B7" s="123"/>
      <c r="C7" s="123"/>
      <c r="D7" s="123"/>
      <c r="E7" s="123"/>
      <c r="F7" s="123"/>
      <c r="G7" s="123"/>
      <c r="H7" s="124"/>
      <c r="I7" s="20" t="s">
        <v>22</v>
      </c>
      <c r="J7" s="73">
        <v>0.9</v>
      </c>
      <c r="K7" s="20" t="s">
        <v>23</v>
      </c>
      <c r="L7" s="74">
        <v>0.7</v>
      </c>
    </row>
    <row r="8" spans="1:12" ht="20.25" customHeight="1" x14ac:dyDescent="0.3">
      <c r="A8" s="91" t="s">
        <v>4</v>
      </c>
      <c r="B8" s="100"/>
      <c r="C8" s="91" t="s">
        <v>5</v>
      </c>
      <c r="D8" s="119"/>
      <c r="E8" s="119"/>
      <c r="F8" s="119"/>
      <c r="G8" s="119"/>
      <c r="H8" s="119"/>
      <c r="I8" s="119"/>
      <c r="J8" s="119"/>
      <c r="K8" s="119"/>
      <c r="L8" s="92"/>
    </row>
    <row r="9" spans="1:12" ht="20.25" customHeight="1" thickBot="1" x14ac:dyDescent="0.35">
      <c r="A9" s="120"/>
      <c r="B9" s="121"/>
      <c r="C9" s="127">
        <v>0</v>
      </c>
      <c r="D9" s="125"/>
      <c r="E9" s="125">
        <v>1.875</v>
      </c>
      <c r="F9" s="125"/>
      <c r="G9" s="125">
        <v>3.75</v>
      </c>
      <c r="H9" s="125"/>
      <c r="I9" s="125">
        <v>5.625</v>
      </c>
      <c r="J9" s="125"/>
      <c r="K9" s="125">
        <v>7.5</v>
      </c>
      <c r="L9" s="126"/>
    </row>
    <row r="10" spans="1:12" ht="20.25" customHeight="1" x14ac:dyDescent="0.3">
      <c r="A10" s="114" t="s">
        <v>6</v>
      </c>
      <c r="B10" s="116" t="s">
        <v>7</v>
      </c>
      <c r="C10" s="5" t="s">
        <v>18</v>
      </c>
      <c r="D10" s="6" t="s">
        <v>19</v>
      </c>
      <c r="E10" s="7" t="s">
        <v>18</v>
      </c>
      <c r="F10" s="6" t="s">
        <v>19</v>
      </c>
      <c r="G10" s="7" t="s">
        <v>18</v>
      </c>
      <c r="H10" s="6" t="s">
        <v>19</v>
      </c>
      <c r="I10" s="7" t="s">
        <v>18</v>
      </c>
      <c r="J10" s="6" t="s">
        <v>19</v>
      </c>
      <c r="K10" s="7" t="s">
        <v>18</v>
      </c>
      <c r="L10" s="6" t="s">
        <v>19</v>
      </c>
    </row>
    <row r="11" spans="1:12" ht="20.25" customHeight="1" x14ac:dyDescent="0.3">
      <c r="A11" s="114"/>
      <c r="B11" s="116"/>
      <c r="C11" s="8" t="s">
        <v>21</v>
      </c>
      <c r="D11" s="4" t="s">
        <v>20</v>
      </c>
      <c r="E11" s="3" t="s">
        <v>21</v>
      </c>
      <c r="F11" s="4" t="s">
        <v>20</v>
      </c>
      <c r="G11" s="3" t="s">
        <v>21</v>
      </c>
      <c r="H11" s="4" t="s">
        <v>20</v>
      </c>
      <c r="I11" s="3" t="s">
        <v>21</v>
      </c>
      <c r="J11" s="4" t="s">
        <v>20</v>
      </c>
      <c r="K11" s="3" t="s">
        <v>21</v>
      </c>
      <c r="L11" s="4" t="s">
        <v>20</v>
      </c>
    </row>
    <row r="12" spans="1:12" ht="20.25" customHeight="1" thickBot="1" x14ac:dyDescent="0.35">
      <c r="A12" s="115"/>
      <c r="B12" s="117"/>
      <c r="C12" s="118" t="s">
        <v>14</v>
      </c>
      <c r="D12" s="102"/>
      <c r="E12" s="101" t="s">
        <v>14</v>
      </c>
      <c r="F12" s="102"/>
      <c r="G12" s="101" t="s">
        <v>14</v>
      </c>
      <c r="H12" s="102"/>
      <c r="I12" s="101" t="s">
        <v>14</v>
      </c>
      <c r="J12" s="102"/>
      <c r="K12" s="101" t="s">
        <v>14</v>
      </c>
      <c r="L12" s="102"/>
    </row>
    <row r="13" spans="1:12" ht="20.25" customHeight="1" thickTop="1" x14ac:dyDescent="0.3">
      <c r="A13" s="105">
        <v>0</v>
      </c>
      <c r="B13" s="108">
        <f>TAN(RADIANS(A13))*100</f>
        <v>0</v>
      </c>
      <c r="C13" s="13">
        <f>($D$4*$J$4*COS(RADIANS($A13)) - $B$4*C$9*$L$4 - $D$4*$L$4*SIN(RADIANS($A13)))/$F$4</f>
        <v>8458.0551405325386</v>
      </c>
      <c r="D13" s="14">
        <f>($D$4*$H$4*COS(RADIANS($A13)) + $D$4*C$9*$L$4/9.81 + $D$4*$L$4*SIN(RADIANS($A13)))/$F$4</f>
        <v>6576.9390878605591</v>
      </c>
      <c r="E13" s="13">
        <f>($D$4*$J$4*COS(RADIANS($A13)) - $B$4*E$9*$L$4 - $D$4*$L$4*SIN(RADIANS($A13)))/$F$4</f>
        <v>7973.1762224602508</v>
      </c>
      <c r="F13" s="14">
        <f>($D$4*$H$4*COS(RADIANS($A13)) + $D$4*E$9*$L$4/9.81 + $D$4*$L$4*SIN(RADIANS($A13)))/$F$4</f>
        <v>7061.652987490048</v>
      </c>
      <c r="G13" s="13">
        <f>($D$4*$J$4*COS(RADIANS($A13)) - $B$4*G$9*$L$4 - $D$4*$L$4*SIN(RADIANS($A13)))/$F$4</f>
        <v>7488.297304387962</v>
      </c>
      <c r="H13" s="14">
        <f>($D$4*$H$4*COS(RADIANS($A13)) + $D$4*G$9*$L$4/9.81 + $D$4*$L$4*SIN(RADIANS($A13)))/$F$4</f>
        <v>7546.3668871195368</v>
      </c>
      <c r="I13" s="13">
        <f>($D$4*$J$4*COS(RADIANS($A13)) - $B$4*I$9*$L$4 - $D$4*$L$4*SIN(RADIANS($A13)))/$F$4</f>
        <v>7003.4183863156713</v>
      </c>
      <c r="J13" s="14">
        <f>($D$4*$H$4*COS(RADIANS($A13)) + $D$4*I$9*$L$4/9.81 + $D$4*$L$4*SIN(RADIANS($A13)))/$F$4</f>
        <v>8031.0807867490257</v>
      </c>
      <c r="K13" s="13">
        <f>($D$4*$J$4*COS(RADIANS($A13)) - $B$4*K$9*$L$4 - $D$4*$L$4*SIN(RADIANS($A13)))/$F$4</f>
        <v>6518.5394682433825</v>
      </c>
      <c r="L13" s="14">
        <f>($D$4*$H$4*COS(RADIANS($A13)) + $D$4*K$9*$L$4/9.81 + $D$4*$L$4*SIN(RADIANS($A13)))/$F$4</f>
        <v>8515.7946863785146</v>
      </c>
    </row>
    <row r="14" spans="1:12" ht="20.25" customHeight="1" x14ac:dyDescent="0.3">
      <c r="A14" s="106"/>
      <c r="B14" s="109"/>
      <c r="C14" s="29">
        <f>IF($J$7*C13&gt;($D$4*SIN(RADIANS($A13)) + $B$4*C$9)/2,($D$4*SIN(RADIANS($A13)) + $B$4*C$9)/2,"(SLIP) " &amp;TEXT($L$7*C13,"0.0"))</f>
        <v>0</v>
      </c>
      <c r="D14" s="30">
        <f>IF($J$7*D13&gt;($D$4*SIN(RADIANS($A13)) + $B$4*C$9)/2,($D$4*SIN(RADIANS($A13)) + $B$4*C$9)/2,"(SLIP) " &amp;TEXT($L$7*D13,"0.0"))</f>
        <v>0</v>
      </c>
      <c r="E14" s="29">
        <f>IF($J$7*E13&gt;($D$4*SIN(RADIANS($A13)) + $B$4*E$9)/2,($D$4*SIN(RADIANS($A13)) + $B$4*E$9)/2,"(SLIP) " &amp;TEXT($L$7*E13,"0.0"))</f>
        <v>1437.3196499999999</v>
      </c>
      <c r="F14" s="30">
        <f>IF($J$7*F13&gt;($D$4*SIN(RADIANS($A13)) + $B$4*E$9)/2,($D$4*SIN(RADIANS($A13)) + $B$4*E$9)/2,"(SLIP) " &amp;TEXT($L$7*F13,"0.0"))</f>
        <v>1437.3196499999999</v>
      </c>
      <c r="G14" s="29">
        <f>IF($J$7*G13&gt;($D$4*SIN(RADIANS($A13)) + $B$4*G$9)/2,($D$4*SIN(RADIANS($A13)) + $B$4*G$9)/2,"(SLIP) " &amp;TEXT($L$7*G13,"0.0"))</f>
        <v>2874.6392999999998</v>
      </c>
      <c r="H14" s="30">
        <f>IF($J$7*H13&gt;($D$4*SIN(RADIANS($A13)) + $B$4*G$9)/2,($D$4*SIN(RADIANS($A13)) + $B$4*G$9)/2,"(SLIP) " &amp;TEXT($L$7*H13,"0.0"))</f>
        <v>2874.6392999999998</v>
      </c>
      <c r="I14" s="29">
        <f>IF($J$7*I13&gt;($D$4*SIN(RADIANS($A13)) + $B$4*I$9)/2,($D$4*SIN(RADIANS($A13)) + $B$4*I$9)/2,"(SLIP) " &amp;TEXT($L$7*I13,"0.0"))</f>
        <v>4311.9589500000002</v>
      </c>
      <c r="J14" s="30">
        <f>IF($J$7*J13&gt;($D$4*SIN(RADIANS($A13)) + $B$4*I$9)/2,($D$4*SIN(RADIANS($A13)) + $B$4*I$9)/2,"(SLIP) " &amp;TEXT($L$7*J13,"0.0"))</f>
        <v>4311.9589500000002</v>
      </c>
      <c r="K14" s="29">
        <f>IF($J$7*K13&gt;($D$4*SIN(RADIANS($A13)) + $B$4*K$9)/2,($D$4*SIN(RADIANS($A13)) + $B$4*K$9)/2,"(SLIP) " &amp;TEXT($L$7*K13,"0.0"))</f>
        <v>5749.2785999999996</v>
      </c>
      <c r="L14" s="30">
        <f>IF($J$7*L13&gt;($D$4*SIN(RADIANS($A13)) + $B$4*K$9)/2,($D$4*SIN(RADIANS($A13)) + $B$4*K$9)/2,"(SLIP) " &amp;TEXT($L$7*L13,"0.0"))</f>
        <v>5749.2785999999996</v>
      </c>
    </row>
    <row r="15" spans="1:12" ht="20.25" customHeight="1" thickBot="1" x14ac:dyDescent="0.35">
      <c r="A15" s="107"/>
      <c r="B15" s="110"/>
      <c r="C15" s="103">
        <f>((D13)/(C13+D13))-(($D$13)/($C$13+$D$13))</f>
        <v>0</v>
      </c>
      <c r="D15" s="104"/>
      <c r="E15" s="103">
        <f>((F13)/(E13+F13))-(($D$13)/($C$13+$D$13))</f>
        <v>3.2244203034833663E-2</v>
      </c>
      <c r="F15" s="104"/>
      <c r="G15" s="103">
        <f>((H13)/(G13+H13))-(($D$13)/($C$13+$D$13))</f>
        <v>6.4489113885699112E-2</v>
      </c>
      <c r="H15" s="104"/>
      <c r="I15" s="103">
        <f>((J13)/(I13+J13))-(($D$13)/($C$13+$D$13))</f>
        <v>9.6734732575903482E-2</v>
      </c>
      <c r="J15" s="104"/>
      <c r="K15" s="103">
        <f>((L13)/(K13+L13))-(($D$13)/($C$13+$D$13))</f>
        <v>0.12898105912875446</v>
      </c>
      <c r="L15" s="104"/>
    </row>
    <row r="16" spans="1:12" ht="20.25" customHeight="1" x14ac:dyDescent="0.3">
      <c r="A16" s="111">
        <v>2.5</v>
      </c>
      <c r="B16" s="112">
        <f>TAN(RADIANS(A16))*100</f>
        <v>4.3660942908512057</v>
      </c>
      <c r="C16" s="15">
        <f>($D$4*$J$4*COS(RADIANS($A16)) - $B$4*C$9*$L$4 - $D$4*$L$4*SIN(RADIANS($A16)))/$F$4</f>
        <v>8339.3851712267788</v>
      </c>
      <c r="D16" s="16">
        <f>($D$4*$H$4*COS(RADIANS($A16)) + $D$4*C$9*$L$4/9.81 + $D$4*$L$4*SIN(RADIANS($A16)))/$F$4</f>
        <v>6681.2990741428421</v>
      </c>
      <c r="E16" s="15">
        <f>($D$4*$J$4*COS(RADIANS($A16)) - $B$4*E$9*$L$4 - $D$4*$L$4*SIN(RADIANS($A16)))/$F$4</f>
        <v>7854.50625315449</v>
      </c>
      <c r="F16" s="16">
        <f>($D$4*$H$4*COS(RADIANS($A16)) + $D$4*E$9*$L$4/9.81 + $D$4*$L$4*SIN(RADIANS($A16)))/$F$4</f>
        <v>7166.012973772331</v>
      </c>
      <c r="G16" s="15">
        <f>($D$4*$J$4*COS(RADIANS($A16)) - $B$4*G$9*$L$4 - $D$4*$L$4*SIN(RADIANS($A16)))/$F$4</f>
        <v>7369.6273350822012</v>
      </c>
      <c r="H16" s="16">
        <f>($D$4*$H$4*COS(RADIANS($A16)) + $D$4*G$9*$L$4/9.81 + $D$4*$L$4*SIN(RADIANS($A16)))/$F$4</f>
        <v>7650.7268734018198</v>
      </c>
      <c r="I16" s="15">
        <f>($D$4*$J$4*COS(RADIANS($A16)) - $B$4*I$9*$L$4 - $D$4*$L$4*SIN(RADIANS($A16)))/$F$4</f>
        <v>6884.7484170099115</v>
      </c>
      <c r="J16" s="16">
        <f>($D$4*$H$4*COS(RADIANS($A16)) + $D$4*I$9*$L$4/9.81 + $D$4*$L$4*SIN(RADIANS($A16)))/$F$4</f>
        <v>8135.4407730313087</v>
      </c>
      <c r="K16" s="15">
        <f>($D$4*$J$4*COS(RADIANS($A16)) - $B$4*K$9*$L$4 - $D$4*$L$4*SIN(RADIANS($A16)))/$F$4</f>
        <v>6399.8694989376227</v>
      </c>
      <c r="L16" s="16">
        <f>($D$4*$H$4*COS(RADIANS($A16)) + $D$4*K$9*$L$4/9.81 + $D$4*$L$4*SIN(RADIANS($A16)))/$F$4</f>
        <v>8620.1546726607976</v>
      </c>
    </row>
    <row r="17" spans="1:12" ht="20.25" customHeight="1" x14ac:dyDescent="0.3">
      <c r="A17" s="106"/>
      <c r="B17" s="109"/>
      <c r="C17" s="29">
        <f>IF($J$7*C16&gt;($D$4*SIN(RADIANS($A16)) + $B$4*C$9)/2,($D$4*SIN(RADIANS($A16)) + $B$4*C$9)/2,"(SLIP) " &amp;TEXT($L$7*C16,"0.0"))</f>
        <v>327.90861864193477</v>
      </c>
      <c r="D17" s="30">
        <f>IF($J$7*D16&gt;($D$4*SIN(RADIANS($A16)) + $B$4*C$9)/2,($D$4*SIN(RADIANS($A16)) + $B$4*C$9)/2,"(SLIP) " &amp;TEXT($L$7*D16,"0.0"))</f>
        <v>327.90861864193477</v>
      </c>
      <c r="E17" s="29">
        <f>IF($J$7*E16&gt;($D$4*SIN(RADIANS($A16)) + $B$4*E$9)/2,($D$4*SIN(RADIANS($A16)) + $B$4*E$9)/2,"(SLIP) " &amp;TEXT($L$7*E16,"0.0"))</f>
        <v>1765.2282686419346</v>
      </c>
      <c r="F17" s="30">
        <f>IF($J$7*F16&gt;($D$4*SIN(RADIANS($A16)) + $B$4*E$9)/2,($D$4*SIN(RADIANS($A16)) + $B$4*E$9)/2,"(SLIP) " &amp;TEXT($L$7*F16,"0.0"))</f>
        <v>1765.2282686419346</v>
      </c>
      <c r="G17" s="29">
        <f>IF($J$7*G16&gt;($D$4*SIN(RADIANS($A16)) + $B$4*G$9)/2,($D$4*SIN(RADIANS($A16)) + $B$4*G$9)/2,"(SLIP) " &amp;TEXT($L$7*G16,"0.0"))</f>
        <v>3202.5479186419348</v>
      </c>
      <c r="H17" s="30">
        <f>IF($J$7*H16&gt;($D$4*SIN(RADIANS($A16)) + $B$4*G$9)/2,($D$4*SIN(RADIANS($A16)) + $B$4*G$9)/2,"(SLIP) " &amp;TEXT($L$7*H16,"0.0"))</f>
        <v>3202.5479186419348</v>
      </c>
      <c r="I17" s="29">
        <f>IF($J$7*I16&gt;($D$4*SIN(RADIANS($A16)) + $B$4*I$9)/2,($D$4*SIN(RADIANS($A16)) + $B$4*I$9)/2,"(SLIP) " &amp;TEXT($L$7*I16,"0.0"))</f>
        <v>4639.8675686419347</v>
      </c>
      <c r="J17" s="30">
        <f>IF($J$7*J16&gt;($D$4*SIN(RADIANS($A16)) + $B$4*I$9)/2,($D$4*SIN(RADIANS($A16)) + $B$4*I$9)/2,"(SLIP) " &amp;TEXT($L$7*J16,"0.0"))</f>
        <v>4639.8675686419347</v>
      </c>
      <c r="K17" s="29" t="str">
        <f>IF($J$7*K16&gt;($D$4*SIN(RADIANS($A16)) + $B$4*K$9)/2,($D$4*SIN(RADIANS($A16)) + $B$4*K$9)/2,"(SLIP) " &amp;TEXT($L$7*K16,"0.0"))</f>
        <v>(SLIP) 4479.9</v>
      </c>
      <c r="L17" s="30">
        <f>IF($J$7*L16&gt;($D$4*SIN(RADIANS($A16)) + $B$4*K$9)/2,($D$4*SIN(RADIANS($A16)) + $B$4*K$9)/2,"(SLIP) " &amp;TEXT($L$7*L16,"0.0"))</f>
        <v>6077.1872186419341</v>
      </c>
    </row>
    <row r="18" spans="1:12" ht="20.25" customHeight="1" thickBot="1" x14ac:dyDescent="0.35">
      <c r="A18" s="107"/>
      <c r="B18" s="110"/>
      <c r="C18" s="103">
        <f>((D16)/(C16+D16))-(($D$13)/($C$13+$D$13))</f>
        <v>7.3644963942068875E-3</v>
      </c>
      <c r="D18" s="104"/>
      <c r="E18" s="103">
        <f>((F16)/(E16+F16))-(($D$13)/($C$13+$D$13))</f>
        <v>3.9639499248192711E-2</v>
      </c>
      <c r="F18" s="104"/>
      <c r="G18" s="103">
        <f>((H16)/(G16+H16))-(($D$13)/($C$13+$D$13))</f>
        <v>7.1915211269304447E-2</v>
      </c>
      <c r="H18" s="104"/>
      <c r="I18" s="103">
        <f>((J16)/(I16+J16))-(($D$13)/($C$13+$D$13))</f>
        <v>0.1041916324809159</v>
      </c>
      <c r="J18" s="104"/>
      <c r="K18" s="103">
        <f>((L16)/(K16+L16))-(($D$13)/($C$13+$D$13))</f>
        <v>0.13646876290640153</v>
      </c>
      <c r="L18" s="104"/>
    </row>
    <row r="19" spans="1:12" ht="20.25" customHeight="1" x14ac:dyDescent="0.3">
      <c r="A19" s="111">
        <v>5</v>
      </c>
      <c r="B19" s="112">
        <f t="shared" ref="B19:B34" si="0">TAN(RADIANS(A19))*100</f>
        <v>8.7488663525924011</v>
      </c>
      <c r="C19" s="15">
        <f>($D$4*$J$4*COS(RADIANS($A19)) - $B$4*C$9*$L$4 - $D$4*$L$4*SIN(RADIANS($A19)))/$F$4</f>
        <v>8204.8407082679223</v>
      </c>
      <c r="D19" s="16">
        <f>($D$4*$H$4*COS(RADIANS($A19)) + $D$4*C$9*$L$4/9.81 + $D$4*$L$4*SIN(RADIANS($A19)))/$F$4</f>
        <v>6772.9408278972778</v>
      </c>
      <c r="E19" s="15">
        <f>($D$4*$J$4*COS(RADIANS($A19)) - $B$4*E$9*$L$4 - $D$4*$L$4*SIN(RADIANS($A19)))/$F$4</f>
        <v>7719.9617901956335</v>
      </c>
      <c r="F19" s="16">
        <f>($D$4*$H$4*COS(RADIANS($A19)) + $D$4*E$9*$L$4/9.81 + $D$4*$L$4*SIN(RADIANS($A19)))/$F$4</f>
        <v>7257.6547275267667</v>
      </c>
      <c r="G19" s="15">
        <f>($D$4*$J$4*COS(RADIANS($A19)) - $B$4*G$9*$L$4 - $D$4*$L$4*SIN(RADIANS($A19)))/$F$4</f>
        <v>7235.082872123342</v>
      </c>
      <c r="H19" s="16">
        <f>($D$4*$H$4*COS(RADIANS($A19)) + $D$4*G$9*$L$4/9.81 + $D$4*$L$4*SIN(RADIANS($A19)))/$F$4</f>
        <v>7742.3686271562556</v>
      </c>
      <c r="I19" s="15">
        <f>($D$4*$J$4*COS(RADIANS($A19)) - $B$4*I$9*$L$4 - $D$4*$L$4*SIN(RADIANS($A19)))/$F$4</f>
        <v>6750.2039540510532</v>
      </c>
      <c r="J19" s="16">
        <f>($D$4*$H$4*COS(RADIANS($A19)) + $D$4*I$9*$L$4/9.81 + $D$4*$L$4*SIN(RADIANS($A19)))/$F$4</f>
        <v>8227.0825267857454</v>
      </c>
      <c r="K19" s="15">
        <f>($D$4*$J$4*COS(RADIANS($A19)) - $B$4*K$9*$L$4 - $D$4*$L$4*SIN(RADIANS($A19)))/$F$4</f>
        <v>6265.3250359787644</v>
      </c>
      <c r="L19" s="16">
        <f>($D$4*$H$4*COS(RADIANS($A19)) + $D$4*K$9*$L$4/9.81 + $D$4*$L$4*SIN(RADIANS($A19)))/$F$4</f>
        <v>8711.7964264152342</v>
      </c>
    </row>
    <row r="20" spans="1:12" ht="20.25" customHeight="1" x14ac:dyDescent="0.3">
      <c r="A20" s="106"/>
      <c r="B20" s="109"/>
      <c r="C20" s="29">
        <f>IF($J$7*C19&gt;($D$4*SIN(RADIANS($A19)) + $B$4*C$9)/2,($D$4*SIN(RADIANS($A19)) + $B$4*C$9)/2,"(SLIP) " &amp;TEXT($L$7*C19,"0.0"))</f>
        <v>655.193044591177</v>
      </c>
      <c r="D20" s="30">
        <f>IF($J$7*D19&gt;($D$4*SIN(RADIANS($A19)) + $B$4*C$9)/2,($D$4*SIN(RADIANS($A19)) + $B$4*C$9)/2,"(SLIP) " &amp;TEXT($L$7*D19,"0.0"))</f>
        <v>655.193044591177</v>
      </c>
      <c r="E20" s="29">
        <f>IF($J$7*E19&gt;($D$4*SIN(RADIANS($A19)) + $B$4*E$9)/2,($D$4*SIN(RADIANS($A19)) + $B$4*E$9)/2,"(SLIP) " &amp;TEXT($L$7*E19,"0.0"))</f>
        <v>2092.512694591177</v>
      </c>
      <c r="F20" s="30">
        <f>IF($J$7*F19&gt;($D$4*SIN(RADIANS($A19)) + $B$4*E$9)/2,($D$4*SIN(RADIANS($A19)) + $B$4*E$9)/2,"(SLIP) " &amp;TEXT($L$7*F19,"0.0"))</f>
        <v>2092.512694591177</v>
      </c>
      <c r="G20" s="29">
        <f>IF($J$7*G19&gt;($D$4*SIN(RADIANS($A19)) + $B$4*G$9)/2,($D$4*SIN(RADIANS($A19)) + $B$4*G$9)/2,"(SLIP) " &amp;TEXT($L$7*G19,"0.0"))</f>
        <v>3529.8323445911769</v>
      </c>
      <c r="H20" s="30">
        <f>IF($J$7*H19&gt;($D$4*SIN(RADIANS($A19)) + $B$4*G$9)/2,($D$4*SIN(RADIANS($A19)) + $B$4*G$9)/2,"(SLIP) " &amp;TEXT($L$7*H19,"0.0"))</f>
        <v>3529.8323445911769</v>
      </c>
      <c r="I20" s="29">
        <f>IF($J$7*I19&gt;($D$4*SIN(RADIANS($A19)) + $B$4*I$9)/2,($D$4*SIN(RADIANS($A19)) + $B$4*I$9)/2,"(SLIP) " &amp;TEXT($L$7*I19,"0.0"))</f>
        <v>4967.1519945911768</v>
      </c>
      <c r="J20" s="30">
        <f>IF($J$7*J19&gt;($D$4*SIN(RADIANS($A19)) + $B$4*I$9)/2,($D$4*SIN(RADIANS($A19)) + $B$4*I$9)/2,"(SLIP) " &amp;TEXT($L$7*J19,"0.0"))</f>
        <v>4967.1519945911768</v>
      </c>
      <c r="K20" s="29" t="str">
        <f>IF($J$7*K19&gt;($D$4*SIN(RADIANS($A19)) + $B$4*K$9)/2,($D$4*SIN(RADIANS($A19)) + $B$4*K$9)/2,"(SLIP) " &amp;TEXT($L$7*K19,"0.0"))</f>
        <v>(SLIP) 4385.7</v>
      </c>
      <c r="L20" s="30">
        <f>IF($J$7*L19&gt;($D$4*SIN(RADIANS($A19)) + $B$4*K$9)/2,($D$4*SIN(RADIANS($A19)) + $B$4*K$9)/2,"(SLIP) " &amp;TEXT($L$7*L19,"0.0"))</f>
        <v>6404.4716445911763</v>
      </c>
    </row>
    <row r="21" spans="1:12" ht="20.25" customHeight="1" thickBot="1" x14ac:dyDescent="0.35">
      <c r="A21" s="107"/>
      <c r="B21" s="110"/>
      <c r="C21" s="103">
        <f>((D19)/(C19+D19))-(($D$13)/($C$13+$D$13))</f>
        <v>1.4757123968228092E-2</v>
      </c>
      <c r="D21" s="104"/>
      <c r="E21" s="103">
        <f>((F19)/(E19+F19))-(($D$13)/($C$13+$D$13))</f>
        <v>4.7124658566518318E-2</v>
      </c>
      <c r="F21" s="104"/>
      <c r="G21" s="103">
        <f>((H19)/(G19+H19))-(($D$13)/($C$13+$D$13))</f>
        <v>7.9492906402325203E-2</v>
      </c>
      <c r="H21" s="104"/>
      <c r="I21" s="103">
        <f>((J19)/(I19+J19))-(($D$13)/($C$13+$D$13))</f>
        <v>0.11186186749922389</v>
      </c>
      <c r="J21" s="104"/>
      <c r="K21" s="103">
        <f>((L19)/(K19+L19))-(($D$13)/($C$13+$D$13))</f>
        <v>0.14423154188079068</v>
      </c>
      <c r="L21" s="104"/>
    </row>
    <row r="22" spans="1:12" ht="20.25" customHeight="1" x14ac:dyDescent="0.3">
      <c r="A22" s="111">
        <v>10</v>
      </c>
      <c r="B22" s="112">
        <f t="shared" si="0"/>
        <v>17.632698070846498</v>
      </c>
      <c r="C22" s="15">
        <f>($D$4*$J$4*COS(RADIANS($A22)) - $B$4*C$9*$L$4 - $D$4*$L$4*SIN(RADIANS($A22)))/$F$4</f>
        <v>7889.1824839951114</v>
      </c>
      <c r="D22" s="16">
        <f>($D$4*$H$4*COS(RADIANS($A22)) + $D$4*C$9*$L$4/9.81 + $D$4*$L$4*SIN(RADIANS($A22)))/$F$4</f>
        <v>6917.3963986202134</v>
      </c>
      <c r="E22" s="15">
        <f>($D$4*$J$4*COS(RADIANS($A22)) - $B$4*E$9*$L$4 - $D$4*$L$4*SIN(RADIANS($A22)))/$F$4</f>
        <v>7404.3035659228226</v>
      </c>
      <c r="F22" s="16">
        <f>($D$4*$H$4*COS(RADIANS($A22)) + $D$4*E$9*$L$4/9.81 + $D$4*$L$4*SIN(RADIANS($A22)))/$F$4</f>
        <v>7402.1102982497023</v>
      </c>
      <c r="G22" s="15">
        <f>($D$4*$J$4*COS(RADIANS($A22)) - $B$4*G$9*$L$4 - $D$4*$L$4*SIN(RADIANS($A22)))/$F$4</f>
        <v>6919.4246478505338</v>
      </c>
      <c r="H22" s="16">
        <f>($D$4*$H$4*COS(RADIANS($A22)) + $D$4*G$9*$L$4/9.81 + $D$4*$L$4*SIN(RADIANS($A22)))/$F$4</f>
        <v>7886.8241978791912</v>
      </c>
      <c r="I22" s="15">
        <f>($D$4*$J$4*COS(RADIANS($A22)) - $B$4*I$9*$L$4 - $D$4*$L$4*SIN(RADIANS($A22)))/$F$4</f>
        <v>6434.5457297782441</v>
      </c>
      <c r="J22" s="16">
        <f>($D$4*$H$4*COS(RADIANS($A22)) + $D$4*I$9*$L$4/9.81 + $D$4*$L$4*SIN(RADIANS($A22)))/$F$4</f>
        <v>8371.5380975086809</v>
      </c>
      <c r="K22" s="15">
        <f>($D$4*$J$4*COS(RADIANS($A22)) - $B$4*K$9*$L$4 - $D$4*$L$4*SIN(RADIANS($A22)))/$F$4</f>
        <v>5949.6668117059553</v>
      </c>
      <c r="L22" s="16">
        <f>($D$4*$H$4*COS(RADIANS($A22)) + $D$4*K$9*$L$4/9.81 + $D$4*$L$4*SIN(RADIANS($A22)))/$F$4</f>
        <v>8856.2519971381698</v>
      </c>
    </row>
    <row r="23" spans="1:12" ht="20.25" customHeight="1" x14ac:dyDescent="0.3">
      <c r="A23" s="106"/>
      <c r="B23" s="109"/>
      <c r="C23" s="29">
        <f>IF($J$7*C22&gt;($D$4*SIN(RADIANS($A22)) + $B$4*C$9)/2,($D$4*SIN(RADIANS($A22)) + $B$4*C$9)/2,"(SLIP) " &amp;TEXT($L$7*C22,"0.0"))</f>
        <v>1305.3996744966385</v>
      </c>
      <c r="D23" s="30">
        <f>IF($J$7*D22&gt;($D$4*SIN(RADIANS($A22)) + $B$4*C$9)/2,($D$4*SIN(RADIANS($A22)) + $B$4*C$9)/2,"(SLIP) " &amp;TEXT($L$7*D22,"0.0"))</f>
        <v>1305.3996744966385</v>
      </c>
      <c r="E23" s="29">
        <f>IF($J$7*E22&gt;($D$4*SIN(RADIANS($A22)) + $B$4*E$9)/2,($D$4*SIN(RADIANS($A22)) + $B$4*E$9)/2,"(SLIP) " &amp;TEXT($L$7*E22,"0.0"))</f>
        <v>2742.7193244966384</v>
      </c>
      <c r="F23" s="30">
        <f>IF($J$7*F22&gt;($D$4*SIN(RADIANS($A22)) + $B$4*E$9)/2,($D$4*SIN(RADIANS($A22)) + $B$4*E$9)/2,"(SLIP) " &amp;TEXT($L$7*F22,"0.0"))</f>
        <v>2742.7193244966384</v>
      </c>
      <c r="G23" s="29">
        <f>IF($J$7*G22&gt;($D$4*SIN(RADIANS($A22)) + $B$4*G$9)/2,($D$4*SIN(RADIANS($A22)) + $B$4*G$9)/2,"(SLIP) " &amp;TEXT($L$7*G22,"0.0"))</f>
        <v>4180.0389744966378</v>
      </c>
      <c r="H23" s="30">
        <f>IF($J$7*H22&gt;($D$4*SIN(RADIANS($A22)) + $B$4*G$9)/2,($D$4*SIN(RADIANS($A22)) + $B$4*G$9)/2,"(SLIP) " &amp;TEXT($L$7*H22,"0.0"))</f>
        <v>4180.0389744966378</v>
      </c>
      <c r="I23" s="29">
        <f>IF($J$7*I22&gt;($D$4*SIN(RADIANS($A22)) + $B$4*I$9)/2,($D$4*SIN(RADIANS($A22)) + $B$4*I$9)/2,"(SLIP) " &amp;TEXT($L$7*I22,"0.0"))</f>
        <v>5617.3586244966391</v>
      </c>
      <c r="J23" s="30">
        <f>IF($J$7*J22&gt;($D$4*SIN(RADIANS($A22)) + $B$4*I$9)/2,($D$4*SIN(RADIANS($A22)) + $B$4*I$9)/2,"(SLIP) " &amp;TEXT($L$7*J22,"0.0"))</f>
        <v>5617.3586244966391</v>
      </c>
      <c r="K23" s="29" t="str">
        <f>IF($J$7*K22&gt;($D$4*SIN(RADIANS($A22)) + $B$4*K$9)/2,($D$4*SIN(RADIANS($A22)) + $B$4*K$9)/2,"(SLIP) " &amp;TEXT($L$7*K22,"0.0"))</f>
        <v>(SLIP) 4164.8</v>
      </c>
      <c r="L23" s="30">
        <f>IF($J$7*L22&gt;($D$4*SIN(RADIANS($A22)) + $B$4*K$9)/2,($D$4*SIN(RADIANS($A22)) + $B$4*K$9)/2,"(SLIP) " &amp;TEXT($L$7*L22,"0.0"))</f>
        <v>7054.6782744966386</v>
      </c>
    </row>
    <row r="24" spans="1:12" ht="20.25" customHeight="1" thickBot="1" x14ac:dyDescent="0.35">
      <c r="A24" s="107" t="s">
        <v>13</v>
      </c>
      <c r="B24" s="110"/>
      <c r="C24" s="103">
        <f>((D22)/(C22+D22))-(($D$13)/($C$13+$D$13))</f>
        <v>2.9741900360463924E-2</v>
      </c>
      <c r="D24" s="104"/>
      <c r="E24" s="103">
        <f>((F22)/(E22+F22))-(($D$13)/($C$13+$D$13))</f>
        <v>6.2483859220254401E-2</v>
      </c>
      <c r="F24" s="104"/>
      <c r="G24" s="103">
        <f>((H22)/(G22+H22))-(($D$13)/($C$13+$D$13))</f>
        <v>9.5226547910688852E-2</v>
      </c>
      <c r="H24" s="104"/>
      <c r="I24" s="103">
        <f>((J22)/(I22+J22))-(($D$13)/($C$13+$D$13))</f>
        <v>0.12796996645617009</v>
      </c>
      <c r="J24" s="104"/>
      <c r="K24" s="103">
        <f>((L22)/(K22+L22))-(($D$13)/($C$13+$D$13))</f>
        <v>0.16071411488110143</v>
      </c>
      <c r="L24" s="104"/>
    </row>
    <row r="25" spans="1:12" ht="20.25" customHeight="1" x14ac:dyDescent="0.3">
      <c r="A25" s="111">
        <v>15</v>
      </c>
      <c r="B25" s="112">
        <f t="shared" si="0"/>
        <v>26.794919243112268</v>
      </c>
      <c r="C25" s="15">
        <f>($D$4*$J$4*COS(RADIANS($A25)) - $B$4*C$9*$L$4 - $D$4*$L$4*SIN(RADIANS($A25)))/$F$4</f>
        <v>7513.4828174004724</v>
      </c>
      <c r="D25" s="16">
        <f>($D$4*$H$4*COS(RADIANS($A25)) + $D$4*C$9*$L$4/9.81 + $D$4*$L$4*SIN(RADIANS($A25)))/$F$4</f>
        <v>7009.2064059115046</v>
      </c>
      <c r="E25" s="15">
        <f>($D$4*$J$4*COS(RADIANS($A25)) - $B$4*E$9*$L$4 - $D$4*$L$4*SIN(RADIANS($A25)))/$F$4</f>
        <v>7028.6038993281836</v>
      </c>
      <c r="F25" s="16">
        <f>($D$4*$H$4*COS(RADIANS($A25)) + $D$4*E$9*$L$4/9.81 + $D$4*$L$4*SIN(RADIANS($A25)))/$F$4</f>
        <v>7493.9203055409935</v>
      </c>
      <c r="G25" s="15">
        <f>($D$4*$J$4*COS(RADIANS($A25)) - $B$4*G$9*$L$4 - $D$4*$L$4*SIN(RADIANS($A25)))/$F$4</f>
        <v>6543.7249812558948</v>
      </c>
      <c r="H25" s="16">
        <f>($D$4*$H$4*COS(RADIANS($A25)) + $D$4*G$9*$L$4/9.81 + $D$4*$L$4*SIN(RADIANS($A25)))/$F$4</f>
        <v>7978.6342051704823</v>
      </c>
      <c r="I25" s="15">
        <f>($D$4*$J$4*COS(RADIANS($A25)) - $B$4*I$9*$L$4 - $D$4*$L$4*SIN(RADIANS($A25)))/$F$4</f>
        <v>6058.8460631836042</v>
      </c>
      <c r="J25" s="16">
        <f>($D$4*$H$4*COS(RADIANS($A25)) + $D$4*I$9*$L$4/9.81 + $D$4*$L$4*SIN(RADIANS($A25)))/$F$4</f>
        <v>8463.3481047999721</v>
      </c>
      <c r="K25" s="15">
        <f>($D$4*$J$4*COS(RADIANS($A25)) - $B$4*K$9*$L$4 - $D$4*$L$4*SIN(RADIANS($A25)))/$F$4</f>
        <v>5573.9671451113154</v>
      </c>
      <c r="L25" s="16">
        <f>($D$4*$H$4*COS(RADIANS($A25)) + $D$4*K$9*$L$4/9.81 + $D$4*$L$4*SIN(RADIANS($A25)))/$F$4</f>
        <v>8948.062004429461</v>
      </c>
    </row>
    <row r="26" spans="1:12" ht="20.25" customHeight="1" x14ac:dyDescent="0.3">
      <c r="A26" s="106"/>
      <c r="B26" s="109"/>
      <c r="C26" s="29">
        <f>IF($J$7*C25&gt;($D$4*SIN(RADIANS($A25)) + $B$4*C$9)/2,($D$4*SIN(RADIANS($A25)) + $B$4*C$9)/2,"(SLIP) " &amp;TEXT($L$7*C25,"0.0"))</f>
        <v>1945.671424657306</v>
      </c>
      <c r="D26" s="30">
        <f>IF($J$7*D25&gt;($D$4*SIN(RADIANS($A25)) + $B$4*C$9)/2,($D$4*SIN(RADIANS($A25)) + $B$4*C$9)/2,"(SLIP) " &amp;TEXT($L$7*D25,"0.0"))</f>
        <v>1945.671424657306</v>
      </c>
      <c r="E26" s="29">
        <f>IF($J$7*E25&gt;($D$4*SIN(RADIANS($A25)) + $B$4*E$9)/2,($D$4*SIN(RADIANS($A25)) + $B$4*E$9)/2,"(SLIP) " &amp;TEXT($L$7*E25,"0.0"))</f>
        <v>3382.9910746573059</v>
      </c>
      <c r="F26" s="30">
        <f>IF($J$7*F25&gt;($D$4*SIN(RADIANS($A25)) + $B$4*E$9)/2,($D$4*SIN(RADIANS($A25)) + $B$4*E$9)/2,"(SLIP) " &amp;TEXT($L$7*F25,"0.0"))</f>
        <v>3382.9910746573059</v>
      </c>
      <c r="G26" s="29">
        <f>IF($J$7*G25&gt;($D$4*SIN(RADIANS($A25)) + $B$4*G$9)/2,($D$4*SIN(RADIANS($A25)) + $B$4*G$9)/2,"(SLIP) " &amp;TEXT($L$7*G25,"0.0"))</f>
        <v>4820.3107246573054</v>
      </c>
      <c r="H26" s="30">
        <f>IF($J$7*H25&gt;($D$4*SIN(RADIANS($A25)) + $B$4*G$9)/2,($D$4*SIN(RADIANS($A25)) + $B$4*G$9)/2,"(SLIP) " &amp;TEXT($L$7*H25,"0.0"))</f>
        <v>4820.3107246573054</v>
      </c>
      <c r="I26" s="29" t="str">
        <f>IF($J$7*I25&gt;($D$4*SIN(RADIANS($A25)) + $B$4*I$9)/2,($D$4*SIN(RADIANS($A25)) + $B$4*I$9)/2,"(SLIP) " &amp;TEXT($L$7*I25,"0.0"))</f>
        <v>(SLIP) 4241.2</v>
      </c>
      <c r="J26" s="30">
        <f>IF($J$7*J25&gt;($D$4*SIN(RADIANS($A25)) + $B$4*I$9)/2,($D$4*SIN(RADIANS($A25)) + $B$4*I$9)/2,"(SLIP) " &amp;TEXT($L$7*J25,"0.0"))</f>
        <v>6257.6303746573067</v>
      </c>
      <c r="K26" s="29" t="str">
        <f>IF($J$7*K25&gt;($D$4*SIN(RADIANS($A25)) + $B$4*K$9)/2,($D$4*SIN(RADIANS($A25)) + $B$4*K$9)/2,"(SLIP) " &amp;TEXT($L$7*K25,"0.0"))</f>
        <v>(SLIP) 3901.8</v>
      </c>
      <c r="L26" s="30">
        <f>IF($J$7*L25&gt;($D$4*SIN(RADIANS($A25)) + $B$4*K$9)/2,($D$4*SIN(RADIANS($A25)) + $B$4*K$9)/2,"(SLIP) " &amp;TEXT($L$7*L25,"0.0"))</f>
        <v>7694.9500246573061</v>
      </c>
    </row>
    <row r="27" spans="1:12" ht="20.25" customHeight="1" thickBot="1" x14ac:dyDescent="0.35">
      <c r="A27" s="107" t="s">
        <v>13</v>
      </c>
      <c r="B27" s="110"/>
      <c r="C27" s="103">
        <f>((D25)/(C25+D25))-(($D$13)/($C$13+$D$13))</f>
        <v>4.5196249325731574E-2</v>
      </c>
      <c r="D27" s="104"/>
      <c r="E27" s="103">
        <f>((F25)/(E25+F25))-(($D$13)/($C$13+$D$13))</f>
        <v>7.8578431170663543E-2</v>
      </c>
      <c r="F27" s="104"/>
      <c r="G27" s="103">
        <f>((H25)/(G25+H25))-(($D$13)/($C$13+$D$13))</f>
        <v>0.11196137166308451</v>
      </c>
      <c r="H27" s="104"/>
      <c r="I27" s="103">
        <f>((J25)/(I25+J25))-(($D$13)/($C$13+$D$13))</f>
        <v>0.14534507082885639</v>
      </c>
      <c r="J27" s="104"/>
      <c r="K27" s="103">
        <f>((L25)/(K25+L25))-(($D$13)/($C$13+$D$13))</f>
        <v>0.1787295286938424</v>
      </c>
      <c r="L27" s="104"/>
    </row>
    <row r="28" spans="1:12" ht="20.25" customHeight="1" x14ac:dyDescent="0.3">
      <c r="A28" s="111">
        <v>20</v>
      </c>
      <c r="B28" s="112">
        <f t="shared" si="0"/>
        <v>36.397023426620237</v>
      </c>
      <c r="C28" s="15">
        <f>($D$4*$J$4*COS(RADIANS($A28)) - $B$4*C$9*$L$4 - $D$4*$L$4*SIN(RADIANS($A28)))/$F$4</f>
        <v>7080.6010098004508</v>
      </c>
      <c r="D28" s="16">
        <f>($D$4*$H$4*COS(RADIANS($A28)) + $D$4*C$9*$L$4/9.81 + $D$4*$L$4*SIN(RADIANS($A28)))/$F$4</f>
        <v>7047.6721201792652</v>
      </c>
      <c r="E28" s="15">
        <f>($D$4*$J$4*COS(RADIANS($A28)) - $B$4*E$9*$L$4 - $D$4*$L$4*SIN(RADIANS($A28)))/$F$4</f>
        <v>6595.722091728162</v>
      </c>
      <c r="F28" s="16">
        <f>($D$4*$H$4*COS(RADIANS($A28)) + $D$4*E$9*$L$4/9.81 + $D$4*$L$4*SIN(RADIANS($A28)))/$F$4</f>
        <v>7532.386019808755</v>
      </c>
      <c r="G28" s="15">
        <f>($D$4*$J$4*COS(RADIANS($A28)) - $B$4*G$9*$L$4 - $D$4*$L$4*SIN(RADIANS($A28)))/$F$4</f>
        <v>6110.8431736558723</v>
      </c>
      <c r="H28" s="16">
        <f>($D$4*$H$4*COS(RADIANS($A28)) + $D$4*G$9*$L$4/9.81 + $D$4*$L$4*SIN(RADIANS($A28)))/$F$4</f>
        <v>8017.0999194382439</v>
      </c>
      <c r="I28" s="15">
        <f>($D$4*$J$4*COS(RADIANS($A28)) - $B$4*I$9*$L$4 - $D$4*$L$4*SIN(RADIANS($A28)))/$F$4</f>
        <v>5625.9642555835835</v>
      </c>
      <c r="J28" s="16">
        <f>($D$4*$H$4*COS(RADIANS($A28)) + $D$4*I$9*$L$4/9.81 + $D$4*$L$4*SIN(RADIANS($A28)))/$F$4</f>
        <v>8501.8138190677328</v>
      </c>
      <c r="K28" s="15">
        <f>($D$4*$J$4*COS(RADIANS($A28)) - $B$4*K$9*$L$4 - $D$4*$L$4*SIN(RADIANS($A28)))/$F$4</f>
        <v>5141.0853375112947</v>
      </c>
      <c r="L28" s="16">
        <f>($D$4*$H$4*COS(RADIANS($A28)) + $D$4*K$9*$L$4/9.81 + $D$4*$L$4*SIN(RADIANS($A28)))/$F$4</f>
        <v>8986.5277186972216</v>
      </c>
    </row>
    <row r="29" spans="1:12" ht="20.25" customHeight="1" x14ac:dyDescent="0.3">
      <c r="A29" s="106"/>
      <c r="B29" s="109"/>
      <c r="C29" s="29">
        <f>IF($J$7*C28&gt;($D$4*SIN(RADIANS($A28)) + $B$4*C$9)/2,($D$4*SIN(RADIANS($A28)) + $B$4*C$9)/2,"(SLIP) " &amp;TEXT($L$7*C28,"0.0"))</f>
        <v>2571.1354404478047</v>
      </c>
      <c r="D29" s="30">
        <f>IF($J$7*D28&gt;($D$4*SIN(RADIANS($A28)) + $B$4*C$9)/2,($D$4*SIN(RADIANS($A28)) + $B$4*C$9)/2,"(SLIP) " &amp;TEXT($L$7*D28,"0.0"))</f>
        <v>2571.1354404478047</v>
      </c>
      <c r="E29" s="29">
        <f>IF($J$7*E28&gt;($D$4*SIN(RADIANS($A28)) + $B$4*E$9)/2,($D$4*SIN(RADIANS($A28)) + $B$4*E$9)/2,"(SLIP) " &amp;TEXT($L$7*E28,"0.0"))</f>
        <v>4008.4550904478047</v>
      </c>
      <c r="F29" s="30">
        <f>IF($J$7*F28&gt;($D$4*SIN(RADIANS($A28)) + $B$4*E$9)/2,($D$4*SIN(RADIANS($A28)) + $B$4*E$9)/2,"(SLIP) " &amp;TEXT($L$7*F28,"0.0"))</f>
        <v>4008.4550904478047</v>
      </c>
      <c r="G29" s="29">
        <f>IF($J$7*G28&gt;($D$4*SIN(RADIANS($A28)) + $B$4*G$9)/2,($D$4*SIN(RADIANS($A28)) + $B$4*G$9)/2,"(SLIP) " &amp;TEXT($L$7*G28,"0.0"))</f>
        <v>5445.774740447805</v>
      </c>
      <c r="H29" s="30">
        <f>IF($J$7*H28&gt;($D$4*SIN(RADIANS($A28)) + $B$4*G$9)/2,($D$4*SIN(RADIANS($A28)) + $B$4*G$9)/2,"(SLIP) " &amp;TEXT($L$7*H28,"0.0"))</f>
        <v>5445.774740447805</v>
      </c>
      <c r="I29" s="29" t="str">
        <f>IF($J$7*I28&gt;($D$4*SIN(RADIANS($A28)) + $B$4*I$9)/2,($D$4*SIN(RADIANS($A28)) + $B$4*I$9)/2,"(SLIP) " &amp;TEXT($L$7*I28,"0.0"))</f>
        <v>(SLIP) 3938.2</v>
      </c>
      <c r="J29" s="30">
        <f>IF($J$7*J28&gt;($D$4*SIN(RADIANS($A28)) + $B$4*I$9)/2,($D$4*SIN(RADIANS($A28)) + $B$4*I$9)/2,"(SLIP) " &amp;TEXT($L$7*J28,"0.0"))</f>
        <v>6883.0943904478045</v>
      </c>
      <c r="K29" s="29" t="str">
        <f>IF($J$7*K28&gt;($D$4*SIN(RADIANS($A28)) + $B$4*K$9)/2,($D$4*SIN(RADIANS($A28)) + $B$4*K$9)/2,"(SLIP) " &amp;TEXT($L$7*K28,"0.0"))</f>
        <v>(SLIP) 3598.8</v>
      </c>
      <c r="L29" s="30" t="str">
        <f>IF($J$7*L28&gt;($D$4*SIN(RADIANS($A28)) + $B$4*K$9)/2,($D$4*SIN(RADIANS($A28)) + $B$4*K$9)/2,"(SLIP) " &amp;TEXT($L$7*L28,"0.0"))</f>
        <v>(SLIP) 6290.6</v>
      </c>
    </row>
    <row r="30" spans="1:12" ht="20.25" customHeight="1" thickBot="1" x14ac:dyDescent="0.35">
      <c r="A30" s="107" t="s">
        <v>13</v>
      </c>
      <c r="B30" s="110"/>
      <c r="C30" s="103">
        <f>((D28)/(C28+D28))-(($D$13)/($C$13+$D$13))</f>
        <v>6.1392569635263017E-2</v>
      </c>
      <c r="D30" s="104"/>
      <c r="E30" s="103">
        <f>((F28)/(E28+F28))-(($D$13)/($C$13+$D$13))</f>
        <v>9.5706875041097539E-2</v>
      </c>
      <c r="F30" s="104"/>
      <c r="G30" s="103">
        <f>((H28)/(G28+H28))-(($D$13)/($C$13+$D$13))</f>
        <v>0.13002198204886473</v>
      </c>
      <c r="H30" s="104"/>
      <c r="I30" s="103">
        <f>((J28)/(I28+J28))-(($D$13)/($C$13+$D$13))</f>
        <v>0.16433789068665372</v>
      </c>
      <c r="J30" s="104"/>
      <c r="K30" s="103">
        <f>((L28)/(K28+L28))-(($D$13)/($C$13+$D$13))</f>
        <v>0.19865460098255494</v>
      </c>
      <c r="L30" s="104"/>
    </row>
    <row r="31" spans="1:12" ht="20.25" customHeight="1" x14ac:dyDescent="0.3">
      <c r="A31" s="111">
        <v>22.5</v>
      </c>
      <c r="B31" s="112">
        <f t="shared" si="0"/>
        <v>41.421356237309503</v>
      </c>
      <c r="C31" s="15">
        <f>($D$4*$J$4*COS(RADIANS($A31)) - $B$4*C$9*$L$4 - $D$4*$L$4*SIN(RADIANS($A31)))/$F$4</f>
        <v>6843.7299959760212</v>
      </c>
      <c r="D31" s="16">
        <f>($D$4*$H$4*COS(RADIANS($A31)) + $D$4*C$9*$L$4/9.81 + $D$4*$L$4*SIN(RADIANS($A31)))/$F$4</f>
        <v>7046.7934430616888</v>
      </c>
      <c r="E31" s="15">
        <f>($D$4*$J$4*COS(RADIANS($A31)) - $B$4*E$9*$L$4 - $D$4*$L$4*SIN(RADIANS($A31)))/$F$4</f>
        <v>6358.8510779037333</v>
      </c>
      <c r="F31" s="16">
        <f>($D$4*$H$4*COS(RADIANS($A31)) + $D$4*E$9*$L$4/9.81 + $D$4*$L$4*SIN(RADIANS($A31)))/$F$4</f>
        <v>7531.5073426911777</v>
      </c>
      <c r="G31" s="15">
        <f>($D$4*$J$4*COS(RADIANS($A31)) - $B$4*G$9*$L$4 - $D$4*$L$4*SIN(RADIANS($A31)))/$F$4</f>
        <v>5873.9721598314445</v>
      </c>
      <c r="H31" s="16">
        <f>($D$4*$H$4*COS(RADIANS($A31)) + $D$4*G$9*$L$4/9.81 + $D$4*$L$4*SIN(RADIANS($A31)))/$F$4</f>
        <v>8016.2212423206665</v>
      </c>
      <c r="I31" s="15">
        <f>($D$4*$J$4*COS(RADIANS($A31)) - $B$4*I$9*$L$4 - $D$4*$L$4*SIN(RADIANS($A31)))/$F$4</f>
        <v>5389.0932417591539</v>
      </c>
      <c r="J31" s="16">
        <f>($D$4*$H$4*COS(RADIANS($A31)) + $D$4*I$9*$L$4/9.81 + $D$4*$L$4*SIN(RADIANS($A31)))/$F$4</f>
        <v>8500.9351419501563</v>
      </c>
      <c r="K31" s="15">
        <f>($D$4*$J$4*COS(RADIANS($A31)) - $B$4*K$9*$L$4 - $D$4*$L$4*SIN(RADIANS($A31)))/$F$4</f>
        <v>4904.2143236868651</v>
      </c>
      <c r="L31" s="16">
        <f>($D$4*$H$4*COS(RADIANS($A31)) + $D$4*K$9*$L$4/9.81 + $D$4*$L$4*SIN(RADIANS($A31)))/$F$4</f>
        <v>8985.6490415796452</v>
      </c>
    </row>
    <row r="32" spans="1:12" ht="20.25" customHeight="1" x14ac:dyDescent="0.3">
      <c r="A32" s="106"/>
      <c r="B32" s="109"/>
      <c r="C32" s="29">
        <f>IF($J$7*C31&gt;($D$4*SIN(RADIANS($A31)) + $B$4*C$9)/2,($D$4*SIN(RADIANS($A31)) + $B$4*C$9)/2,"(SLIP) " &amp;TEXT($L$7*C31,"0.0"))</f>
        <v>2876.8215984553926</v>
      </c>
      <c r="D32" s="30">
        <f>IF($J$7*D31&gt;($D$4*SIN(RADIANS($A31)) + $B$4*C$9)/2,($D$4*SIN(RADIANS($A31)) + $B$4*C$9)/2,"(SLIP) " &amp;TEXT($L$7*D31,"0.0"))</f>
        <v>2876.8215984553926</v>
      </c>
      <c r="E32" s="29">
        <f>IF($J$7*E31&gt;($D$4*SIN(RADIANS($A31)) + $B$4*E$9)/2,($D$4*SIN(RADIANS($A31)) + $B$4*E$9)/2,"(SLIP) " &amp;TEXT($L$7*E31,"0.0"))</f>
        <v>4314.141248455393</v>
      </c>
      <c r="F32" s="30">
        <f>IF($J$7*F31&gt;($D$4*SIN(RADIANS($A31)) + $B$4*E$9)/2,($D$4*SIN(RADIANS($A31)) + $B$4*E$9)/2,"(SLIP) " &amp;TEXT($L$7*F31,"0.0"))</f>
        <v>4314.141248455393</v>
      </c>
      <c r="G32" s="29" t="str">
        <f>IF($J$7*G31&gt;($D$4*SIN(RADIANS($A31)) + $B$4*G$9)/2,($D$4*SIN(RADIANS($A31)) + $B$4*G$9)/2,"(SLIP) " &amp;TEXT($L$7*G31,"0.0"))</f>
        <v>(SLIP) 4111.8</v>
      </c>
      <c r="H32" s="30">
        <f>IF($J$7*H31&gt;($D$4*SIN(RADIANS($A31)) + $B$4*G$9)/2,($D$4*SIN(RADIANS($A31)) + $B$4*G$9)/2,"(SLIP) " &amp;TEXT($L$7*H31,"0.0"))</f>
        <v>5751.4608984553925</v>
      </c>
      <c r="I32" s="29" t="str">
        <f>IF($J$7*I31&gt;($D$4*SIN(RADIANS($A31)) + $B$4*I$9)/2,($D$4*SIN(RADIANS($A31)) + $B$4*I$9)/2,"(SLIP) " &amp;TEXT($L$7*I31,"0.0"))</f>
        <v>(SLIP) 3772.4</v>
      </c>
      <c r="J32" s="30">
        <f>IF($J$7*J31&gt;($D$4*SIN(RADIANS($A31)) + $B$4*I$9)/2,($D$4*SIN(RADIANS($A31)) + $B$4*I$9)/2,"(SLIP) " &amp;TEXT($L$7*J31,"0.0"))</f>
        <v>7188.7805484553928</v>
      </c>
      <c r="K32" s="29" t="str">
        <f>IF($J$7*K31&gt;($D$4*SIN(RADIANS($A31)) + $B$4*K$9)/2,($D$4*SIN(RADIANS($A31)) + $B$4*K$9)/2,"(SLIP) " &amp;TEXT($L$7*K31,"0.0"))</f>
        <v>(SLIP) 3433.0</v>
      </c>
      <c r="L32" s="30" t="str">
        <f>IF($J$7*L31&gt;($D$4*SIN(RADIANS($A31)) + $B$4*K$9)/2,($D$4*SIN(RADIANS($A31)) + $B$4*K$9)/2,"(SLIP) " &amp;TEXT($L$7*L31,"0.0"))</f>
        <v>(SLIP) 6290.0</v>
      </c>
    </row>
    <row r="33" spans="1:12" ht="20.25" customHeight="1" thickBot="1" x14ac:dyDescent="0.35">
      <c r="A33" s="107" t="s">
        <v>13</v>
      </c>
      <c r="B33" s="110"/>
      <c r="C33" s="103">
        <f>((D31)/(C31+D31))-(($D$13)/($C$13+$D$13))</f>
        <v>6.9867347870160579E-2</v>
      </c>
      <c r="D33" s="104"/>
      <c r="E33" s="103">
        <f>((F31)/(E31+F31))-(($D$13)/($C$13+$D$13))</f>
        <v>0.10476908333019264</v>
      </c>
      <c r="F33" s="104"/>
      <c r="G33" s="103">
        <f>((H31)/(G31+H31))-(($D$13)/($C$13+$D$13))</f>
        <v>0.13967164807025989</v>
      </c>
      <c r="H33" s="104"/>
      <c r="I33" s="103">
        <f>((J31)/(I31+J31))-(($D$13)/($C$13+$D$13))</f>
        <v>0.17457504211991892</v>
      </c>
      <c r="J33" s="104"/>
      <c r="K33" s="103">
        <f>((L31)/(K31+L31))-(($D$13)/($C$13+$D$13))</f>
        <v>0.20947926550872731</v>
      </c>
      <c r="L33" s="104"/>
    </row>
    <row r="34" spans="1:12" ht="20.25" customHeight="1" x14ac:dyDescent="0.3">
      <c r="A34" s="111">
        <v>25</v>
      </c>
      <c r="B34" s="112">
        <f t="shared" si="0"/>
        <v>46.630765815499856</v>
      </c>
      <c r="C34" s="15">
        <f>($D$4*$J$4*COS(RADIANS($A34)) - $B$4*C$9*$L$4 - $D$4*$L$4*SIN(RADIANS($A34)))/$F$4</f>
        <v>6593.831553132065</v>
      </c>
      <c r="D34" s="16">
        <f>($D$4*$H$4*COS(RADIANS($A34)) + $D$4*C$9*$L$4/9.81 + $D$4*$L$4*SIN(RADIANS($A34)))/$F$4</f>
        <v>7032.5007941116874</v>
      </c>
      <c r="E34" s="15">
        <f>($D$4*$J$4*COS(RADIANS($A34)) - $B$4*E$9*$L$4 - $D$4*$L$4*SIN(RADIANS($A34)))/$F$4</f>
        <v>6108.9526350597762</v>
      </c>
      <c r="F34" s="16">
        <f>($D$4*$H$4*COS(RADIANS($A34)) + $D$4*E$9*$L$4/9.81 + $D$4*$L$4*SIN(RADIANS($A34)))/$F$4</f>
        <v>7517.2146937411762</v>
      </c>
      <c r="G34" s="15">
        <f>($D$4*$J$4*COS(RADIANS($A34)) - $B$4*G$9*$L$4 - $D$4*$L$4*SIN(RADIANS($A34)))/$F$4</f>
        <v>5624.0737169874874</v>
      </c>
      <c r="H34" s="16">
        <f>($D$4*$H$4*COS(RADIANS($A34)) + $D$4*G$9*$L$4/9.81 + $D$4*$L$4*SIN(RADIANS($A34)))/$F$4</f>
        <v>8001.9285933706651</v>
      </c>
      <c r="I34" s="15">
        <f>($D$4*$J$4*COS(RADIANS($A34)) - $B$4*I$9*$L$4 - $D$4*$L$4*SIN(RADIANS($A34)))/$F$4</f>
        <v>5139.1947989151977</v>
      </c>
      <c r="J34" s="16">
        <f>($D$4*$H$4*COS(RADIANS($A34)) + $D$4*I$9*$L$4/9.81 + $D$4*$L$4*SIN(RADIANS($A34)))/$F$4</f>
        <v>8486.642493000154</v>
      </c>
      <c r="K34" s="15">
        <f>($D$4*$J$4*COS(RADIANS($A34)) - $B$4*K$9*$L$4 - $D$4*$L$4*SIN(RADIANS($A34)))/$F$4</f>
        <v>4654.3158808429089</v>
      </c>
      <c r="L34" s="16">
        <f>($D$4*$H$4*COS(RADIANS($A34)) + $D$4*K$9*$L$4/9.81 + $D$4*$L$4*SIN(RADIANS($A34)))/$F$4</f>
        <v>8971.3563926296429</v>
      </c>
    </row>
    <row r="35" spans="1:12" ht="20.25" customHeight="1" x14ac:dyDescent="0.3">
      <c r="A35" s="106"/>
      <c r="B35" s="109"/>
      <c r="C35" s="29">
        <f>IF($J$7*C34&gt;($D$4*SIN(RADIANS($A34)) + $B$4*C$9)/2,($D$4*SIN(RADIANS($A34)) + $B$4*C$9)/2,"(SLIP) " &amp;TEXT($L$7*C34,"0.0"))</f>
        <v>3177.0315630424698</v>
      </c>
      <c r="D35" s="30">
        <f>IF($J$7*D34&gt;($D$4*SIN(RADIANS($A34)) + $B$4*C$9)/2,($D$4*SIN(RADIANS($A34)) + $B$4*C$9)/2,"(SLIP) " &amp;TEXT($L$7*D34,"0.0"))</f>
        <v>3177.0315630424698</v>
      </c>
      <c r="E35" s="29">
        <f>IF($J$7*E34&gt;($D$4*SIN(RADIANS($A34)) + $B$4*E$9)/2,($D$4*SIN(RADIANS($A34)) + $B$4*E$9)/2,"(SLIP) " &amp;TEXT($L$7*E34,"0.0"))</f>
        <v>4614.3512130424697</v>
      </c>
      <c r="F35" s="30">
        <f>IF($J$7*F34&gt;($D$4*SIN(RADIANS($A34)) + $B$4*E$9)/2,($D$4*SIN(RADIANS($A34)) + $B$4*E$9)/2,"(SLIP) " &amp;TEXT($L$7*F34,"0.0"))</f>
        <v>4614.3512130424697</v>
      </c>
      <c r="G35" s="29" t="str">
        <f>IF($J$7*G34&gt;($D$4*SIN(RADIANS($A34)) + $B$4*G$9)/2,($D$4*SIN(RADIANS($A34)) + $B$4*G$9)/2,"(SLIP) " &amp;TEXT($L$7*G34,"0.0"))</f>
        <v>(SLIP) 3936.9</v>
      </c>
      <c r="H35" s="30">
        <f>IF($J$7*H34&gt;($D$4*SIN(RADIANS($A34)) + $B$4*G$9)/2,($D$4*SIN(RADIANS($A34)) + $B$4*G$9)/2,"(SLIP) " &amp;TEXT($L$7*H34,"0.0"))</f>
        <v>6051.6708630424691</v>
      </c>
      <c r="I35" s="29" t="str">
        <f>IF($J$7*I34&gt;($D$4*SIN(RADIANS($A34)) + $B$4*I$9)/2,($D$4*SIN(RADIANS($A34)) + $B$4*I$9)/2,"(SLIP) " &amp;TEXT($L$7*I34,"0.0"))</f>
        <v>(SLIP) 3597.4</v>
      </c>
      <c r="J35" s="30">
        <f>IF($J$7*J34&gt;($D$4*SIN(RADIANS($A34)) + $B$4*I$9)/2,($D$4*SIN(RADIANS($A34)) + $B$4*I$9)/2,"(SLIP) " &amp;TEXT($L$7*J34,"0.0"))</f>
        <v>7488.9905130424704</v>
      </c>
      <c r="K35" s="29" t="str">
        <f>IF($J$7*K34&gt;($D$4*SIN(RADIANS($A34)) + $B$4*K$9)/2,($D$4*SIN(RADIANS($A34)) + $B$4*K$9)/2,"(SLIP) " &amp;TEXT($L$7*K34,"0.0"))</f>
        <v>(SLIP) 3258.0</v>
      </c>
      <c r="L35" s="30" t="str">
        <f>IF($J$7*L34&gt;($D$4*SIN(RADIANS($A34)) + $B$4*K$9)/2,($D$4*SIN(RADIANS($A34)) + $B$4*K$9)/2,"(SLIP) " &amp;TEXT($L$7*L34,"0.0"))</f>
        <v>(SLIP) 6279.9</v>
      </c>
    </row>
    <row r="36" spans="1:12" ht="20.25" customHeight="1" thickBot="1" x14ac:dyDescent="0.35">
      <c r="A36" s="107" t="s">
        <v>13</v>
      </c>
      <c r="B36" s="110"/>
      <c r="C36" s="103">
        <f>((D34)/(C34+D34))-(($D$13)/($C$13+$D$13))</f>
        <v>7.8654303785180457E-2</v>
      </c>
      <c r="D36" s="104"/>
      <c r="E36" s="103">
        <f>((F34)/(E34+F34))-(($D$13)/($C$13+$D$13))</f>
        <v>0.11423283833214148</v>
      </c>
      <c r="F36" s="104"/>
      <c r="G36" s="103">
        <f>((H34)/(G34+H34))-(($D$13)/($C$13+$D$13))</f>
        <v>0.14981223463066151</v>
      </c>
      <c r="H36" s="104"/>
      <c r="I36" s="103">
        <f>((J34)/(I34+J34))-(($D$13)/($C$13+$D$13))</f>
        <v>0.18539249271205005</v>
      </c>
      <c r="J36" s="104"/>
      <c r="K36" s="103">
        <f>((L34)/(K34+L34))-(($D$13)/($C$13+$D$13))</f>
        <v>0.22097361260761772</v>
      </c>
      <c r="L36" s="104"/>
    </row>
    <row r="38" spans="1:12" ht="20.25" customHeight="1" x14ac:dyDescent="0.3">
      <c r="A38" s="85" t="s">
        <v>24</v>
      </c>
      <c r="B38" s="81" t="s">
        <v>25</v>
      </c>
      <c r="C38" s="81"/>
      <c r="D38" s="81"/>
      <c r="E38" s="81"/>
      <c r="F38" s="81"/>
      <c r="G38" s="81"/>
      <c r="H38" s="81"/>
      <c r="I38" s="81"/>
      <c r="J38" s="81"/>
      <c r="K38" s="81"/>
      <c r="L38" s="81"/>
    </row>
    <row r="39" spans="1:12" ht="20.25" customHeight="1" x14ac:dyDescent="0.3">
      <c r="A39" s="85"/>
      <c r="B39" s="81"/>
      <c r="C39" s="81"/>
      <c r="D39" s="81"/>
      <c r="E39" s="81"/>
      <c r="F39" s="81"/>
      <c r="G39" s="81"/>
      <c r="H39" s="81"/>
      <c r="I39" s="81"/>
      <c r="J39" s="81"/>
      <c r="K39" s="81"/>
      <c r="L39" s="81"/>
    </row>
    <row r="41" spans="1:12" ht="20.25" customHeight="1" thickBot="1" x14ac:dyDescent="0.35">
      <c r="A41" s="99" t="s">
        <v>26</v>
      </c>
      <c r="B41" s="88"/>
      <c r="C41" s="88"/>
      <c r="D41" s="88"/>
      <c r="E41" s="88"/>
      <c r="F41" s="88"/>
      <c r="G41" s="88"/>
      <c r="H41" s="88"/>
      <c r="I41" s="88"/>
      <c r="J41" s="88"/>
      <c r="K41" s="88"/>
      <c r="L41" s="88"/>
    </row>
    <row r="42" spans="1:12" ht="20.25" customHeight="1" x14ac:dyDescent="0.3">
      <c r="A42" s="91" t="s">
        <v>34</v>
      </c>
      <c r="B42" s="92"/>
      <c r="C42" s="91" t="s">
        <v>35</v>
      </c>
      <c r="D42" s="92"/>
      <c r="E42" s="91" t="s">
        <v>36</v>
      </c>
      <c r="F42" s="92"/>
      <c r="G42" s="91" t="s">
        <v>39</v>
      </c>
      <c r="H42" s="100"/>
      <c r="I42" s="18" t="s">
        <v>37</v>
      </c>
      <c r="J42" s="19" t="s">
        <v>40</v>
      </c>
      <c r="K42" s="94" t="s">
        <v>38</v>
      </c>
      <c r="L42" s="92"/>
    </row>
    <row r="43" spans="1:12" ht="20.25" customHeight="1" x14ac:dyDescent="0.3">
      <c r="A43" s="1" t="s">
        <v>27</v>
      </c>
      <c r="B43" s="2" t="s">
        <v>28</v>
      </c>
      <c r="C43" s="1" t="s">
        <v>27</v>
      </c>
      <c r="D43" s="2" t="s">
        <v>28</v>
      </c>
      <c r="E43" s="1" t="s">
        <v>29</v>
      </c>
      <c r="F43" s="2" t="s">
        <v>30</v>
      </c>
      <c r="G43" s="1" t="s">
        <v>31</v>
      </c>
      <c r="H43" s="27" t="s">
        <v>32</v>
      </c>
      <c r="I43" s="1" t="s">
        <v>33</v>
      </c>
      <c r="J43" s="2" t="s">
        <v>15</v>
      </c>
      <c r="K43" s="95"/>
      <c r="L43" s="96"/>
    </row>
    <row r="44" spans="1:12" ht="20.25" customHeight="1" thickBot="1" x14ac:dyDescent="0.35">
      <c r="A44" s="72">
        <v>60</v>
      </c>
      <c r="B44" s="22">
        <f>0.44704*A44</f>
        <v>26.822399999999998</v>
      </c>
      <c r="C44" s="72">
        <v>0</v>
      </c>
      <c r="D44" s="22">
        <f>0.44704*C44</f>
        <v>0</v>
      </c>
      <c r="E44" s="72">
        <v>108.4</v>
      </c>
      <c r="F44" s="22">
        <f>0.3048*E44</f>
        <v>33.040320000000001</v>
      </c>
      <c r="G44" s="24">
        <f>3.28084*H44</f>
        <v>35.719558338597778</v>
      </c>
      <c r="H44" s="28">
        <f>-(D44*D44-B44*B44)/(2*F44)</f>
        <v>10.887321033210331</v>
      </c>
      <c r="I44" s="23">
        <f>(D44-B44)/(-H44)</f>
        <v>2.4636363636363638</v>
      </c>
      <c r="J44" s="11">
        <f>B4*H44</f>
        <v>16691.797820684278</v>
      </c>
      <c r="K44" s="97">
        <v>0.23</v>
      </c>
      <c r="L44" s="98"/>
    </row>
    <row r="46" spans="1:12" ht="20.25" customHeight="1" thickBot="1" x14ac:dyDescent="0.35">
      <c r="A46" s="86" t="s">
        <v>46</v>
      </c>
      <c r="B46" s="87"/>
      <c r="C46" s="87"/>
      <c r="D46" s="87"/>
      <c r="E46" s="87"/>
      <c r="F46" s="87"/>
      <c r="G46" s="87"/>
      <c r="H46" s="87"/>
      <c r="I46" s="88"/>
      <c r="J46" s="88"/>
      <c r="K46" s="87"/>
      <c r="L46" s="87"/>
    </row>
    <row r="47" spans="1:12" ht="20.25" customHeight="1" x14ac:dyDescent="0.3">
      <c r="A47" s="18" t="s">
        <v>34</v>
      </c>
      <c r="B47" s="19" t="s">
        <v>35</v>
      </c>
      <c r="C47" s="25" t="s">
        <v>42</v>
      </c>
      <c r="D47" s="33" t="s">
        <v>40</v>
      </c>
      <c r="E47" s="25" t="s">
        <v>41</v>
      </c>
      <c r="F47" s="89" t="s">
        <v>36</v>
      </c>
      <c r="G47" s="90"/>
      <c r="H47" s="38" t="s">
        <v>37</v>
      </c>
      <c r="I47" s="91" t="s">
        <v>50</v>
      </c>
      <c r="J47" s="92" t="s">
        <v>43</v>
      </c>
      <c r="K47" s="93" t="s">
        <v>49</v>
      </c>
      <c r="L47" s="90"/>
    </row>
    <row r="48" spans="1:12" ht="20.25" customHeight="1" thickBot="1" x14ac:dyDescent="0.35">
      <c r="A48" s="31" t="s">
        <v>28</v>
      </c>
      <c r="B48" s="32" t="s">
        <v>28</v>
      </c>
      <c r="C48" s="32" t="s">
        <v>28</v>
      </c>
      <c r="D48" s="34" t="s">
        <v>15</v>
      </c>
      <c r="E48" s="32" t="s">
        <v>15</v>
      </c>
      <c r="F48" s="31" t="s">
        <v>29</v>
      </c>
      <c r="G48" s="32" t="s">
        <v>30</v>
      </c>
      <c r="H48" s="39" t="s">
        <v>33</v>
      </c>
      <c r="I48" s="31" t="s">
        <v>47</v>
      </c>
      <c r="J48" s="32" t="s">
        <v>44</v>
      </c>
      <c r="K48" s="40" t="s">
        <v>48</v>
      </c>
      <c r="L48" s="32" t="s">
        <v>45</v>
      </c>
    </row>
    <row r="49" spans="1:12" ht="20.25" customHeight="1" x14ac:dyDescent="0.3">
      <c r="A49" s="75">
        <v>69.290000000000006</v>
      </c>
      <c r="B49" s="76">
        <v>0</v>
      </c>
      <c r="C49" s="47">
        <f>A49-B49</f>
        <v>69.290000000000006</v>
      </c>
      <c r="D49" s="50">
        <f>$J$44</f>
        <v>16691.797820684278</v>
      </c>
      <c r="E49" s="50">
        <f t="shared" ref="E49:E56" si="1">-(((B49*B49-A49*A49)/(2*G49))*$B$4)-D49</f>
        <v>546.2325752436227</v>
      </c>
      <c r="F49" s="15">
        <f>3.280839895*G49</f>
        <v>700.47172394998267</v>
      </c>
      <c r="G49" s="53">
        <f t="shared" ref="G49:G56" si="2">LN((D49 + $K$44*A49*A49)/(D49 + $K$44*B49*B49))*$B$4/(2*$K$44)</f>
        <v>213.50378146080871</v>
      </c>
      <c r="H49" s="47">
        <f t="shared" ref="H49:H56" si="3">(A49-B49)/((A49*A49-B49*B49)/(2*G49))</f>
        <v>6.1626145608546317</v>
      </c>
      <c r="I49" s="57">
        <f>2655223.72*J49</f>
        <v>2621136.1206064858</v>
      </c>
      <c r="J49" s="60">
        <f t="shared" ref="J49:J56" si="4">(D49/(2*((A49*A49-B49*B49)/(2*G49)))*(A49*A49-B49*B49))*0.000000277</f>
        <v>0.98716206128441997</v>
      </c>
      <c r="K49" s="57">
        <f>I49/H49</f>
        <v>425328.58330230968</v>
      </c>
      <c r="L49" s="60">
        <f>((D49/(2*((A49*A49-B49*B49)/(2*G49)))*(A49*A49-B49*B49))/H49)*0.00134102</f>
        <v>775.49488264900071</v>
      </c>
    </row>
    <row r="50" spans="1:12" ht="20.25" customHeight="1" x14ac:dyDescent="0.3">
      <c r="A50" s="77">
        <v>50</v>
      </c>
      <c r="B50" s="78">
        <v>0</v>
      </c>
      <c r="C50" s="48">
        <f t="shared" ref="C50:C56" si="5">A50-B50</f>
        <v>50</v>
      </c>
      <c r="D50" s="51">
        <f t="shared" ref="D50:D56" si="6">$J$44</f>
        <v>16691.797820684278</v>
      </c>
      <c r="E50" s="51">
        <f t="shared" si="1"/>
        <v>285.87718906691225</v>
      </c>
      <c r="F50" s="13">
        <f t="shared" ref="F50:F56" si="7">3.280839895*G50</f>
        <v>370.33854925200342</v>
      </c>
      <c r="G50" s="54">
        <f t="shared" si="2"/>
        <v>112.87918981246216</v>
      </c>
      <c r="H50" s="48">
        <f t="shared" si="3"/>
        <v>4.5151675924984866</v>
      </c>
      <c r="I50" s="58">
        <f t="shared" ref="I50:I56" si="8">2655223.72*J50</f>
        <v>1385791.4818082566</v>
      </c>
      <c r="J50" s="61">
        <f t="shared" si="4"/>
        <v>0.52191138221989686</v>
      </c>
      <c r="K50" s="58">
        <f t="shared" ref="K50:K56" si="9">I50/H50</f>
        <v>306919.16820775706</v>
      </c>
      <c r="L50" s="61">
        <f t="shared" ref="L50:L56" si="10">((D50/(2*((A50*A50-B50*B50)/(2*G50)))*(A50*A50-B50*B50))/H50)*0.00134102</f>
        <v>559.60086783735085</v>
      </c>
    </row>
    <row r="51" spans="1:12" ht="20.25" customHeight="1" x14ac:dyDescent="0.3">
      <c r="A51" s="77">
        <v>26.82</v>
      </c>
      <c r="B51" s="78">
        <v>0</v>
      </c>
      <c r="C51" s="48">
        <f t="shared" si="5"/>
        <v>26.82</v>
      </c>
      <c r="D51" s="51">
        <f t="shared" si="6"/>
        <v>16691.797820684278</v>
      </c>
      <c r="E51" s="51">
        <f t="shared" si="1"/>
        <v>82.584949998192315</v>
      </c>
      <c r="F51" s="13">
        <f t="shared" si="7"/>
        <v>107.84701431949955</v>
      </c>
      <c r="G51" s="54">
        <f t="shared" si="2"/>
        <v>32.87176996471495</v>
      </c>
      <c r="H51" s="48">
        <f t="shared" si="3"/>
        <v>2.4512878422606228</v>
      </c>
      <c r="I51" s="58">
        <f t="shared" si="8"/>
        <v>403559.05180348177</v>
      </c>
      <c r="J51" s="61">
        <f t="shared" si="4"/>
        <v>0.15198683589776071</v>
      </c>
      <c r="K51" s="58">
        <f t="shared" si="9"/>
        <v>164631.44182664089</v>
      </c>
      <c r="L51" s="61">
        <f t="shared" si="10"/>
        <v>300.16990550795498</v>
      </c>
    </row>
    <row r="52" spans="1:12" ht="20.25" customHeight="1" x14ac:dyDescent="0.3">
      <c r="A52" s="77">
        <v>50</v>
      </c>
      <c r="B52" s="78">
        <v>40</v>
      </c>
      <c r="C52" s="48">
        <f t="shared" si="5"/>
        <v>10</v>
      </c>
      <c r="D52" s="51">
        <f t="shared" si="6"/>
        <v>16691.797820684278</v>
      </c>
      <c r="E52" s="51">
        <f t="shared" si="1"/>
        <v>471.29195230043842</v>
      </c>
      <c r="F52" s="13">
        <f t="shared" si="7"/>
        <v>131.88158669220434</v>
      </c>
      <c r="G52" s="54">
        <f t="shared" si="2"/>
        <v>40.197507623944666</v>
      </c>
      <c r="H52" s="48">
        <f t="shared" si="3"/>
        <v>0.89327794719877041</v>
      </c>
      <c r="I52" s="58">
        <f t="shared" si="8"/>
        <v>493495.42415864288</v>
      </c>
      <c r="J52" s="61">
        <f t="shared" si="4"/>
        <v>0.18585832163274094</v>
      </c>
      <c r="K52" s="58">
        <f t="shared" si="9"/>
        <v>552454.5027739628</v>
      </c>
      <c r="L52" s="61">
        <f t="shared" si="10"/>
        <v>1007.2815621072316</v>
      </c>
    </row>
    <row r="53" spans="1:12" ht="20.25" customHeight="1" x14ac:dyDescent="0.3">
      <c r="A53" s="77">
        <v>40</v>
      </c>
      <c r="B53" s="78">
        <v>30</v>
      </c>
      <c r="C53" s="48">
        <f t="shared" si="5"/>
        <v>10</v>
      </c>
      <c r="D53" s="51">
        <f t="shared" si="6"/>
        <v>16691.797820684278</v>
      </c>
      <c r="E53" s="51">
        <f t="shared" si="1"/>
        <v>287.37278058823358</v>
      </c>
      <c r="F53" s="13">
        <f t="shared" si="7"/>
        <v>103.68565994898293</v>
      </c>
      <c r="G53" s="54">
        <f t="shared" si="2"/>
        <v>31.603389152576408</v>
      </c>
      <c r="H53" s="48">
        <f t="shared" si="3"/>
        <v>0.90295397578789749</v>
      </c>
      <c r="I53" s="58">
        <f t="shared" si="8"/>
        <v>387987.43645019212</v>
      </c>
      <c r="J53" s="61">
        <f t="shared" si="4"/>
        <v>0.14612231486474975</v>
      </c>
      <c r="K53" s="58">
        <f t="shared" si="9"/>
        <v>429686.83549085981</v>
      </c>
      <c r="L53" s="61">
        <f t="shared" si="10"/>
        <v>783.44121497229105</v>
      </c>
    </row>
    <row r="54" spans="1:12" ht="20.25" customHeight="1" x14ac:dyDescent="0.3">
      <c r="A54" s="77">
        <v>30</v>
      </c>
      <c r="B54" s="78">
        <v>20</v>
      </c>
      <c r="C54" s="48">
        <f t="shared" si="5"/>
        <v>10</v>
      </c>
      <c r="D54" s="51">
        <f t="shared" si="6"/>
        <v>16691.797820684278</v>
      </c>
      <c r="E54" s="51">
        <f t="shared" si="1"/>
        <v>149.43456046157735</v>
      </c>
      <c r="F54" s="13">
        <f t="shared" si="7"/>
        <v>74.667784286644434</v>
      </c>
      <c r="G54" s="54">
        <f t="shared" si="2"/>
        <v>22.758740650660258</v>
      </c>
      <c r="H54" s="48">
        <f t="shared" si="3"/>
        <v>0.91034962602641034</v>
      </c>
      <c r="I54" s="58">
        <f t="shared" si="8"/>
        <v>279403.74999826855</v>
      </c>
      <c r="J54" s="61">
        <f t="shared" si="4"/>
        <v>0.10522795043359605</v>
      </c>
      <c r="K54" s="58">
        <f t="shared" si="9"/>
        <v>306919.16820775706</v>
      </c>
      <c r="L54" s="61">
        <f t="shared" si="10"/>
        <v>559.60086783735073</v>
      </c>
    </row>
    <row r="55" spans="1:12" ht="20.25" customHeight="1" x14ac:dyDescent="0.3">
      <c r="A55" s="77">
        <v>20</v>
      </c>
      <c r="B55" s="78">
        <v>10</v>
      </c>
      <c r="C55" s="48">
        <f t="shared" si="5"/>
        <v>10</v>
      </c>
      <c r="D55" s="51">
        <f t="shared" si="6"/>
        <v>16691.797820684278</v>
      </c>
      <c r="E55" s="51">
        <f t="shared" si="1"/>
        <v>57.476312412876723</v>
      </c>
      <c r="F55" s="13">
        <f t="shared" si="7"/>
        <v>45.046638913329041</v>
      </c>
      <c r="G55" s="54">
        <f t="shared" si="2"/>
        <v>13.730215540837612</v>
      </c>
      <c r="H55" s="48">
        <f t="shared" si="3"/>
        <v>0.91534770272250754</v>
      </c>
      <c r="I55" s="58">
        <f t="shared" si="8"/>
        <v>168562.65332428398</v>
      </c>
      <c r="J55" s="61">
        <f t="shared" si="4"/>
        <v>6.3483408970255797E-2</v>
      </c>
      <c r="K55" s="58">
        <f t="shared" si="9"/>
        <v>184151.50092465425</v>
      </c>
      <c r="L55" s="61">
        <f t="shared" si="10"/>
        <v>335.76052070241047</v>
      </c>
    </row>
    <row r="56" spans="1:12" ht="20.25" customHeight="1" thickBot="1" x14ac:dyDescent="0.35">
      <c r="A56" s="79">
        <v>10</v>
      </c>
      <c r="B56" s="80">
        <v>0</v>
      </c>
      <c r="C56" s="49">
        <f t="shared" si="5"/>
        <v>10</v>
      </c>
      <c r="D56" s="52">
        <f t="shared" si="6"/>
        <v>16691.797820684278</v>
      </c>
      <c r="E56" s="52">
        <f t="shared" si="1"/>
        <v>11.497360800192837</v>
      </c>
      <c r="F56" s="55">
        <f t="shared" si="7"/>
        <v>15.0568794108432</v>
      </c>
      <c r="G56" s="56">
        <f t="shared" si="2"/>
        <v>4.5893368444433644</v>
      </c>
      <c r="H56" s="49">
        <f t="shared" si="3"/>
        <v>0.91786736888867293</v>
      </c>
      <c r="I56" s="59">
        <f t="shared" si="8"/>
        <v>56342.217876870804</v>
      </c>
      <c r="J56" s="62">
        <f t="shared" si="4"/>
        <v>2.1219386318555033E-2</v>
      </c>
      <c r="K56" s="59">
        <f t="shared" si="9"/>
        <v>61383.833641551413</v>
      </c>
      <c r="L56" s="62">
        <f t="shared" si="10"/>
        <v>111.92017356747016</v>
      </c>
    </row>
    <row r="58" spans="1:12" ht="20.25" customHeight="1" x14ac:dyDescent="0.3">
      <c r="A58" s="85" t="s">
        <v>24</v>
      </c>
      <c r="B58" s="81" t="s">
        <v>51</v>
      </c>
      <c r="C58" s="81"/>
      <c r="D58" s="81"/>
      <c r="E58" s="81"/>
      <c r="F58" s="81"/>
      <c r="G58" s="81"/>
      <c r="H58" s="81"/>
      <c r="I58" s="81"/>
      <c r="J58" s="81"/>
      <c r="K58" s="81"/>
      <c r="L58" s="81"/>
    </row>
    <row r="59" spans="1:12" ht="20.25" customHeight="1" x14ac:dyDescent="0.3">
      <c r="A59" s="85"/>
      <c r="B59" s="81"/>
      <c r="C59" s="81"/>
      <c r="D59" s="81"/>
      <c r="E59" s="81"/>
      <c r="F59" s="81"/>
      <c r="G59" s="81"/>
      <c r="H59" s="81"/>
      <c r="I59" s="81"/>
      <c r="J59" s="81"/>
      <c r="K59" s="81"/>
      <c r="L59" s="81"/>
    </row>
    <row r="61" spans="1:12" ht="20.25" customHeight="1" thickBot="1" x14ac:dyDescent="0.35">
      <c r="A61" s="86" t="s">
        <v>54</v>
      </c>
      <c r="B61" s="87"/>
      <c r="C61" s="87"/>
      <c r="D61" s="87"/>
      <c r="E61" s="87"/>
      <c r="F61" s="87"/>
      <c r="G61" s="87"/>
      <c r="H61" s="87"/>
      <c r="I61" s="88"/>
      <c r="J61" s="88"/>
      <c r="K61" s="87"/>
      <c r="L61" s="87"/>
    </row>
    <row r="62" spans="1:12" ht="20.25" customHeight="1" x14ac:dyDescent="0.3">
      <c r="A62" s="18" t="s">
        <v>4</v>
      </c>
      <c r="B62" s="18" t="s">
        <v>34</v>
      </c>
      <c r="C62" s="19" t="s">
        <v>35</v>
      </c>
      <c r="D62" s="33" t="s">
        <v>40</v>
      </c>
      <c r="E62" s="25" t="s">
        <v>41</v>
      </c>
      <c r="F62" s="89" t="s">
        <v>36</v>
      </c>
      <c r="G62" s="90"/>
      <c r="H62" s="38" t="s">
        <v>37</v>
      </c>
      <c r="I62" s="91" t="s">
        <v>50</v>
      </c>
      <c r="J62" s="92" t="s">
        <v>43</v>
      </c>
      <c r="K62" s="93" t="s">
        <v>49</v>
      </c>
      <c r="L62" s="90"/>
    </row>
    <row r="63" spans="1:12" ht="20.25" customHeight="1" thickBot="1" x14ac:dyDescent="0.35">
      <c r="A63" s="31" t="s">
        <v>6</v>
      </c>
      <c r="B63" s="35" t="s">
        <v>28</v>
      </c>
      <c r="C63" s="36" t="s">
        <v>28</v>
      </c>
      <c r="D63" s="37" t="s">
        <v>15</v>
      </c>
      <c r="E63" s="36" t="s">
        <v>15</v>
      </c>
      <c r="F63" s="35" t="s">
        <v>29</v>
      </c>
      <c r="G63" s="36" t="s">
        <v>30</v>
      </c>
      <c r="H63" s="63" t="s">
        <v>33</v>
      </c>
      <c r="I63" s="35" t="s">
        <v>47</v>
      </c>
      <c r="J63" s="36" t="s">
        <v>44</v>
      </c>
      <c r="K63" s="64" t="s">
        <v>48</v>
      </c>
      <c r="L63" s="36" t="s">
        <v>45</v>
      </c>
    </row>
    <row r="64" spans="1:12" ht="20.25" customHeight="1" x14ac:dyDescent="0.3">
      <c r="A64" s="82">
        <v>20</v>
      </c>
      <c r="B64" s="75">
        <v>69.290000000000006</v>
      </c>
      <c r="C64" s="42">
        <f>0</f>
        <v>0</v>
      </c>
      <c r="D64" s="50">
        <f>$J$44</f>
        <v>16691.797820684278</v>
      </c>
      <c r="E64" s="50">
        <f>-(((C64*C64-B64*B64)/(2*G64))*$B$4)-(D64 + $D$4*SIN(RADIANS(A64)))</f>
        <v>547.58706570846334</v>
      </c>
      <c r="F64" s="15">
        <f t="shared" ref="F64:F70" si="11">3.280839895*G64</f>
        <v>539.49327942866194</v>
      </c>
      <c r="G64" s="53">
        <f>LN(((D64 + $D$4*SIN(RADIANS(A64))) + $K$44*B64*B64)/((D64 + $D$4*SIN(RADIANS(A64))) + $K$44*C64*C64))*$B$4/(2*$K$44)</f>
        <v>164.4375515705139</v>
      </c>
      <c r="H64" s="47">
        <f t="shared" ref="H64:H90" si="12">(B64-C64)/((B64*B64-C64*C64)/(2*G64))</f>
        <v>4.7463573840529341</v>
      </c>
      <c r="I64" s="57">
        <f t="shared" ref="I64:I70" si="13">2655223.72*J64</f>
        <v>2018761.4620056914</v>
      </c>
      <c r="J64" s="60">
        <f t="shared" ref="J64:J90" si="14">(D64/(2*((B64*B64-C64*C64)/(2*G64)))*(B64*B64-C64*C64))*0.000000277</f>
        <v>0.76029806708931147</v>
      </c>
      <c r="K64" s="57">
        <f>I64/H64</f>
        <v>425328.58330230974</v>
      </c>
      <c r="L64" s="60">
        <f t="shared" ref="L64:L90" si="15">((D64/(2*((B64*B64-C64*C64)/(2*G64)))*(B64*B64-C64*C64))/H64)*0.00134102</f>
        <v>775.49488264900083</v>
      </c>
    </row>
    <row r="65" spans="1:12" ht="20.25" customHeight="1" x14ac:dyDescent="0.3">
      <c r="A65" s="83"/>
      <c r="B65" s="77">
        <v>50</v>
      </c>
      <c r="C65" s="44">
        <f>0</f>
        <v>0</v>
      </c>
      <c r="D65" s="65">
        <f t="shared" ref="D65:D90" si="16">$J$44</f>
        <v>16691.797820684278</v>
      </c>
      <c r="E65" s="65">
        <f>-(((C65*C65-B65*B65)/(2*G65))*$B$4)-(D65 + $D$4*SIN(RADIANS(A64)))</f>
        <v>286.25445883598513</v>
      </c>
      <c r="F65" s="17">
        <f t="shared" si="11"/>
        <v>284.24031092071266</v>
      </c>
      <c r="G65" s="67">
        <f>LN(((D65 + $D$4*SIN(RADIANS(A64))) + $K$44*B65*B65)/((D65 + $D$4*SIN(RADIANS(A64))) + $K$44*C65*C65))*$B$4/(2*$K$44)</f>
        <v>86.636446768979766</v>
      </c>
      <c r="H65" s="68">
        <f t="shared" si="12"/>
        <v>3.4654578707591908</v>
      </c>
      <c r="I65" s="69">
        <f t="shared" si="13"/>
        <v>1063615.4471524355</v>
      </c>
      <c r="J65" s="70">
        <f t="shared" si="14"/>
        <v>0.40057470078356916</v>
      </c>
      <c r="K65" s="69">
        <f t="shared" ref="K65:K66" si="17">I65/H65</f>
        <v>306919.168207757</v>
      </c>
      <c r="L65" s="70">
        <f t="shared" si="15"/>
        <v>559.60086783735073</v>
      </c>
    </row>
    <row r="66" spans="1:12" ht="20.25" customHeight="1" thickBot="1" x14ac:dyDescent="0.35">
      <c r="A66" s="84"/>
      <c r="B66" s="79">
        <v>26.82</v>
      </c>
      <c r="C66" s="46">
        <f>0</f>
        <v>0</v>
      </c>
      <c r="D66" s="66">
        <f t="shared" si="16"/>
        <v>16691.797820684278</v>
      </c>
      <c r="E66" s="66">
        <f>-(((C66*C66-B66*B66)/(2*G66))*$B$4)-(D66 + $D$4*SIN(RADIANS(A64)))</f>
        <v>82.616853921033908</v>
      </c>
      <c r="F66" s="24">
        <f t="shared" si="11"/>
        <v>82.54291436035578</v>
      </c>
      <c r="G66" s="22">
        <f>LN(((D66 + $D$4*SIN(RADIANS(A64))) + $K$44*B66*B66)/((D66 + $D$4*SIN(RADIANS(A64))) + $K$44*C66*C66))*$B$4/(2*$K$44)</f>
        <v>25.159080297137077</v>
      </c>
      <c r="H66" s="26">
        <f t="shared" si="12"/>
        <v>1.8761431988916539</v>
      </c>
      <c r="I66" s="23">
        <f t="shared" si="13"/>
        <v>308872.15990677924</v>
      </c>
      <c r="J66" s="21">
        <f t="shared" si="14"/>
        <v>0.11632622802374604</v>
      </c>
      <c r="K66" s="23">
        <f t="shared" si="17"/>
        <v>164631.44182664086</v>
      </c>
      <c r="L66" s="21">
        <f t="shared" si="15"/>
        <v>300.16990550795498</v>
      </c>
    </row>
    <row r="67" spans="1:12" ht="20.25" customHeight="1" x14ac:dyDescent="0.3">
      <c r="A67" s="82">
        <v>15</v>
      </c>
      <c r="B67" s="41">
        <f>$B$64</f>
        <v>69.290000000000006</v>
      </c>
      <c r="C67" s="42">
        <f>0</f>
        <v>0</v>
      </c>
      <c r="D67" s="50">
        <f>$J$44</f>
        <v>16691.797820684278</v>
      </c>
      <c r="E67" s="50">
        <f>-(((C67*C67-B67*B67)/(2*G67))*$B$4)-(D67 + $D$4*SIN(RADIANS(A67)))</f>
        <v>547.3182682750703</v>
      </c>
      <c r="F67" s="15">
        <f t="shared" si="11"/>
        <v>571.43826853029736</v>
      </c>
      <c r="G67" s="53">
        <f>LN(((D67 + $D$4*SIN(RADIANS(A67))) + $K$44*B67*B67)/((D67 + $D$4*SIN(RADIANS(A67))) + $K$44*C67*C67))*$B$4/(2*$K$44)</f>
        <v>174.17438424873131</v>
      </c>
      <c r="H67" s="47">
        <f t="shared" si="12"/>
        <v>5.0274032111049598</v>
      </c>
      <c r="I67" s="57">
        <f t="shared" si="13"/>
        <v>2138298.2854687553</v>
      </c>
      <c r="J67" s="60">
        <f t="shared" si="14"/>
        <v>0.80531755925589388</v>
      </c>
      <c r="K67" s="57">
        <f>I67/H67</f>
        <v>425328.58330230974</v>
      </c>
      <c r="L67" s="60">
        <f t="shared" si="15"/>
        <v>775.49488264900071</v>
      </c>
    </row>
    <row r="68" spans="1:12" ht="20.25" customHeight="1" x14ac:dyDescent="0.3">
      <c r="A68" s="83"/>
      <c r="B68" s="43">
        <f>$B$65</f>
        <v>50</v>
      </c>
      <c r="C68" s="44">
        <f>0</f>
        <v>0</v>
      </c>
      <c r="D68" s="65">
        <f t="shared" si="16"/>
        <v>16691.797820684278</v>
      </c>
      <c r="E68" s="65">
        <f>-(((C68*C68-B68*B68)/(2*G68))*$B$4)-(D68 + $D$4*SIN(RADIANS(A67)))</f>
        <v>286.17979722734526</v>
      </c>
      <c r="F68" s="17">
        <f t="shared" si="11"/>
        <v>301.27897756217294</v>
      </c>
      <c r="G68" s="67">
        <f>LN(((D68 + $D$4*SIN(RADIANS(A67))) + $K$44*B68*B68)/((D68 + $D$4*SIN(RADIANS(A67))) + $K$44*C68*C68))*$B$4/(2*$K$44)</f>
        <v>91.829832361317628</v>
      </c>
      <c r="H68" s="68">
        <f t="shared" si="12"/>
        <v>3.6731932944527048</v>
      </c>
      <c r="I68" s="69">
        <f t="shared" si="13"/>
        <v>1127373.4305997351</v>
      </c>
      <c r="J68" s="70">
        <f t="shared" si="14"/>
        <v>0.42458698380403703</v>
      </c>
      <c r="K68" s="69">
        <f t="shared" ref="K68:K69" si="18">I68/H68</f>
        <v>306919.16820775706</v>
      </c>
      <c r="L68" s="70">
        <f t="shared" si="15"/>
        <v>559.60086783735085</v>
      </c>
    </row>
    <row r="69" spans="1:12" ht="20.25" customHeight="1" thickBot="1" x14ac:dyDescent="0.35">
      <c r="A69" s="84"/>
      <c r="B69" s="45">
        <f>$B$66</f>
        <v>26.82</v>
      </c>
      <c r="C69" s="46">
        <f>0</f>
        <v>0</v>
      </c>
      <c r="D69" s="66">
        <f t="shared" si="16"/>
        <v>16691.797820684278</v>
      </c>
      <c r="E69" s="66">
        <f>-(((C69*C69-B69*B69)/(2*G69))*$B$4)-(D69 + $D$4*SIN(RADIANS(A67)))</f>
        <v>82.610554267863336</v>
      </c>
      <c r="F69" s="24">
        <f t="shared" si="11"/>
        <v>87.539382393525685</v>
      </c>
      <c r="G69" s="22">
        <f>LN(((D69 + $D$4*SIN(RADIANS(A67))) + $K$44*B69*B69)/((D69 + $D$4*SIN(RADIANS(A67))) + $K$44*C69*C69))*$B$4/(2*$K$44)</f>
        <v>26.682003753653355</v>
      </c>
      <c r="H69" s="26">
        <f t="shared" si="12"/>
        <v>1.9897094521740011</v>
      </c>
      <c r="I69" s="23">
        <f t="shared" si="13"/>
        <v>327568.73592750158</v>
      </c>
      <c r="J69" s="21">
        <f t="shared" si="14"/>
        <v>0.12336765955356166</v>
      </c>
      <c r="K69" s="23">
        <f t="shared" si="18"/>
        <v>164631.44182664089</v>
      </c>
      <c r="L69" s="21">
        <f t="shared" si="15"/>
        <v>300.16990550795498</v>
      </c>
    </row>
    <row r="70" spans="1:12" ht="20.25" customHeight="1" x14ac:dyDescent="0.3">
      <c r="A70" s="82">
        <v>10</v>
      </c>
      <c r="B70" s="41">
        <f t="shared" ref="B70" si="19">$B$64</f>
        <v>69.290000000000006</v>
      </c>
      <c r="C70" s="42">
        <f>0</f>
        <v>0</v>
      </c>
      <c r="D70" s="50">
        <f>$J$44</f>
        <v>16691.797820684278</v>
      </c>
      <c r="E70" s="50">
        <f>-(((C70*C70-B70*B70)/(2*G70))*$B$4)-(D70 + $D$4*SIN(RADIANS(A70)))</f>
        <v>547.00800368788987</v>
      </c>
      <c r="F70" s="15">
        <f t="shared" si="11"/>
        <v>608.31199227780803</v>
      </c>
      <c r="G70" s="53">
        <f>LN(((D70 + $D$4*SIN(RADIANS(A70))) + $K$44*B70*B70)/((D70 + $D$4*SIN(RADIANS(A70))) + $K$44*C70*C70))*$B$4/(2*$K$44)</f>
        <v>185.41349524701752</v>
      </c>
      <c r="H70" s="47">
        <f t="shared" si="12"/>
        <v>5.3518110909804451</v>
      </c>
      <c r="I70" s="57">
        <f t="shared" si="13"/>
        <v>2276278.2294283011</v>
      </c>
      <c r="J70" s="60">
        <f t="shared" si="14"/>
        <v>0.85728302752142516</v>
      </c>
      <c r="K70" s="57">
        <f>I70/H70</f>
        <v>425328.58330230968</v>
      </c>
      <c r="L70" s="60">
        <f t="shared" si="15"/>
        <v>775.49488264900071</v>
      </c>
    </row>
    <row r="71" spans="1:12" ht="20.25" customHeight="1" x14ac:dyDescent="0.3">
      <c r="A71" s="83"/>
      <c r="B71" s="43">
        <f t="shared" ref="B71" si="20">$B$65</f>
        <v>50</v>
      </c>
      <c r="C71" s="44">
        <f>0</f>
        <v>0</v>
      </c>
      <c r="D71" s="65">
        <f t="shared" si="16"/>
        <v>16691.797820684278</v>
      </c>
      <c r="E71" s="65">
        <f>-(((C71*C71-B71*B71)/(2*G71))*$B$4)-(D71 + $D$4*SIN(RADIANS(A70)))</f>
        <v>286.0934900829634</v>
      </c>
      <c r="F71" s="17">
        <f t="shared" ref="F71:F90" si="21">3.280839895*G71</f>
        <v>320.97538533798649</v>
      </c>
      <c r="G71" s="67">
        <f>LN(((D71 + $D$4*SIN(RADIANS(A70))) + $K$44*B71*B71)/((D71 + $D$4*SIN(RADIANS(A70))) + $K$44*C71*C71))*$B$4/(2*$K$44)</f>
        <v>97.833297451409607</v>
      </c>
      <c r="H71" s="68">
        <f t="shared" si="12"/>
        <v>3.9133318980563843</v>
      </c>
      <c r="I71" s="69">
        <f t="shared" ref="I71:I90" si="22">2655223.72*J71</f>
        <v>1201076.5710723486</v>
      </c>
      <c r="J71" s="70">
        <f t="shared" si="14"/>
        <v>0.45234477306957344</v>
      </c>
      <c r="K71" s="69">
        <f t="shared" ref="K71:K72" si="23">I71/H71</f>
        <v>306919.16820775706</v>
      </c>
      <c r="L71" s="70">
        <f t="shared" si="15"/>
        <v>559.60086783735085</v>
      </c>
    </row>
    <row r="72" spans="1:12" ht="20.25" customHeight="1" thickBot="1" x14ac:dyDescent="0.35">
      <c r="A72" s="84"/>
      <c r="B72" s="45">
        <f t="shared" ref="B72" si="24">$B$66</f>
        <v>26.82</v>
      </c>
      <c r="C72" s="46">
        <f>0</f>
        <v>0</v>
      </c>
      <c r="D72" s="66">
        <f t="shared" si="16"/>
        <v>16691.797820684278</v>
      </c>
      <c r="E72" s="66">
        <f>-(((C72*C72-B72*B72)/(2*G72))*$B$4)-(D72 + $D$4*SIN(RADIANS(A70)))</f>
        <v>82.603263330409391</v>
      </c>
      <c r="F72" s="24">
        <f t="shared" si="21"/>
        <v>93.322073461267252</v>
      </c>
      <c r="G72" s="22">
        <f>LN(((D72 + $D$4*SIN(RADIANS(A70))) + $K$44*B72*B72)/((D72 + $D$4*SIN(RADIANS(A70))) + $K$44*C72*C72))*$B$4/(2*$K$44)</f>
        <v>28.444567991108034</v>
      </c>
      <c r="H72" s="26">
        <f t="shared" si="12"/>
        <v>2.1211460097768855</v>
      </c>
      <c r="I72" s="23">
        <f t="shared" si="22"/>
        <v>349207.32591439481</v>
      </c>
      <c r="J72" s="21">
        <f t="shared" si="14"/>
        <v>0.13151710090718638</v>
      </c>
      <c r="K72" s="23">
        <f t="shared" si="23"/>
        <v>164631.44182664092</v>
      </c>
      <c r="L72" s="21">
        <f t="shared" si="15"/>
        <v>300.16990550795498</v>
      </c>
    </row>
    <row r="73" spans="1:12" ht="20.25" customHeight="1" x14ac:dyDescent="0.3">
      <c r="A73" s="82">
        <v>5</v>
      </c>
      <c r="B73" s="41">
        <f t="shared" ref="B73" si="25">$B$64</f>
        <v>69.290000000000006</v>
      </c>
      <c r="C73" s="42">
        <f>0</f>
        <v>0</v>
      </c>
      <c r="D73" s="50">
        <f>$J$44</f>
        <v>16691.797820684278</v>
      </c>
      <c r="E73" s="50">
        <f>-(((C73*C73-B73*B73)/(2*G73))*$B$4)-(D73 + $D$4*SIN(RADIANS(A73)))</f>
        <v>546.64906734713441</v>
      </c>
      <c r="F73" s="15">
        <f t="shared" ref="F73:F79" si="26">3.280839895*G73</f>
        <v>650.97102786849166</v>
      </c>
      <c r="G73" s="53">
        <f>LN(((D73 + $D$4*SIN(RADIANS(A73))) + $K$44*B73*B73)/((D73 + $D$4*SIN(RADIANS(A73))) + $K$44*C73*C73))*$B$4/(2*$K$44)</f>
        <v>198.4159692951099</v>
      </c>
      <c r="H73" s="47">
        <f t="shared" si="12"/>
        <v>5.727117023960453</v>
      </c>
      <c r="I73" s="57">
        <f t="shared" ref="I73:I79" si="27">2655223.72*J73</f>
        <v>2435906.5702076396</v>
      </c>
      <c r="J73" s="60">
        <f t="shared" si="14"/>
        <v>0.9174016305517334</v>
      </c>
      <c r="K73" s="57">
        <f>I73/H73</f>
        <v>425328.58330230974</v>
      </c>
      <c r="L73" s="60">
        <f t="shared" si="15"/>
        <v>775.49488264900071</v>
      </c>
    </row>
    <row r="74" spans="1:12" ht="20.25" customHeight="1" x14ac:dyDescent="0.3">
      <c r="A74" s="83"/>
      <c r="B74" s="43">
        <f t="shared" ref="B74" si="28">$B$65</f>
        <v>50</v>
      </c>
      <c r="C74" s="44">
        <f>0</f>
        <v>0</v>
      </c>
      <c r="D74" s="65">
        <f t="shared" si="16"/>
        <v>16691.797820684278</v>
      </c>
      <c r="E74" s="65">
        <f>-(((C74*C74-B74*B74)/(2*G74))*$B$4)-(D74 + $D$4*SIN(RADIANS(A73)))</f>
        <v>285.99347319710432</v>
      </c>
      <c r="F74" s="17">
        <f t="shared" si="26"/>
        <v>343.80066428084564</v>
      </c>
      <c r="G74" s="67">
        <f>LN(((D74 + $D$4*SIN(RADIANS(A73))) + $K$44*B74*B74)/((D74 + $D$4*SIN(RADIANS(A73))) + $K$44*C74*C74))*$B$4/(2*$K$44)</f>
        <v>104.79044247322091</v>
      </c>
      <c r="H74" s="68">
        <f t="shared" si="12"/>
        <v>4.1916176989288365</v>
      </c>
      <c r="I74" s="69">
        <f t="shared" si="27"/>
        <v>1286487.8176001508</v>
      </c>
      <c r="J74" s="70">
        <f t="shared" si="14"/>
        <v>0.48451202356694478</v>
      </c>
      <c r="K74" s="69">
        <f t="shared" ref="K74:K75" si="29">I74/H74</f>
        <v>306919.168207757</v>
      </c>
      <c r="L74" s="70">
        <f t="shared" si="15"/>
        <v>559.60086783735073</v>
      </c>
    </row>
    <row r="75" spans="1:12" ht="20.25" customHeight="1" thickBot="1" x14ac:dyDescent="0.35">
      <c r="A75" s="84"/>
      <c r="B75" s="45">
        <f t="shared" ref="B75" si="30">$B$66</f>
        <v>26.82</v>
      </c>
      <c r="C75" s="46">
        <f>0</f>
        <v>0</v>
      </c>
      <c r="D75" s="66">
        <f t="shared" si="16"/>
        <v>16691.797820684278</v>
      </c>
      <c r="E75" s="66">
        <f>-(((C75*C75-B75*B75)/(2*G75))*$B$4)-(D75 + $D$4*SIN(RADIANS(A73)))</f>
        <v>82.594802586638252</v>
      </c>
      <c r="F75" s="24">
        <f t="shared" si="26"/>
        <v>100.03258141194874</v>
      </c>
      <c r="G75" s="22">
        <f>LN(((D75 + $D$4*SIN(RADIANS(A73))) + $K$44*B75*B75)/((D75 + $D$4*SIN(RADIANS(A73))) + $K$44*C75*C75))*$B$4/(2*$K$44)</f>
        <v>30.489930814483934</v>
      </c>
      <c r="H75" s="26">
        <f t="shared" si="12"/>
        <v>2.2736712016766543</v>
      </c>
      <c r="I75" s="23">
        <f t="shared" si="27"/>
        <v>374317.76817173883</v>
      </c>
      <c r="J75" s="21">
        <f t="shared" si="14"/>
        <v>0.14097409771999883</v>
      </c>
      <c r="K75" s="23">
        <f t="shared" si="29"/>
        <v>164631.44182664092</v>
      </c>
      <c r="L75" s="21">
        <f t="shared" si="15"/>
        <v>300.16990550795498</v>
      </c>
    </row>
    <row r="76" spans="1:12" ht="20.25" customHeight="1" x14ac:dyDescent="0.3">
      <c r="A76" s="82">
        <v>0</v>
      </c>
      <c r="B76" s="41">
        <f t="shared" ref="B76" si="31">$B$64</f>
        <v>69.290000000000006</v>
      </c>
      <c r="C76" s="42">
        <f>0</f>
        <v>0</v>
      </c>
      <c r="D76" s="50">
        <f>$J$44</f>
        <v>16691.797820684278</v>
      </c>
      <c r="E76" s="50">
        <f>-(((C76*C76-B76*B76)/(2*G76))*$B$4)-(D76 + $D$4*SIN(RADIANS(A76)))</f>
        <v>546.2325752436227</v>
      </c>
      <c r="F76" s="15">
        <f t="shared" si="26"/>
        <v>700.47172394998267</v>
      </c>
      <c r="G76" s="53">
        <f>LN(((D76 + $D$4*SIN(RADIANS(A76))) + $K$44*B76*B76)/((D76 + $D$4*SIN(RADIANS(A76))) + $K$44*C76*C76))*$B$4/(2*$K$44)</f>
        <v>213.50378146080871</v>
      </c>
      <c r="H76" s="47">
        <f t="shared" si="12"/>
        <v>6.1626145608546317</v>
      </c>
      <c r="I76" s="57">
        <f t="shared" si="27"/>
        <v>2621136.1206064858</v>
      </c>
      <c r="J76" s="60">
        <f t="shared" si="14"/>
        <v>0.98716206128441997</v>
      </c>
      <c r="K76" s="57">
        <f>I76/H76</f>
        <v>425328.58330230968</v>
      </c>
      <c r="L76" s="60">
        <f t="shared" si="15"/>
        <v>775.49488264900071</v>
      </c>
    </row>
    <row r="77" spans="1:12" ht="20.25" customHeight="1" x14ac:dyDescent="0.3">
      <c r="A77" s="83"/>
      <c r="B77" s="43">
        <f t="shared" ref="B77" si="32">$B$65</f>
        <v>50</v>
      </c>
      <c r="C77" s="44">
        <f>0</f>
        <v>0</v>
      </c>
      <c r="D77" s="65">
        <f t="shared" si="16"/>
        <v>16691.797820684278</v>
      </c>
      <c r="E77" s="65">
        <f>-(((C77*C77-B77*B77)/(2*G77))*$B$4)-(D77 + $D$4*SIN(RADIANS(A76)))</f>
        <v>285.87718906691225</v>
      </c>
      <c r="F77" s="17">
        <f t="shared" si="26"/>
        <v>370.33854925200342</v>
      </c>
      <c r="G77" s="67">
        <f>LN(((D77 + $D$4*SIN(RADIANS(A76))) + $K$44*B77*B77)/((D77 + $D$4*SIN(RADIANS(A76))) + $K$44*C77*C77))*$B$4/(2*$K$44)</f>
        <v>112.87918981246216</v>
      </c>
      <c r="H77" s="68">
        <f t="shared" si="12"/>
        <v>4.5151675924984866</v>
      </c>
      <c r="I77" s="69">
        <f t="shared" si="27"/>
        <v>1385791.4818082566</v>
      </c>
      <c r="J77" s="70">
        <f t="shared" si="14"/>
        <v>0.52191138221989686</v>
      </c>
      <c r="K77" s="69">
        <f t="shared" ref="K77:K78" si="33">I77/H77</f>
        <v>306919.16820775706</v>
      </c>
      <c r="L77" s="70">
        <f t="shared" si="15"/>
        <v>559.60086783735085</v>
      </c>
    </row>
    <row r="78" spans="1:12" ht="20.25" customHeight="1" thickBot="1" x14ac:dyDescent="0.35">
      <c r="A78" s="84"/>
      <c r="B78" s="45">
        <f t="shared" ref="B78" si="34">$B$66</f>
        <v>26.82</v>
      </c>
      <c r="C78" s="46">
        <f>0</f>
        <v>0</v>
      </c>
      <c r="D78" s="66">
        <f t="shared" si="16"/>
        <v>16691.797820684278</v>
      </c>
      <c r="E78" s="66">
        <f>-(((C78*C78-B78*B78)/(2*G78))*$B$4)-(D78 + $D$4*SIN(RADIANS(A76)))</f>
        <v>82.584949998192315</v>
      </c>
      <c r="F78" s="24">
        <f t="shared" si="26"/>
        <v>107.84701431949955</v>
      </c>
      <c r="G78" s="22">
        <f>LN(((D78 + $D$4*SIN(RADIANS(A76))) + $K$44*B78*B78)/((D78 + $D$4*SIN(RADIANS(A76))) + $K$44*C78*C78))*$B$4/(2*$K$44)</f>
        <v>32.87176996471495</v>
      </c>
      <c r="H78" s="26">
        <f t="shared" si="12"/>
        <v>2.4512878422606228</v>
      </c>
      <c r="I78" s="23">
        <f t="shared" si="27"/>
        <v>403559.05180348177</v>
      </c>
      <c r="J78" s="21">
        <f t="shared" si="14"/>
        <v>0.15198683589776071</v>
      </c>
      <c r="K78" s="23">
        <f t="shared" si="33"/>
        <v>164631.44182664089</v>
      </c>
      <c r="L78" s="21">
        <f t="shared" si="15"/>
        <v>300.16990550795498</v>
      </c>
    </row>
    <row r="79" spans="1:12" ht="20.25" customHeight="1" x14ac:dyDescent="0.3">
      <c r="A79" s="82">
        <v>-5</v>
      </c>
      <c r="B79" s="41">
        <f t="shared" ref="B79" si="35">$B$64</f>
        <v>69.290000000000006</v>
      </c>
      <c r="C79" s="42">
        <f>0</f>
        <v>0</v>
      </c>
      <c r="D79" s="50">
        <f>$J$44</f>
        <v>16691.797820684278</v>
      </c>
      <c r="E79" s="50">
        <f>-(((C79*C79-B79*B79)/(2*G79))*$B$4)-(D79 + $D$4*SIN(RADIANS(A79)))</f>
        <v>545.74751679367364</v>
      </c>
      <c r="F79" s="15">
        <f t="shared" si="26"/>
        <v>758.12344691850581</v>
      </c>
      <c r="G79" s="53">
        <f>LN(((D79 + $D$4*SIN(RADIANS(A79))) + $K$44*B79*B79)/((D79 + $D$4*SIN(RADIANS(A79))) + $K$44*C79*C79))*$B$4/(2*$K$44)</f>
        <v>231.07602662168486</v>
      </c>
      <c r="H79" s="47">
        <f t="shared" si="12"/>
        <v>6.669823253620577</v>
      </c>
      <c r="I79" s="57">
        <f t="shared" si="27"/>
        <v>2836866.4753392418</v>
      </c>
      <c r="J79" s="60">
        <f t="shared" si="14"/>
        <v>1.0684095859686134</v>
      </c>
      <c r="K79" s="57">
        <f>I79/H79</f>
        <v>425328.58330230968</v>
      </c>
      <c r="L79" s="60">
        <f t="shared" si="15"/>
        <v>775.49488264900071</v>
      </c>
    </row>
    <row r="80" spans="1:12" ht="20.25" customHeight="1" x14ac:dyDescent="0.3">
      <c r="A80" s="83"/>
      <c r="B80" s="43">
        <f t="shared" ref="B80" si="36">$B$65</f>
        <v>50</v>
      </c>
      <c r="C80" s="44">
        <f>0</f>
        <v>0</v>
      </c>
      <c r="D80" s="65">
        <f t="shared" si="16"/>
        <v>16691.797820684278</v>
      </c>
      <c r="E80" s="65">
        <f>-(((C80*C80-B80*B80)/(2*G80))*$B$4)-(D80 + $D$4*SIN(RADIANS(A79)))</f>
        <v>285.74145047244383</v>
      </c>
      <c r="F80" s="17">
        <f t="shared" si="21"/>
        <v>401.31652890310875</v>
      </c>
      <c r="G80" s="67">
        <f>LN(((D80 + $D$4*SIN(RADIANS(A79))) + $K$44*B80*B80)/((D80 + $D$4*SIN(RADIANS(A79))) + $K$44*C80*C80))*$B$4/(2*$K$44)</f>
        <v>122.32127801015683</v>
      </c>
      <c r="H80" s="68">
        <f t="shared" si="12"/>
        <v>4.8928511204062728</v>
      </c>
      <c r="I80" s="69">
        <f t="shared" si="22"/>
        <v>1501709.7960394856</v>
      </c>
      <c r="J80" s="70">
        <f t="shared" si="14"/>
        <v>0.56556808555457072</v>
      </c>
      <c r="K80" s="69">
        <f t="shared" ref="K80:K81" si="37">I80/H80</f>
        <v>306919.16820775712</v>
      </c>
      <c r="L80" s="70">
        <f t="shared" si="15"/>
        <v>559.60086783735085</v>
      </c>
    </row>
    <row r="81" spans="1:12" ht="20.25" customHeight="1" thickBot="1" x14ac:dyDescent="0.35">
      <c r="A81" s="84"/>
      <c r="B81" s="45">
        <f t="shared" ref="B81" si="38">$B$66</f>
        <v>26.82</v>
      </c>
      <c r="C81" s="46">
        <f>0</f>
        <v>0</v>
      </c>
      <c r="D81" s="66">
        <f t="shared" si="16"/>
        <v>16691.797820684278</v>
      </c>
      <c r="E81" s="66">
        <f>-(((C81*C81-B81*B81)/(2*G81))*$B$4)-(D81 + $D$4*SIN(RADIANS(A79)))</f>
        <v>82.573427614343018</v>
      </c>
      <c r="F81" s="24">
        <f t="shared" si="21"/>
        <v>116.98582740840804</v>
      </c>
      <c r="G81" s="22">
        <f>LN(((D81 + $D$4*SIN(RADIANS(A79))) + $K$44*B81*B81)/((D81 + $D$4*SIN(RADIANS(A79))) + $K$44*C81*C81))*$B$4/(2*$K$44)</f>
        <v>35.6572801942254</v>
      </c>
      <c r="H81" s="26">
        <f t="shared" si="12"/>
        <v>2.6590067258930201</v>
      </c>
      <c r="I81" s="23">
        <f t="shared" si="22"/>
        <v>437756.11111050361</v>
      </c>
      <c r="J81" s="21">
        <f t="shared" si="14"/>
        <v>0.16486599897898757</v>
      </c>
      <c r="K81" s="23">
        <f t="shared" si="37"/>
        <v>164631.44182664089</v>
      </c>
      <c r="L81" s="21">
        <f t="shared" si="15"/>
        <v>300.16990550795498</v>
      </c>
    </row>
    <row r="82" spans="1:12" ht="20.25" customHeight="1" x14ac:dyDescent="0.3">
      <c r="A82" s="82">
        <v>-10</v>
      </c>
      <c r="B82" s="41">
        <f t="shared" ref="B82" si="39">$B$64</f>
        <v>69.290000000000006</v>
      </c>
      <c r="C82" s="42">
        <f>0</f>
        <v>0</v>
      </c>
      <c r="D82" s="50">
        <f>$J$44</f>
        <v>16691.797820684278</v>
      </c>
      <c r="E82" s="50">
        <f>-(((C82*C82-B82*B82)/(2*G82))*$B$4)-(D82 + $D$4*SIN(RADIANS(A82)))</f>
        <v>545.18017553792197</v>
      </c>
      <c r="F82" s="15">
        <f>3.280839895*G82</f>
        <v>825.55759506092875</v>
      </c>
      <c r="G82" s="53">
        <f>LN(((D82 + $D$4*SIN(RADIANS(A82))) + $K$44*B82*B82)/((D82 + $D$4*SIN(RADIANS(A82))) + $K$44*C82*C82))*$B$4/(2*$K$44)</f>
        <v>251.62995497557759</v>
      </c>
      <c r="H82" s="47">
        <f t="shared" si="12"/>
        <v>7.2630958284190381</v>
      </c>
      <c r="I82" s="57">
        <f>2655223.72*J82</f>
        <v>3089202.2590903849</v>
      </c>
      <c r="J82" s="60">
        <f t="shared" si="14"/>
        <v>1.1634433045402233</v>
      </c>
      <c r="K82" s="57">
        <f>I82/H82</f>
        <v>425328.58330230968</v>
      </c>
      <c r="L82" s="60">
        <f t="shared" si="15"/>
        <v>775.49488264900071</v>
      </c>
    </row>
    <row r="83" spans="1:12" ht="20.25" customHeight="1" x14ac:dyDescent="0.3">
      <c r="A83" s="83"/>
      <c r="B83" s="43">
        <f t="shared" ref="B83" si="40">$B$65</f>
        <v>50</v>
      </c>
      <c r="C83" s="44">
        <f>0</f>
        <v>0</v>
      </c>
      <c r="D83" s="65">
        <f t="shared" si="16"/>
        <v>16691.797820684278</v>
      </c>
      <c r="E83" s="65">
        <f>-(((C83*C83-B83*B83)/(2*G83))*$B$4)-(D83 + $D$4*SIN(RADIANS(A82)))</f>
        <v>285.5822613056298</v>
      </c>
      <c r="F83" s="17">
        <f t="shared" si="21"/>
        <v>437.64676158067181</v>
      </c>
      <c r="G83" s="67">
        <f>LN(((D83 + $D$4*SIN(RADIANS(A82))) + $K$44*B83*B83)/((D83 + $D$4*SIN(RADIANS(A82))) + $K$44*C83*C83))*$B$4/(2*$K$44)</f>
        <v>133.39473293032233</v>
      </c>
      <c r="H83" s="68">
        <f t="shared" si="12"/>
        <v>5.3357893172128934</v>
      </c>
      <c r="I83" s="69">
        <f t="shared" si="22"/>
        <v>1637656.0189708171</v>
      </c>
      <c r="J83" s="70">
        <f t="shared" si="14"/>
        <v>0.61676762173954103</v>
      </c>
      <c r="K83" s="69">
        <f t="shared" ref="K83:K84" si="41">I83/H83</f>
        <v>306919.16820775706</v>
      </c>
      <c r="L83" s="70">
        <f t="shared" si="15"/>
        <v>559.60086783735085</v>
      </c>
    </row>
    <row r="84" spans="1:12" ht="20.25" customHeight="1" thickBot="1" x14ac:dyDescent="0.35">
      <c r="A84" s="84"/>
      <c r="B84" s="45">
        <f t="shared" ref="B84" si="42">$B$66</f>
        <v>26.82</v>
      </c>
      <c r="C84" s="46">
        <f>0</f>
        <v>0</v>
      </c>
      <c r="D84" s="66">
        <f t="shared" si="16"/>
        <v>16691.797820684278</v>
      </c>
      <c r="E84" s="66">
        <f>-(((C84*C84-B84*B84)/(2*G84))*$B$4)-(D84 + $D$4*SIN(RADIANS(A82)))</f>
        <v>82.559885112053962</v>
      </c>
      <c r="F84" s="24">
        <f t="shared" si="21"/>
        <v>127.7268786061538</v>
      </c>
      <c r="G84" s="22">
        <f>LN(((D84 + $D$4*SIN(RADIANS(A82))) + $K$44*B84*B84)/((D84 + $D$4*SIN(RADIANS(A82))) + $K$44*C84*C84))*$B$4/(2*$K$44)</f>
        <v>38.931152599311403</v>
      </c>
      <c r="H84" s="26">
        <f t="shared" si="12"/>
        <v>2.9031433705675918</v>
      </c>
      <c r="I84" s="23">
        <f t="shared" si="22"/>
        <v>477948.67892599659</v>
      </c>
      <c r="J84" s="21">
        <f t="shared" si="14"/>
        <v>0.18000316708755396</v>
      </c>
      <c r="K84" s="23">
        <f t="shared" si="41"/>
        <v>164631.44182664086</v>
      </c>
      <c r="L84" s="21">
        <f t="shared" si="15"/>
        <v>300.16990550795498</v>
      </c>
    </row>
    <row r="85" spans="1:12" ht="20.25" customHeight="1" x14ac:dyDescent="0.3">
      <c r="A85" s="82">
        <v>-15</v>
      </c>
      <c r="B85" s="41">
        <f t="shared" ref="B85" si="43">$B$64</f>
        <v>69.290000000000006</v>
      </c>
      <c r="C85" s="42">
        <f>0</f>
        <v>0</v>
      </c>
      <c r="D85" s="50">
        <f>$J$44</f>
        <v>16691.797820684278</v>
      </c>
      <c r="E85" s="50">
        <f>-(((C85*C85-B85*B85)/(2*G85))*$B$4)-(D85 + $D$4*SIN(RADIANS(A85)))</f>
        <v>544.51338006243896</v>
      </c>
      <c r="F85" s="15">
        <f>3.280839895*G85</f>
        <v>904.81689809642944</v>
      </c>
      <c r="G85" s="53">
        <f>LN(((D85 + $D$4*SIN(RADIANS(A85))) + $K$44*B85*B85)/((D85 + $D$4*SIN(RADIANS(A85))) + $K$44*C85*C85))*$B$4/(2*$K$44)</f>
        <v>275.78819054089485</v>
      </c>
      <c r="H85" s="47">
        <f t="shared" si="12"/>
        <v>7.9604038256860967</v>
      </c>
      <c r="I85" s="57">
        <f>2655223.72*J85</f>
        <v>3385787.2816933542</v>
      </c>
      <c r="J85" s="60">
        <f t="shared" si="14"/>
        <v>1.2751419988419483</v>
      </c>
      <c r="K85" s="57">
        <f>I85/H85</f>
        <v>425328.58330230974</v>
      </c>
      <c r="L85" s="60">
        <f t="shared" si="15"/>
        <v>775.49488264900071</v>
      </c>
    </row>
    <row r="86" spans="1:12" ht="20.25" customHeight="1" x14ac:dyDescent="0.3">
      <c r="A86" s="83"/>
      <c r="B86" s="43">
        <f t="shared" ref="B86" si="44">$B$65</f>
        <v>50</v>
      </c>
      <c r="C86" s="44">
        <f>0</f>
        <v>0</v>
      </c>
      <c r="D86" s="65">
        <f t="shared" si="16"/>
        <v>16691.797820684278</v>
      </c>
      <c r="E86" s="65">
        <f>-(((C86*C86-B86*B86)/(2*G86))*$B$4)-(D86 + $D$4*SIN(RADIANS(A85)))</f>
        <v>285.39458096325325</v>
      </c>
      <c r="F86" s="17">
        <f t="shared" si="21"/>
        <v>480.47988841980293</v>
      </c>
      <c r="G86" s="67">
        <f>LN(((D86 + $D$4*SIN(RADIANS(A85))) + $K$44*B86*B86)/((D86 + $D$4*SIN(RADIANS(A85))) + $K$44*C86*C86))*$B$4/(2*$K$44)</f>
        <v>146.45026999094173</v>
      </c>
      <c r="H86" s="68">
        <f t="shared" si="12"/>
        <v>5.85801079963767</v>
      </c>
      <c r="I86" s="69">
        <f t="shared" si="22"/>
        <v>1797935.8019768514</v>
      </c>
      <c r="J86" s="70">
        <f t="shared" si="14"/>
        <v>0.67713156840013888</v>
      </c>
      <c r="K86" s="69">
        <f t="shared" ref="K86:K87" si="45">I86/H86</f>
        <v>306919.16820775706</v>
      </c>
      <c r="L86" s="70">
        <f t="shared" si="15"/>
        <v>559.60086783735073</v>
      </c>
    </row>
    <row r="87" spans="1:12" ht="20.25" customHeight="1" thickBot="1" x14ac:dyDescent="0.35">
      <c r="A87" s="84"/>
      <c r="B87" s="45">
        <f t="shared" ref="B87" si="46">$B$66</f>
        <v>26.82</v>
      </c>
      <c r="C87" s="46">
        <f>0</f>
        <v>0</v>
      </c>
      <c r="D87" s="66">
        <f t="shared" si="16"/>
        <v>16691.797820684278</v>
      </c>
      <c r="E87" s="66">
        <f>-(((C87*C87-B87*B87)/(2*G87))*$B$4)-(D87 + $D$4*SIN(RADIANS(A85)))</f>
        <v>82.543877864109163</v>
      </c>
      <c r="F87" s="24">
        <f t="shared" si="21"/>
        <v>140.42282546490756</v>
      </c>
      <c r="G87" s="22">
        <f>LN(((D87 + $D$4*SIN(RADIANS(A85))) + $K$44*B87*B87)/((D87 + $D$4*SIN(RADIANS(A85))) + $K$44*C87*C87))*$B$4/(2*$K$44)</f>
        <v>42.800877201875025</v>
      </c>
      <c r="H87" s="26">
        <f t="shared" si="12"/>
        <v>3.191713437872858</v>
      </c>
      <c r="I87" s="23">
        <f t="shared" si="22"/>
        <v>525456.38517447328</v>
      </c>
      <c r="J87" s="21">
        <f t="shared" si="14"/>
        <v>0.19789533409805229</v>
      </c>
      <c r="K87" s="23">
        <f t="shared" si="45"/>
        <v>164631.44182664083</v>
      </c>
      <c r="L87" s="21">
        <f t="shared" si="15"/>
        <v>300.16990550795492</v>
      </c>
    </row>
    <row r="88" spans="1:12" ht="20.25" customHeight="1" x14ac:dyDescent="0.3">
      <c r="A88" s="82">
        <v>-20</v>
      </c>
      <c r="B88" s="41">
        <f t="shared" ref="B88" si="47">$B$64</f>
        <v>69.290000000000006</v>
      </c>
      <c r="C88" s="42">
        <f>0</f>
        <v>0</v>
      </c>
      <c r="D88" s="50">
        <f>$J$44</f>
        <v>16691.797820684278</v>
      </c>
      <c r="E88" s="50">
        <f>-(((C88*C88-B88*B88)/(2*G88))*$B$4)-(D88 + $D$4*SIN(RADIANS(A88)))</f>
        <v>543.72554160209256</v>
      </c>
      <c r="F88" s="15">
        <f>3.280839895*G88</f>
        <v>998.47025335149408</v>
      </c>
      <c r="G88" s="53">
        <f>LN(((D88 + $D$4*SIN(RADIANS(A88))) + $K$44*B88*B88)/((D88 + $D$4*SIN(RADIANS(A88))) + $K$44*C88*C88))*$B$4/(2*$K$44)</f>
        <v>304.3337332227527</v>
      </c>
      <c r="H88" s="47">
        <f t="shared" si="12"/>
        <v>8.7843479065594661</v>
      </c>
      <c r="I88" s="57">
        <f>2655223.72*J88</f>
        <v>3736234.2503315485</v>
      </c>
      <c r="J88" s="60">
        <f t="shared" si="14"/>
        <v>1.4071259691562066</v>
      </c>
      <c r="K88" s="57">
        <f>I88/H88</f>
        <v>425328.58330230979</v>
      </c>
      <c r="L88" s="60">
        <f t="shared" si="15"/>
        <v>775.49488264900083</v>
      </c>
    </row>
    <row r="89" spans="1:12" ht="20.25" customHeight="1" x14ac:dyDescent="0.3">
      <c r="A89" s="83"/>
      <c r="B89" s="43">
        <f t="shared" ref="B89" si="48">$B$65</f>
        <v>50</v>
      </c>
      <c r="C89" s="44">
        <f>0</f>
        <v>0</v>
      </c>
      <c r="D89" s="65">
        <f t="shared" si="16"/>
        <v>16691.797820684278</v>
      </c>
      <c r="E89" s="65">
        <f>-(((C89*C89-B89*B89)/(2*G89))*$B$4)-(D89 + $D$4*SIN(RADIANS(A88)))</f>
        <v>285.17201518932779</v>
      </c>
      <c r="F89" s="17">
        <f t="shared" si="21"/>
        <v>531.2756629215786</v>
      </c>
      <c r="G89" s="67">
        <f>LN(((D89 + $D$4*SIN(RADIANS(A88))) + $K$44*B89*B89)/((D89 + $D$4*SIN(RADIANS(A88))) + $K$44*C89*C89))*$B$4/(2*$K$44)</f>
        <v>161.93282205914488</v>
      </c>
      <c r="H89" s="68">
        <f t="shared" si="12"/>
        <v>6.4773128823657959</v>
      </c>
      <c r="I89" s="69">
        <f t="shared" si="22"/>
        <v>1988011.4820770994</v>
      </c>
      <c r="J89" s="70">
        <f t="shared" si="14"/>
        <v>0.74871712959731285</v>
      </c>
      <c r="K89" s="69">
        <f t="shared" ref="K89:K90" si="49">I89/H89</f>
        <v>306919.16820775706</v>
      </c>
      <c r="L89" s="70">
        <f t="shared" si="15"/>
        <v>559.60086783735073</v>
      </c>
    </row>
    <row r="90" spans="1:12" ht="20.25" customHeight="1" thickBot="1" x14ac:dyDescent="0.35">
      <c r="A90" s="84"/>
      <c r="B90" s="45">
        <f t="shared" ref="B90" si="50">$B$66</f>
        <v>26.82</v>
      </c>
      <c r="C90" s="46">
        <f>0</f>
        <v>0</v>
      </c>
      <c r="D90" s="66">
        <f t="shared" si="16"/>
        <v>16691.797820684278</v>
      </c>
      <c r="E90" s="66">
        <f>-(((C90*C90-B90*B90)/(2*G90))*$B$4)-(D90 + $D$4*SIN(RADIANS(A88)))</f>
        <v>82.524837678382028</v>
      </c>
      <c r="F90" s="24">
        <f t="shared" si="21"/>
        <v>155.52433340908789</v>
      </c>
      <c r="G90" s="22">
        <f>LN(((D90 + $D$4*SIN(RADIANS(A88))) + $K$44*B90*B90)/((D90 + $D$4*SIN(RADIANS(A88))) + $K$44*C90*C90))*$B$4/(2*$K$44)</f>
        <v>47.403816823279598</v>
      </c>
      <c r="H90" s="26">
        <f t="shared" si="12"/>
        <v>3.5349602403638776</v>
      </c>
      <c r="I90" s="23">
        <f t="shared" si="22"/>
        <v>581965.60117095418</v>
      </c>
      <c r="J90" s="21">
        <f t="shared" si="14"/>
        <v>0.21917761459699303</v>
      </c>
      <c r="K90" s="23">
        <f t="shared" si="49"/>
        <v>164631.44182664089</v>
      </c>
      <c r="L90" s="21">
        <f t="shared" si="15"/>
        <v>300.16990550795498</v>
      </c>
    </row>
    <row r="92" spans="1:12" ht="20.25" customHeight="1" x14ac:dyDescent="0.3">
      <c r="A92" s="85" t="s">
        <v>24</v>
      </c>
      <c r="B92" s="81" t="s">
        <v>53</v>
      </c>
      <c r="C92" s="81"/>
      <c r="D92" s="81"/>
      <c r="E92" s="81"/>
      <c r="F92" s="81"/>
      <c r="G92" s="81"/>
      <c r="H92" s="81"/>
      <c r="I92" s="81"/>
      <c r="J92" s="81"/>
      <c r="K92" s="81"/>
      <c r="L92" s="81"/>
    </row>
    <row r="93" spans="1:12" ht="20.25" customHeight="1" x14ac:dyDescent="0.3">
      <c r="A93" s="85"/>
      <c r="B93" s="81"/>
      <c r="C93" s="81"/>
      <c r="D93" s="81"/>
      <c r="E93" s="81"/>
      <c r="F93" s="81"/>
      <c r="G93" s="81"/>
      <c r="H93" s="81"/>
      <c r="I93" s="81"/>
      <c r="J93" s="81"/>
      <c r="K93" s="81"/>
      <c r="L93" s="81"/>
    </row>
  </sheetData>
  <mergeCells count="109">
    <mergeCell ref="B38:L39"/>
    <mergeCell ref="A38:A39"/>
    <mergeCell ref="K15:L15"/>
    <mergeCell ref="K9:L9"/>
    <mergeCell ref="C9:D9"/>
    <mergeCell ref="E9:F9"/>
    <mergeCell ref="G9:H9"/>
    <mergeCell ref="I9:J9"/>
    <mergeCell ref="C15:D15"/>
    <mergeCell ref="E15:F15"/>
    <mergeCell ref="G15:H15"/>
    <mergeCell ref="I15:J15"/>
    <mergeCell ref="C30:D30"/>
    <mergeCell ref="E18:F18"/>
    <mergeCell ref="A34:A36"/>
    <mergeCell ref="B34:B36"/>
    <mergeCell ref="G27:H27"/>
    <mergeCell ref="E33:F33"/>
    <mergeCell ref="G33:H33"/>
    <mergeCell ref="E30:F30"/>
    <mergeCell ref="G30:H30"/>
    <mergeCell ref="I30:J30"/>
    <mergeCell ref="C36:D36"/>
    <mergeCell ref="C33:D33"/>
    <mergeCell ref="I18:J18"/>
    <mergeCell ref="E24:F24"/>
    <mergeCell ref="G24:H24"/>
    <mergeCell ref="I24:J24"/>
    <mergeCell ref="C27:D27"/>
    <mergeCell ref="E27:F27"/>
    <mergeCell ref="I33:J33"/>
    <mergeCell ref="C24:D24"/>
    <mergeCell ref="K18:L18"/>
    <mergeCell ref="C21:D21"/>
    <mergeCell ref="E21:F21"/>
    <mergeCell ref="G21:H21"/>
    <mergeCell ref="I21:J21"/>
    <mergeCell ref="K21:L21"/>
    <mergeCell ref="C18:D18"/>
    <mergeCell ref="K33:L33"/>
    <mergeCell ref="E36:F36"/>
    <mergeCell ref="G36:H36"/>
    <mergeCell ref="I36:J36"/>
    <mergeCell ref="K36:L36"/>
    <mergeCell ref="I27:J27"/>
    <mergeCell ref="K27:L27"/>
    <mergeCell ref="A1:L1"/>
    <mergeCell ref="A2:B2"/>
    <mergeCell ref="A10:A12"/>
    <mergeCell ref="B10:B12"/>
    <mergeCell ref="C12:D12"/>
    <mergeCell ref="E12:F12"/>
    <mergeCell ref="G12:H12"/>
    <mergeCell ref="C8:L8"/>
    <mergeCell ref="A8:B9"/>
    <mergeCell ref="C2:D2"/>
    <mergeCell ref="E2:F2"/>
    <mergeCell ref="G2:H2"/>
    <mergeCell ref="I2:J2"/>
    <mergeCell ref="K2:L2"/>
    <mergeCell ref="A7:H7"/>
    <mergeCell ref="A31:A33"/>
    <mergeCell ref="B31:B33"/>
    <mergeCell ref="G18:H18"/>
    <mergeCell ref="K42:L42"/>
    <mergeCell ref="K43:L43"/>
    <mergeCell ref="K44:L44"/>
    <mergeCell ref="A41:L41"/>
    <mergeCell ref="A42:B42"/>
    <mergeCell ref="C42:D42"/>
    <mergeCell ref="E42:F42"/>
    <mergeCell ref="G42:H42"/>
    <mergeCell ref="I12:J12"/>
    <mergeCell ref="K12:L12"/>
    <mergeCell ref="K30:L30"/>
    <mergeCell ref="A13:A15"/>
    <mergeCell ref="B13:B15"/>
    <mergeCell ref="A16:A18"/>
    <mergeCell ref="B16:B18"/>
    <mergeCell ref="A19:A21"/>
    <mergeCell ref="B19:B21"/>
    <mergeCell ref="A22:A24"/>
    <mergeCell ref="B22:B24"/>
    <mergeCell ref="A25:A27"/>
    <mergeCell ref="B25:B27"/>
    <mergeCell ref="A28:A30"/>
    <mergeCell ref="B28:B30"/>
    <mergeCell ref="K24:L24"/>
    <mergeCell ref="A67:A69"/>
    <mergeCell ref="A64:A66"/>
    <mergeCell ref="A61:L61"/>
    <mergeCell ref="F62:G62"/>
    <mergeCell ref="I62:J62"/>
    <mergeCell ref="K62:L62"/>
    <mergeCell ref="I47:J47"/>
    <mergeCell ref="K47:L47"/>
    <mergeCell ref="A46:L46"/>
    <mergeCell ref="A58:A59"/>
    <mergeCell ref="B58:L59"/>
    <mergeCell ref="F47:G47"/>
    <mergeCell ref="B92:L93"/>
    <mergeCell ref="A79:A81"/>
    <mergeCell ref="A82:A84"/>
    <mergeCell ref="A85:A87"/>
    <mergeCell ref="A88:A90"/>
    <mergeCell ref="A92:A93"/>
    <mergeCell ref="A76:A78"/>
    <mergeCell ref="A73:A75"/>
    <mergeCell ref="A70:A72"/>
  </mergeCells>
  <conditionalFormatting sqref="C13 E13 G13 I13 K13 K19 I19 G19 E19 C19 C22 E22 G22 I22 K22 K25 I25 G25 E25 C25 C28 E28 G28 I28 K28 K31 I31 G31 E31 C31 C34 E34 G34 I34 K34 K16 I16 G16 E16 C16">
    <cfRule type="dataBar" priority="72">
      <dataBar>
        <cfvo type="min"/>
        <cfvo type="max"/>
        <color rgb="FF76ABDC"/>
      </dataBar>
      <extLst>
        <ext xmlns:x14="http://schemas.microsoft.com/office/spreadsheetml/2009/9/main" uri="{B025F937-C7B1-47D3-B67F-A62EFF666E3E}">
          <x14:id>{AA2919F6-D8DB-4ECD-B5CD-8E6B6B6A57F8}</x14:id>
        </ext>
      </extLst>
    </cfRule>
  </conditionalFormatting>
  <conditionalFormatting sqref="D13 F13 H13 J13 L13 D16 F16 H16 J16 L16 L19 J19 H19 F19 D19 D22 F22 H22 J22 L22 L25 J25 H25 F25 D25 D28 F28 H28 J28 L28 L31 J31 H31 F31 D31 D34 F34 H34 J34 L34">
    <cfRule type="dataBar" priority="77">
      <dataBar>
        <cfvo type="min"/>
        <cfvo type="max"/>
        <color rgb="FFA8D08C"/>
      </dataBar>
      <extLst>
        <ext xmlns:x14="http://schemas.microsoft.com/office/spreadsheetml/2009/9/main" uri="{B025F937-C7B1-47D3-B67F-A62EFF666E3E}">
          <x14:id>{01D2AC35-A70C-48F2-9F2F-B33035372931}</x14:id>
        </ext>
      </extLst>
    </cfRule>
  </conditionalFormatting>
  <conditionalFormatting sqref="C15:L15 C18:L18 C21:L21 C24:L24 C27:L27 C30:L30 C33:L33 C36:L36">
    <cfRule type="dataBar" priority="61">
      <dataBar>
        <cfvo type="min"/>
        <cfvo type="max"/>
        <color rgb="FFFF7575"/>
      </dataBar>
      <extLst>
        <ext xmlns:x14="http://schemas.microsoft.com/office/spreadsheetml/2009/9/main" uri="{B025F937-C7B1-47D3-B67F-A62EFF666E3E}">
          <x14:id>{C30C48D2-6DB7-4797-8F65-AC71597ECA36}</x14:id>
        </ext>
      </extLst>
    </cfRule>
  </conditionalFormatting>
  <conditionalFormatting sqref="D14 H14 J14 L14 D17 F17 H17 J17 L17 D20 F20 H20 J20 L20 D23 F23 H23 J23 L23 D26 F26 H26 J26 L26 D29 F29 H29 J29 L29 D32 F32 H32 J32 L32 D35 F35 H35 J35 L35 F14">
    <cfRule type="dataBar" priority="56">
      <dataBar>
        <cfvo type="min"/>
        <cfvo type="max"/>
        <color rgb="FFF09252"/>
      </dataBar>
      <extLst>
        <ext xmlns:x14="http://schemas.microsoft.com/office/spreadsheetml/2009/9/main" uri="{B025F937-C7B1-47D3-B67F-A62EFF666E3E}">
          <x14:id>{6A34FEAA-F0BD-49D8-8388-60129DE32A22}</x14:id>
        </ext>
      </extLst>
    </cfRule>
  </conditionalFormatting>
  <conditionalFormatting sqref="C14 E14 G14 I14 K14 C17 E17 G17 I17 K17 C20 E20 G20 I20 K20 C23 E23 G23 I23 K23 C26 E26 G26 I26 K26 C29 E29 G29 I29 K29 C32 E32 G32 I32 K32 C35 E35 G35 I35 K35">
    <cfRule type="dataBar" priority="54">
      <dataBar>
        <cfvo type="min"/>
        <cfvo type="max"/>
        <color rgb="FFFFC44F"/>
      </dataBar>
      <extLst>
        <ext xmlns:x14="http://schemas.microsoft.com/office/spreadsheetml/2009/9/main" uri="{B025F937-C7B1-47D3-B67F-A62EFF666E3E}">
          <x14:id>{11A4C472-BA17-4D42-8AAA-3F72EA070B6F}</x14:id>
        </ext>
      </extLst>
    </cfRule>
    <cfRule type="containsText" dxfId="1" priority="55" operator="containsText" text="S">
      <formula>NOT(ISERROR(SEARCH("S",C14)))</formula>
    </cfRule>
  </conditionalFormatting>
  <conditionalFormatting sqref="D14 F14 H14 J14 L14 D17 F17 H17 J17 L17 D20 F20 H20 J20 L20 D23 F23 H23 J23 L23 D26 F26 H26 J26 L26 D29 F29 H29 J29 L29 D32 F32 H32 J32 L32 D35 F35 H35 J35 L35">
    <cfRule type="containsText" dxfId="0" priority="53" operator="containsText" text="S">
      <formula>NOT(ISERROR(SEARCH("S",D14)))</formula>
    </cfRule>
  </conditionalFormatting>
  <conditionalFormatting sqref="E49:E56">
    <cfRule type="dataBar" priority="49">
      <dataBar>
        <cfvo type="min"/>
        <cfvo type="max"/>
        <color rgb="FF63C384"/>
      </dataBar>
      <extLst>
        <ext xmlns:x14="http://schemas.microsoft.com/office/spreadsheetml/2009/9/main" uri="{B025F937-C7B1-47D3-B67F-A62EFF666E3E}">
          <x14:id>{F6780C0F-FACF-41B3-830F-7928554B03F7}</x14:id>
        </ext>
      </extLst>
    </cfRule>
  </conditionalFormatting>
  <conditionalFormatting sqref="G49:G56">
    <cfRule type="dataBar" priority="48">
      <dataBar>
        <cfvo type="min"/>
        <cfvo type="max"/>
        <color rgb="FFFF555A"/>
      </dataBar>
      <extLst>
        <ext xmlns:x14="http://schemas.microsoft.com/office/spreadsheetml/2009/9/main" uri="{B025F937-C7B1-47D3-B67F-A62EFF666E3E}">
          <x14:id>{9954C6DE-5295-4E73-BF7B-633A5D216D3E}</x14:id>
        </ext>
      </extLst>
    </cfRule>
  </conditionalFormatting>
  <conditionalFormatting sqref="C49:C56">
    <cfRule type="dataBar" priority="47">
      <dataBar>
        <cfvo type="min"/>
        <cfvo type="max"/>
        <color rgb="FF008AEF"/>
      </dataBar>
      <extLst>
        <ext xmlns:x14="http://schemas.microsoft.com/office/spreadsheetml/2009/9/main" uri="{B025F937-C7B1-47D3-B67F-A62EFF666E3E}">
          <x14:id>{06ACA1B5-33C9-41B5-AE01-0AE1BFBF0E9D}</x14:id>
        </ext>
      </extLst>
    </cfRule>
  </conditionalFormatting>
  <conditionalFormatting sqref="L49:L56">
    <cfRule type="dataBar" priority="46">
      <dataBar>
        <cfvo type="min"/>
        <cfvo type="max"/>
        <color rgb="FFFFB628"/>
      </dataBar>
      <extLst>
        <ext xmlns:x14="http://schemas.microsoft.com/office/spreadsheetml/2009/9/main" uri="{B025F937-C7B1-47D3-B67F-A62EFF666E3E}">
          <x14:id>{1ED1EFC9-6FD6-4EAD-B95D-92AFD2C9ADEA}</x14:id>
        </ext>
      </extLst>
    </cfRule>
  </conditionalFormatting>
  <conditionalFormatting sqref="J49:J56">
    <cfRule type="dataBar" priority="45">
      <dataBar>
        <cfvo type="min"/>
        <cfvo type="max"/>
        <color rgb="FFD6007B"/>
      </dataBar>
      <extLst>
        <ext xmlns:x14="http://schemas.microsoft.com/office/spreadsheetml/2009/9/main" uri="{B025F937-C7B1-47D3-B67F-A62EFF666E3E}">
          <x14:id>{39B115FE-8EE0-490C-A0C7-C413D5784287}</x14:id>
        </ext>
      </extLst>
    </cfRule>
  </conditionalFormatting>
  <conditionalFormatting sqref="H49:H56">
    <cfRule type="dataBar" priority="44">
      <dataBar>
        <cfvo type="min"/>
        <cfvo type="max"/>
        <color rgb="FF638EC6"/>
      </dataBar>
      <extLst>
        <ext xmlns:x14="http://schemas.microsoft.com/office/spreadsheetml/2009/9/main" uri="{B025F937-C7B1-47D3-B67F-A62EFF666E3E}">
          <x14:id>{3B151DC1-FC9D-4CCD-83B3-ACD8B5A872D0}</x14:id>
        </ext>
      </extLst>
    </cfRule>
  </conditionalFormatting>
  <conditionalFormatting sqref="E64:E90">
    <cfRule type="dataBar" priority="5">
      <dataBar>
        <cfvo type="min"/>
        <cfvo type="max"/>
        <color rgb="FF63C384"/>
      </dataBar>
      <extLst>
        <ext xmlns:x14="http://schemas.microsoft.com/office/spreadsheetml/2009/9/main" uri="{B025F937-C7B1-47D3-B67F-A62EFF666E3E}">
          <x14:id>{BBE4A27B-00DE-4272-A2AE-7475B0B5319C}</x14:id>
        </ext>
      </extLst>
    </cfRule>
  </conditionalFormatting>
  <conditionalFormatting sqref="G64:G90">
    <cfRule type="dataBar" priority="4">
      <dataBar>
        <cfvo type="min"/>
        <cfvo type="max"/>
        <color rgb="FFFF555A"/>
      </dataBar>
      <extLst>
        <ext xmlns:x14="http://schemas.microsoft.com/office/spreadsheetml/2009/9/main" uri="{B025F937-C7B1-47D3-B67F-A62EFF666E3E}">
          <x14:id>{7BC9B39B-4881-4156-9237-DD1AA3A72F09}</x14:id>
        </ext>
      </extLst>
    </cfRule>
  </conditionalFormatting>
  <conditionalFormatting sqref="H64:H90">
    <cfRule type="dataBar" priority="3">
      <dataBar>
        <cfvo type="min"/>
        <cfvo type="max"/>
        <color rgb="FF638EC6"/>
      </dataBar>
      <extLst>
        <ext xmlns:x14="http://schemas.microsoft.com/office/spreadsheetml/2009/9/main" uri="{B025F937-C7B1-47D3-B67F-A62EFF666E3E}">
          <x14:id>{45950DA4-3D5C-433A-8D27-5055899F7A40}</x14:id>
        </ext>
      </extLst>
    </cfRule>
  </conditionalFormatting>
  <conditionalFormatting sqref="J64:J90">
    <cfRule type="dataBar" priority="2">
      <dataBar>
        <cfvo type="min"/>
        <cfvo type="max"/>
        <color rgb="FFD6007B"/>
      </dataBar>
      <extLst>
        <ext xmlns:x14="http://schemas.microsoft.com/office/spreadsheetml/2009/9/main" uri="{B025F937-C7B1-47D3-B67F-A62EFF666E3E}">
          <x14:id>{52438067-F457-4A5C-BD9C-5BECA6AB8655}</x14:id>
        </ext>
      </extLst>
    </cfRule>
  </conditionalFormatting>
  <conditionalFormatting sqref="L64:L90">
    <cfRule type="dataBar" priority="1">
      <dataBar>
        <cfvo type="min"/>
        <cfvo type="max"/>
        <color rgb="FFFFB628"/>
      </dataBar>
      <extLst>
        <ext xmlns:x14="http://schemas.microsoft.com/office/spreadsheetml/2009/9/main" uri="{B025F937-C7B1-47D3-B67F-A62EFF666E3E}">
          <x14:id>{6F241FA3-526A-4D7C-98E3-454B1EA008BF}</x14:id>
        </ext>
      </extLst>
    </cfRule>
  </conditionalFormatting>
  <printOptions horizontalCentered="1" verticalCentered="1"/>
  <pageMargins left="0.23622047244094491" right="0.23622047244094491" top="9.8425196850393706E-2" bottom="9.8425196850393706E-2" header="0.31496062992125984" footer="0.31496062992125984"/>
  <pageSetup paperSize="9" scale="75" fitToHeight="0" orientation="landscape" r:id="rId1"/>
  <ignoredErrors>
    <ignoredError sqref="D25 D13 D19 D22" formula="1"/>
  </ignoredErrors>
  <extLst>
    <ext xmlns:x14="http://schemas.microsoft.com/office/spreadsheetml/2009/9/main" uri="{78C0D931-6437-407d-A8EE-F0AAD7539E65}">
      <x14:conditionalFormattings>
        <x14:conditionalFormatting xmlns:xm="http://schemas.microsoft.com/office/excel/2006/main">
          <x14:cfRule type="dataBar" id="{AA2919F6-D8DB-4ECD-B5CD-8E6B6B6A57F8}">
            <x14:dataBar minLength="0" maxLength="100" gradient="0">
              <x14:cfvo type="autoMin"/>
              <x14:cfvo type="autoMax"/>
              <x14:negativeFillColor rgb="FFFF0000"/>
              <x14:axisColor rgb="FF000000"/>
            </x14:dataBar>
          </x14:cfRule>
          <xm:sqref>C13 E13 G13 I13 K13 K19 I19 G19 E19 C19 C22 E22 G22 I22 K22 K25 I25 G25 E25 C25 C28 E28 G28 I28 K28 K31 I31 G31 E31 C31 C34 E34 G34 I34 K34 K16 I16 G16 E16 C16</xm:sqref>
        </x14:conditionalFormatting>
        <x14:conditionalFormatting xmlns:xm="http://schemas.microsoft.com/office/excel/2006/main">
          <x14:cfRule type="dataBar" id="{01D2AC35-A70C-48F2-9F2F-B33035372931}">
            <x14:dataBar minLength="0" maxLength="100" gradient="0">
              <x14:cfvo type="autoMin"/>
              <x14:cfvo type="autoMax"/>
              <x14:negativeFillColor rgb="FFFF0000"/>
              <x14:axisColor rgb="FF000000"/>
            </x14:dataBar>
          </x14:cfRule>
          <xm:sqref>D13 F13 H13 J13 L13 D16 F16 H16 J16 L16 L19 J19 H19 F19 D19 D22 F22 H22 J22 L22 L25 J25 H25 F25 D25 D28 F28 H28 J28 L28 L31 J31 H31 F31 D31 D34 F34 H34 J34 L34</xm:sqref>
        </x14:conditionalFormatting>
        <x14:conditionalFormatting xmlns:xm="http://schemas.microsoft.com/office/excel/2006/main">
          <x14:cfRule type="dataBar" id="{C30C48D2-6DB7-4797-8F65-AC71597ECA36}">
            <x14:dataBar minLength="0" maxLength="100" gradient="0">
              <x14:cfvo type="autoMin"/>
              <x14:cfvo type="autoMax"/>
              <x14:negativeFillColor rgb="FFFF0000"/>
              <x14:axisColor rgb="FF000000"/>
            </x14:dataBar>
          </x14:cfRule>
          <xm:sqref>C15:L15 C18:L18 C21:L21 C24:L24 C27:L27 C30:L30 C33:L33 C36:L36</xm:sqref>
        </x14:conditionalFormatting>
        <x14:conditionalFormatting xmlns:xm="http://schemas.microsoft.com/office/excel/2006/main">
          <x14:cfRule type="dataBar" id="{6A34FEAA-F0BD-49D8-8388-60129DE32A22}">
            <x14:dataBar minLength="0" maxLength="100" gradient="0">
              <x14:cfvo type="autoMin"/>
              <x14:cfvo type="autoMax"/>
              <x14:negativeFillColor rgb="FFFF0000"/>
              <x14:axisColor rgb="FF000000"/>
            </x14:dataBar>
          </x14:cfRule>
          <xm:sqref>D14 H14 J14 L14 D17 F17 H17 J17 L17 D20 F20 H20 J20 L20 D23 F23 H23 J23 L23 D26 F26 H26 J26 L26 D29 F29 H29 J29 L29 D32 F32 H32 J32 L32 D35 F35 H35 J35 L35 F14</xm:sqref>
        </x14:conditionalFormatting>
        <x14:conditionalFormatting xmlns:xm="http://schemas.microsoft.com/office/excel/2006/main">
          <x14:cfRule type="dataBar" id="{11A4C472-BA17-4D42-8AAA-3F72EA070B6F}">
            <x14:dataBar minLength="0" maxLength="100" gradient="0">
              <x14:cfvo type="autoMin"/>
              <x14:cfvo type="autoMax"/>
              <x14:negativeFillColor rgb="FFFF0000"/>
              <x14:axisColor rgb="FF000000"/>
            </x14:dataBar>
          </x14:cfRule>
          <xm:sqref>C14 E14 G14 I14 K14 C17 E17 G17 I17 K17 C20 E20 G20 I20 K20 C23 E23 G23 I23 K23 C26 E26 G26 I26 K26 C29 E29 G29 I29 K29 C32 E32 G32 I32 K32 C35 E35 G35 I35 K35</xm:sqref>
        </x14:conditionalFormatting>
        <x14:conditionalFormatting xmlns:xm="http://schemas.microsoft.com/office/excel/2006/main">
          <x14:cfRule type="dataBar" id="{F6780C0F-FACF-41B3-830F-7928554B03F7}">
            <x14:dataBar minLength="0" maxLength="100" gradient="0">
              <x14:cfvo type="autoMin"/>
              <x14:cfvo type="autoMax"/>
              <x14:negativeFillColor rgb="FFFF0000"/>
              <x14:axisColor rgb="FF000000"/>
            </x14:dataBar>
          </x14:cfRule>
          <xm:sqref>E49:E56</xm:sqref>
        </x14:conditionalFormatting>
        <x14:conditionalFormatting xmlns:xm="http://schemas.microsoft.com/office/excel/2006/main">
          <x14:cfRule type="dataBar" id="{9954C6DE-5295-4E73-BF7B-633A5D216D3E}">
            <x14:dataBar minLength="0" maxLength="100" gradient="0">
              <x14:cfvo type="autoMin"/>
              <x14:cfvo type="autoMax"/>
              <x14:negativeFillColor rgb="FFFF0000"/>
              <x14:axisColor rgb="FF000000"/>
            </x14:dataBar>
          </x14:cfRule>
          <xm:sqref>G49:G56</xm:sqref>
        </x14:conditionalFormatting>
        <x14:conditionalFormatting xmlns:xm="http://schemas.microsoft.com/office/excel/2006/main">
          <x14:cfRule type="dataBar" id="{06ACA1B5-33C9-41B5-AE01-0AE1BFBF0E9D}">
            <x14:dataBar minLength="0" maxLength="100" gradient="0">
              <x14:cfvo type="autoMin"/>
              <x14:cfvo type="autoMax"/>
              <x14:negativeFillColor rgb="FFFF0000"/>
              <x14:axisColor rgb="FF000000"/>
            </x14:dataBar>
          </x14:cfRule>
          <xm:sqref>C49:C56</xm:sqref>
        </x14:conditionalFormatting>
        <x14:conditionalFormatting xmlns:xm="http://schemas.microsoft.com/office/excel/2006/main">
          <x14:cfRule type="dataBar" id="{1ED1EFC9-6FD6-4EAD-B95D-92AFD2C9ADEA}">
            <x14:dataBar minLength="0" maxLength="100" gradient="0">
              <x14:cfvo type="autoMin"/>
              <x14:cfvo type="autoMax"/>
              <x14:negativeFillColor rgb="FFFF0000"/>
              <x14:axisColor rgb="FF000000"/>
            </x14:dataBar>
          </x14:cfRule>
          <xm:sqref>L49:L56</xm:sqref>
        </x14:conditionalFormatting>
        <x14:conditionalFormatting xmlns:xm="http://schemas.microsoft.com/office/excel/2006/main">
          <x14:cfRule type="dataBar" id="{39B115FE-8EE0-490C-A0C7-C413D5784287}">
            <x14:dataBar minLength="0" maxLength="100" gradient="0">
              <x14:cfvo type="autoMin"/>
              <x14:cfvo type="autoMax"/>
              <x14:negativeFillColor rgb="FFFF0000"/>
              <x14:axisColor rgb="FF000000"/>
            </x14:dataBar>
          </x14:cfRule>
          <xm:sqref>J49:J56</xm:sqref>
        </x14:conditionalFormatting>
        <x14:conditionalFormatting xmlns:xm="http://schemas.microsoft.com/office/excel/2006/main">
          <x14:cfRule type="dataBar" id="{3B151DC1-FC9D-4CCD-83B3-ACD8B5A872D0}">
            <x14:dataBar minLength="0" maxLength="100" gradient="0">
              <x14:cfvo type="autoMin"/>
              <x14:cfvo type="autoMax"/>
              <x14:negativeFillColor rgb="FFFF0000"/>
              <x14:axisColor rgb="FF000000"/>
            </x14:dataBar>
          </x14:cfRule>
          <xm:sqref>H49:H56</xm:sqref>
        </x14:conditionalFormatting>
        <x14:conditionalFormatting xmlns:xm="http://schemas.microsoft.com/office/excel/2006/main">
          <x14:cfRule type="dataBar" id="{BBE4A27B-00DE-4272-A2AE-7475B0B5319C}">
            <x14:dataBar minLength="0" maxLength="100" gradient="0">
              <x14:cfvo type="autoMin"/>
              <x14:cfvo type="autoMax"/>
              <x14:negativeFillColor rgb="FFFF0000"/>
              <x14:axisColor rgb="FF000000"/>
            </x14:dataBar>
          </x14:cfRule>
          <xm:sqref>E64:E90</xm:sqref>
        </x14:conditionalFormatting>
        <x14:conditionalFormatting xmlns:xm="http://schemas.microsoft.com/office/excel/2006/main">
          <x14:cfRule type="dataBar" id="{7BC9B39B-4881-4156-9237-DD1AA3A72F09}">
            <x14:dataBar minLength="0" maxLength="100" gradient="0">
              <x14:cfvo type="autoMin"/>
              <x14:cfvo type="autoMax"/>
              <x14:negativeFillColor rgb="FFFF0000"/>
              <x14:axisColor rgb="FF000000"/>
            </x14:dataBar>
          </x14:cfRule>
          <xm:sqref>G64:G90</xm:sqref>
        </x14:conditionalFormatting>
        <x14:conditionalFormatting xmlns:xm="http://schemas.microsoft.com/office/excel/2006/main">
          <x14:cfRule type="dataBar" id="{45950DA4-3D5C-433A-8D27-5055899F7A40}">
            <x14:dataBar minLength="0" maxLength="100" gradient="0">
              <x14:cfvo type="autoMin"/>
              <x14:cfvo type="autoMax"/>
              <x14:negativeFillColor rgb="FFFF0000"/>
              <x14:axisColor rgb="FF000000"/>
            </x14:dataBar>
          </x14:cfRule>
          <xm:sqref>H64:H90</xm:sqref>
        </x14:conditionalFormatting>
        <x14:conditionalFormatting xmlns:xm="http://schemas.microsoft.com/office/excel/2006/main">
          <x14:cfRule type="dataBar" id="{52438067-F457-4A5C-BD9C-5BECA6AB8655}">
            <x14:dataBar minLength="0" maxLength="100" gradient="0">
              <x14:cfvo type="autoMin"/>
              <x14:cfvo type="autoMax"/>
              <x14:negativeFillColor rgb="FFFF0000"/>
              <x14:axisColor rgb="FF000000"/>
            </x14:dataBar>
          </x14:cfRule>
          <xm:sqref>J64:J90</xm:sqref>
        </x14:conditionalFormatting>
        <x14:conditionalFormatting xmlns:xm="http://schemas.microsoft.com/office/excel/2006/main">
          <x14:cfRule type="dataBar" id="{6F241FA3-526A-4D7C-98E3-454B1EA008BF}">
            <x14:dataBar minLength="0" maxLength="100" gradient="0">
              <x14:cfvo type="autoMin"/>
              <x14:cfvo type="autoMax"/>
              <x14:negativeFillColor rgb="FFFF0000"/>
              <x14:axisColor rgb="FF000000"/>
            </x14:dataBar>
          </x14:cfRule>
          <xm:sqref>L64:L90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Kumar</dc:creator>
  <cp:lastModifiedBy>Aayush Sharma</cp:lastModifiedBy>
  <cp:lastPrinted>2022-01-30T18:11:09Z</cp:lastPrinted>
  <dcterms:created xsi:type="dcterms:W3CDTF">2022-01-26T17:59:16Z</dcterms:created>
  <dcterms:modified xsi:type="dcterms:W3CDTF">2023-02-22T17:03:07Z</dcterms:modified>
</cp:coreProperties>
</file>