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xr:revisionPtr revIDLastSave="0" documentId="8_{67BDFE37-9B7A-4156-B8FC-70037FEB3496}" xr6:coauthVersionLast="47" xr6:coauthVersionMax="47" xr10:uidLastSave="{00000000-0000-0000-0000-000000000000}"/>
  <bookViews>
    <workbookView xWindow="0" yWindow="0" windowWidth="0" windowHeight="0" firstSheet="1" xr2:uid="{00000000-000D-0000-FFFF-FFFF00000000}"/>
  </bookViews>
  <sheets>
    <sheet name="урон героев" sheetId="1" r:id="rId1"/>
    <sheet name="Предметы" sheetId="3" r:id="rId2"/>
    <sheet name="Лист2" sheetId="2" r:id="rId3"/>
  </sheets>
  <calcPr calcId="191028" iterate="1" iterateCount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4" i="1" l="1" a="1"/>
  <c r="H34" i="1"/>
  <c r="H32" i="1" a="1"/>
  <c r="H32" i="1"/>
  <c r="H31" i="1" a="1"/>
  <c r="H31" i="1"/>
  <c r="H38" i="1" a="1"/>
  <c r="H38" i="1"/>
  <c r="G38" i="1"/>
  <c r="C38" i="1"/>
  <c r="D38" i="1"/>
  <c r="G37" i="1"/>
  <c r="H37" i="1" a="1"/>
  <c r="H37" i="1"/>
  <c r="F35" i="3"/>
  <c r="E35" i="3"/>
  <c r="B35" i="3"/>
  <c r="F34" i="3"/>
  <c r="E34" i="3"/>
  <c r="B34" i="3"/>
  <c r="F33" i="3"/>
  <c r="E33" i="3"/>
  <c r="B33" i="3"/>
  <c r="E32" i="3"/>
  <c r="F32" i="3" s="1"/>
  <c r="E31" i="3"/>
  <c r="F31" i="3" s="1"/>
  <c r="B31" i="3"/>
  <c r="B30" i="3"/>
  <c r="E27" i="3"/>
  <c r="E23" i="3"/>
  <c r="F20" i="3"/>
  <c r="F27" i="3" s="1"/>
  <c r="E17" i="3"/>
  <c r="F16" i="3"/>
  <c r="F21" i="3" s="1"/>
  <c r="E16" i="3"/>
  <c r="E21" i="3" s="1"/>
  <c r="F14" i="3"/>
  <c r="F25" i="3" s="1"/>
  <c r="F28" i="3" s="1"/>
  <c r="E14" i="3"/>
  <c r="E25" i="3" s="1"/>
  <c r="E28" i="3" s="1"/>
  <c r="B14" i="3"/>
  <c r="B25" i="3" s="1"/>
  <c r="B28" i="3" s="1"/>
  <c r="B13" i="3"/>
  <c r="F12" i="3"/>
  <c r="F23" i="3" s="1"/>
  <c r="F11" i="3"/>
  <c r="F13" i="3" s="1"/>
  <c r="E11" i="3"/>
  <c r="E13" i="3" s="1"/>
  <c r="B11" i="3"/>
  <c r="B12" i="3" s="1"/>
  <c r="B23" i="3" s="1"/>
  <c r="E10" i="3"/>
  <c r="E15" i="3" s="1"/>
  <c r="B10" i="3"/>
  <c r="F9" i="3"/>
  <c r="F30" i="3" s="1"/>
  <c r="E9" i="3"/>
  <c r="E30" i="3" s="1"/>
  <c r="F8" i="3"/>
  <c r="F24" i="3" s="1"/>
  <c r="F29" i="3" s="1"/>
  <c r="E8" i="3"/>
  <c r="E24" i="3" s="1"/>
  <c r="E29" i="3" s="1"/>
  <c r="B8" i="3"/>
  <c r="B16" i="3" s="1"/>
  <c r="B24" i="3" s="1"/>
  <c r="B29" i="3" s="1"/>
  <c r="F7" i="3"/>
  <c r="F4" i="3"/>
  <c r="F10" i="3" s="1"/>
  <c r="F15" i="3" s="1"/>
  <c r="F4" i="1"/>
  <c r="F5" i="1"/>
  <c r="E4" i="1"/>
  <c r="C4" i="1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D11" i="2"/>
  <c r="D10" i="2"/>
  <c r="D9" i="2"/>
  <c r="D8" i="2"/>
  <c r="J13" i="2"/>
  <c r="I12" i="2"/>
  <c r="K11" i="2"/>
  <c r="I11" i="2"/>
  <c r="I10" i="2"/>
  <c r="H10" i="2"/>
  <c r="G10" i="2"/>
  <c r="F10" i="2"/>
  <c r="E10" i="2"/>
  <c r="K9" i="2"/>
  <c r="I9" i="2"/>
  <c r="I8" i="2"/>
  <c r="C8" i="2"/>
  <c r="B8" i="2"/>
  <c r="K7" i="2"/>
  <c r="I7" i="2"/>
  <c r="H7" i="2"/>
  <c r="H8" i="2" s="1"/>
  <c r="C7" i="2"/>
  <c r="C16" i="2" s="1"/>
  <c r="B7" i="2"/>
  <c r="I6" i="2"/>
  <c r="G6" i="2"/>
  <c r="G7" i="2" s="1"/>
  <c r="G8" i="2" s="1"/>
  <c r="C6" i="2"/>
  <c r="C15" i="2" s="1"/>
  <c r="B6" i="2"/>
  <c r="K5" i="2"/>
  <c r="I5" i="2"/>
  <c r="F5" i="2"/>
  <c r="F6" i="2" s="1"/>
  <c r="F7" i="2" s="1"/>
  <c r="F8" i="2" s="1"/>
  <c r="C5" i="2"/>
  <c r="C14" i="2" s="1"/>
  <c r="B5" i="2"/>
  <c r="I4" i="2"/>
  <c r="E4" i="2"/>
  <c r="E5" i="2" s="1"/>
  <c r="E6" i="2" s="1"/>
  <c r="E7" i="2" s="1"/>
  <c r="E8" i="2" s="1"/>
  <c r="C4" i="2"/>
  <c r="C13" i="2" s="1"/>
  <c r="B4" i="2"/>
  <c r="K3" i="2"/>
  <c r="K13" i="2" s="1"/>
  <c r="I3" i="2"/>
  <c r="I13" i="2" s="1"/>
  <c r="C3" i="2"/>
  <c r="C12" i="2" s="1"/>
  <c r="B3" i="2"/>
  <c r="B12" i="2" s="1"/>
  <c r="E36" i="1"/>
  <c r="D36" i="1"/>
  <c r="F36" i="1" s="1"/>
  <c r="B36" i="1"/>
  <c r="E35" i="1"/>
  <c r="B35" i="1"/>
  <c r="C35" i="1" s="1"/>
  <c r="E34" i="1"/>
  <c r="D34" i="1"/>
  <c r="C34" i="1"/>
  <c r="F33" i="1"/>
  <c r="E33" i="1"/>
  <c r="C33" i="1"/>
  <c r="B33" i="1"/>
  <c r="F32" i="1"/>
  <c r="E32" i="1"/>
  <c r="D32" i="1"/>
  <c r="C32" i="1"/>
  <c r="D31" i="1"/>
  <c r="C31" i="1"/>
  <c r="B31" i="1"/>
  <c r="F30" i="1"/>
  <c r="E30" i="1"/>
  <c r="C30" i="1"/>
  <c r="B30" i="1"/>
  <c r="F29" i="1"/>
  <c r="D29" i="1"/>
  <c r="C29" i="1"/>
  <c r="B29" i="1"/>
  <c r="E28" i="1"/>
  <c r="D28" i="1"/>
  <c r="F27" i="1"/>
  <c r="D27" i="1"/>
  <c r="E27" i="1" s="1"/>
  <c r="B27" i="1"/>
  <c r="D26" i="1"/>
  <c r="B25" i="1"/>
  <c r="F24" i="1"/>
  <c r="E24" i="1"/>
  <c r="F23" i="1"/>
  <c r="D23" i="1"/>
  <c r="D22" i="1"/>
  <c r="E21" i="1"/>
  <c r="E20" i="1"/>
  <c r="C20" i="1"/>
  <c r="F19" i="1"/>
  <c r="E19" i="1"/>
  <c r="C19" i="1"/>
  <c r="B19" i="1"/>
  <c r="F18" i="1"/>
  <c r="E18" i="1"/>
  <c r="B18" i="1"/>
  <c r="F17" i="1"/>
  <c r="E17" i="1"/>
  <c r="D17" i="1"/>
  <c r="B17" i="1"/>
  <c r="F16" i="1"/>
  <c r="E16" i="1"/>
  <c r="D16" i="1"/>
  <c r="C16" i="1"/>
  <c r="B16" i="1"/>
  <c r="F15" i="1"/>
  <c r="C15" i="1"/>
  <c r="I14" i="1"/>
  <c r="J14" i="1" s="1"/>
  <c r="K14" i="1" s="1" a="1"/>
  <c r="K14" i="1" s="1"/>
  <c r="F14" i="1"/>
  <c r="E14" i="1"/>
  <c r="B14" i="1"/>
  <c r="I13" i="1"/>
  <c r="J13" i="1" s="1"/>
  <c r="K13" i="1" s="1" a="1"/>
  <c r="K13" i="1" s="1"/>
  <c r="F13" i="1"/>
  <c r="E13" i="1"/>
  <c r="D13" i="1"/>
  <c r="C13" i="1"/>
  <c r="I12" i="1"/>
  <c r="J12" i="1" s="1"/>
  <c r="K12" i="1" s="1" a="1"/>
  <c r="K12" i="1" s="1"/>
  <c r="F12" i="1"/>
  <c r="E12" i="1"/>
  <c r="D12" i="1"/>
  <c r="C12" i="1"/>
  <c r="B12" i="1"/>
  <c r="I11" i="1"/>
  <c r="J11" i="1" s="1"/>
  <c r="K11" i="1" s="1" a="1"/>
  <c r="K11" i="1" s="1"/>
  <c r="F11" i="1"/>
  <c r="D11" i="1"/>
  <c r="E11" i="1" s="1"/>
  <c r="B11" i="1"/>
  <c r="I10" i="1"/>
  <c r="J10" i="1" s="1"/>
  <c r="K10" i="1" s="1" a="1"/>
  <c r="K10" i="1" s="1"/>
  <c r="C10" i="1"/>
  <c r="I9" i="1"/>
  <c r="J9" i="1" s="1"/>
  <c r="K9" i="1" s="1" a="1"/>
  <c r="K9" i="1" s="1"/>
  <c r="F9" i="1"/>
  <c r="C9" i="1"/>
  <c r="I8" i="1"/>
  <c r="J8" i="1" s="1"/>
  <c r="K8" i="1" s="1" a="1"/>
  <c r="K8" i="1" s="1"/>
  <c r="D8" i="1"/>
  <c r="C8" i="1"/>
  <c r="I7" i="1"/>
  <c r="J7" i="1" s="1"/>
  <c r="K7" i="1" s="1" a="1"/>
  <c r="K7" i="1" s="1"/>
  <c r="F7" i="1"/>
  <c r="D7" i="1"/>
  <c r="E7" i="1" s="1"/>
  <c r="B7" i="1"/>
  <c r="I6" i="1"/>
  <c r="J6" i="1" s="1"/>
  <c r="K6" i="1" s="1" a="1"/>
  <c r="K6" i="1" s="1"/>
  <c r="E6" i="1"/>
  <c r="C6" i="1"/>
  <c r="I5" i="1"/>
  <c r="J5" i="1" s="1"/>
  <c r="K5" i="1" s="1" a="1"/>
  <c r="K5" i="1" s="1"/>
  <c r="D33" i="1" s="1"/>
  <c r="E5" i="1"/>
  <c r="C5" i="1"/>
  <c r="I4" i="1"/>
  <c r="D19" i="1" s="1"/>
  <c r="N3" i="1"/>
  <c r="L3" i="1"/>
  <c r="K3" i="1"/>
  <c r="E22" i="3" l="1"/>
  <c r="E18" i="3"/>
  <c r="F22" i="3"/>
  <c r="F18" i="3"/>
  <c r="B22" i="3"/>
  <c r="B18" i="3"/>
  <c r="B17" i="3"/>
  <c r="B15" i="3"/>
  <c r="B20" i="3" s="1"/>
  <c r="E19" i="3"/>
  <c r="E26" i="3" s="1"/>
  <c r="F17" i="3"/>
  <c r="F19" i="3" s="1"/>
  <c r="F26" i="3" s="1"/>
  <c r="G31" i="1"/>
  <c r="E31" i="1"/>
  <c r="E26" i="1"/>
  <c r="F25" i="1"/>
  <c r="E23" i="1"/>
  <c r="F22" i="1"/>
  <c r="F21" i="1"/>
  <c r="G21" i="1" s="1"/>
  <c r="H21" i="1" s="1" a="1"/>
  <c r="H21" i="1" s="1"/>
  <c r="D20" i="1"/>
  <c r="C17" i="1"/>
  <c r="G15" i="1"/>
  <c r="H15" i="1" s="1" a="1"/>
  <c r="H15" i="1" s="1"/>
  <c r="E15" i="1"/>
  <c r="D15" i="1"/>
  <c r="C14" i="1"/>
  <c r="D14" i="1" s="1"/>
  <c r="G14" i="1" s="1"/>
  <c r="H14" i="1" s="1" a="1"/>
  <c r="H14" i="1" s="1"/>
  <c r="G12" i="1"/>
  <c r="H12" i="1" s="1" a="1"/>
  <c r="H12" i="1" s="1"/>
  <c r="E9" i="1"/>
  <c r="D9" i="1"/>
  <c r="F8" i="1"/>
  <c r="D6" i="1"/>
  <c r="D5" i="1"/>
  <c r="C21" i="1" s="1"/>
  <c r="D4" i="1"/>
  <c r="C26" i="1"/>
  <c r="C11" i="1"/>
  <c r="G11" i="1" s="1"/>
  <c r="H11" i="1" s="1" a="1"/>
  <c r="H11" i="1" s="1"/>
  <c r="F6" i="1"/>
  <c r="G4" i="1"/>
  <c r="H4" i="1" s="1" a="1"/>
  <c r="H4" i="1" s="1"/>
  <c r="D21" i="1"/>
  <c r="G5" i="1"/>
  <c r="H5" i="1" s="1" a="1"/>
  <c r="H5" i="1" s="1"/>
  <c r="G6" i="1"/>
  <c r="H6" i="1" s="1" a="1"/>
  <c r="H6" i="1" s="1"/>
  <c r="C7" i="1"/>
  <c r="G7" i="1" s="1"/>
  <c r="H7" i="1" s="1" a="1"/>
  <c r="H7" i="1" s="1"/>
  <c r="G8" i="1"/>
  <c r="H8" i="1" s="1" a="1"/>
  <c r="H8" i="1" s="1"/>
  <c r="G9" i="1"/>
  <c r="H9" i="1" s="1" a="1"/>
  <c r="H9" i="1" s="1"/>
  <c r="D10" i="1"/>
  <c r="G13" i="1"/>
  <c r="H13" i="1" s="1" a="1"/>
  <c r="H13" i="1" s="1"/>
  <c r="G16" i="1"/>
  <c r="H16" i="1" s="1" a="1"/>
  <c r="H16" i="1" s="1"/>
  <c r="C28" i="1"/>
  <c r="D24" i="1"/>
  <c r="C24" i="1"/>
  <c r="G24" i="1" s="1"/>
  <c r="H24" i="1" s="1" a="1"/>
  <c r="H24" i="1" s="1"/>
  <c r="C23" i="1"/>
  <c r="G23" i="1" s="1"/>
  <c r="H23" i="1" s="1" a="1"/>
  <c r="H23" i="1" s="1"/>
  <c r="E22" i="1"/>
  <c r="G17" i="1"/>
  <c r="H17" i="1" s="1" a="1"/>
  <c r="H17" i="1" s="1"/>
  <c r="C36" i="1"/>
  <c r="G36" i="1" s="1"/>
  <c r="H36" i="1" s="1" a="1"/>
  <c r="H36" i="1" s="1"/>
  <c r="C22" i="1"/>
  <c r="G22" i="1" s="1"/>
  <c r="H22" i="1" s="1" a="1"/>
  <c r="H22" i="1" s="1"/>
  <c r="D18" i="1"/>
  <c r="C18" i="1"/>
  <c r="G18" i="1" s="1"/>
  <c r="H18" i="1" s="1" a="1"/>
  <c r="H18" i="1" s="1"/>
  <c r="G19" i="1"/>
  <c r="H19" i="1" s="1" a="1"/>
  <c r="H19" i="1" s="1"/>
  <c r="G20" i="1"/>
  <c r="H20" i="1" s="1" a="1"/>
  <c r="H20" i="1" s="1"/>
  <c r="D25" i="1"/>
  <c r="C25" i="1"/>
  <c r="G25" i="1" s="1"/>
  <c r="H25" i="1" s="1" a="1"/>
  <c r="H25" i="1" s="1"/>
  <c r="F26" i="1"/>
  <c r="C27" i="1"/>
  <c r="G27" i="1" s="1"/>
  <c r="H27" i="1" s="1" a="1"/>
  <c r="H27" i="1" s="1"/>
  <c r="E29" i="1"/>
  <c r="G29" i="1" s="1"/>
  <c r="H29" i="1" s="1" a="1"/>
  <c r="H29" i="1" s="1"/>
  <c r="G30" i="1"/>
  <c r="H30" i="1" s="1" a="1"/>
  <c r="H30" i="1" s="1"/>
  <c r="G32" i="1"/>
  <c r="G33" i="1"/>
  <c r="H33" i="1" s="1" a="1"/>
  <c r="H33" i="1" s="1"/>
  <c r="G34" i="1"/>
  <c r="D35" i="1"/>
  <c r="D12" i="2"/>
  <c r="D13" i="2"/>
  <c r="D14" i="2"/>
  <c r="D15" i="2"/>
  <c r="B32" i="3" l="1"/>
  <c r="B27" i="3"/>
  <c r="B21" i="3"/>
  <c r="B19" i="3"/>
  <c r="B26" i="3" s="1"/>
  <c r="G35" i="1"/>
  <c r="H35" i="1" s="1" a="1"/>
  <c r="H35" i="1" s="1"/>
  <c r="F35" i="1"/>
  <c r="F28" i="1"/>
  <c r="G28" i="1" s="1"/>
  <c r="H28" i="1" s="1" a="1"/>
  <c r="H28" i="1" s="1"/>
  <c r="G10" i="1"/>
  <c r="H10" i="1" s="1" a="1"/>
  <c r="H10" i="1" s="1"/>
  <c r="F10" i="1"/>
  <c r="G26" i="1"/>
  <c r="H26" i="1" s="1" a="1"/>
  <c r="H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Цыбровский Владимир</author>
    <author>tc={97B7117D-A3D6-4FF9-9163-B0C450C16710}</author>
    <author>tc={A302DFC4-CE31-4452-87D4-C6D0C9D351E7}</author>
    <author>tc={F2B29B49-F0D8-4A05-9178-400BE32060A1}</author>
    <author>tc={97B68A0E-2CD0-42B9-AAC0-A394AE9695B3}</author>
  </authors>
  <commentList>
    <comment ref="K3" authorId="0" shapeId="0" xr:uid="{00000000-0006-0000-0000-000001000000}">
      <text>
        <r>
          <rPr>
            <sz val="11"/>
            <rFont val="Calibri"/>
            <charset val="1"/>
          </rPr>
          <t xml:space="preserve">Цыбровский Владимир:
Первое число не менять, второе это число сколько идёт бой, то бишь если хотите посмотреть урон за 5 секунд боя пишем 5
</t>
        </r>
      </text>
    </comment>
    <comment ref="E4" authorId="0" shapeId="0" xr:uid="{00000000-0006-0000-0000-000002000000}">
      <text>
        <r>
          <rPr>
            <sz val="11"/>
            <rFont val="Calibri"/>
            <charset val="1"/>
          </rPr>
          <t xml:space="preserve">Цыбровский Владимир:
Дебафф противника
</t>
        </r>
      </text>
    </comment>
    <comment ref="H5" authorId="0" shapeId="0" xr:uid="{00000000-0006-0000-0000-000003000000}">
      <text>
        <r>
          <rPr>
            <sz val="11"/>
            <rFont val="Calibri"/>
            <charset val="1"/>
          </rPr>
          <t>Цыбровский Владимир:
it is support forever</t>
        </r>
      </text>
    </comment>
    <comment ref="B7" authorId="0" shapeId="0" xr:uid="{00000000-0006-0000-0000-000004000000}">
      <text>
        <r>
          <rPr>
            <sz val="11"/>
            <rFont val="Calibri"/>
            <charset val="1"/>
          </rPr>
          <t>Цыбровский Владимир:
Катакомбы</t>
        </r>
      </text>
    </comment>
    <comment ref="D7" authorId="0" shapeId="0" xr:uid="{00000000-0006-0000-0000-000005000000}">
      <text>
        <r>
          <rPr>
            <sz val="11"/>
            <rFont val="Calibri"/>
            <charset val="1"/>
          </rPr>
          <t xml:space="preserve">Цыбровский Владимир:
стаки яда за 2 секунды
</t>
        </r>
      </text>
    </comment>
    <comment ref="B11" authorId="0" shapeId="0" xr:uid="{00000000-0006-0000-0000-000006000000}">
      <text>
        <r>
          <rPr>
            <sz val="11"/>
            <rFont val="Calibri"/>
            <charset val="1"/>
          </rPr>
          <t xml:space="preserve">Цыбровский Владимир:
Подземелья
</t>
        </r>
      </text>
    </comment>
    <comment ref="E11" authorId="0" shapeId="0" xr:uid="{00000000-0006-0000-0000-000007000000}">
      <text>
        <r>
          <rPr>
            <sz val="11"/>
            <rFont val="Calibri"/>
            <charset val="1"/>
          </rPr>
          <t xml:space="preserve">Цыбровский Владимир:
Вампиризм от 1 атаки
</t>
        </r>
      </text>
    </comment>
    <comment ref="B12" authorId="0" shapeId="0" xr:uid="{00000000-0006-0000-0000-000008000000}">
      <text>
        <r>
          <rPr>
            <sz val="11"/>
            <rFont val="Calibri"/>
            <charset val="1"/>
          </rPr>
          <t xml:space="preserve">Цыбровский Владимир:
Отнимает атаку противнику
</t>
        </r>
      </text>
    </comment>
    <comment ref="B14" authorId="0" shapeId="0" xr:uid="{00000000-0006-0000-0000-000009000000}">
      <text>
        <r>
          <rPr>
            <sz val="11"/>
            <rFont val="Calibri"/>
            <charset val="1"/>
          </rPr>
          <t xml:space="preserve">Цыбровский Владимир:
При победе в катакомбах хил отряда
</t>
        </r>
      </text>
    </comment>
    <comment ref="C15" authorId="0" shapeId="0" xr:uid="{00000000-0006-0000-0000-00000A000000}">
      <text>
        <r>
          <rPr>
            <sz val="11"/>
            <rFont val="Calibri"/>
            <charset val="1"/>
          </rPr>
          <t xml:space="preserve">Цыбровский Владимир:
от атаки отряда
</t>
        </r>
      </text>
    </comment>
    <comment ref="E15" authorId="0" shapeId="0" xr:uid="{00000000-0006-0000-0000-00000B000000}">
      <text>
        <r>
          <rPr>
            <sz val="11"/>
            <rFont val="Calibri"/>
            <charset val="1"/>
          </rPr>
          <t xml:space="preserve">Цыбровский Владимир:
количества ультимейтов
</t>
        </r>
      </text>
    </comment>
    <comment ref="F15" authorId="0" shapeId="0" xr:uid="{00000000-0006-0000-0000-00000C000000}">
      <text>
        <r>
          <rPr>
            <sz val="11"/>
            <rFont val="Calibri"/>
            <charset val="1"/>
          </rPr>
          <t>Цыбровский Владимир:
ХП призванных кристаллов</t>
        </r>
      </text>
    </comment>
    <comment ref="H15" authorId="0" shapeId="0" xr:uid="{00000000-0006-0000-0000-00000D000000}">
      <text>
        <r>
          <rPr>
            <sz val="11"/>
            <rFont val="Calibri"/>
            <charset val="1"/>
          </rPr>
          <t xml:space="preserve">Цыбровский Владимир:
Средний дамаг, но это по рандом характеристикам. Если ставить её родные то она останется саппортом
</t>
        </r>
      </text>
    </comment>
    <comment ref="B16" authorId="0" shapeId="0" xr:uid="{00000000-0006-0000-0000-00000E000000}">
      <text>
        <r>
          <rPr>
            <sz val="11"/>
            <rFont val="Calibri"/>
            <charset val="1"/>
          </rPr>
          <t xml:space="preserve">Цыбровский Владимир:
ХП в катакомбы для отряда
</t>
        </r>
      </text>
    </comment>
    <comment ref="E16" authorId="0" shapeId="0" xr:uid="{00000000-0006-0000-0000-00000F000000}">
      <text>
        <r>
          <rPr>
            <sz val="11"/>
            <rFont val="Calibri"/>
            <charset val="1"/>
          </rPr>
          <t>Цыбровский Владимир:
Дебафф атаки противника: следопыт, маг, поддержка.</t>
        </r>
      </text>
    </comment>
    <comment ref="B17" authorId="0" shapeId="0" xr:uid="{00000000-0006-0000-0000-000010000000}">
      <text>
        <r>
          <rPr>
            <sz val="11"/>
            <rFont val="Calibri"/>
            <charset val="1"/>
          </rPr>
          <t>Цыбровский Владимир:
Подземелье</t>
        </r>
      </text>
    </comment>
    <comment ref="C17" authorId="0" shapeId="0" xr:uid="{00000000-0006-0000-0000-000011000000}">
      <text>
        <r>
          <rPr>
            <sz val="11"/>
            <rFont val="Calibri"/>
            <charset val="1"/>
          </rPr>
          <t>Цыбровский Владимир:
количество ультимейтов</t>
        </r>
      </text>
    </comment>
    <comment ref="B19" authorId="0" shapeId="0" xr:uid="{00000000-0006-0000-0000-000012000000}">
      <text>
        <r>
          <rPr>
            <sz val="11"/>
            <rFont val="Calibri"/>
            <charset val="1"/>
          </rPr>
          <t>Цыбровский Владимир:
ХП отряда</t>
        </r>
      </text>
    </comment>
    <comment ref="C19" authorId="0" shapeId="0" xr:uid="{00000000-0006-0000-0000-000013000000}">
      <text>
        <r>
          <rPr>
            <sz val="11"/>
            <rFont val="Calibri"/>
            <charset val="1"/>
          </rPr>
          <t>Цыбровский Владимир:
Здоровья шарда,+-0,17 брони и сопр.магии</t>
        </r>
      </text>
    </comment>
    <comment ref="D19" authorId="0" shapeId="0" xr:uid="{00000000-0006-0000-0000-000014000000}">
      <text>
        <r>
          <rPr>
            <sz val="11"/>
            <rFont val="Calibri"/>
            <charset val="1"/>
          </rPr>
          <t xml:space="preserve">Цыбровский Владимир:
regeneration for second
</t>
        </r>
      </text>
    </comment>
    <comment ref="F19" authorId="0" shapeId="0" xr:uid="{00000000-0006-0000-0000-000015000000}">
      <text>
        <r>
          <rPr>
            <sz val="11"/>
            <rFont val="Calibri"/>
            <charset val="1"/>
          </rPr>
          <t xml:space="preserve">Цыбровский Владимир:
debaff on regeneration the enemy
</t>
        </r>
      </text>
    </comment>
    <comment ref="E20" authorId="0" shapeId="0" xr:uid="{00000000-0006-0000-0000-000016000000}">
      <text>
        <r>
          <rPr>
            <sz val="11"/>
            <rFont val="Calibri"/>
            <charset val="1"/>
          </rPr>
          <t>Цыбровский Владимир:
shield all allied heroes</t>
        </r>
      </text>
    </comment>
    <comment ref="C21" authorId="0" shapeId="0" xr:uid="{00000000-0006-0000-0000-000017000000}">
      <text>
        <r>
          <rPr>
            <sz val="11"/>
            <rFont val="Calibri"/>
            <charset val="1"/>
          </rPr>
          <t>Цыбровский Владимир:
+10 for 3 seconds energy</t>
        </r>
      </text>
    </comment>
    <comment ref="D21" authorId="0" shapeId="0" xr:uid="{00000000-0006-0000-0000-000018000000}">
      <text>
        <r>
          <rPr>
            <sz val="11"/>
            <rFont val="Calibri"/>
            <charset val="1"/>
          </rPr>
          <t xml:space="preserve">Цыбровский Владимир:
количество ультимейтов
</t>
        </r>
      </text>
    </comment>
    <comment ref="D22" authorId="0" shapeId="0" xr:uid="{00000000-0006-0000-0000-000019000000}">
      <text>
        <r>
          <rPr>
            <sz val="11"/>
            <rFont val="Calibri"/>
            <charset val="1"/>
          </rPr>
          <t xml:space="preserve">Цыбровский Владимир:
attack power in backline
</t>
        </r>
      </text>
    </comment>
    <comment ref="D23" authorId="0" shapeId="0" xr:uid="{00000000-0006-0000-0000-00001A000000}">
      <text>
        <r>
          <rPr>
            <sz val="11"/>
            <rFont val="Calibri"/>
            <charset val="1"/>
          </rPr>
          <t>Цыбровский Владимир:
resistances enemy for allies frontline</t>
        </r>
      </text>
    </comment>
    <comment ref="F23" authorId="0" shapeId="0" xr:uid="{00000000-0006-0000-0000-00001B000000}">
      <text>
        <r>
          <rPr>
            <sz val="11"/>
            <rFont val="Calibri"/>
            <charset val="1"/>
          </rPr>
          <t>Цыбровский Владимир:
reduces any healing</t>
        </r>
      </text>
    </comment>
    <comment ref="C24" authorId="0" shapeId="0" xr:uid="{00000000-0006-0000-0000-00001C000000}">
      <text>
        <r>
          <rPr>
            <sz val="11"/>
            <rFont val="Calibri"/>
            <charset val="1"/>
          </rPr>
          <t>Цыбровский Владимир:
attack speed 0,35 for blood</t>
        </r>
      </text>
    </comment>
    <comment ref="B27" authorId="0" shapeId="0" xr:uid="{00000000-0006-0000-0000-00001D000000}">
      <text>
        <r>
          <rPr>
            <sz val="11"/>
            <rFont val="Calibri"/>
            <charset val="1"/>
          </rPr>
          <t>Цыбровский Владимир:
Attack power in a catacomb</t>
        </r>
      </text>
    </comment>
    <comment ref="E27" authorId="0" shapeId="0" xr:uid="{00000000-0006-0000-0000-00001E000000}">
      <text>
        <r>
          <rPr>
            <sz val="11"/>
            <rFont val="Calibri"/>
            <charset val="1"/>
          </rPr>
          <t>Цыбровский Владимир:
shield</t>
        </r>
      </text>
    </comment>
    <comment ref="D28" authorId="0" shapeId="0" xr:uid="{00000000-0006-0000-0000-00001F000000}">
      <text>
        <r>
          <rPr>
            <sz val="11"/>
            <rFont val="Calibri"/>
            <charset val="1"/>
          </rPr>
          <t xml:space="preserve">Цыбровский Владимир:
hp bar
</t>
        </r>
      </text>
    </comment>
    <comment ref="E28" authorId="0" shapeId="0" xr:uid="{00000000-0006-0000-0000-000020000000}">
      <text>
        <r>
          <rPr>
            <sz val="11"/>
            <rFont val="Calibri"/>
            <charset val="1"/>
          </rPr>
          <t xml:space="preserve">Цыбровский Владимир:
energy in attack
</t>
        </r>
      </text>
    </comment>
    <comment ref="H28" authorId="0" shapeId="0" xr:uid="{00000000-0006-0000-0000-000021000000}">
      <text>
        <r>
          <rPr>
            <sz val="11"/>
            <rFont val="Calibri"/>
            <charset val="1"/>
          </rPr>
          <t>Цыбровский Владимир:
полностью хил</t>
        </r>
      </text>
    </comment>
    <comment ref="B30" authorId="0" shapeId="0" xr:uid="{00000000-0006-0000-0000-000022000000}">
      <text>
        <r>
          <rPr>
            <sz val="11"/>
            <rFont val="Calibri"/>
            <charset val="1"/>
          </rPr>
          <t>Цыбровский Владимир:
energy regeneration in a dungeon</t>
        </r>
      </text>
    </comment>
    <comment ref="C30" authorId="0" shapeId="0" xr:uid="{00000000-0006-0000-0000-000023000000}">
      <text>
        <r>
          <rPr>
            <sz val="11"/>
            <rFont val="Calibri"/>
            <charset val="1"/>
          </rPr>
          <t>Цыбровский Владимир:
o,2 damage is all through this ability is converted</t>
        </r>
      </text>
    </comment>
    <comment ref="E30" authorId="0" shapeId="0" xr:uid="{00000000-0006-0000-0000-000024000000}">
      <text>
        <r>
          <rPr>
            <sz val="11"/>
            <rFont val="Calibri"/>
            <charset val="1"/>
          </rPr>
          <t>Цыбровский Владимир:
debaff damage is enemy</t>
        </r>
      </text>
    </comment>
    <comment ref="F30" authorId="0" shapeId="0" xr:uid="{00000000-0006-0000-0000-000025000000}">
      <text>
        <r>
          <rPr>
            <sz val="11"/>
            <rFont val="Calibri"/>
            <charset val="1"/>
          </rPr>
          <t>Цыбровский Владимир:
*cast ultimate</t>
        </r>
      </text>
    </comment>
    <comment ref="E31" authorId="0" shapeId="0" xr:uid="{00000000-0006-0000-0000-000026000000}">
      <text>
        <r>
          <rPr>
            <sz val="11"/>
            <rFont val="Calibri"/>
            <charset val="1"/>
          </rPr>
          <t xml:space="preserve">Цыбровский Владимир:
количество ультимейтов
</t>
        </r>
      </text>
    </comment>
    <comment ref="C33" authorId="0" shapeId="0" xr:uid="{00000000-0006-0000-0000-000027000000}">
      <text>
        <r>
          <rPr>
            <sz val="11"/>
            <rFont val="Calibri"/>
            <charset val="1"/>
          </rPr>
          <t>Цыбровский Владимир:
-0,8 magic resistance</t>
        </r>
      </text>
    </comment>
    <comment ref="D33" authorId="0" shapeId="0" xr:uid="{00000000-0006-0000-0000-000028000000}">
      <text>
        <r>
          <rPr>
            <sz val="11"/>
            <rFont val="Calibri"/>
            <charset val="1"/>
          </rPr>
          <t>Цыбровский Владимир:
сюда вставлять цифры из 3 столбца 2 таблице справа от основной</t>
        </r>
      </text>
    </comment>
    <comment ref="C34" authorId="0" shapeId="0" xr:uid="{00000000-0006-0000-0000-000029000000}">
      <text>
        <r>
          <rPr>
            <sz val="11"/>
            <rFont val="Calibri"/>
            <charset val="1"/>
          </rPr>
          <t xml:space="preserve">Цыбровский Владимир:
50 energy
</t>
        </r>
      </text>
    </comment>
    <comment ref="E34" authorId="0" shapeId="0" xr:uid="{00000000-0006-0000-0000-00002A000000}">
      <text>
        <r>
          <rPr>
            <sz val="11"/>
            <rFont val="Calibri"/>
            <charset val="1"/>
          </rPr>
          <t xml:space="preserve">Цыбровский Владимир:
срез урона по себе
</t>
        </r>
      </text>
    </comment>
    <comment ref="B35" authorId="0" shapeId="0" xr:uid="{00000000-0006-0000-0000-00002B000000}">
      <text>
        <r>
          <rPr>
            <sz val="11"/>
            <rFont val="Calibri"/>
            <charset val="1"/>
          </rPr>
          <t xml:space="preserve">Цыбровский Владимир:
catacomb
</t>
        </r>
      </text>
    </comment>
    <comment ref="B36" authorId="0" shapeId="0" xr:uid="{00000000-0006-0000-0000-00002C000000}">
      <text>
        <r>
          <rPr>
            <sz val="11"/>
            <rFont val="Calibri"/>
            <charset val="1"/>
          </rPr>
          <t xml:space="preserve">Цыбровский Владимир:
catacomb
</t>
        </r>
      </text>
    </comment>
    <comment ref="C37" authorId="1" shapeId="0" xr:uid="{97B7117D-A3D6-4FF9-9163-B0C450C16710}">
      <text>
        <t>[Threaded comment]
Your version of Excel allows you to read this threaded comment; however, any edits to it will get removed if the file is opened in a newer version of Excel. Learn more: https://go.microsoft.com/fwlink/?linkid=870924
Comment:
    Скорость атаки и уклонения с бронёй</t>
      </text>
    </comment>
    <comment ref="D37" authorId="2" shapeId="0" xr:uid="{A302DFC4-CE31-4452-87D4-C6D0C9D351E7}">
      <text>
        <t>[Threaded comment]
Your version of Excel allows you to read this threaded comment; however, any edits to it will get removed if the file is opened in a newer version of Excel. Learn more: https://go.microsoft.com/fwlink/?linkid=870924
Comment:
    Если вампиры то -0,45</t>
      </text>
    </comment>
    <comment ref="B38" authorId="3" shapeId="0" xr:uid="{F2B29B49-F0D8-4A05-9178-400BE32060A1}">
      <text>
        <t>[Threaded comment]
Your version of Excel allows you to read this threaded comment; however, any edits to it will get removed if the file is opened in a newer version of Excel. Learn more: https://go.microsoft.com/fwlink/?linkid=870924
Comment:
    Против вестников</t>
      </text>
    </comment>
    <comment ref="F38" authorId="4" shapeId="0" xr:uid="{97B68A0E-2CD0-42B9-AAC0-A394AE9695B3}">
      <text>
        <t>[Threaded comment]
Your version of Excel allows you to read this threaded comment; however, any edits to it will get removed if the file is opened in a newer version of Excel. Learn more: https://go.microsoft.com/fwlink/?linkid=870924
Comment:
    доп урон по хилам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I3" authorId="0" shapeId="0" xr:uid="{00000000-0006-0000-0100-000001000000}">
      <text>
        <r>
          <rPr>
            <sz val="11"/>
            <rFont val="Calibri"/>
            <charset val="1"/>
          </rPr>
          <t>Asus:
1-20 лвл</t>
        </r>
      </text>
    </comment>
    <comment ref="I4" authorId="0" shapeId="0" xr:uid="{00000000-0006-0000-0100-000002000000}">
      <text>
        <r>
          <rPr>
            <sz val="11"/>
            <rFont val="Calibri"/>
            <charset val="1"/>
          </rPr>
          <t xml:space="preserve">Asus:
21-40 лвл
</t>
        </r>
      </text>
    </comment>
    <comment ref="I5" authorId="0" shapeId="0" xr:uid="{00000000-0006-0000-0100-000003000000}">
      <text>
        <r>
          <rPr>
            <sz val="11"/>
            <rFont val="Calibri"/>
            <charset val="1"/>
          </rPr>
          <t>Asus:
41-60 лвл</t>
        </r>
      </text>
    </comment>
    <comment ref="I6" authorId="0" shapeId="0" xr:uid="{00000000-0006-0000-0100-000004000000}">
      <text>
        <r>
          <rPr>
            <sz val="11"/>
            <rFont val="Calibri"/>
            <charset val="1"/>
          </rPr>
          <t>Asus:
61-80 лвл</t>
        </r>
      </text>
    </comment>
    <comment ref="I7" authorId="0" shapeId="0" xr:uid="{00000000-0006-0000-0100-000005000000}">
      <text>
        <r>
          <rPr>
            <sz val="11"/>
            <rFont val="Calibri"/>
            <charset val="1"/>
          </rPr>
          <t>Asus:
81-100 лвл</t>
        </r>
      </text>
    </comment>
    <comment ref="I8" authorId="0" shapeId="0" xr:uid="{00000000-0006-0000-0100-000006000000}">
      <text>
        <r>
          <rPr>
            <sz val="11"/>
            <rFont val="Calibri"/>
            <charset val="1"/>
          </rPr>
          <t>Asus:
101-110 лвл</t>
        </r>
      </text>
    </comment>
    <comment ref="I9" authorId="0" shapeId="0" xr:uid="{00000000-0006-0000-0100-000007000000}">
      <text>
        <r>
          <rPr>
            <sz val="11"/>
            <rFont val="Calibri"/>
            <charset val="1"/>
          </rPr>
          <t>Asus:
111-120 лвл</t>
        </r>
      </text>
    </comment>
    <comment ref="I10" authorId="0" shapeId="0" xr:uid="{00000000-0006-0000-0100-000008000000}">
      <text>
        <r>
          <rPr>
            <sz val="11"/>
            <rFont val="Calibri"/>
            <charset val="1"/>
          </rPr>
          <t>Asus:
121-130 лвл</t>
        </r>
      </text>
    </comment>
    <comment ref="I11" authorId="0" shapeId="0" xr:uid="{00000000-0006-0000-0100-000009000000}">
      <text>
        <r>
          <rPr>
            <sz val="11"/>
            <rFont val="Calibri"/>
            <charset val="1"/>
          </rPr>
          <t>Asus:
131-140 лвл</t>
        </r>
      </text>
    </comment>
    <comment ref="I12" authorId="0" shapeId="0" xr:uid="{00000000-0006-0000-0100-00000A000000}">
      <text>
        <r>
          <rPr>
            <sz val="11"/>
            <rFont val="Calibri"/>
            <charset val="1"/>
          </rPr>
          <t>Asus:
141-150 лвл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<sst xmlns="http://schemas.openxmlformats.org/spreadsheetml/2006/main" count="153" uniqueCount="105">
  <si>
    <t>Характеристика героев</t>
  </si>
  <si>
    <t>Столбец2</t>
  </si>
  <si>
    <t>Столбец3</t>
  </si>
  <si>
    <t>Столбец4</t>
  </si>
  <si>
    <t>Столбец5</t>
  </si>
  <si>
    <t>Столбец6</t>
  </si>
  <si>
    <t>Атака</t>
  </si>
  <si>
    <t>ХП</t>
  </si>
  <si>
    <t>Скорость атаки</t>
  </si>
  <si>
    <t>T, сек</t>
  </si>
  <si>
    <t>Стан</t>
  </si>
  <si>
    <t>Шанс крита</t>
  </si>
  <si>
    <t>Крит урон</t>
  </si>
  <si>
    <t>Энергия за удар</t>
  </si>
  <si>
    <t>Восстановление энергии</t>
  </si>
  <si>
    <t>Восстановление хп</t>
  </si>
  <si>
    <t>Урон за атаку</t>
  </si>
  <si>
    <t>Броня</t>
  </si>
  <si>
    <t>Защита от магии</t>
  </si>
  <si>
    <t>Столбец7</t>
  </si>
  <si>
    <t>Пассивный эффект</t>
  </si>
  <si>
    <t>Первое умение</t>
  </si>
  <si>
    <t>Второе умение</t>
  </si>
  <si>
    <t>Третье умения</t>
  </si>
  <si>
    <t>Четвертое умение</t>
  </si>
  <si>
    <t>Формула урона/лечения</t>
  </si>
  <si>
    <t>Изара</t>
  </si>
  <si>
    <t>-</t>
  </si>
  <si>
    <t>Таблица</t>
  </si>
  <si>
    <t>Урона ульфурии</t>
  </si>
  <si>
    <t>Доктор Вольф</t>
  </si>
  <si>
    <t>Саранча</t>
  </si>
  <si>
    <t>Садахару</t>
  </si>
  <si>
    <t>Хаалил</t>
  </si>
  <si>
    <t>Бишоп</t>
  </si>
  <si>
    <t>Зверь</t>
  </si>
  <si>
    <t>Лукреция</t>
  </si>
  <si>
    <t>Виктор</t>
  </si>
  <si>
    <t>Даэва</t>
  </si>
  <si>
    <t>Магла</t>
  </si>
  <si>
    <t>Восс</t>
  </si>
  <si>
    <t>Осгот</t>
  </si>
  <si>
    <t>Катрина</t>
  </si>
  <si>
    <t>Адмирал</t>
  </si>
  <si>
    <t>Халбьерн</t>
  </si>
  <si>
    <t>Гримр</t>
  </si>
  <si>
    <t>Лямбда</t>
  </si>
  <si>
    <t>Алесса</t>
  </si>
  <si>
    <t>Стаматус</t>
  </si>
  <si>
    <t>Дориан</t>
  </si>
  <si>
    <t>Бирша</t>
  </si>
  <si>
    <t>Нифа</t>
  </si>
  <si>
    <t>Викки</t>
  </si>
  <si>
    <t>Алтиная</t>
  </si>
  <si>
    <t>Богомол</t>
  </si>
  <si>
    <t>Ла Круа</t>
  </si>
  <si>
    <t>Фангрим</t>
  </si>
  <si>
    <t>Юнь</t>
  </si>
  <si>
    <t>Ульфурия</t>
  </si>
  <si>
    <t>Морвенна</t>
  </si>
  <si>
    <t>Альбус</t>
  </si>
  <si>
    <t>Алисиия</t>
  </si>
  <si>
    <t>Тич</t>
  </si>
  <si>
    <t>Альтоск</t>
  </si>
  <si>
    <t>Герои</t>
  </si>
  <si>
    <t>Вещи</t>
  </si>
  <si>
    <t>Голова</t>
  </si>
  <si>
    <t>Нагрудник</t>
  </si>
  <si>
    <t>Ботинки</t>
  </si>
  <si>
    <t>Оружие</t>
  </si>
  <si>
    <t>Бижутерия</t>
  </si>
  <si>
    <t>Здоровья,броня,восстановление здоровья</t>
  </si>
  <si>
    <t>Восстановление энергии,урон,крит урон\крит шанс</t>
  </si>
  <si>
    <t>Энергия при ударе,Урон,крит шанс\крит урон</t>
  </si>
  <si>
    <t>Здоровья,броня,сопротивление,восстановление энергии</t>
  </si>
  <si>
    <t>Энергия при ударе,сила атаки,восстановление энергии</t>
  </si>
  <si>
    <t>Здоровья,броня,восстановление здоровья,уворот</t>
  </si>
  <si>
    <t>Сила атаки,скорость атаки,крит урон</t>
  </si>
  <si>
    <t>Сила атаки,скорость атаки,крит урон,уворот</t>
  </si>
  <si>
    <t>Здоровья,броня,сопротивление,восстановление здоровья</t>
  </si>
  <si>
    <t>Сила атаки,скорость атаки,энергия за удар</t>
  </si>
  <si>
    <t>Здоровья,восстановление здоровья,сила атаки\броня</t>
  </si>
  <si>
    <t>Здоровья,уворот,восстановление энергии</t>
  </si>
  <si>
    <t>Сила атаки,скорость атаки</t>
  </si>
  <si>
    <t>Сила атаки,скорость атаки,крит урон,крит шанс</t>
  </si>
  <si>
    <t>Сила атаки,восстановление энергии,энергия за удар</t>
  </si>
  <si>
    <t>Фрагменты на ранг героев</t>
  </si>
  <si>
    <t>Жетоны</t>
  </si>
  <si>
    <t>Осколки</t>
  </si>
  <si>
    <t>Фрагменты героя за уровень</t>
  </si>
  <si>
    <t>Обычные</t>
  </si>
  <si>
    <t>Редкие</t>
  </si>
  <si>
    <t>Эпические</t>
  </si>
  <si>
    <t>Легендарные</t>
  </si>
  <si>
    <t>Очки за lvl-up</t>
  </si>
  <si>
    <t>Очки за ранг персонажа</t>
  </si>
  <si>
    <t>Очки за прокачку навыков персонажа</t>
  </si>
  <si>
    <t>1-20 уровень</t>
  </si>
  <si>
    <t>21-40 уровень</t>
  </si>
  <si>
    <t>41-60 уровень</t>
  </si>
  <si>
    <t>61-80 уровень</t>
  </si>
  <si>
    <t>81-100 уровень</t>
  </si>
  <si>
    <t>101-150 уровень</t>
  </si>
  <si>
    <t>Навыки</t>
  </si>
  <si>
    <t>Суммарно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</si>
</sst>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  <charset val="1"/>
    </font>
    <font>
      <sz val="11"/>
      <name val="Calibri"/>
      <charset val="1"/>
    </font>
    <font>
      <sz val="11"/>
      <color rgb="FFFFFFFF"/>
      <name val="Calibri"/>
      <charset val="1"/>
    </font>
    <font>
      <sz val="11"/>
      <color rgb="FF444444"/>
      <name val="Calibri"/>
      <charset val="1"/>
    </font>
    <font>
      <b/>
      <sz val="11"/>
      <color rgb="FF00B05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</fonts>
  <fills count="2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rgb="FF92D050"/>
      </patternFill>
    </fill>
    <fill>
      <patternFill patternType="solid">
        <fgColor rgb="FF000000"/>
        <bgColor rgb="FF000000"/>
      </patternFill>
    </fill>
    <fill>
      <patternFill patternType="solid">
        <fgColor rgb="FF548235"/>
        <bgColor rgb="FF548235"/>
      </patternFill>
    </fill>
    <fill>
      <patternFill patternType="darkHorizontal">
        <fgColor rgb="FF00A800"/>
        <bgColor rgb="FFFF0000"/>
      </patternFill>
    </fill>
    <fill>
      <patternFill patternType="darkHorizontal">
        <fgColor rgb="FFFF000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E6E6E6"/>
        <bgColor rgb="FFE6E6E6"/>
      </patternFill>
    </fill>
    <fill>
      <patternFill patternType="solid">
        <fgColor rgb="FF8CB4D2"/>
        <bgColor rgb="FF8CB4D2"/>
      </patternFill>
    </fill>
    <fill>
      <patternFill patternType="solid">
        <fgColor rgb="FFE8BABA"/>
        <bgColor rgb="FFE8BABA"/>
      </patternFill>
    </fill>
    <fill>
      <patternFill patternType="solid">
        <fgColor rgb="FFFFCCCC"/>
        <bgColor rgb="FFFFCCCC"/>
      </patternFill>
    </fill>
    <fill>
      <patternFill patternType="solid">
        <fgColor rgb="FFCCCCFF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rgb="FF000000"/>
      </right>
      <top/>
      <bottom style="thin">
        <color auto="1"/>
      </bottom>
      <diagonal/>
    </border>
    <border>
      <left style="thick">
        <color rgb="FF000000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1" fontId="1" fillId="2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2" fontId="1" fillId="3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" fontId="1" fillId="5" borderId="0" xfId="0" applyNumberFormat="1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1" fontId="5" fillId="1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16" borderId="15" xfId="0" applyFont="1" applyFill="1" applyBorder="1" applyAlignment="1">
      <alignment horizontal="center" vertical="center"/>
    </xf>
    <xf numFmtId="0" fontId="1" fillId="17" borderId="15" xfId="0" applyFont="1" applyFill="1" applyBorder="1" applyAlignment="1">
      <alignment horizontal="center" vertical="center"/>
    </xf>
    <xf numFmtId="0" fontId="1" fillId="18" borderId="15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14" borderId="17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17" borderId="16" xfId="0" applyFont="1" applyFill="1" applyBorder="1" applyAlignment="1">
      <alignment horizontal="center" vertical="center"/>
    </xf>
    <xf numFmtId="0" fontId="1" fillId="18" borderId="16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14" borderId="16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13" borderId="8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3" borderId="21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1" fillId="21" borderId="0" xfId="0" applyFont="1" applyFill="1" applyAlignment="1">
      <alignment horizontal="center" vertical="center" wrapText="1"/>
    </xf>
    <xf numFmtId="0" fontId="1" fillId="2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Цыбровский Владимир" id="{7DB283E7-098C-412E-8099-FF0A532720BE}" userId="c80d4b22b6612d7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7" dT="2022-03-30T20:30:21.95" personId="{7DB283E7-098C-412E-8099-FF0A532720BE}" id="{97B7117D-A3D6-4FF9-9163-B0C450C16710}">
    <text>Скорость атаки и уклонения с бронёй</text>
  </threadedComment>
  <threadedComment ref="D37" dT="2022-03-30T20:31:49.73" personId="{7DB283E7-098C-412E-8099-FF0A532720BE}" id="{A302DFC4-CE31-4452-87D4-C6D0C9D351E7}">
    <text>Если вампиры то -0,45</text>
  </threadedComment>
  <threadedComment ref="B38" dT="2022-03-30T20:35:56.27" personId="{7DB283E7-098C-412E-8099-FF0A532720BE}" id="{F2B29B49-F0D8-4A05-9178-400BE32060A1}">
    <text>Против вестников</text>
  </threadedComment>
  <threadedComment ref="F38" dT="2022-03-30T20:43:58.37" personId="{7DB283E7-098C-412E-8099-FF0A532720BE}" id="{97B68A0E-2CD0-42B9-AAC0-A394AE9695B3}">
    <text>доп урон по хилам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1"/>
  <sheetViews>
    <sheetView tabSelected="1" topLeftCell="C5" zoomScale="75" zoomScaleNormal="75" workbookViewId="0">
      <selection activeCell="A8" sqref="A8:XFD8"/>
    </sheetView>
  </sheetViews>
  <sheetFormatPr defaultColWidth="12.140625" defaultRowHeight="15" customHeight="1"/>
  <cols>
    <col min="1" max="1" width="16.42578125" style="1" customWidth="1"/>
    <col min="2" max="2" width="12.140625" style="1" customWidth="1"/>
    <col min="3" max="3" width="13.85546875" style="1" customWidth="1"/>
    <col min="4" max="9" width="12.140625" style="1" customWidth="1"/>
    <col min="10" max="10" width="14.42578125" style="1" customWidth="1"/>
    <col min="11" max="41" width="12.140625" style="1" customWidth="1"/>
  </cols>
  <sheetData>
    <row r="1" spans="1:41">
      <c r="H1" s="2"/>
      <c r="I1" s="2"/>
      <c r="J1" s="3"/>
      <c r="K1" s="3"/>
      <c r="L1" s="3"/>
      <c r="M1" s="3"/>
      <c r="N1" s="3"/>
      <c r="O1" s="3"/>
    </row>
    <row r="2" spans="1:41" ht="30.75">
      <c r="A2" s="2" t="s">
        <v>0</v>
      </c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5" t="s">
        <v>7</v>
      </c>
      <c r="J2" s="6" t="s">
        <v>8</v>
      </c>
      <c r="K2" s="2" t="s">
        <v>9</v>
      </c>
      <c r="L2" s="7" t="s">
        <v>10</v>
      </c>
      <c r="M2" s="8" t="s">
        <v>11</v>
      </c>
      <c r="N2" s="8" t="s">
        <v>12</v>
      </c>
      <c r="O2" s="9" t="s">
        <v>13</v>
      </c>
      <c r="P2" s="9" t="s">
        <v>14</v>
      </c>
      <c r="Q2" s="10" t="s">
        <v>15</v>
      </c>
      <c r="R2" s="2" t="s">
        <v>16</v>
      </c>
      <c r="S2" s="21" t="s">
        <v>17</v>
      </c>
      <c r="T2" s="21" t="s">
        <v>18</v>
      </c>
      <c r="U2" s="2" t="s">
        <v>19</v>
      </c>
      <c r="V2" s="2"/>
      <c r="W2" s="2"/>
      <c r="X2" s="2"/>
      <c r="Y2" s="2"/>
      <c r="Z2" s="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1.25">
      <c r="A3" s="2"/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>
        <v>10000</v>
      </c>
      <c r="I3" s="2">
        <v>70000</v>
      </c>
      <c r="J3" s="2">
        <v>72</v>
      </c>
      <c r="K3" s="2">
        <f>60/20</f>
        <v>3</v>
      </c>
      <c r="L3" s="2">
        <f>J3-0.9</f>
        <v>71.099999999999994</v>
      </c>
      <c r="M3" s="2">
        <v>0.34</v>
      </c>
      <c r="N3" s="2">
        <f>R3+1.04</f>
        <v>2.04</v>
      </c>
      <c r="O3" s="2">
        <v>7</v>
      </c>
      <c r="P3" s="3">
        <v>10</v>
      </c>
      <c r="Q3" s="3">
        <v>767</v>
      </c>
      <c r="R3" s="3">
        <v>1</v>
      </c>
      <c r="S3" s="3">
        <v>20</v>
      </c>
      <c r="T3" s="3">
        <v>20</v>
      </c>
      <c r="U3" s="3"/>
      <c r="V3" s="2"/>
      <c r="W3" s="2"/>
      <c r="X3" s="2"/>
      <c r="Y3" s="2"/>
      <c r="Z3" s="2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ht="30.75">
      <c r="A4" s="2" t="s">
        <v>26</v>
      </c>
      <c r="B4" s="2" t="s">
        <v>27</v>
      </c>
      <c r="C4" s="4">
        <f>IF($M$3&lt;0.5,$H$3*(3.2+0.3*10),$H$3*(3.2+0.3*10)*$N$3)</f>
        <v>62000</v>
      </c>
      <c r="D4" s="4">
        <f>IF($M$3&lt;0.5,$H$3*1.2*($J$3*1.17)/$K$3*3+$H$3*0.8*10*20,$H$3*1.2*($J$3*1.17)/$K$3*3*$N$3+$H$3*0.8*10*20*$N$3)</f>
        <v>2610880</v>
      </c>
      <c r="E4" s="6">
        <f>-0.35-$R$3</f>
        <v>-1.35</v>
      </c>
      <c r="F4" s="6">
        <f>(0.18+0.05*4)+$R$3</f>
        <v>1.38</v>
      </c>
      <c r="G4" s="12">
        <f>C4*((($J$3+F4)/$K$3*$O$3+($P$3*(60/$K$3)))/100)+D4+IF($M$3&lt;0.5,$H$3*(($J$3+F4))*1.17/$K$3,$H$3*(($J$3+F4)*1.17)/$K$3*$N$3)</f>
        <v>3127218.4</v>
      </c>
      <c r="H4" s="2" t="str">
        <f t="array" ref="H4">_xlfn.IFS(G4/$H$3&lt;20,"Саппорт/Танк",G4/$H$3&lt;80,"Средний Дамаг",G4/$H$3&gt;80,"Высокий Дамаг")</f>
        <v>Высокий Дамаг</v>
      </c>
      <c r="I4" s="13">
        <f>($J$3/60)*9</f>
        <v>10.799999999999999</v>
      </c>
      <c r="J4" s="2" t="s">
        <v>28</v>
      </c>
      <c r="K4" s="14" t="s">
        <v>29</v>
      </c>
      <c r="L4" s="2"/>
      <c r="M4" s="14"/>
      <c r="N4" s="2"/>
      <c r="O4" s="2"/>
      <c r="P4" s="3"/>
      <c r="Q4" s="3"/>
      <c r="R4" s="3"/>
      <c r="S4" s="3"/>
      <c r="T4" s="3"/>
      <c r="U4" s="3"/>
      <c r="V4" s="2"/>
      <c r="W4" s="2"/>
      <c r="X4" s="2"/>
      <c r="Y4" s="2"/>
      <c r="Z4" s="2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 ht="27.75" customHeight="1">
      <c r="A5" s="2" t="s">
        <v>30</v>
      </c>
      <c r="B5" s="2" t="s">
        <v>27</v>
      </c>
      <c r="C5" s="5">
        <f>$H$3*1.5+$I$3*0.4</f>
        <v>43000</v>
      </c>
      <c r="D5" s="5">
        <f>($I$3+E5)*0.1*(($J$3+F5)/K3)</f>
        <v>326928</v>
      </c>
      <c r="E5" s="5">
        <f>$I$3*(0.25+0.035*4)</f>
        <v>27300</v>
      </c>
      <c r="F5" s="6">
        <f>$J$3*(0.1*4)</f>
        <v>28.8</v>
      </c>
      <c r="G5" s="15">
        <f>C5*((($J$3+F4)/$K$3*$O$3+($P$3*(60/$K$3)))/100)+D5</f>
        <v>486552.6</v>
      </c>
      <c r="H5" s="2" t="str">
        <f t="array" ref="H5">_xlfn.IFS(G5/$H$3&lt;20,"Саппорт/Танк",G5/$H$3&lt;80,"Средний Дамаг",G5/$H$3&gt;80,"Высокий Дамаг")</f>
        <v>Средний Дамаг</v>
      </c>
      <c r="I5" s="16">
        <f>$I$3*0.1</f>
        <v>7000</v>
      </c>
      <c r="J5" s="4">
        <f>I5/$I$3</f>
        <v>0.1</v>
      </c>
      <c r="K5" s="17">
        <f t="array" ref="K5">_xlfn.IFS(J5&lt;0.1,$H$3*($R$3+0.17*9),J5&lt;0.2,$H$3*($R$3+0.17*8),J5&lt;0.3,$H$3*($R$3+0.17*7),J5&lt;0.4,$H$3*($R$3+0.17*6),J5&lt;0.5,$H$3*($R$3+0.17*5),J5&lt;0.6,$H$3*($R$3+0.17*4),J5&lt;0.7,$H$3*($R$3+0.17*3),J5&lt;0.8,$H$3*($R$3+0.17*2),J5&lt;0.9,$H$3*($R$3+0.17*1),J5&gt;=0.9,$H$3)</f>
        <v>23600.000000000004</v>
      </c>
      <c r="L5" s="2"/>
      <c r="M5" s="2"/>
      <c r="N5" s="2"/>
      <c r="O5" s="2"/>
      <c r="P5" s="3"/>
      <c r="Q5" s="3"/>
      <c r="R5" s="3"/>
      <c r="S5" s="3"/>
      <c r="T5" s="3"/>
      <c r="U5" s="3"/>
      <c r="V5" s="2"/>
      <c r="W5" s="2"/>
      <c r="X5" s="2"/>
      <c r="Y5" s="2"/>
      <c r="Z5" s="2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31.5" customHeight="1">
      <c r="A6" s="2" t="s">
        <v>31</v>
      </c>
      <c r="B6" s="2" t="s">
        <v>27</v>
      </c>
      <c r="C6" s="4">
        <f>IF($M$3&lt;0.5,4*$H$3,4*$H$3*$N$3)</f>
        <v>40000</v>
      </c>
      <c r="D6" s="4">
        <f>IF($M$3&lt;0.5,$H$3*2.2*$J$3/$K$3/3,$H$3*2.2*$J$3/$K$3/3*$N$3)</f>
        <v>176000</v>
      </c>
      <c r="E6" s="9">
        <f>35</f>
        <v>35</v>
      </c>
      <c r="F6" s="4">
        <f>$H$3*$N$3*$J$3/$K$3</f>
        <v>489600</v>
      </c>
      <c r="G6" s="12">
        <f>C6*(($J$3/$K$3*$O$3+($P$3*(60/$K$3)))/100)+D6+F6</f>
        <v>812800</v>
      </c>
      <c r="H6" s="2" t="str">
        <f t="array" ref="H6">_xlfn.IFS(G6/$H$3&lt;20,"Саппорт/Танк",G6/$H$3&lt;80,"Средний Дамаг",G6/$H$3&gt;80,"Высокий Дамаг")</f>
        <v>Высокий Дамаг</v>
      </c>
      <c r="I6" s="16">
        <f>$I$3*0.2</f>
        <v>14000</v>
      </c>
      <c r="J6" s="4">
        <f>I6/$I$3</f>
        <v>0.2</v>
      </c>
      <c r="K6" s="17">
        <f t="array" ref="K6">_xlfn.IFS(J6&lt;0.1,$H$3*($R$3+0.17*9),J6&lt;0.2,$H$3*($R$3+0.17*8),J6&lt;0.3,$H$3*($R$3+0.17*7),J6&lt;0.4,$H$3*($R$3+0.17*6),J6&lt;0.5,$H$3*($R$3+0.17*5),J6&lt;0.6,$H$3*($R$3+0.17*4),J6&lt;0.7,$H$3*($R$3+0.17*3),J6&lt;0.8,$H$3*($R$3+0.17*2),J6&lt;0.9,$H$3*($R$3+0.17*1),J6&gt;=0.9,$H$3)</f>
        <v>21900.000000000004</v>
      </c>
      <c r="L6" s="2"/>
      <c r="M6" s="2"/>
      <c r="N6" s="2"/>
      <c r="O6" s="2"/>
      <c r="P6" s="3"/>
      <c r="Q6" s="3"/>
      <c r="R6" s="3"/>
      <c r="S6" s="3"/>
      <c r="T6" s="3"/>
      <c r="U6" s="3"/>
      <c r="V6" s="2"/>
      <c r="W6" s="2"/>
      <c r="X6" s="2"/>
      <c r="Y6" s="2"/>
      <c r="Z6" s="2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ht="29.25" customHeight="1">
      <c r="A7" s="2" t="s">
        <v>32</v>
      </c>
      <c r="B7" s="8">
        <f>0.25</f>
        <v>0.25</v>
      </c>
      <c r="C7" s="4">
        <f>(4*$H$3+D7*($H$3*0.4))*IF(($M$3+B7+E7*10)&lt;0.5,1,$N$3)</f>
        <v>159936</v>
      </c>
      <c r="D7" s="18">
        <f>IF(IF((4*$J$3/60)&gt;10,10,4*$J$3/60)&lt;10,IF((4*$J$3/60)&gt;10,10,4*$J$3/60)*2,IF((4*$J$3/60)&gt;10,10,4*$J$3/60))</f>
        <v>9.6</v>
      </c>
      <c r="E7" s="8">
        <f>D7*0.04</f>
        <v>0.38400000000000001</v>
      </c>
      <c r="F7" s="19">
        <f>-0.35</f>
        <v>-0.35</v>
      </c>
      <c r="G7" s="12">
        <f>C7*(($J$3/$K$3*$O$3+($P$3*(60/$K$3)))/100)+$H$3*$J$3/$K$3+C7*20*IF(($M$3+B7+E7*10)&gt;1,$N$3,($M$3+B7+E7*10)*$N$3)</f>
        <v>7353953.2799999993</v>
      </c>
      <c r="H7" s="2" t="str">
        <f t="array" ref="H7">_xlfn.IFS(G7/$H$3&lt;20,"Саппорт/Танк",G7/$H$3&lt;80,"Средний Дамаг",G7/$H$3&gt;80,"Высокий Дамаг")</f>
        <v>Высокий Дамаг</v>
      </c>
      <c r="I7" s="16">
        <f>$I$3*0.3</f>
        <v>21000</v>
      </c>
      <c r="J7" s="4">
        <f>I7/$I$3</f>
        <v>0.3</v>
      </c>
      <c r="K7" s="17">
        <f t="array" ref="K7">_xlfn.IFS(J7&lt;0.1,$H$3*($R$3+0.17*9),J7&lt;0.2,$H$3*($R$3+0.17*8),J7&lt;0.3,$H$3*($R$3+0.17*7),J7&lt;0.4,$H$3*($R$3+0.17*6),J7&lt;0.5,$H$3*($R$3+0.17*5),J7&lt;0.6,$H$3*($R$3+0.17*4),J7&lt;0.7,$H$3*($R$3+0.17*3),J7&lt;0.8,$H$3*($R$3+0.17*2),J7&lt;0.9,$H$3*($R$3+0.17*1),J7&gt;=0.9,$H$3)</f>
        <v>20200</v>
      </c>
      <c r="L7" s="2"/>
      <c r="M7" s="2"/>
      <c r="N7" s="2"/>
      <c r="O7" s="2"/>
      <c r="P7" s="3"/>
      <c r="Q7" s="3"/>
      <c r="R7" s="3"/>
      <c r="S7" s="3"/>
      <c r="T7" s="3"/>
      <c r="U7" s="3"/>
      <c r="V7" s="2"/>
      <c r="W7" s="2"/>
      <c r="X7" s="2"/>
      <c r="Y7" s="2"/>
      <c r="Z7" s="2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ht="32.25" customHeight="1">
      <c r="A8" s="2" t="s">
        <v>33</v>
      </c>
      <c r="B8" s="2" t="s">
        <v>27</v>
      </c>
      <c r="C8" s="4">
        <f>IF($M$3&lt;0.5,1.7*H3,1.7*$H$3*$N$3)</f>
        <v>17000</v>
      </c>
      <c r="D8" s="5">
        <f>0.65*$I$3</f>
        <v>45500</v>
      </c>
      <c r="E8" s="2" t="s">
        <v>27</v>
      </c>
      <c r="F8" s="20">
        <f>$J$3/$K$3/3</f>
        <v>8</v>
      </c>
      <c r="G8" s="12">
        <f>C8*(($J$3/$K$3*$O$3+($P$3*(60/$K$3)))/100)+IF($M$3&lt;0.5,$J$3/$K$3*$H$3,$J$3/$K$3*$H$3*$N$3)</f>
        <v>302560</v>
      </c>
      <c r="H8" s="2" t="str">
        <f t="array" ref="H8">_xlfn.IFS(G8/$H$3&lt;20,"Саппорт/Танк",G8/$H$3&lt;80,"Средний Дамаг",G8/$H$3&gt;80,"Высокий Дамаг")</f>
        <v>Средний Дамаг</v>
      </c>
      <c r="I8" s="16">
        <f>$I$3*0.4</f>
        <v>28000</v>
      </c>
      <c r="J8" s="4">
        <f>I8/$I$3</f>
        <v>0.4</v>
      </c>
      <c r="K8" s="17">
        <f t="array" ref="K8">_xlfn.IFS(J8&lt;0.1,$H$3*($R$3+0.17*9),J8&lt;0.2,$H$3*($R$3+0.17*8),J8&lt;0.3,$H$3*($R$3+0.17*7),J8&lt;0.4,$H$3*($R$3+0.17*6),J8&lt;0.5,$H$3*($R$3+0.17*5),J8&lt;0.6,$H$3*($R$3+0.17*4),J8&lt;0.7,$H$3*($R$3+0.17*3),J8&lt;0.8,$H$3*($R$3+0.17*2),J8&lt;0.9,$H$3*($R$3+0.17*1),J8&gt;=0.9,$H$3)</f>
        <v>18500</v>
      </c>
      <c r="L8" s="2"/>
      <c r="M8" s="2"/>
      <c r="N8" s="2"/>
      <c r="O8" s="2"/>
      <c r="P8" s="3"/>
      <c r="Q8" s="3"/>
      <c r="R8" s="3"/>
      <c r="S8" s="3"/>
      <c r="T8" s="3"/>
      <c r="U8" s="3"/>
      <c r="V8" s="2"/>
      <c r="W8" s="2"/>
      <c r="X8" s="2"/>
      <c r="Y8" s="2"/>
      <c r="Z8" s="2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 ht="30.75" customHeight="1">
      <c r="A9" s="2" t="s">
        <v>34</v>
      </c>
      <c r="B9" s="2" t="s">
        <v>27</v>
      </c>
      <c r="C9" s="4">
        <f>IF($M$3&lt;0.5,$H$3*1.05*4,$H$3*1.05*4*$N$3)</f>
        <v>42000</v>
      </c>
      <c r="D9" s="12">
        <f>IF($M$3&lt;0.5,$H$3*1.7+$H$3*1.7*(60/$K$3/7),$H$3*1.7*$N$3+$H$3*1.7*(60/$K$3/7)*$N$3)</f>
        <v>65571.42857142858</v>
      </c>
      <c r="E9" s="4">
        <f>IF($M$3&lt;0.5,$J$3/$K$3/4*($H$3*1.7),$J$3/$K$3/4*($H$3*1.7)*$N$3)</f>
        <v>102000</v>
      </c>
      <c r="F9" s="7">
        <f>3.5</f>
        <v>3.5</v>
      </c>
      <c r="G9" s="12">
        <f>C9*(($J$3/$K$3*$O$3+($P$3*(60/$K$3)))/100)+D9+E9+IF($M$3&lt;0.5,$J$3/$K$3*$H$3,$J$3/$K$3*$H$3*$N$3)</f>
        <v>562131.42857142864</v>
      </c>
      <c r="H9" s="2" t="str">
        <f t="array" ref="H9">_xlfn.IFS(G9/$H$3&lt;20,"Саппорт/Танк",G9/$H$3&lt;80,"Средний Дамаг",G9/$H$3&gt;80,"Высокий Дамаг")</f>
        <v>Средний Дамаг</v>
      </c>
      <c r="I9" s="16">
        <f>$I$3*0.5</f>
        <v>35000</v>
      </c>
      <c r="J9" s="4">
        <f>I9/$I$3</f>
        <v>0.5</v>
      </c>
      <c r="K9" s="17">
        <f t="array" ref="K9">_xlfn.IFS(J9&lt;0.1,$H$3*($R$3+0.17*9),J9&lt;0.2,$H$3*($R$3+0.17*8),J9&lt;0.3,$H$3*($R$3+0.17*7),J9&lt;0.4,$H$3*($R$3+0.17*6),J9&lt;0.5,$H$3*($R$3+0.17*5),J9&lt;0.6,$H$3*($R$3+0.17*4),J9&lt;0.7,$H$3*($R$3+0.17*3),J9&lt;0.8,$H$3*($R$3+0.17*2),J9&lt;0.9,$H$3*($R$3+0.17*1),J9&gt;=0.9,$H$3)</f>
        <v>16800</v>
      </c>
      <c r="L9" s="2"/>
      <c r="M9" s="2"/>
      <c r="N9" s="2"/>
      <c r="O9" s="2"/>
      <c r="P9" s="3"/>
      <c r="Q9" s="3"/>
      <c r="R9" s="3"/>
      <c r="S9" s="3"/>
      <c r="T9" s="3"/>
      <c r="U9" s="3"/>
      <c r="V9" s="2"/>
      <c r="W9" s="2"/>
      <c r="X9" s="2"/>
      <c r="Y9" s="2"/>
      <c r="Z9" s="2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 ht="29.25" customHeight="1">
      <c r="A10" s="2" t="s">
        <v>35</v>
      </c>
      <c r="B10" s="2" t="s">
        <v>27</v>
      </c>
      <c r="C10" s="6">
        <f>$J$3*0.5</f>
        <v>36</v>
      </c>
      <c r="D10" s="4">
        <f>IF($M$3&lt;0.5,($J$3+C10)*$H$3*3.5/30/4+$J$3*$H$3/4/4,($J$3+C10)*$H$3*3.5/30/4*$N$3+$J$3*$H$3/4/4*$N$3)</f>
        <v>76500</v>
      </c>
      <c r="E10" s="2" t="s">
        <v>27</v>
      </c>
      <c r="F10" s="5">
        <f>(C10+D10)*0.17</f>
        <v>13011.12</v>
      </c>
      <c r="G10" s="12">
        <f>D10+IF(M3&lt;0.5,$J$3*$H$3/$K$3,$J$3*$H$3/$K$3*$N$3)</f>
        <v>316500</v>
      </c>
      <c r="H10" s="2" t="str">
        <f t="array" ref="H10">_xlfn.IFS(G10/$H$3&lt;20,"Саппорт/Танк",G10/$H$3&lt;80,"Средний Дамаг",G10/$H$3&gt;80,"Высокий Дамаг")</f>
        <v>Средний Дамаг</v>
      </c>
      <c r="I10" s="16">
        <f>$I$3*0.6</f>
        <v>42000</v>
      </c>
      <c r="J10" s="4">
        <f>I10/$I$3</f>
        <v>0.6</v>
      </c>
      <c r="K10" s="17">
        <f t="array" ref="K10">_xlfn.IFS(J10&lt;0.1,$H$3*($R$3+0.17*9),J10&lt;0.2,$H$3*($R$3+0.17*8),J10&lt;0.3,$H$3*($R$3+0.17*7),J10&lt;0.4,$H$3*($R$3+0.17*6),J10&lt;0.5,$H$3*($R$3+0.17*5),J10&lt;0.6,$H$3*($R$3+0.17*4),J10&lt;0.7,$H$3*($R$3+0.17*3),J10&lt;0.8,$H$3*($R$3+0.17*2),J10&lt;0.9,$H$3*($R$3+0.17*1),J10&gt;=0.9,$H$3)</f>
        <v>15100</v>
      </c>
      <c r="L10" s="2"/>
      <c r="M10" s="2"/>
      <c r="N10" s="2"/>
      <c r="O10" s="2"/>
      <c r="P10" s="3"/>
      <c r="Q10" s="3"/>
      <c r="R10" s="3"/>
      <c r="S10" s="3"/>
      <c r="T10" s="3"/>
      <c r="U10" s="3"/>
      <c r="V10" s="2"/>
      <c r="W10" s="2"/>
      <c r="X10" s="2"/>
      <c r="Y10" s="2"/>
      <c r="Z10" s="2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ht="31.5" customHeight="1">
      <c r="A11" s="2" t="s">
        <v>36</v>
      </c>
      <c r="B11" s="5">
        <f>0.1</f>
        <v>0.1</v>
      </c>
      <c r="C11" s="4">
        <f>($H$3+D11)*1.9*$N$3</f>
        <v>106590</v>
      </c>
      <c r="D11" s="4">
        <f>$H$3*(0.35*5)</f>
        <v>17500</v>
      </c>
      <c r="E11" s="5">
        <f>0.17*5*($H$3+D11)</f>
        <v>23375.000000000004</v>
      </c>
      <c r="F11" s="6">
        <f>$J$3*(0.08*5)</f>
        <v>28.8</v>
      </c>
      <c r="G11" s="12">
        <f>C11*((($J$3+F11)/$K$3*$O$3+($P$3*(60/$K$3)))/100)+IF(M3&lt;0.5,($H$3+D11)*($J$3+F11)/$K$3,($H$3+D11)*($J$3+F11)/$K$3*$N$3)</f>
        <v>1387879.6800000002</v>
      </c>
      <c r="H11" s="2" t="str">
        <f t="array" ref="H11">_xlfn.IFS(G11/$H$3&lt;20,"Саппорт/Танк",G11/$H$3&lt;80,"Средний Дамаг",G11/$H$3&gt;80,"Высокий Дамаг")</f>
        <v>Высокий Дамаг</v>
      </c>
      <c r="I11" s="16">
        <f>$I$3*0.7</f>
        <v>49000</v>
      </c>
      <c r="J11" s="4">
        <f>I11/$I$3</f>
        <v>0.7</v>
      </c>
      <c r="K11" s="17">
        <f t="array" ref="K11">_xlfn.IFS(J11&lt;0.1,$H$3*($R$3+0.17*9),J11&lt;0.2,$H$3*($R$3+0.17*8),J11&lt;0.3,$H$3*($R$3+0.17*7),J11&lt;0.4,$H$3*($R$3+0.17*6),J11&lt;0.5,$H$3*($R$3+0.17*5),J11&lt;0.6,$H$3*($R$3+0.17*4),J11&lt;0.7,$H$3*($R$3+0.17*3),J11&lt;0.8,$H$3*($R$3+0.17*2),J11&lt;0.9,$H$3*($R$3+0.17*1),J11&gt;=0.9,$H$3)</f>
        <v>13400</v>
      </c>
      <c r="L11" s="2"/>
      <c r="M11" s="2"/>
      <c r="N11" s="2"/>
      <c r="O11" s="2"/>
      <c r="P11" s="3"/>
      <c r="Q11" s="3"/>
      <c r="R11" s="3"/>
      <c r="S11" s="3"/>
      <c r="T11" s="3"/>
      <c r="U11" s="3"/>
      <c r="V11" s="2"/>
      <c r="W11" s="2"/>
      <c r="X11" s="2"/>
      <c r="Y11" s="2"/>
      <c r="Z11" s="2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ht="28.5" customHeight="1">
      <c r="A12" s="2" t="s">
        <v>37</v>
      </c>
      <c r="B12" s="4">
        <f>-0.1</f>
        <v>-0.1</v>
      </c>
      <c r="C12" s="21">
        <f>0.6</f>
        <v>0.6</v>
      </c>
      <c r="D12" s="4">
        <f>-0.5</f>
        <v>-0.5</v>
      </c>
      <c r="E12" s="4">
        <f>-0.17</f>
        <v>-0.17</v>
      </c>
      <c r="F12" s="5">
        <f>0.17*5*$I$3</f>
        <v>59500.000000000007</v>
      </c>
      <c r="G12" s="12">
        <f>IF(M3&lt;0.5,$J$3/$K$3*$H$3,$J$3/$K$3*$H$3*$N$3)</f>
        <v>240000</v>
      </c>
      <c r="H12" s="2" t="str">
        <f t="array" ref="H12">_xlfn.IFS(G12/$H$3&lt;20,"Саппорт/Танк",G12/$H$3&lt;80,"Средний Дамаг",G12/$H$3&gt;80,"Высокий Дамаг")</f>
        <v>Средний Дамаг</v>
      </c>
      <c r="I12" s="16">
        <f>$I$3*0.8</f>
        <v>56000</v>
      </c>
      <c r="J12" s="4">
        <f>I12/$I$3</f>
        <v>0.8</v>
      </c>
      <c r="K12" s="17">
        <f t="array" ref="K12">_xlfn.IFS(J12&lt;0.1,$H$3*($R$3+0.17*9),J12&lt;0.2,$H$3*($R$3+0.17*8),J12&lt;0.3,$H$3*($R$3+0.17*7),J12&lt;0.4,$H$3*($R$3+0.17*6),J12&lt;0.5,$H$3*($R$3+0.17*5),J12&lt;0.6,$H$3*($R$3+0.17*4),J12&lt;0.7,$H$3*($R$3+0.17*3),J12&lt;0.8,$H$3*($R$3+0.17*2),J12&lt;0.9,$H$3*($R$3+0.17*1),J12&gt;=0.9,$H$3)</f>
        <v>11700</v>
      </c>
      <c r="L12" s="2"/>
      <c r="M12" s="2"/>
      <c r="N12" s="2"/>
      <c r="O12" s="2"/>
      <c r="P12" s="3"/>
      <c r="Q12" s="3"/>
      <c r="R12" s="3"/>
      <c r="S12" s="3"/>
      <c r="T12" s="3"/>
      <c r="U12" s="3"/>
      <c r="V12" s="2"/>
      <c r="W12" s="2"/>
      <c r="X12" s="2"/>
      <c r="Y12" s="2"/>
      <c r="Z12" s="2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ht="32.25" customHeight="1">
      <c r="A13" s="2" t="s">
        <v>38</v>
      </c>
      <c r="B13" s="2" t="s">
        <v>27</v>
      </c>
      <c r="C13" s="4">
        <f>IF($M$3&lt;0.5,(6.4+E13)*$H$3,(6.4+E13)*$H$3*$N$3)</f>
        <v>67600</v>
      </c>
      <c r="D13" s="4">
        <f>0.5</f>
        <v>0.5</v>
      </c>
      <c r="E13" s="4">
        <f>0.06*6</f>
        <v>0.36</v>
      </c>
      <c r="F13" s="4">
        <f>IF(M3&lt;0.5,$H$3*5,$H$3*5*$N$3)</f>
        <v>50000</v>
      </c>
      <c r="G13" s="12">
        <f>C13*(($J$3/$K$3*$O$3+($P$3*(60/$K$3)))/100)+F13+IF(M3&lt;0.5,($J$3/$K$3*$H$3),($J$3/$K$3*$H$3)*$N$3)</f>
        <v>538768</v>
      </c>
      <c r="H13" s="2" t="str">
        <f t="array" ref="H13">_xlfn.IFS(G13/$H$3&lt;20,"Саппорт/Танк",G13/$H$3&lt;80,"Средний Дамаг",G13/$H$3&gt;80,"Высокий Дамаг")</f>
        <v>Средний Дамаг</v>
      </c>
      <c r="I13" s="16">
        <f>$I$3*0.9</f>
        <v>63000</v>
      </c>
      <c r="J13" s="4">
        <f>I13/$I$3</f>
        <v>0.9</v>
      </c>
      <c r="K13" s="17">
        <f t="array" ref="K13">_xlfn.IFS(J13&lt;0.1,$H$3*($R$3+0.17*9),J13&lt;0.2,$H$3*($R$3+0.17*8),J13&lt;0.3,$H$3*($R$3+0.17*7),J13&lt;0.4,$H$3*($R$3+0.17*6),J13&lt;0.5,$H$3*($R$3+0.17*5),J13&lt;0.6,$H$3*($R$3+0.17*4),J13&lt;0.7,$H$3*($R$3+0.17*3),J13&lt;0.8,$H$3*($R$3+0.17*2),J13&lt;0.9,$H$3*($R$3+0.17*1),J13&gt;=0.9,$H$3)</f>
        <v>10000</v>
      </c>
      <c r="L13" s="2"/>
      <c r="M13" s="2"/>
      <c r="N13" s="2"/>
      <c r="O13" s="2"/>
      <c r="P13" s="3"/>
      <c r="Q13" s="3"/>
      <c r="R13" s="3"/>
      <c r="S13" s="3"/>
      <c r="T13" s="3"/>
      <c r="U13" s="3"/>
      <c r="V13" s="2"/>
      <c r="W13" s="2"/>
      <c r="X13" s="2"/>
      <c r="Y13" s="2"/>
      <c r="Z13" s="2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ht="29.25" customHeight="1">
      <c r="A14" s="2" t="s">
        <v>39</v>
      </c>
      <c r="B14" s="5">
        <f>0.1</f>
        <v>0.1</v>
      </c>
      <c r="C14" s="7">
        <f>(($J$3/$K$3*$O$3+($P$3*(60/$K$3)))/100)+1</f>
        <v>4.68</v>
      </c>
      <c r="D14" s="4">
        <f>IF(($M$3+E14)&lt;0.5,$J$3/(60/C14)*$H$3*1.7*F14,$J$3/(60/C14)*$H$3*1.7*F14*$N$3)*((J$3/$K$3*$O$3+($P$3*(60/$K$3)))/100)</f>
        <v>1361782.0569600002</v>
      </c>
      <c r="E14" s="8">
        <f>0.35</f>
        <v>0.35</v>
      </c>
      <c r="F14" s="4">
        <f>0.03*30+$R$3</f>
        <v>1.9</v>
      </c>
      <c r="G14" s="12">
        <f>D14+IF((M3+E14)&lt;0.5,$H$3*F14*$J$3/$K$3,$H$3*F14*$J$3/$K$3*$N$3)</f>
        <v>2292022.0569600002</v>
      </c>
      <c r="H14" s="2" t="str">
        <f t="array" ref="H14">_xlfn.IFS(G14/$H$3&lt;20,"Саппорт/Танк",G14/$H$3&lt;80,"Средний Дамаг",G14/$H$3&gt;80,"Высокий Дамаг")</f>
        <v>Высокий Дамаг</v>
      </c>
      <c r="I14" s="16">
        <f>$I$3*1</f>
        <v>70000</v>
      </c>
      <c r="J14" s="4">
        <f>I14/$I$3</f>
        <v>1</v>
      </c>
      <c r="K14" s="17">
        <f t="array" ref="K14">_xlfn.IFS(J14&lt;0.1,$H$3*($R$3+0.17*9),J14&lt;0.2,$H$3*($R$3+0.17*8),J14&lt;0.3,$H$3*($R$3+0.17*7),J14&lt;0.4,$H$3*($R$3+0.17*6),J14&lt;0.5,$H$3*($R$3+0.17*5),J14&lt;0.6,$H$3*($R$3+0.17*4),J14&lt;0.7,$H$3*($R$3+0.17*3),J14&lt;0.8,$H$3*($R$3+0.17*2),J14&lt;0.9,$H$3*($R$3+0.17*1),J14&gt;=0.9,$H$3)</f>
        <v>10000</v>
      </c>
      <c r="L14" s="2"/>
      <c r="M14" s="2"/>
      <c r="N14" s="2"/>
      <c r="O14" s="2"/>
      <c r="P14" s="3"/>
      <c r="Q14" s="3"/>
      <c r="R14" s="3"/>
      <c r="S14" s="3"/>
      <c r="T14" s="3"/>
      <c r="U14" s="3"/>
      <c r="V14" s="2"/>
      <c r="W14" s="2"/>
      <c r="X14" s="2"/>
      <c r="Y14" s="2"/>
      <c r="Z14" s="2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ht="29.25" customHeight="1">
      <c r="A15" s="2" t="s">
        <v>40</v>
      </c>
      <c r="B15" s="2" t="s">
        <v>27</v>
      </c>
      <c r="C15" s="5">
        <f>0.5</f>
        <v>0.5</v>
      </c>
      <c r="D15" s="5">
        <f>0.03*$I$3*$K$3</f>
        <v>6300</v>
      </c>
      <c r="E15" s="9">
        <f>(((0.3+$R$3)*$P$3+$O$3*$J$3/60*(0.3+$R$3)+($J$3/$K$3*$O$3+($P$3*(60/$K$3))))/100)</f>
        <v>3.9192</v>
      </c>
      <c r="F15" s="5">
        <f>0.35*$I$3</f>
        <v>24500</v>
      </c>
      <c r="G15" s="12">
        <f>$H$3*$J$3/$K$3</f>
        <v>240000</v>
      </c>
      <c r="H15" s="2" t="str">
        <f t="array" ref="H15">_xlfn.IFS(G15/$H$3&lt;20,"Саппорт/Танк",G15/$H$3&lt;80,"Средний Дамаг",G15/$H$3&gt;80,"Высокий Дамаг")</f>
        <v>Средний Дамаг</v>
      </c>
      <c r="I15" s="2"/>
      <c r="J15" s="2"/>
      <c r="K15" s="2"/>
      <c r="L15" s="2"/>
      <c r="M15" s="2"/>
      <c r="N15" s="2"/>
      <c r="O15" s="2"/>
      <c r="P15" s="3"/>
      <c r="Q15" s="3"/>
      <c r="R15" s="3"/>
      <c r="S15" s="3"/>
      <c r="T15" s="3"/>
      <c r="U15" s="3"/>
      <c r="V15" s="2"/>
      <c r="W15" s="2"/>
      <c r="X15" s="2"/>
      <c r="Y15" s="2"/>
      <c r="Z15" s="2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ht="31.5" customHeight="1">
      <c r="A16" s="2" t="s">
        <v>41</v>
      </c>
      <c r="B16" s="5">
        <f>0.3</f>
        <v>0.3</v>
      </c>
      <c r="C16" s="4">
        <f>IF(M3&lt;0.5,5.1*$H$3,5.1*$H$3*$N$3)</f>
        <v>51000</v>
      </c>
      <c r="D16" s="9">
        <f>20</f>
        <v>20</v>
      </c>
      <c r="E16" s="4">
        <f>-0.5</f>
        <v>-0.5</v>
      </c>
      <c r="F16" s="4">
        <f>$I$3*0.085*4</f>
        <v>23800</v>
      </c>
      <c r="G16" s="12">
        <f>C16*(($J$3/$K$3*$O$3+($P$3*(60/$K$3))+D16)/100)+F16*4+IF(M3&lt;0.5,$H$3*$J$3/$K$3,$H$3*$J$3/$K$3*$N$3)</f>
        <v>533080</v>
      </c>
      <c r="H16" s="2" t="str">
        <f t="array" ref="H16">_xlfn.IFS(G16/$H$3&lt;20,"Саппорт/Танк",G16/$H$3&lt;80,"Средний Дамаг",G16/$H$3&gt;80,"Высокий Дамаг")</f>
        <v>Средний Дамаг</v>
      </c>
      <c r="I16" s="2"/>
      <c r="J16" s="2"/>
      <c r="K16" s="2"/>
      <c r="L16" s="2"/>
      <c r="M16" s="2"/>
      <c r="N16" s="2"/>
      <c r="O16" s="2"/>
      <c r="P16" s="3"/>
      <c r="Q16" s="3"/>
      <c r="R16" s="3"/>
      <c r="S16" s="3"/>
      <c r="T16" s="3"/>
      <c r="U16" s="3"/>
      <c r="V16" s="2"/>
      <c r="W16" s="2"/>
      <c r="X16" s="2"/>
      <c r="Y16" s="2"/>
      <c r="Z16" s="2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ht="29.25" customHeight="1">
      <c r="A17" s="2" t="s">
        <v>42</v>
      </c>
      <c r="B17" s="4">
        <f>0.4</f>
        <v>0.4</v>
      </c>
      <c r="C17" s="2">
        <f>(((E17+$J$3)/$K$3*$O$3+($P$3*(60/$K$3)))/100)</f>
        <v>4.3940000000000001</v>
      </c>
      <c r="D17" s="4">
        <f>0.085*5+$R$3</f>
        <v>1.425</v>
      </c>
      <c r="E17" s="6">
        <f>0.085*5*$J$3</f>
        <v>30.6</v>
      </c>
      <c r="F17" s="21">
        <f>-0.35</f>
        <v>-0.35</v>
      </c>
      <c r="G17" s="12">
        <f>IF(M3&lt;0.5,(E17+$J$3)/$K$3*($H$3*(D17+B17)),(E17+$J$3)/$K$3*($H$3*(D17+B17))*$N$3)</f>
        <v>624149.99999999988</v>
      </c>
      <c r="H17" s="2" t="str">
        <f t="array" ref="H17">_xlfn.IFS(G17/$H$3&lt;20,"Саппорт/Танк",G17/$H$3&lt;80,"Средний Дамаг",G17/$H$3&gt;80,"Высокий Дамаг")</f>
        <v>Средний Дамаг</v>
      </c>
      <c r="I17" s="2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2"/>
      <c r="W17" s="2"/>
      <c r="X17" s="2"/>
      <c r="Y17" s="2"/>
      <c r="Z17" s="2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ht="32.25" customHeight="1">
      <c r="A18" s="2" t="s">
        <v>43</v>
      </c>
      <c r="B18" s="4">
        <f>0.18</f>
        <v>0.18</v>
      </c>
      <c r="C18" s="4">
        <f>IF(M3&lt;0.5,17*($H$3*(F18+B18+B17+$R$3)),17*($H$3*(F18+B18+B17+$R$3))*$N$3)</f>
        <v>404600</v>
      </c>
      <c r="D18" s="4">
        <f>IF(M3&lt;0.5,3*(F18+B18+B17+$R$3*$H$3)*$J$3/$K$3/4,3*(F18+B18+B17+$R$3*$H$3)*$J$3/$K$3/4*$N$3)</f>
        <v>180024.84</v>
      </c>
      <c r="E18" s="9">
        <f>42</f>
        <v>42</v>
      </c>
      <c r="F18" s="4">
        <f>0.2*4</f>
        <v>0.8</v>
      </c>
      <c r="G18" s="12">
        <f>$H$3*(B18+B17+F18+$R$3)*((J$3/$K$3*$O$3+($P$3*(60/$K$3))+E18)/100)+C18+D18+IF(M3&lt;0.5,$J$3/$K$3*$H$3*(B17+F18+B18+$R$3),$J$3/$K$3*$H$3*(B17+F18+B18+$R$3)*$N$3)</f>
        <v>1253404.8399999999</v>
      </c>
      <c r="H18" s="2" t="str">
        <f t="array" ref="H18">_xlfn.IFS(G18/$H$3&lt;20,"Саппорт/Танк",G18/$H$3&lt;80,"Средний Дамаг",G18/$H$3&gt;80,"Высокий Дамаг")</f>
        <v>Высокий Дамаг</v>
      </c>
      <c r="I18" s="2"/>
      <c r="J18" s="2"/>
      <c r="K18" s="2"/>
      <c r="L18" s="2"/>
      <c r="M18" s="2"/>
      <c r="N18" s="2"/>
      <c r="O18" s="2"/>
      <c r="P18" s="3"/>
      <c r="Q18" s="3"/>
      <c r="R18" s="3"/>
      <c r="S18" s="3"/>
      <c r="T18" s="3"/>
      <c r="U18" s="3"/>
      <c r="V18" s="2"/>
      <c r="W18" s="2"/>
      <c r="X18" s="2"/>
      <c r="Y18" s="2"/>
      <c r="Z18" s="2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1:41" ht="30" customHeight="1">
      <c r="A19" s="2" t="s">
        <v>44</v>
      </c>
      <c r="B19" s="5">
        <f>0.15</f>
        <v>0.15</v>
      </c>
      <c r="C19" s="5">
        <f>$I$3*0.7</f>
        <v>49000</v>
      </c>
      <c r="D19" s="5">
        <f>$Q$3*($R$3+0.6+0.17*($I$4))</f>
        <v>2635.4119999999998</v>
      </c>
      <c r="E19" s="6">
        <f>0.17*$J$3</f>
        <v>12.24</v>
      </c>
      <c r="F19" s="5">
        <f>-0.5</f>
        <v>-0.5</v>
      </c>
      <c r="G19" s="12">
        <f>IF($M$3&lt;0.5,$H$3*((E19+$J$3)/$K$3),$H$3*((E19+$J$3)/$K$3)*$N$3)</f>
        <v>280800</v>
      </c>
      <c r="H19" s="2" t="str">
        <f t="array" ref="H19">_xlfn.IFS(G19/$H$3&lt;20,"Саппорт/Танк",G19/$H$3&lt;80,"Средний Дамаг",G19/$H$3&gt;80,"Высокий Дамаг")</f>
        <v>Средний Дамаг</v>
      </c>
      <c r="I19" s="2"/>
      <c r="J19" s="2"/>
      <c r="K19" s="2"/>
      <c r="L19" s="2"/>
      <c r="M19" s="2"/>
      <c r="N19" s="2"/>
      <c r="O19" s="2"/>
      <c r="P19" s="3"/>
      <c r="Q19" s="3"/>
      <c r="R19" s="3"/>
      <c r="S19" s="3"/>
      <c r="T19" s="3"/>
      <c r="U19" s="3"/>
      <c r="V19" s="2"/>
      <c r="W19" s="2"/>
      <c r="X19" s="2"/>
      <c r="Y19" s="2"/>
      <c r="Z19" s="2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ht="33" customHeight="1">
      <c r="A20" s="2" t="s">
        <v>45</v>
      </c>
      <c r="B20" s="2" t="s">
        <v>27</v>
      </c>
      <c r="C20" s="22">
        <f>IF($M$3&lt;0.5,$H$3*1.7,$H$3*1.7*$N$3)</f>
        <v>17000</v>
      </c>
      <c r="D20" s="23">
        <f>IF($M$3&lt;0.5,$I$3*0.085*$J$3/$K$3/4,$I$3*0.085*$J$3/$K$3/4*$N$3)</f>
        <v>35700</v>
      </c>
      <c r="E20" s="5">
        <f>$I$3*0.17</f>
        <v>11900</v>
      </c>
      <c r="F20" s="2" t="s">
        <v>27</v>
      </c>
      <c r="G20" s="24">
        <f>C20*(($J$3/$K$3*$O$3+($P$3*(60/$K$3)))/100)+E20+IF($M$3&lt;0.5,$H$3*$J$3/$K$3,$H$3*$J$3/$K$3*$N$3)</f>
        <v>314460</v>
      </c>
      <c r="H20" s="2" t="str">
        <f t="array" ref="H20">_xlfn.IFS(G20/$H$3&lt;20,"Саппорт/Танк",G20/$H$3&lt;80,"Средний Дамаг",G20/$H$3&gt;80,"Высокий Дамаг")</f>
        <v>Средний Дамаг</v>
      </c>
      <c r="I20" s="2"/>
      <c r="J20" s="2"/>
      <c r="K20" s="2"/>
      <c r="L20" s="2"/>
      <c r="M20" s="2"/>
      <c r="N20" s="2"/>
      <c r="O20" s="2"/>
      <c r="P20" s="3"/>
      <c r="Q20" s="3"/>
      <c r="R20" s="3"/>
      <c r="S20" s="3"/>
      <c r="T20" s="3"/>
      <c r="U20" s="3"/>
      <c r="V20" s="2"/>
      <c r="W20" s="2"/>
      <c r="X20" s="2"/>
      <c r="Y20" s="2"/>
      <c r="Z20" s="2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ht="34.5" customHeight="1">
      <c r="A21" s="2" t="s">
        <v>46</v>
      </c>
      <c r="B21" s="25" t="s">
        <v>27</v>
      </c>
      <c r="C21" s="5">
        <f>D5</f>
        <v>326928</v>
      </c>
      <c r="D21" s="9">
        <f>((($J$3+F4)/$K$3*($O$3+7)+($P$3*(60/$K$3)))/100)</f>
        <v>5.4243999999999994</v>
      </c>
      <c r="E21" s="9">
        <f>-10</f>
        <v>-10</v>
      </c>
      <c r="F21" s="7">
        <f>$J$3/$K$3/3*3.5</f>
        <v>28</v>
      </c>
      <c r="G21" s="12">
        <f>IF($M$3&lt;0.5,F21/3.5*$H$3,F21/3.5*$H$3*$N$3)</f>
        <v>80000</v>
      </c>
      <c r="H21" s="2" t="str">
        <f t="array" ref="H21">_xlfn.IFS(G21/$H$3&lt;20,"Саппорт/Танк",G21/$H$3&lt;80,"Средний Дамаг",G21/$H$3&gt;80,"Высокий Дамаг")</f>
        <v>Саппорт/Танк</v>
      </c>
      <c r="I21" s="2"/>
      <c r="J21" s="2"/>
      <c r="K21" s="2"/>
      <c r="L21" s="2"/>
      <c r="M21" s="2"/>
      <c r="N21" s="2"/>
      <c r="O21" s="2"/>
      <c r="P21" s="3"/>
      <c r="Q21" s="3"/>
      <c r="R21" s="3"/>
      <c r="S21" s="3"/>
      <c r="T21" s="3"/>
      <c r="U21" s="3"/>
      <c r="V21" s="2"/>
      <c r="W21" s="2"/>
      <c r="X21" s="2"/>
      <c r="Y21" s="2"/>
      <c r="Z21" s="2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ht="27.75" customHeight="1">
      <c r="A22" s="2" t="s">
        <v>47</v>
      </c>
      <c r="B22" s="2" t="s">
        <v>27</v>
      </c>
      <c r="C22" s="4">
        <f>IF($M$3&lt;0.5,$H$3*(B18+F18+B17+$R$3),$H$3*(B18+F18+B17+$R$3)*$N$3)</f>
        <v>23800</v>
      </c>
      <c r="D22" s="4">
        <f>0.18</f>
        <v>0.18</v>
      </c>
      <c r="E22" s="12">
        <f>IF($M$3&lt;0.5,$H$3*1.6*(B17+B18+F18+$R$3)*$J$3/$K$3/3,$H$3*1.6*(B17+B18+F18+$R$3)*$J$3/$K$3/3*$N$3)</f>
        <v>304640</v>
      </c>
      <c r="F22" s="5">
        <f>$J$3/$K$3/3*($I$3*0.5)</f>
        <v>280000</v>
      </c>
      <c r="G22" s="12">
        <f>C22*(($J$3/$K$3*$O$3+($P$3*(60/$K$3)))/100)+E22+IF($M$3&lt;0.5,$H$3*$J$3/$K$3,$H$3*$J$3/$K$3*$N$3)</f>
        <v>632224</v>
      </c>
      <c r="H22" s="2" t="str">
        <f t="array" ref="H22">_xlfn.IFS(G22/$H$3&lt;20,"Саппорт/Танк",G22/$H$3&lt;80,"Средний Дамаг",G22/$H$3&gt;80,"Высокий Дамаг")</f>
        <v>Средний Дамаг</v>
      </c>
      <c r="I22" s="2"/>
      <c r="J22" s="2"/>
      <c r="K22" s="2"/>
      <c r="L22" s="2"/>
      <c r="M22" s="2"/>
      <c r="N22" s="2"/>
      <c r="O22" s="2"/>
      <c r="P22" s="3"/>
      <c r="Q22" s="3"/>
      <c r="R22" s="3"/>
      <c r="S22" s="3"/>
      <c r="T22" s="3"/>
      <c r="U22" s="3"/>
      <c r="V22" s="2"/>
      <c r="W22" s="2"/>
      <c r="X22" s="2"/>
      <c r="Y22" s="2"/>
      <c r="Z22" s="2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ht="30" customHeight="1">
      <c r="A23" s="2" t="s">
        <v>48</v>
      </c>
      <c r="B23" s="2" t="s">
        <v>27</v>
      </c>
      <c r="C23" s="4">
        <f>IF($M$3&lt;0.5,$H$3*1.7*($R$3+B17+B18+F18),$H$3*1.7*($R$3+B17+B18+F18)*$N$3)+$I$3*0.4</f>
        <v>68460</v>
      </c>
      <c r="D23" s="21">
        <f>-0.25</f>
        <v>-0.25</v>
      </c>
      <c r="E23" s="4">
        <f>$I$3*0.17*$J$3/$K$3/4</f>
        <v>71400</v>
      </c>
      <c r="F23" s="5">
        <f>-0.34</f>
        <v>-0.34</v>
      </c>
      <c r="G23" s="12">
        <f>C23*(($J$3/$K$3*$O$3+($P$3*(60/$K$3)))/100)+E23+IF($M$3&lt;0.5,$H$3*($R$3+B17+B18+F18)*$J$3/$K$3,$H$3*($R$3+B17+B18+F18)*$J$3/$K$3*$N$3)</f>
        <v>894532.8</v>
      </c>
      <c r="H23" s="2" t="str">
        <f t="array" ref="H23">_xlfn.IFS(G23/$H$3&lt;20,"Саппорт/Танк",G23/$H$3&lt;80,"Средний Дамаг",G23/$H$3&gt;80,"Высокий Дамаг")</f>
        <v>Высокий Дамаг</v>
      </c>
      <c r="I23" s="2"/>
      <c r="J23" s="2"/>
      <c r="K23" s="2"/>
      <c r="L23" s="2"/>
      <c r="M23" s="2"/>
      <c r="N23" s="2"/>
      <c r="O23" s="2"/>
      <c r="P23" s="3"/>
      <c r="Q23" s="3"/>
      <c r="R23" s="3"/>
      <c r="S23" s="3"/>
      <c r="T23" s="3"/>
      <c r="U23" s="3"/>
      <c r="V23" s="2"/>
      <c r="W23" s="2"/>
      <c r="X23" s="2"/>
      <c r="Y23" s="2"/>
      <c r="Z23" s="2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ht="33.75" customHeight="1">
      <c r="A24" s="2" t="s">
        <v>49</v>
      </c>
      <c r="B24" s="2" t="s">
        <v>27</v>
      </c>
      <c r="C24" s="4">
        <f>IF($M$3&lt;0.5,$H$3*4.25*(B17+$R$3),$H$3*4.25*(B17+$R$3)*$N$3)</f>
        <v>59499.999999999993</v>
      </c>
      <c r="D24" s="4">
        <f>IF($M$3&lt;0.5,$H$3*1.7*(B17+$R$3),$H$3*1.7*(B17+$R$3)*$N$3)</f>
        <v>23800</v>
      </c>
      <c r="E24" s="6">
        <f>-0.35*J3</f>
        <v>-25.2</v>
      </c>
      <c r="F24" s="4">
        <f>0.35</f>
        <v>0.35</v>
      </c>
      <c r="G24" s="12">
        <f>C24*((($J$3*1.35)/$K$3*$O$3+($P$3*(60/$K$3)))/100)+D24+IF($M$3&lt;0.5,$H$3*(B17+$R$3)*($J$3*($R$3+0.35))/$K$3,$H$3*(B17+$R$3)*($J$3*($R$3+0.35))/$K$3*$N$3)</f>
        <v>731346</v>
      </c>
      <c r="H24" s="2" t="str">
        <f t="array" ref="H24">_xlfn.IFS(G24/$H$3&lt;20,"Саппорт/Танк",G24/$H$3&lt;80,"Средний Дамаг",G24/$H$3&gt;80,"Высокий Дамаг")</f>
        <v>Средний Дамаг</v>
      </c>
      <c r="I24" s="2"/>
      <c r="J24" s="2"/>
      <c r="K24" s="2"/>
      <c r="L24" s="2"/>
      <c r="M24" s="2"/>
      <c r="N24" s="2"/>
      <c r="O24" s="2"/>
      <c r="P24" s="3"/>
      <c r="Q24" s="3"/>
      <c r="R24" s="3"/>
      <c r="S24" s="3"/>
      <c r="T24" s="3"/>
      <c r="U24" s="3"/>
      <c r="V24" s="2"/>
      <c r="W24" s="2"/>
      <c r="X24" s="2"/>
      <c r="Y24" s="2"/>
      <c r="Z24" s="2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ht="37.5" customHeight="1">
      <c r="A25" s="2" t="s">
        <v>50</v>
      </c>
      <c r="B25" s="4">
        <f>0.4</f>
        <v>0.4</v>
      </c>
      <c r="C25" s="19">
        <f>IF($M$3&lt;0.5,$H$3*(B25+$R$3+F25)*2.15*3,$H$3*(B25+$R$3+F25)*2.15*3*$N$3)</f>
        <v>136740</v>
      </c>
      <c r="D25" s="4">
        <f>IF($M$3&lt;0.5,$H$3*(B25+$R$3+F25)*2.5*4,$H$3*(B25+$R$3+F25)*2.5*4*$N$3)</f>
        <v>212000</v>
      </c>
      <c r="E25" s="2" t="s">
        <v>27</v>
      </c>
      <c r="F25" s="4">
        <f>$J$3/$K$3/3*0.09</f>
        <v>0.72</v>
      </c>
      <c r="G25" s="12">
        <f>C25*(($J$3/$K$3*$O$3+($P$3*(60/$K$3)))/100)+D25+IF($M$3&lt;0.5,$H$3*(B25+F25+$R$3)*$J$3/$K$3,$H$3*(B25+F25+$R$3)*$J$3/$K$3*$N$3)</f>
        <v>1224003.2</v>
      </c>
      <c r="H25" s="2" t="str">
        <f t="array" ref="H25">_xlfn.IFS(G25/$H$3&lt;20,"Саппорт/Танк",G25/$H$3&lt;80,"Средний Дамаг",G25/$H$3&gt;80,"Высокий Дамаг")</f>
        <v>Высокий Дамаг</v>
      </c>
      <c r="I25" s="2"/>
      <c r="J25" s="2"/>
      <c r="K25" s="2"/>
      <c r="L25" s="2"/>
      <c r="M25" s="2"/>
      <c r="N25" s="2"/>
      <c r="O25" s="2"/>
      <c r="P25" s="3"/>
      <c r="Q25" s="3"/>
      <c r="R25" s="3"/>
      <c r="S25" s="3"/>
      <c r="T25" s="3"/>
      <c r="U25" s="3"/>
      <c r="V25" s="2"/>
      <c r="W25" s="2"/>
      <c r="X25" s="2"/>
      <c r="Y25" s="2"/>
      <c r="Z25" s="2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30" customHeight="1">
      <c r="A26" s="2" t="s">
        <v>51</v>
      </c>
      <c r="B26" s="2" t="s">
        <v>27</v>
      </c>
      <c r="C26" s="26">
        <f>$H$3*($R$3+0.35+D26)*3*$N$3</f>
        <v>104040</v>
      </c>
      <c r="D26" s="4">
        <f>0.35</f>
        <v>0.35</v>
      </c>
      <c r="E26" s="7">
        <f>60/$K$3/5</f>
        <v>4</v>
      </c>
      <c r="F26" s="4">
        <f>IF(M3&lt;0.5,(D26+$R$3)*$H$3*$J$3/$K$3/5,(D26+$R$3)*$H$3*$J$3/$K$3/5*$N$3)</f>
        <v>64800</v>
      </c>
      <c r="G26" s="12">
        <f>C26*(($J$3/$K$3*$O$3+($P$3*(60/$K$3)))/100)+F26+IF($M$3&lt;0.5,$H$3*(D26+$R$3)*$J$3/$K$3,$H$3*(D26+$R$3)*$J$3/$K$3*$N$3)</f>
        <v>771667.2</v>
      </c>
      <c r="H26" s="2" t="str">
        <f t="array" ref="H26">_xlfn.IFS(G26/$H$3&lt;20,"Саппорт/Танк",G26/$H$3&lt;80,"Средний Дамаг",G26/$H$3&gt;80,"Высокий Дамаг")</f>
        <v>Средний Дамаг</v>
      </c>
      <c r="I26" s="2"/>
      <c r="J26" s="2"/>
      <c r="K26" s="2"/>
      <c r="L26" s="2"/>
      <c r="M26" s="2"/>
      <c r="N26" s="2"/>
      <c r="O26" s="2"/>
      <c r="P26" s="3"/>
      <c r="Q26" s="3"/>
      <c r="R26" s="3"/>
      <c r="S26" s="3"/>
      <c r="T26" s="3"/>
      <c r="U26" s="3"/>
      <c r="V26" s="2"/>
      <c r="W26" s="2"/>
      <c r="X26" s="2"/>
      <c r="Y26" s="2"/>
      <c r="Z26" s="2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ht="33" customHeight="1">
      <c r="A27" s="2" t="s">
        <v>52</v>
      </c>
      <c r="B27" s="4">
        <f>0.6</f>
        <v>0.6</v>
      </c>
      <c r="C27" s="4">
        <f>IF($M$3&lt;0.5,$H$3*(D27+F27+$R$3+B27+B17)*3.5,$H$3*(D27+F27+$R$3+B17+B27)*3.5*$N$3)</f>
        <v>304500.00000000006</v>
      </c>
      <c r="D27" s="4">
        <f>1.7</f>
        <v>1.7</v>
      </c>
      <c r="E27" s="5">
        <f>IF($M$3&lt;0.5,(D27+$R$3)*$H$3,(D27+$R$3)*$H$3*$N$3)</f>
        <v>27000</v>
      </c>
      <c r="F27" s="4">
        <f>0.5*10</f>
        <v>5</v>
      </c>
      <c r="G27" s="12">
        <f>C27*(($J$3/$K$3*$O$3+($P$3*(60/$K$3)))/100)+IF($M$3&lt;0.5,$H$3*($R$3+B27+D27+F27)*$J$3/$K$3,$H$3*($R$3+B27+D27+F27)*$J$3/$K$3*$N$3)</f>
        <v>3112560</v>
      </c>
      <c r="H27" s="2" t="str">
        <f t="array" ref="H27">_xlfn.IFS(G27/$H$3&lt;20,"Саппорт/Танк",G27/$H$3&lt;80,"Средний Дамаг",G27/$H$3&gt;80,"Высокий Дамаг")</f>
        <v>Высокий Дамаг</v>
      </c>
      <c r="I27" s="2"/>
      <c r="J27" s="2"/>
      <c r="K27" s="2"/>
      <c r="L27" s="2"/>
      <c r="M27" s="2"/>
      <c r="N27" s="2"/>
      <c r="O27" s="2"/>
      <c r="P27" s="3"/>
      <c r="Q27" s="3"/>
      <c r="R27" s="3"/>
      <c r="S27" s="3"/>
      <c r="T27" s="3"/>
      <c r="U27" s="3"/>
      <c r="V27" s="2"/>
      <c r="W27" s="2"/>
      <c r="X27" s="2"/>
      <c r="Y27" s="2"/>
      <c r="Z27" s="2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ht="31.5" customHeight="1">
      <c r="A28" s="2" t="s">
        <v>53</v>
      </c>
      <c r="B28" s="2" t="s">
        <v>27</v>
      </c>
      <c r="C28" s="5">
        <f>$H$3*(B17+B18+F18+$R$3+D22)*6</f>
        <v>153600</v>
      </c>
      <c r="D28" s="5">
        <f>0.17</f>
        <v>0.17</v>
      </c>
      <c r="E28" s="9">
        <f>8</f>
        <v>8</v>
      </c>
      <c r="F28" s="5">
        <f>0.8*C28</f>
        <v>122880</v>
      </c>
      <c r="G28" s="15">
        <f>C28*(($J$3/$K$3*($O$3+E28)+($P$3*(60/$K$3)))/100)+F28*(($J$3/$K$3*($O$3+E28)+($P$3*(60/$K$3)))/100)</f>
        <v>1548288</v>
      </c>
      <c r="H28" s="2" t="str">
        <f t="array" ref="H28">_xlfn.IFS(G28/$H$3&lt;20,"Саппорт/Танк",G28/$H$3&lt;80,"Средний Дамаг",G28/$H$3&gt;80,"Высокий Дамаг")</f>
        <v>Высокий Дамаг</v>
      </c>
      <c r="I28" s="2"/>
      <c r="J28" s="2"/>
      <c r="K28" s="2"/>
      <c r="L28" s="2"/>
      <c r="M28" s="2"/>
      <c r="N28" s="2"/>
      <c r="O28" s="2"/>
      <c r="P28" s="3"/>
      <c r="Q28" s="3"/>
      <c r="R28" s="3"/>
      <c r="S28" s="3"/>
      <c r="T28" s="3"/>
      <c r="U28" s="3"/>
      <c r="V28" s="2"/>
      <c r="W28" s="2"/>
      <c r="X28" s="2"/>
      <c r="Y28" s="2"/>
      <c r="Z28" s="2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ht="26.25" customHeight="1">
      <c r="A29" s="2" t="s">
        <v>54</v>
      </c>
      <c r="B29" s="4">
        <f>-0.15</f>
        <v>-0.15</v>
      </c>
      <c r="C29" s="4">
        <f>IF($M$3&lt;0.5,$H$3*(0.35*10+D29+$R$3),$H$3*(0.35*10+D29+$R$3)*$N$3)</f>
        <v>49000</v>
      </c>
      <c r="D29" s="4">
        <f>0.4</f>
        <v>0.4</v>
      </c>
      <c r="E29" s="4">
        <f>IF($M$3&lt;0.5,$H$3*(D29+$R$3+F29)*$J$3/(60/$K$3/4)*1.7,$H$3*(D29+F29+$R$3)*$J$3/(60/$K$3/4)*1.7*$N$3)+IF($M$3&lt;0.5,$H$3*(F29+$R$3)*$J$3/IF((60/$K$3)&lt;6,60/$K$3,60/$K$3-5)*1.7,$H$3*(F29+$R$3)*$J$3/IF((60/$K$3)&lt;6,60/$K$3,(60/$K$3-5))*1.7*$N$3)</f>
        <v>538560</v>
      </c>
      <c r="F29" s="4">
        <f>0.35</f>
        <v>0.35</v>
      </c>
      <c r="G29" s="12">
        <f>C29*(($J$3/$K$3*$O$3+($P$3*(60/$K$3)))/100)+E29</f>
        <v>718880</v>
      </c>
      <c r="H29" s="2" t="str">
        <f t="array" ref="H29">_xlfn.IFS(G29/$H$3&lt;20,"Саппорт/Танк",G29/$H$3&lt;80,"Средний Дамаг",G29/$H$3&gt;80,"Высокий Дамаг")</f>
        <v>Средний Дамаг</v>
      </c>
      <c r="I29" s="2"/>
      <c r="J29" s="2"/>
      <c r="K29" s="2"/>
      <c r="L29" s="2"/>
      <c r="M29" s="2"/>
      <c r="N29" s="2"/>
      <c r="O29" s="2"/>
      <c r="P29" s="3"/>
      <c r="Q29" s="3"/>
      <c r="R29" s="3"/>
      <c r="S29" s="3"/>
      <c r="T29" s="3"/>
      <c r="U29" s="3"/>
      <c r="V29" s="2"/>
      <c r="W29" s="2"/>
      <c r="X29" s="2"/>
      <c r="Y29" s="2"/>
      <c r="Z29" s="2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33" customHeight="1">
      <c r="A30" s="2" t="s">
        <v>55</v>
      </c>
      <c r="B30" s="9">
        <f>6</f>
        <v>6</v>
      </c>
      <c r="C30" s="4">
        <f>IF(M3&lt;0.5,$H$3*5,$H$3*5*$N$3)</f>
        <v>50000</v>
      </c>
      <c r="D30" s="7">
        <v>3.5</v>
      </c>
      <c r="E30" s="4">
        <f>-0.2</f>
        <v>-0.2</v>
      </c>
      <c r="F30" s="7">
        <f>D30</f>
        <v>3.5</v>
      </c>
      <c r="G30" s="12">
        <f>C30*(($J$3/$K$3*$O$3+($P$3*(60/$K$3)))/100)+IF($M$3&lt;0.5,$H$3*$J$3/$K$3,$H$3*$J$3/$K$3*$N$3)</f>
        <v>424000</v>
      </c>
      <c r="H30" s="2" t="str">
        <f t="array" ref="H30">_xlfn.IFS(G30/$H$3&lt;20,"Саппорт/Танк",G30/$H$3&lt;80,"Средний Дамаг",G30/$H$3&gt;80,"Высокий Дамаг")</f>
        <v>Средний Дамаг</v>
      </c>
      <c r="I30" s="2"/>
      <c r="J30" s="2"/>
      <c r="K30" s="2"/>
      <c r="L30" s="2"/>
      <c r="M30" s="2"/>
      <c r="N30" s="2"/>
      <c r="O30" s="2"/>
      <c r="P30" s="3"/>
      <c r="Q30" s="3"/>
      <c r="R30" s="3"/>
      <c r="S30" s="3"/>
      <c r="T30" s="3"/>
      <c r="U30" s="3"/>
      <c r="V30" s="2"/>
      <c r="W30" s="2"/>
      <c r="X30" s="2"/>
      <c r="Y30" s="2"/>
      <c r="Z30" s="2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ht="32.25" customHeight="1">
      <c r="A31" s="2" t="s">
        <v>56</v>
      </c>
      <c r="B31" s="4">
        <f>0.1</f>
        <v>0.1</v>
      </c>
      <c r="C31" s="4">
        <f>0.2</f>
        <v>0.2</v>
      </c>
      <c r="D31" s="5">
        <f>H3*(2.5+0.17)</f>
        <v>26700</v>
      </c>
      <c r="E31" s="2">
        <f>(($J$3/$K$3*$O$3+($P$3*(60/$K$3)))/100)</f>
        <v>3.68</v>
      </c>
      <c r="F31" s="2" t="s">
        <v>27</v>
      </c>
      <c r="G31" s="12">
        <f>$J$3/$K$3*((C31+B31)*$H$3)</f>
        <v>72000.000000000015</v>
      </c>
      <c r="H31" s="2" t="str" cm="1">
        <f t="array" ref="H31">_xlfn.IFS(G31/$H$3&lt;20,"Саппорт/Танк",G31/$H$3&lt;80,"Средний Дамаг",G31/$H$3&gt;80,"Высокий Дамаг")</f>
        <v>Саппорт/Танк</v>
      </c>
      <c r="I31" s="2"/>
      <c r="J31" s="2"/>
      <c r="K31" s="2"/>
      <c r="L31" s="2"/>
      <c r="M31" s="2"/>
      <c r="N31" s="2"/>
      <c r="O31" s="2"/>
      <c r="P31" s="3"/>
      <c r="Q31" s="3"/>
      <c r="R31" s="3"/>
      <c r="S31" s="3"/>
      <c r="T31" s="3"/>
      <c r="U31" s="3"/>
      <c r="V31" s="2"/>
      <c r="W31" s="2"/>
      <c r="X31" s="2"/>
      <c r="Y31" s="2"/>
      <c r="Z31" s="2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ht="27" customHeight="1">
      <c r="A32" s="2" t="s">
        <v>57</v>
      </c>
      <c r="B32" s="2" t="s">
        <v>27</v>
      </c>
      <c r="C32" s="4">
        <f>IF(M3&lt;0.5,($H$3*(F32+$R$3)*6.5+$H$3*(F32+$R$3)*2.9+$H$3*(F32+$R$3)*11),($H$3*(F32+$R$3)*6.5+$H$3*(F32+$R$3)*2.9+$H$3*(F32+$R$3)*11)*$N$3)</f>
        <v>408000</v>
      </c>
      <c r="D32" s="5">
        <f>$H$3*(F32+$R$3)*4.1</f>
        <v>82000</v>
      </c>
      <c r="E32" s="5">
        <f>$H$3*(F32+$R$3)*4.1</f>
        <v>82000</v>
      </c>
      <c r="F32" s="4">
        <f>0.05*20</f>
        <v>1</v>
      </c>
      <c r="G32" s="12">
        <f>C32*((($J$3/$K$3*$O$3+($P$3*(60/$K$3)))/100)*1.34)+IF($M$3&lt;0.5,$H$3*($R$3+F32)*$J$3/$K$3,$H$3*($R$3+F32)*$J$3/$K$3*$N$3)</f>
        <v>2491929.6000000001</v>
      </c>
      <c r="H32" s="2" t="str" cm="1">
        <f t="array" ref="H32">_xlfn.IFS(G32/$H$3&lt;20,"Саппорт/Танк",G32/$H$3&lt;80,"Средний Дамаг",G32/$H$3&gt;80,"Высокий Дамаг")</f>
        <v>Высокий Дамаг</v>
      </c>
      <c r="I32" s="2"/>
      <c r="J32" s="2"/>
      <c r="K32" s="2"/>
      <c r="L32" s="2"/>
      <c r="M32" s="2"/>
      <c r="N32" s="2"/>
      <c r="O32" s="2"/>
      <c r="P32" s="3"/>
      <c r="Q32" s="3"/>
      <c r="R32" s="3"/>
      <c r="S32" s="3"/>
      <c r="T32" s="3"/>
      <c r="U32" s="3"/>
      <c r="V32" s="2"/>
      <c r="W32" s="2"/>
      <c r="X32" s="2"/>
      <c r="Y32" s="2"/>
      <c r="Z32" s="2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 ht="31.5" customHeight="1">
      <c r="A33" s="2" t="s">
        <v>58</v>
      </c>
      <c r="B33" s="6">
        <f>0.15*$J$3</f>
        <v>10.799999999999999</v>
      </c>
      <c r="C33" s="4">
        <f>IF($M$3&lt;0.5,$H$3*3,$H$3*3*$N$3)</f>
        <v>30000</v>
      </c>
      <c r="D33" s="4">
        <f>SUM($K$5:$K$14)/10</f>
        <v>16120</v>
      </c>
      <c r="E33" s="6">
        <f>$J$3*0.33</f>
        <v>23.76</v>
      </c>
      <c r="F33" s="2">
        <f>5</f>
        <v>5</v>
      </c>
      <c r="G33" s="12">
        <f>C33*((($J$3+F4+B33)/$K$3*$O$3+($P$3*(60/$K$3)))/100)+IF($M$3&lt;0.5,D33*($J$3+E33)/$K$3,D33*($J$3+E33)/$K$3*$N$3)</f>
        <v>633476.4</v>
      </c>
      <c r="H33" s="2" t="str">
        <f t="array" ref="H33">_xlfn.IFS(G33/$H$3&lt;20,"Саппорт/Танк",G33/$H$3&lt;80,"Средний Дамаг",G33/$H$3&gt;80,"Высокий Дамаг")</f>
        <v>Средний Дамаг</v>
      </c>
      <c r="I33" s="2"/>
      <c r="J33" s="2"/>
      <c r="K33" s="2"/>
      <c r="L33" s="2"/>
      <c r="M33" s="2"/>
      <c r="N33" s="2"/>
      <c r="O33" s="2"/>
      <c r="P33" s="3"/>
      <c r="Q33" s="3"/>
      <c r="R33" s="3"/>
      <c r="S33" s="3"/>
      <c r="T33" s="3"/>
      <c r="U33" s="3"/>
      <c r="V33" s="2"/>
      <c r="W33" s="2"/>
      <c r="X33" s="2"/>
      <c r="Y33" s="2"/>
      <c r="Z33" s="2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 ht="26.25" customHeight="1">
      <c r="A34" s="2" t="s">
        <v>59</v>
      </c>
      <c r="B34" s="2" t="s">
        <v>27</v>
      </c>
      <c r="C34" s="4">
        <f>IF($M$3&lt;0.5,$H$3*5.2,$H$3*5.2*$N$3)</f>
        <v>52000</v>
      </c>
      <c r="D34" s="6">
        <f>$J$3*0.085*4</f>
        <v>24.48</v>
      </c>
      <c r="E34" s="4">
        <f>0.3+0.03*5</f>
        <v>0.44999999999999996</v>
      </c>
      <c r="F34" s="2" t="s">
        <v>27</v>
      </c>
      <c r="G34" s="12">
        <f>C34*((($J$3+D34)/$K$3*$O$3+($P$3*(60/$K$3)))/100)+IF($M$3&lt;0.5,$H$3*(D34+$J$3)/$K$3,$H$3*(D34+$J$3)/$K$3*$N$3)</f>
        <v>542662.40000000002</v>
      </c>
      <c r="H34" s="2" t="str" cm="1">
        <f t="array" ref="H34">_xlfn.IFS(G34/$H$3&lt;20,"Саппорт/Танк",G34/$H$3&lt;80,"Средний Дамаг",G34/$H$3&gt;80,"Высокий Дамаг")</f>
        <v>Средний Дамаг</v>
      </c>
      <c r="I34" s="2"/>
      <c r="J34" s="2"/>
      <c r="K34" s="2"/>
      <c r="L34" s="2"/>
      <c r="M34" s="2"/>
      <c r="N34" s="2"/>
      <c r="O34" s="2"/>
      <c r="P34" s="3"/>
      <c r="Q34" s="3"/>
      <c r="R34" s="3"/>
      <c r="S34" s="3"/>
      <c r="T34" s="3"/>
      <c r="U34" s="3"/>
      <c r="V34" s="2"/>
      <c r="W34" s="2"/>
      <c r="X34" s="2"/>
      <c r="Y34" s="2"/>
      <c r="Z34" s="2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 ht="24.75" customHeight="1">
      <c r="A35" s="2" t="s">
        <v>60</v>
      </c>
      <c r="B35" s="4">
        <f>0.23</f>
        <v>0.23</v>
      </c>
      <c r="C35" s="4">
        <f>IF($M$3&lt;0.5,($H$3*(B35+$R$3)*($R$3+E35))*1.2*5,($H$3*(B35+$R$3)*($R$3+E35))*1.2*5*$N$3)</f>
        <v>147600</v>
      </c>
      <c r="D35" s="12">
        <f>(C35*1.7)*$J$3/$K$3/3</f>
        <v>2007360</v>
      </c>
      <c r="E35" s="4">
        <f>0.2*5</f>
        <v>1</v>
      </c>
      <c r="F35" s="15">
        <f>(C35+D35+C35*$J$3/$K$3)*0.1</f>
        <v>569736</v>
      </c>
      <c r="G35" s="12">
        <f>(C35*$J$3/$K$3)*(($J$3/$K$3*$O$3+($P$3*(60/$K$3)))/100)+D35</f>
        <v>15043392</v>
      </c>
      <c r="H35" s="2" t="str">
        <f t="array" ref="H35">_xlfn.IFS(G35/$H$3&lt;20,"Саппорт/Танк",G35/$H$3&lt;80,"Средний Дамаг",G35/$H$3&gt;80,"Высокий Дамаг")</f>
        <v>Высокий Дамаг</v>
      </c>
      <c r="I35" s="2"/>
      <c r="J35" s="2"/>
      <c r="K35" s="2"/>
      <c r="L35" s="2"/>
      <c r="M35" s="2"/>
      <c r="N35" s="2"/>
      <c r="O35" s="2"/>
      <c r="P35" s="3"/>
      <c r="Q35" s="3"/>
      <c r="R35" s="3"/>
      <c r="S35" s="3"/>
      <c r="T35" s="3"/>
      <c r="U35" s="3"/>
      <c r="V35" s="2"/>
      <c r="W35" s="2"/>
      <c r="X35" s="2"/>
      <c r="Y35" s="2"/>
      <c r="Z35" s="2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ht="32.25" customHeight="1">
      <c r="A36" s="2" t="s">
        <v>61</v>
      </c>
      <c r="B36" s="21">
        <f>-0.28</f>
        <v>-0.28000000000000003</v>
      </c>
      <c r="C36" s="4">
        <f>IF($M$3&lt;0.5,$H$3*($R$3+E36+B18+F18+B17+F36)*6*0.5,$H$3*($R$3+E36+B18+F18+B17+F36)*6*0.5*$N$3)</f>
        <v>123900</v>
      </c>
      <c r="D36" s="2">
        <f>10</f>
        <v>10</v>
      </c>
      <c r="E36" s="4">
        <f>0.35</f>
        <v>0.35</v>
      </c>
      <c r="F36" s="4">
        <f>0.14*D36</f>
        <v>1.4000000000000001</v>
      </c>
      <c r="G36" s="12">
        <f>C36*(($J$3/$K$3*$O$3+($P$3*(60/$K$3)))/100)+IF(M3&lt;0.5,J3/3*$H$3*($R$3+B18+F18+B17+F36+E36),J3/3*$H$3*($R$3+B18+F18+B17+F36+E36)*$N$3)</f>
        <v>1447152</v>
      </c>
      <c r="H36" s="2" t="str">
        <f t="array" ref="H36">_xlfn.IFS(G36/$H$3&lt;20,"Саппорт/Танк",G36/$H$3&lt;80,"Средний Дамаг",G36/$H$3&gt;80,"Высокий Дамаг")</f>
        <v>Высокий Дамаг</v>
      </c>
      <c r="I36" s="2"/>
      <c r="J36" s="2"/>
      <c r="K36" s="2"/>
      <c r="L36" s="2"/>
      <c r="M36" s="2"/>
      <c r="N36" s="2"/>
      <c r="O36" s="2"/>
      <c r="P36" s="3"/>
      <c r="Q36" s="3"/>
      <c r="R36" s="3"/>
      <c r="S36" s="3"/>
      <c r="T36" s="3"/>
      <c r="U36" s="3"/>
      <c r="V36" s="2"/>
      <c r="W36" s="2"/>
      <c r="X36" s="2"/>
      <c r="Y36" s="2"/>
      <c r="Z36" s="2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ht="30.75">
      <c r="A37" s="2" t="s">
        <v>62</v>
      </c>
      <c r="B37" s="2" t="s">
        <v>27</v>
      </c>
      <c r="C37" s="97">
        <v>0.33</v>
      </c>
      <c r="D37" s="97">
        <v>-0.17</v>
      </c>
      <c r="E37" s="97">
        <v>0.08</v>
      </c>
      <c r="F37" s="98">
        <v>0.35</v>
      </c>
      <c r="G37" s="99">
        <f>$H$3*($J$3*(C37+E37)/$K$3)</f>
        <v>98400.000000000015</v>
      </c>
      <c r="H37" s="2" t="str">
        <f t="array" ref="H37">_xlfn.IFS(G37/$H$3&lt;20,"Саппорт/Танк",G37/$H$3&lt;80,"Средний Дамаг",G37/$H$3&gt;80,"Высокий Дамаг")</f>
        <v>Саппорт/Танк</v>
      </c>
    </row>
    <row r="38" spans="1:41" ht="30.75">
      <c r="A38" s="2" t="s">
        <v>63</v>
      </c>
      <c r="B38" s="99">
        <v>0.15</v>
      </c>
      <c r="C38" s="99">
        <f>$H$3*2.6*(($J$3*(E38+$R$3)/$K$3*$O$3+$P$3*(60/$K$3))/100)</f>
        <v>110968</v>
      </c>
      <c r="D38" s="99">
        <f>$H$3*(60/$K$3)</f>
        <v>200000</v>
      </c>
      <c r="E38" s="97">
        <v>0.35</v>
      </c>
      <c r="F38" s="99">
        <v>0.35</v>
      </c>
      <c r="G38" s="99">
        <f>C38+D38+$H$3*($J$3*(E38+$R$3)/$K$3)</f>
        <v>634968</v>
      </c>
      <c r="H38" s="2" t="str">
        <f t="array" ref="H38">_xlfn.IFS(G38/$H$3&lt;20,"Саппорт/Танк",G38/$H$3&lt;80,"Средний Дамаг",G38/$H$3&gt;80,"Высокий Дамаг")</f>
        <v>Средний Дамаг</v>
      </c>
    </row>
    <row r="39" spans="1:41">
      <c r="A39" s="2"/>
      <c r="B39" s="2"/>
      <c r="C39" s="2"/>
      <c r="D39" s="2"/>
      <c r="E39" s="2"/>
      <c r="F39" s="2"/>
      <c r="G39" s="2"/>
      <c r="H39" s="2"/>
    </row>
    <row r="40" spans="1:41">
      <c r="A40" s="2"/>
      <c r="B40" s="2"/>
      <c r="C40" s="2"/>
      <c r="D40" s="2"/>
      <c r="E40" s="2"/>
      <c r="F40" s="2"/>
      <c r="G40" s="2"/>
      <c r="H40" s="2"/>
    </row>
    <row r="41" spans="1:41">
      <c r="A41" s="2"/>
      <c r="B41" s="2"/>
      <c r="C41" s="2"/>
      <c r="D41" s="2"/>
      <c r="E41" s="2"/>
      <c r="F41" s="2"/>
      <c r="G41" s="2"/>
      <c r="H41" s="2"/>
    </row>
    <row r="42" spans="1:41">
      <c r="A42" s="2"/>
      <c r="B42" s="2"/>
      <c r="C42" s="2"/>
      <c r="D42" s="2"/>
      <c r="E42" s="2"/>
      <c r="F42" s="2"/>
      <c r="G42" s="2"/>
      <c r="H42" s="2"/>
    </row>
    <row r="43" spans="1:41"/>
    <row r="44" spans="1:41"/>
    <row r="47" spans="1:41"/>
    <row r="49"/>
    <row r="51"/>
    <row r="53"/>
    <row r="55"/>
    <row r="57"/>
    <row r="59"/>
    <row r="61"/>
    <row r="63"/>
    <row r="65"/>
    <row r="67"/>
    <row r="69"/>
    <row r="71"/>
  </sheetData>
  <pageMargins left="0.69999998807907104" right="0.69999998807907104" top="0.75" bottom="0.75" header="0.30000001192092901" footer="0.30000001192092901"/>
  <pageSetup fitToWidth="0" fitToHeight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E158-E9E2-4B5B-B6AA-9D9DB9F13E8A}">
  <dimension ref="A1:AH40"/>
  <sheetViews>
    <sheetView topLeftCell="A32" workbookViewId="0">
      <selection activeCell="F36" sqref="F36"/>
    </sheetView>
  </sheetViews>
  <sheetFormatPr defaultRowHeight="15"/>
  <cols>
    <col min="5" max="5" width="18" customWidth="1"/>
    <col min="6" max="6" width="18.140625" customWidth="1"/>
  </cols>
  <sheetData>
    <row r="1" spans="1:34">
      <c r="A1" s="96" t="s">
        <v>64</v>
      </c>
      <c r="B1" s="95" t="s">
        <v>65</v>
      </c>
      <c r="C1" s="95"/>
      <c r="D1" s="95"/>
      <c r="E1" s="95"/>
      <c r="F1" s="95"/>
      <c r="G1" s="2"/>
      <c r="H1" s="2"/>
      <c r="I1" s="2"/>
      <c r="J1" s="2"/>
      <c r="K1" s="2"/>
      <c r="L1" s="2"/>
      <c r="M1" s="2"/>
      <c r="N1" s="2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4"/>
      <c r="AB1" s="94"/>
      <c r="AC1" s="94"/>
      <c r="AD1" s="94"/>
      <c r="AE1" s="94"/>
      <c r="AF1" s="94"/>
      <c r="AG1" s="94"/>
      <c r="AH1" s="94"/>
    </row>
    <row r="2" spans="1:34" ht="30.75">
      <c r="A2" s="96"/>
      <c r="B2" s="94" t="s">
        <v>66</v>
      </c>
      <c r="C2" s="94" t="s">
        <v>67</v>
      </c>
      <c r="D2" s="94" t="s">
        <v>68</v>
      </c>
      <c r="E2" s="94" t="s">
        <v>69</v>
      </c>
      <c r="F2" s="94" t="s">
        <v>70</v>
      </c>
    </row>
    <row r="3" spans="1:34" ht="106.5">
      <c r="A3" s="2" t="s">
        <v>26</v>
      </c>
      <c r="B3" s="96" t="s">
        <v>71</v>
      </c>
      <c r="C3" s="96"/>
      <c r="D3" s="96"/>
      <c r="E3" s="94" t="s">
        <v>72</v>
      </c>
      <c r="F3" s="94" t="s">
        <v>73</v>
      </c>
    </row>
    <row r="4" spans="1:34" ht="121.5">
      <c r="A4" s="2" t="s">
        <v>30</v>
      </c>
      <c r="B4" s="96" t="s">
        <v>74</v>
      </c>
      <c r="C4" s="96"/>
      <c r="D4" s="96"/>
      <c r="E4" s="94" t="s">
        <v>75</v>
      </c>
      <c r="F4" s="94" t="str">
        <f>E4</f>
        <v>Энергия при ударе,сила атаки,восстановление энергии</v>
      </c>
    </row>
    <row r="5" spans="1:34" ht="106.5">
      <c r="A5" s="2" t="s">
        <v>31</v>
      </c>
      <c r="B5" s="96" t="s">
        <v>76</v>
      </c>
      <c r="C5" s="96"/>
      <c r="D5" s="96"/>
      <c r="E5" s="94" t="s">
        <v>77</v>
      </c>
      <c r="F5" s="94" t="s">
        <v>78</v>
      </c>
    </row>
    <row r="6" spans="1:34" ht="84.75" customHeight="1">
      <c r="A6" s="2" t="s">
        <v>33</v>
      </c>
      <c r="B6" s="96" t="s">
        <v>79</v>
      </c>
      <c r="C6" s="96"/>
      <c r="D6" s="96"/>
      <c r="E6" s="94" t="s">
        <v>80</v>
      </c>
      <c r="F6" s="94" t="s">
        <v>81</v>
      </c>
    </row>
    <row r="7" spans="1:34" ht="67.5" customHeight="1">
      <c r="A7" s="2" t="s">
        <v>34</v>
      </c>
      <c r="B7" s="96" t="s">
        <v>82</v>
      </c>
      <c r="C7" s="96"/>
      <c r="D7" s="96"/>
      <c r="E7" s="94" t="s">
        <v>83</v>
      </c>
      <c r="F7" s="94" t="str">
        <f>E7</f>
        <v>Сила атаки,скорость атаки</v>
      </c>
    </row>
    <row r="8" spans="1:34" ht="89.25" customHeight="1">
      <c r="A8" s="2" t="s">
        <v>44</v>
      </c>
      <c r="B8" s="96" t="str">
        <f>B6</f>
        <v>Здоровья,броня,сопротивление,восстановление здоровья</v>
      </c>
      <c r="C8" s="96"/>
      <c r="D8" s="96"/>
      <c r="E8" s="94" t="str">
        <f>E6</f>
        <v>Сила атаки,скорость атаки,энергия за удар</v>
      </c>
      <c r="F8" s="94" t="str">
        <f>F6</f>
        <v>Здоровья,восстановление здоровья,сила атаки\броня</v>
      </c>
    </row>
    <row r="9" spans="1:34" ht="96.75" customHeight="1">
      <c r="A9" s="2" t="s">
        <v>54</v>
      </c>
      <c r="B9" s="96" t="s">
        <v>76</v>
      </c>
      <c r="C9" s="96"/>
      <c r="D9" s="96"/>
      <c r="E9" s="94" t="str">
        <f>E5</f>
        <v>Сила атаки,скорость атаки,крит урон</v>
      </c>
      <c r="F9" s="94" t="str">
        <f>F5</f>
        <v>Сила атаки,скорость атаки,крит урон,уворот</v>
      </c>
    </row>
    <row r="10" spans="1:34" ht="65.25" customHeight="1">
      <c r="A10" s="2" t="s">
        <v>56</v>
      </c>
      <c r="B10" s="96" t="str">
        <f>B4</f>
        <v>Здоровья,броня,сопротивление,восстановление энергии</v>
      </c>
      <c r="C10" s="96"/>
      <c r="D10" s="96"/>
      <c r="E10" s="94" t="str">
        <f>E4</f>
        <v>Энергия при ударе,сила атаки,восстановление энергии</v>
      </c>
      <c r="F10" s="94" t="str">
        <f>F4</f>
        <v>Энергия при ударе,сила атаки,восстановление энергии</v>
      </c>
    </row>
    <row r="11" spans="1:34" ht="69" customHeight="1">
      <c r="A11" s="2" t="s">
        <v>58</v>
      </c>
      <c r="B11" s="96" t="str">
        <f>B5</f>
        <v>Здоровья,броня,восстановление здоровья,уворот</v>
      </c>
      <c r="C11" s="96"/>
      <c r="D11" s="96"/>
      <c r="E11" s="94" t="str">
        <f>E5</f>
        <v>Сила атаки,скорость атаки,крит урон</v>
      </c>
      <c r="F11" s="94" t="str">
        <f>F5</f>
        <v>Сила атаки,скорость атаки,крит урон,уворот</v>
      </c>
    </row>
    <row r="12" spans="1:34" ht="60.75">
      <c r="A12" s="2" t="s">
        <v>32</v>
      </c>
      <c r="B12" s="96" t="str">
        <f>B11</f>
        <v>Здоровья,броня,восстановление здоровья,уворот</v>
      </c>
      <c r="C12" s="96"/>
      <c r="D12" s="96"/>
      <c r="E12" s="94" t="s">
        <v>84</v>
      </c>
      <c r="F12" s="94" t="str">
        <f>E12</f>
        <v>Сила атаки,скорость атаки,крит урон,крит шанс</v>
      </c>
    </row>
    <row r="13" spans="1:34" ht="65.25" customHeight="1">
      <c r="A13" s="2" t="s">
        <v>42</v>
      </c>
      <c r="B13" s="96" t="str">
        <f>B4</f>
        <v>Здоровья,броня,сопротивление,восстановление энергии</v>
      </c>
      <c r="C13" s="96"/>
      <c r="D13" s="96"/>
      <c r="E13" s="94" t="str">
        <f>E11</f>
        <v>Сила атаки,скорость атаки,крит урон</v>
      </c>
      <c r="F13" s="94" t="str">
        <f>F11</f>
        <v>Сила атаки,скорость атаки,крит урон,уворот</v>
      </c>
    </row>
    <row r="14" spans="1:34" ht="45" customHeight="1">
      <c r="A14" s="2" t="s">
        <v>43</v>
      </c>
      <c r="B14" s="96" t="str">
        <f>B3</f>
        <v>Здоровья,броня,восстановление здоровья</v>
      </c>
      <c r="C14" s="96"/>
      <c r="D14" s="96"/>
      <c r="E14" s="94" t="str">
        <f>E3</f>
        <v>Восстановление энергии,урон,крит урон\крит шанс</v>
      </c>
      <c r="F14" s="94" t="str">
        <f>F3</f>
        <v>Энергия при ударе,Урон,крит шанс\крит урон</v>
      </c>
    </row>
    <row r="15" spans="1:34" ht="59.25" customHeight="1">
      <c r="A15" s="2" t="s">
        <v>46</v>
      </c>
      <c r="B15" s="96" t="str">
        <f>B13</f>
        <v>Здоровья,броня,сопротивление,восстановление энергии</v>
      </c>
      <c r="C15" s="96"/>
      <c r="D15" s="96"/>
      <c r="E15" s="94" t="str">
        <f>E10</f>
        <v>Энергия при ударе,сила атаки,восстановление энергии</v>
      </c>
      <c r="F15" s="94" t="str">
        <f>F10</f>
        <v>Энергия при ударе,сила атаки,восстановление энергии</v>
      </c>
    </row>
    <row r="16" spans="1:34" ht="59.25" customHeight="1">
      <c r="A16" s="94" t="str">
        <f>'урон героев'!A22</f>
        <v>Алесса</v>
      </c>
      <c r="B16" s="96" t="str">
        <f>B8</f>
        <v>Здоровья,броня,сопротивление,восстановление здоровья</v>
      </c>
      <c r="C16" s="96"/>
      <c r="D16" s="96"/>
      <c r="E16" s="94" t="str">
        <f>E12</f>
        <v>Сила атаки,скорость атаки,крит урон,крит шанс</v>
      </c>
      <c r="F16" s="94" t="str">
        <f>E12</f>
        <v>Сила атаки,скорость атаки,крит урон,крит шанс</v>
      </c>
    </row>
    <row r="17" spans="1:6" ht="47.25" customHeight="1">
      <c r="A17" s="94" t="str">
        <f>'урон героев'!A23</f>
        <v>Стаматус</v>
      </c>
      <c r="B17" s="96" t="str">
        <f>B13</f>
        <v>Здоровья,броня,сопротивление,восстановление энергии</v>
      </c>
      <c r="C17" s="96"/>
      <c r="D17" s="96"/>
      <c r="E17" s="94" t="str">
        <f>E7</f>
        <v>Сила атаки,скорость атаки</v>
      </c>
      <c r="F17" s="94" t="str">
        <f>E17</f>
        <v>Сила атаки,скорость атаки</v>
      </c>
    </row>
    <row r="18" spans="1:6" ht="59.25" customHeight="1">
      <c r="A18" s="94" t="str">
        <f>'урон героев'!A24</f>
        <v>Дориан</v>
      </c>
      <c r="B18" s="96" t="str">
        <f>B13</f>
        <v>Здоровья,броня,сопротивление,восстановление энергии</v>
      </c>
      <c r="C18" s="96"/>
      <c r="D18" s="96"/>
      <c r="E18" s="94" t="str">
        <f>E13</f>
        <v>Сила атаки,скорость атаки,крит урон</v>
      </c>
      <c r="F18" s="94" t="str">
        <f>F13</f>
        <v>Сила атаки,скорость атаки,крит урон,уворот</v>
      </c>
    </row>
    <row r="19" spans="1:6" ht="60" customHeight="1">
      <c r="A19" s="94" t="str">
        <f>'урон героев'!A27</f>
        <v>Викки</v>
      </c>
      <c r="B19" s="96" t="str">
        <f>B17</f>
        <v>Здоровья,броня,сопротивление,восстановление энергии</v>
      </c>
      <c r="C19" s="96"/>
      <c r="D19" s="96"/>
      <c r="E19" s="94" t="str">
        <f>E17</f>
        <v>Сила атаки,скорость атаки</v>
      </c>
      <c r="F19" s="94" t="str">
        <f>F17</f>
        <v>Сила атаки,скорость атаки</v>
      </c>
    </row>
    <row r="20" spans="1:6" ht="76.5">
      <c r="A20" s="94" t="str">
        <f>'урон героев'!A28</f>
        <v>Алтиная</v>
      </c>
      <c r="B20" s="96" t="str">
        <f>B15</f>
        <v>Здоровья,броня,сопротивление,восстановление энергии</v>
      </c>
      <c r="C20" s="96"/>
      <c r="D20" s="96"/>
      <c r="E20" s="94" t="s">
        <v>85</v>
      </c>
      <c r="F20" s="94" t="str">
        <f>E20</f>
        <v>Сила атаки,восстановление энергии,энергия за удар</v>
      </c>
    </row>
    <row r="21" spans="1:6" ht="63" customHeight="1">
      <c r="A21" s="94" t="str">
        <f>'урон героев'!A36</f>
        <v>Алисиия</v>
      </c>
      <c r="B21" s="96" t="str">
        <f>B17</f>
        <v>Здоровья,броня,сопротивление,восстановление энергии</v>
      </c>
      <c r="C21" s="96"/>
      <c r="D21" s="96"/>
      <c r="E21" s="94" t="str">
        <f>E16</f>
        <v>Сила атаки,скорость атаки,крит урон,крит шанс</v>
      </c>
      <c r="F21" s="94" t="str">
        <f>F16</f>
        <v>Сила атаки,скорость атаки,крит урон,крит шанс</v>
      </c>
    </row>
    <row r="22" spans="1:6" ht="59.25" customHeight="1">
      <c r="A22" s="94" t="str">
        <f>'урон героев'!A10</f>
        <v>Зверь</v>
      </c>
      <c r="B22" s="96" t="str">
        <f>B13</f>
        <v>Здоровья,броня,сопротивление,восстановление энергии</v>
      </c>
      <c r="C22" s="96"/>
      <c r="D22" s="96"/>
      <c r="E22" s="94" t="str">
        <f>E13</f>
        <v>Сила атаки,скорость атаки,крит урон</v>
      </c>
      <c r="F22" s="94" t="str">
        <f>F13</f>
        <v>Сила атаки,скорость атаки,крит урон,уворот</v>
      </c>
    </row>
    <row r="23" spans="1:6" ht="62.25" customHeight="1">
      <c r="A23" s="94" t="str">
        <f>'урон героев'!A11</f>
        <v>Лукреция</v>
      </c>
      <c r="B23" s="96" t="str">
        <f>B12</f>
        <v>Здоровья,броня,восстановление здоровья,уворот</v>
      </c>
      <c r="C23" s="96"/>
      <c r="D23" s="96"/>
      <c r="E23" s="94" t="str">
        <f>E12</f>
        <v>Сила атаки,скорость атаки,крит урон,крит шанс</v>
      </c>
      <c r="F23" s="94" t="str">
        <f>F12</f>
        <v>Сила атаки,скорость атаки,крит урон,крит шанс</v>
      </c>
    </row>
    <row r="24" spans="1:6" ht="58.5" customHeight="1">
      <c r="A24" s="94" t="str">
        <f>'урон героев'!A12</f>
        <v>Виктор</v>
      </c>
      <c r="B24" s="96" t="str">
        <f>B16</f>
        <v>Здоровья,броня,сопротивление,восстановление здоровья</v>
      </c>
      <c r="C24" s="96"/>
      <c r="D24" s="96"/>
      <c r="E24" s="94" t="str">
        <f>E8</f>
        <v>Сила атаки,скорость атаки,энергия за удар</v>
      </c>
      <c r="F24" s="94" t="str">
        <f>F8</f>
        <v>Здоровья,восстановление здоровья,сила атаки\броня</v>
      </c>
    </row>
    <row r="25" spans="1:6" ht="60" customHeight="1">
      <c r="A25" s="94" t="str">
        <f>'урон героев'!A13</f>
        <v>Даэва</v>
      </c>
      <c r="B25" s="96" t="str">
        <f>B14</f>
        <v>Здоровья,броня,восстановление здоровья</v>
      </c>
      <c r="C25" s="96"/>
      <c r="D25" s="96"/>
      <c r="E25" s="94" t="str">
        <f>E14</f>
        <v>Восстановление энергии,урон,крит урон\крит шанс</v>
      </c>
      <c r="F25" s="94" t="str">
        <f>F14</f>
        <v>Энергия при ударе,Урон,крит шанс\крит урон</v>
      </c>
    </row>
    <row r="26" spans="1:6" ht="73.5" customHeight="1">
      <c r="A26" s="94" t="str">
        <f>'урон героев'!A14</f>
        <v>Магла</v>
      </c>
      <c r="B26" s="96" t="str">
        <f>B19</f>
        <v>Здоровья,броня,сопротивление,восстановление энергии</v>
      </c>
      <c r="C26" s="96"/>
      <c r="D26" s="96"/>
      <c r="E26" s="94" t="str">
        <f>E19</f>
        <v>Сила атаки,скорость атаки</v>
      </c>
      <c r="F26" s="94" t="str">
        <f>F19</f>
        <v>Сила атаки,скорость атаки</v>
      </c>
    </row>
    <row r="27" spans="1:6" ht="75.75" customHeight="1">
      <c r="A27" s="94" t="str">
        <f>'урон героев'!A15</f>
        <v>Восс</v>
      </c>
      <c r="B27" s="96" t="str">
        <f>B20</f>
        <v>Здоровья,броня,сопротивление,восстановление энергии</v>
      </c>
      <c r="C27" s="96"/>
      <c r="D27" s="96"/>
      <c r="E27" s="94" t="str">
        <f>E20</f>
        <v>Сила атаки,восстановление энергии,энергия за удар</v>
      </c>
      <c r="F27" s="94" t="str">
        <f>F20</f>
        <v>Сила атаки,восстановление энергии,энергия за удар</v>
      </c>
    </row>
    <row r="28" spans="1:6" ht="60.75" customHeight="1">
      <c r="A28" s="94" t="str">
        <f>'урон героев'!A16</f>
        <v>Осгот</v>
      </c>
      <c r="B28" s="96" t="str">
        <f>B25</f>
        <v>Здоровья,броня,восстановление здоровья</v>
      </c>
      <c r="C28" s="96"/>
      <c r="D28" s="96"/>
      <c r="E28" s="94" t="str">
        <f>E25</f>
        <v>Восстановление энергии,урон,крит урон\крит шанс</v>
      </c>
      <c r="F28" s="94" t="str">
        <f>F25</f>
        <v>Энергия при ударе,Урон,крит шанс\крит урон</v>
      </c>
    </row>
    <row r="29" spans="1:6" ht="60" customHeight="1">
      <c r="A29" s="94" t="str">
        <f>'урон героев'!A20</f>
        <v>Гримр</v>
      </c>
      <c r="B29" s="96" t="str">
        <f>B24</f>
        <v>Здоровья,броня,сопротивление,восстановление здоровья</v>
      </c>
      <c r="C29" s="96"/>
      <c r="D29" s="96"/>
      <c r="E29" s="94" t="str">
        <f>E24</f>
        <v>Сила атаки,скорость атаки,энергия за удар</v>
      </c>
      <c r="F29" s="94" t="str">
        <f>F24</f>
        <v>Здоровья,восстановление здоровья,сила атаки\броня</v>
      </c>
    </row>
    <row r="30" spans="1:6" ht="62.25" customHeight="1">
      <c r="A30" s="94" t="str">
        <f>'урон героев'!A25</f>
        <v>Бирша</v>
      </c>
      <c r="B30" s="96" t="str">
        <f>B9</f>
        <v>Здоровья,броня,восстановление здоровья,уворот</v>
      </c>
      <c r="C30" s="96"/>
      <c r="D30" s="96"/>
      <c r="E30" s="94" t="str">
        <f>E9</f>
        <v>Сила атаки,скорость атаки,крит урон</v>
      </c>
      <c r="F30" s="94" t="str">
        <f>F9</f>
        <v>Сила атаки,скорость атаки,крит урон,уворот</v>
      </c>
    </row>
    <row r="31" spans="1:6" ht="73.5" customHeight="1">
      <c r="A31" s="94" t="str">
        <f>'урон героев'!A26</f>
        <v>Нифа</v>
      </c>
      <c r="B31" s="96" t="str">
        <f>B7</f>
        <v>Здоровья,уворот,восстановление энергии</v>
      </c>
      <c r="C31" s="96"/>
      <c r="D31" s="96"/>
      <c r="E31" s="94" t="str">
        <f>E7</f>
        <v>Сила атаки,скорость атаки</v>
      </c>
      <c r="F31" s="94" t="str">
        <f>E31</f>
        <v>Сила атаки,скорость атаки</v>
      </c>
    </row>
    <row r="32" spans="1:6" ht="73.5" customHeight="1">
      <c r="A32" s="94" t="str">
        <f>'урон героев'!A30</f>
        <v>Ла Круа</v>
      </c>
      <c r="B32" s="96" t="str">
        <f>B20</f>
        <v>Здоровья,броня,сопротивление,восстановление энергии</v>
      </c>
      <c r="C32" s="96"/>
      <c r="D32" s="96"/>
      <c r="E32" s="94" t="str">
        <f>E20</f>
        <v>Сила атаки,восстановление энергии,энергия за удар</v>
      </c>
      <c r="F32" s="94" t="str">
        <f>E32</f>
        <v>Сила атаки,восстановление энергии,энергия за удар</v>
      </c>
    </row>
    <row r="33" spans="1:6" ht="60" customHeight="1">
      <c r="A33" s="94" t="str">
        <f>'урон героев'!A32</f>
        <v>Юнь</v>
      </c>
      <c r="B33" s="96" t="str">
        <f>B28</f>
        <v>Здоровья,броня,восстановление здоровья</v>
      </c>
      <c r="C33" s="96"/>
      <c r="D33" s="96"/>
      <c r="E33" s="94" t="str">
        <f>E28</f>
        <v>Восстановление энергии,урон,крит урон\крит шанс</v>
      </c>
      <c r="F33" s="94" t="str">
        <f>F28</f>
        <v>Энергия при ударе,Урон,крит шанс\крит урон</v>
      </c>
    </row>
    <row r="34" spans="1:6" ht="63" customHeight="1">
      <c r="A34" s="94" t="str">
        <f>'урон героев'!A34</f>
        <v>Морвенна</v>
      </c>
      <c r="B34" s="96" t="str">
        <f>B23</f>
        <v>Здоровья,броня,восстановление здоровья,уворот</v>
      </c>
      <c r="C34" s="96"/>
      <c r="D34" s="96"/>
      <c r="E34" s="94" t="str">
        <f>E23</f>
        <v>Сила атаки,скорость атаки,крит урон,крит шанс</v>
      </c>
      <c r="F34" s="94" t="str">
        <f>F23</f>
        <v>Сила атаки,скорость атаки,крит урон,крит шанс</v>
      </c>
    </row>
    <row r="35" spans="1:6" ht="60" customHeight="1">
      <c r="A35" s="94" t="str">
        <f>'урон героев'!A35</f>
        <v>Альбус</v>
      </c>
      <c r="B35" s="96" t="str">
        <f>B33</f>
        <v>Здоровья,броня,восстановление здоровья</v>
      </c>
      <c r="C35" s="96"/>
      <c r="D35" s="96"/>
      <c r="E35" s="94" t="str">
        <f>E33</f>
        <v>Восстановление энергии,урон,крит урон\крит шанс</v>
      </c>
      <c r="F35" s="94" t="str">
        <f>F33</f>
        <v>Энергия при ударе,Урон,крит шанс\крит урон</v>
      </c>
    </row>
    <row r="36" spans="1:6">
      <c r="A36" s="94"/>
      <c r="B36" s="94"/>
      <c r="C36" s="94"/>
      <c r="D36" s="94"/>
      <c r="E36" s="94"/>
      <c r="F36" s="94"/>
    </row>
    <row r="37" spans="1:6">
      <c r="A37" s="94"/>
      <c r="B37" s="94"/>
      <c r="C37" s="94"/>
      <c r="D37" s="94"/>
      <c r="E37" s="94"/>
      <c r="F37" s="94"/>
    </row>
    <row r="38" spans="1:6">
      <c r="A38" s="94"/>
      <c r="B38" s="94"/>
      <c r="C38" s="94"/>
      <c r="D38" s="94"/>
      <c r="E38" s="94"/>
      <c r="F38" s="94"/>
    </row>
    <row r="39" spans="1:6">
      <c r="A39" s="94"/>
      <c r="B39" s="94"/>
      <c r="C39" s="94"/>
      <c r="D39" s="94"/>
      <c r="E39" s="94"/>
      <c r="F39" s="94"/>
    </row>
    <row r="40" spans="1:6">
      <c r="A40" s="94"/>
      <c r="B40" s="94"/>
      <c r="C40" s="94"/>
      <c r="D40" s="94"/>
      <c r="E40" s="94"/>
      <c r="F40" s="94"/>
    </row>
  </sheetData>
  <mergeCells count="35">
    <mergeCell ref="B32:D32"/>
    <mergeCell ref="B33:D33"/>
    <mergeCell ref="B34:D34"/>
    <mergeCell ref="B35:D35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A1:A2"/>
    <mergeCell ref="B1:F1"/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topLeftCell="A3" workbookViewId="0">
      <selection activeCell="D12" sqref="D12"/>
    </sheetView>
  </sheetViews>
  <sheetFormatPr defaultColWidth="12.140625" defaultRowHeight="15" customHeight="1"/>
  <cols>
    <col min="1" max="1" width="16.28515625" style="1" customWidth="1"/>
    <col min="2" max="2" width="12.140625" style="1" customWidth="1"/>
    <col min="3" max="3" width="13" style="1" customWidth="1"/>
    <col min="4" max="5" width="12.140625" style="1" customWidth="1"/>
    <col min="6" max="6" width="13.7109375" style="1" customWidth="1"/>
    <col min="7" max="7" width="14.140625" style="1" customWidth="1"/>
    <col min="8" max="8" width="13.85546875" style="1" customWidth="1"/>
    <col min="9" max="17" width="12.140625" style="1" customWidth="1"/>
  </cols>
  <sheetData>
    <row r="1" spans="1:16">
      <c r="A1" s="27"/>
      <c r="B1" s="27"/>
      <c r="C1" s="27"/>
      <c r="D1" s="28"/>
      <c r="E1" s="80" t="s">
        <v>86</v>
      </c>
      <c r="F1" s="81"/>
      <c r="G1" s="81"/>
      <c r="H1" s="82"/>
      <c r="I1" s="32"/>
      <c r="J1" s="27"/>
      <c r="K1" s="27"/>
      <c r="L1" s="3"/>
      <c r="M1" s="3"/>
      <c r="N1" s="3"/>
      <c r="O1" s="3"/>
      <c r="P1" s="3"/>
    </row>
    <row r="2" spans="1:16" ht="54.75">
      <c r="A2" s="33"/>
      <c r="B2" s="34" t="s">
        <v>87</v>
      </c>
      <c r="C2" s="34" t="s">
        <v>88</v>
      </c>
      <c r="D2" s="35" t="s">
        <v>89</v>
      </c>
      <c r="E2" s="36" t="s">
        <v>90</v>
      </c>
      <c r="F2" s="37" t="s">
        <v>91</v>
      </c>
      <c r="G2" s="38" t="s">
        <v>92</v>
      </c>
      <c r="H2" s="39" t="s">
        <v>93</v>
      </c>
      <c r="I2" s="40" t="s">
        <v>94</v>
      </c>
      <c r="J2" s="41" t="s">
        <v>95</v>
      </c>
      <c r="K2" s="35" t="s">
        <v>96</v>
      </c>
      <c r="L2" s="42"/>
      <c r="M2" s="3"/>
      <c r="N2" s="3"/>
      <c r="O2" s="3"/>
      <c r="P2" s="3"/>
    </row>
    <row r="3" spans="1:16">
      <c r="A3" s="43" t="s">
        <v>97</v>
      </c>
      <c r="B3" s="44">
        <f>4+5*6+6+7+8+9+10</f>
        <v>74</v>
      </c>
      <c r="C3" s="44">
        <f>2*2+4*2+6*2+7*2+8*2+9*2+10*2</f>
        <v>92</v>
      </c>
      <c r="D3" s="45" t="s">
        <v>27</v>
      </c>
      <c r="E3" s="46">
        <v>10</v>
      </c>
      <c r="F3" s="44" t="s">
        <v>27</v>
      </c>
      <c r="G3" s="44" t="s">
        <v>27</v>
      </c>
      <c r="H3" s="45" t="s">
        <v>27</v>
      </c>
      <c r="I3" s="46">
        <f>15*20</f>
        <v>300</v>
      </c>
      <c r="J3" s="68">
        <v>400</v>
      </c>
      <c r="K3" s="71">
        <f>500*4</f>
        <v>2000</v>
      </c>
      <c r="L3" s="42"/>
      <c r="M3" s="3"/>
      <c r="N3" s="3"/>
      <c r="O3" s="3"/>
      <c r="P3" s="3"/>
    </row>
    <row r="4" spans="1:16">
      <c r="A4" s="47" t="s">
        <v>98</v>
      </c>
      <c r="B4" s="44">
        <f>16+18+23+32*2+34*3+36*2+39*2+42*2+47+51</f>
        <v>555</v>
      </c>
      <c r="C4" s="44">
        <f>4*7+5*11+8+9+11+12+13*2+14+17+18+19</f>
        <v>217</v>
      </c>
      <c r="D4" s="45" t="s">
        <v>27</v>
      </c>
      <c r="E4" s="46">
        <f>E3*2</f>
        <v>20</v>
      </c>
      <c r="F4" s="44">
        <v>10</v>
      </c>
      <c r="G4" s="44" t="s">
        <v>27</v>
      </c>
      <c r="H4" s="45" t="s">
        <v>27</v>
      </c>
      <c r="I4" s="46">
        <f>50*20</f>
        <v>1000</v>
      </c>
      <c r="J4" s="68"/>
      <c r="K4" s="71"/>
      <c r="L4" s="42"/>
      <c r="M4" s="3"/>
      <c r="N4" s="3"/>
      <c r="O4" s="3"/>
      <c r="P4" s="3"/>
    </row>
    <row r="5" spans="1:16">
      <c r="A5" s="48" t="s">
        <v>99</v>
      </c>
      <c r="B5" s="44">
        <f>54+57+60+64+68+71+75+79+84+88+92+97+102+107+112+117+122+127+133+139</f>
        <v>1848</v>
      </c>
      <c r="C5" s="44">
        <f>4*12+5*14+7*3+11+13+17+18+19</f>
        <v>217</v>
      </c>
      <c r="D5" s="45" t="s">
        <v>27</v>
      </c>
      <c r="E5" s="46">
        <f>E4*2</f>
        <v>40</v>
      </c>
      <c r="F5" s="44">
        <f>F4*2</f>
        <v>20</v>
      </c>
      <c r="G5" s="44">
        <v>10</v>
      </c>
      <c r="H5" s="45" t="s">
        <v>27</v>
      </c>
      <c r="I5" s="46">
        <f>120*20</f>
        <v>2400</v>
      </c>
      <c r="J5" s="44">
        <v>800</v>
      </c>
      <c r="K5" s="71">
        <f>1000*4</f>
        <v>4000</v>
      </c>
      <c r="L5" s="42"/>
      <c r="M5" s="3"/>
      <c r="N5" s="3"/>
      <c r="O5" s="3"/>
      <c r="P5" s="3"/>
    </row>
    <row r="6" spans="1:16">
      <c r="A6" s="49" t="s">
        <v>100</v>
      </c>
      <c r="B6" s="44">
        <f>259+268+276+285+145+151+157+163+169+176+183+190+197+204+211+219+227+235+243+251</f>
        <v>4209</v>
      </c>
      <c r="C6" s="44">
        <f>17+18+19+20+4*3+5*2+6+7+8+9+10+11+12+13+14+15+16</f>
        <v>217</v>
      </c>
      <c r="D6" s="45" t="s">
        <v>27</v>
      </c>
      <c r="E6" s="46">
        <f>E5*2</f>
        <v>80</v>
      </c>
      <c r="F6" s="44">
        <f>F5*2</f>
        <v>40</v>
      </c>
      <c r="G6" s="44">
        <f>G5*2</f>
        <v>20</v>
      </c>
      <c r="H6" s="45">
        <v>10</v>
      </c>
      <c r="I6" s="46">
        <f>200*20</f>
        <v>4000</v>
      </c>
      <c r="J6" s="44">
        <v>1600</v>
      </c>
      <c r="K6" s="71"/>
      <c r="L6" s="42"/>
      <c r="M6" s="3"/>
      <c r="N6" s="3"/>
      <c r="O6" s="3"/>
      <c r="P6" s="3"/>
    </row>
    <row r="7" spans="1:16">
      <c r="A7" s="50" t="s">
        <v>101</v>
      </c>
      <c r="B7" s="44">
        <f>294+304+313+323+332+342+352+363+373+384+394+405+417+428+439+451+463+475+488+500</f>
        <v>7840</v>
      </c>
      <c r="C7" s="44">
        <f>4*3+5*2+6+7+8+9+10+11+12+13+14+15+16+17+18+19+20</f>
        <v>217</v>
      </c>
      <c r="D7" s="45" t="s">
        <v>27</v>
      </c>
      <c r="E7" s="46">
        <f>E6*2</f>
        <v>160</v>
      </c>
      <c r="F7" s="44">
        <f>F6*2</f>
        <v>80</v>
      </c>
      <c r="G7" s="44">
        <f>G6*2</f>
        <v>40</v>
      </c>
      <c r="H7" s="45">
        <f>H6*2</f>
        <v>20</v>
      </c>
      <c r="I7" s="46">
        <f>300*20</f>
        <v>6000</v>
      </c>
      <c r="J7" s="44">
        <v>3200</v>
      </c>
      <c r="K7" s="71">
        <f>2000*4</f>
        <v>8000</v>
      </c>
      <c r="L7" s="42"/>
      <c r="M7" s="3"/>
      <c r="N7" s="3"/>
      <c r="O7" s="3"/>
      <c r="P7" s="3"/>
    </row>
    <row r="8" spans="1:16">
      <c r="A8" s="66" t="s">
        <v>102</v>
      </c>
      <c r="B8" s="68">
        <f>500*50</f>
        <v>25000</v>
      </c>
      <c r="C8" s="83">
        <f>20*50</f>
        <v>1000</v>
      </c>
      <c r="D8" s="51">
        <f>(8+16+32+64+128)*10</f>
        <v>2480</v>
      </c>
      <c r="E8" s="46">
        <f>E7*2</f>
        <v>320</v>
      </c>
      <c r="F8" s="44">
        <f>F7*2</f>
        <v>160</v>
      </c>
      <c r="G8" s="44">
        <f>G7*2</f>
        <v>80</v>
      </c>
      <c r="H8" s="45">
        <f>H7*2</f>
        <v>40</v>
      </c>
      <c r="I8" s="46">
        <f>500*10</f>
        <v>5000</v>
      </c>
      <c r="J8" s="68">
        <v>6400</v>
      </c>
      <c r="K8" s="71"/>
      <c r="L8" s="42"/>
      <c r="M8" s="3"/>
      <c r="N8" s="3"/>
      <c r="O8" s="3"/>
      <c r="P8" s="3"/>
    </row>
    <row r="9" spans="1:16">
      <c r="A9" s="66"/>
      <c r="B9" s="68"/>
      <c r="C9" s="84"/>
      <c r="D9" s="52">
        <f>(5+10+20+40+80)*10</f>
        <v>1550</v>
      </c>
      <c r="E9" s="70" t="s">
        <v>103</v>
      </c>
      <c r="F9" s="68"/>
      <c r="G9" s="68"/>
      <c r="H9" s="71"/>
      <c r="I9" s="46">
        <f>750*10</f>
        <v>7500</v>
      </c>
      <c r="J9" s="68"/>
      <c r="K9" s="71">
        <f>4000*4</f>
        <v>16000</v>
      </c>
      <c r="L9" s="42"/>
      <c r="M9" s="3"/>
      <c r="N9" s="3"/>
      <c r="O9" s="3"/>
      <c r="P9" s="3"/>
    </row>
    <row r="10" spans="1:16">
      <c r="A10" s="66"/>
      <c r="B10" s="68"/>
      <c r="C10" s="84"/>
      <c r="D10" s="53">
        <f>(2+4+8+16+32)*10</f>
        <v>620</v>
      </c>
      <c r="E10" s="72">
        <f>(10+20+40+80+160)*4</f>
        <v>1240</v>
      </c>
      <c r="F10" s="74">
        <f>(5+10+20+40+80)*4</f>
        <v>620</v>
      </c>
      <c r="G10" s="76">
        <f>(3+6+10+20+40)*4</f>
        <v>316</v>
      </c>
      <c r="H10" s="78">
        <f>(1+2+4+8+16)*4</f>
        <v>124</v>
      </c>
      <c r="I10" s="46">
        <f>1000*10</f>
        <v>10000</v>
      </c>
      <c r="J10" s="68"/>
      <c r="K10" s="71"/>
      <c r="L10" s="42"/>
      <c r="M10" s="3"/>
      <c r="N10" s="3"/>
      <c r="O10" s="3"/>
      <c r="P10" s="3"/>
    </row>
    <row r="11" spans="1:16">
      <c r="A11" s="67"/>
      <c r="B11" s="69"/>
      <c r="C11" s="85"/>
      <c r="D11" s="54">
        <f>(1+2+4+8+16)*10</f>
        <v>310</v>
      </c>
      <c r="E11" s="73"/>
      <c r="F11" s="75"/>
      <c r="G11" s="77"/>
      <c r="H11" s="79"/>
      <c r="I11" s="46">
        <f>1500*10</f>
        <v>15000</v>
      </c>
      <c r="J11" s="68"/>
      <c r="K11" s="71">
        <f>8000*4</f>
        <v>32000</v>
      </c>
      <c r="L11" s="42"/>
      <c r="M11" s="3"/>
      <c r="N11" s="3"/>
      <c r="O11" s="3"/>
      <c r="P11" s="3"/>
    </row>
    <row r="12" spans="1:16">
      <c r="A12" s="86" t="s">
        <v>104</v>
      </c>
      <c r="B12" s="89">
        <f>SUM(B3:B8)</f>
        <v>39526</v>
      </c>
      <c r="C12" s="55">
        <f>C3</f>
        <v>92</v>
      </c>
      <c r="D12" s="56">
        <f>D8+SUM(E3:E8)+E10</f>
        <v>4350</v>
      </c>
      <c r="E12" s="29"/>
      <c r="F12" s="30"/>
      <c r="G12" s="30"/>
      <c r="H12" s="31"/>
      <c r="I12" s="57">
        <f>2000*10</f>
        <v>20000</v>
      </c>
      <c r="J12" s="69"/>
      <c r="K12" s="92"/>
      <c r="L12" s="42"/>
      <c r="M12" s="3"/>
      <c r="N12" s="3"/>
      <c r="O12" s="3"/>
      <c r="P12" s="3"/>
    </row>
    <row r="13" spans="1:16">
      <c r="A13" s="87"/>
      <c r="B13" s="90"/>
      <c r="C13" s="58">
        <f>C4</f>
        <v>217</v>
      </c>
      <c r="D13" s="52">
        <f>D9+SUM(F4:F8)+F10</f>
        <v>2480</v>
      </c>
      <c r="E13" s="42"/>
      <c r="F13" s="3"/>
      <c r="G13" s="3"/>
      <c r="H13" s="59"/>
      <c r="I13" s="60">
        <f>SUM(I3:I12)</f>
        <v>71200</v>
      </c>
      <c r="J13" s="61">
        <f>SUM(J3:J12)</f>
        <v>12400</v>
      </c>
      <c r="K13" s="62">
        <f>SUM(K3:K12)</f>
        <v>62000</v>
      </c>
      <c r="L13" s="42"/>
      <c r="M13" s="3"/>
      <c r="N13" s="3"/>
      <c r="O13" s="3"/>
      <c r="P13" s="3"/>
    </row>
    <row r="14" spans="1:16">
      <c r="A14" s="87"/>
      <c r="B14" s="90"/>
      <c r="C14" s="63">
        <f>C5</f>
        <v>217</v>
      </c>
      <c r="D14" s="53">
        <f>D10+G10+SUM(G5:G8)</f>
        <v>1086</v>
      </c>
      <c r="E14" s="42"/>
      <c r="F14" s="3"/>
      <c r="G14" s="3"/>
      <c r="H14" s="3"/>
      <c r="I14" s="30"/>
      <c r="J14" s="30"/>
      <c r="K14" s="30"/>
      <c r="L14" s="3"/>
      <c r="M14" s="3"/>
      <c r="N14" s="3"/>
      <c r="O14" s="3"/>
      <c r="P14" s="3"/>
    </row>
    <row r="15" spans="1:16">
      <c r="A15" s="87"/>
      <c r="B15" s="90"/>
      <c r="C15" s="64">
        <f>C6</f>
        <v>217</v>
      </c>
      <c r="D15" s="78">
        <f>D11+H10+SUM(H6:H8)</f>
        <v>504</v>
      </c>
      <c r="E15" s="4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88"/>
      <c r="B16" s="91"/>
      <c r="C16" s="65">
        <f>SUM(C7:C8)</f>
        <v>1217</v>
      </c>
      <c r="D16" s="79"/>
      <c r="E16" s="42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0"/>
      <c r="B17" s="30"/>
      <c r="C17" s="30"/>
      <c r="D17" s="30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5">
      <c r="A42" s="3"/>
      <c r="B42" s="3"/>
      <c r="C42" s="3"/>
    </row>
  </sheetData>
  <mergeCells count="19">
    <mergeCell ref="J8:J12"/>
    <mergeCell ref="J3:J4"/>
    <mergeCell ref="K3:K4"/>
    <mergeCell ref="K5:K6"/>
    <mergeCell ref="K7:K8"/>
    <mergeCell ref="K9:K10"/>
    <mergeCell ref="K11:K12"/>
    <mergeCell ref="E1:H1"/>
    <mergeCell ref="C8:C11"/>
    <mergeCell ref="A12:A16"/>
    <mergeCell ref="B12:B16"/>
    <mergeCell ref="D15:D16"/>
    <mergeCell ref="A8:A11"/>
    <mergeCell ref="B8:B11"/>
    <mergeCell ref="E9:H9"/>
    <mergeCell ref="E10:E11"/>
    <mergeCell ref="F10:F11"/>
    <mergeCell ref="G10:G11"/>
    <mergeCell ref="H10:H11"/>
  </mergeCells>
  <printOptions headings="1" gridLines="1"/>
  <pageMargins left="0.5" right="0.5" top="0.5" bottom="0.5" header="0.20078739523887601" footer="0.20078739523887601"/>
  <pageSetup paperSize="9" fitToWidth="0" fitToHeight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2022-03-30T20:47:29Z</dcterms:created>
  <dcterms:modified xsi:type="dcterms:W3CDTF">2022-03-30T20:47:29Z</dcterms:modified>
  <cp:category/>
  <cp:contentStatus/>
</cp:coreProperties>
</file>