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Workbook_____________" defaultThemeVersion="202300"/>
  <mc:AlternateContent xmlns:mc="http://schemas.openxmlformats.org/markup-compatibility/2006">
    <mc:Choice Requires="x15">
      <x15ac:absPath xmlns:x15ac="http://schemas.microsoft.com/office/spreadsheetml/2010/11/ac" url="D:\ADT Program\ADT2\"/>
    </mc:Choice>
  </mc:AlternateContent>
  <xr:revisionPtr revIDLastSave="0" documentId="13_ncr:1_{E39CA50B-94AE-4FD8-9BBD-5F86F6577FFC}" xr6:coauthVersionLast="47" xr6:coauthVersionMax="47" xr10:uidLastSave="{00000000-0000-0000-0000-000000000000}"/>
  <bookViews>
    <workbookView showSheetTabs="0" xWindow="-120" yWindow="-120" windowWidth="51840" windowHeight="21120" firstSheet="1" activeTab="1" xr2:uid="{ACCE6A19-CB5E-42EA-BC94-255068EC639D}"/>
  </bookViews>
  <sheets>
    <sheet name="Sheet1" sheetId="1" state="veryHidden" r:id="rId1"/>
    <sheet name="Sheet3" sheetId="3" r:id="rId2"/>
    <sheet name="Sheet2" sheetId="2" state="veryHidden" r:id="rId3"/>
  </sheets>
  <functionGroups builtInGroupCount="19"/>
  <definedNames>
    <definedName name="_xleta.AND" hidden="1" xlm="1">#NAME?</definedName>
    <definedName name="_xleta.IF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RIGHT" hidden="1" xlm="1">#NAME?</definedName>
    <definedName name="_xleta.SWITCH" hidden="1" xlm="1">#NAME?</definedName>
    <definedName name="_xleta.T" hidden="1" xlm="1">#NAME?</definedName>
    <definedName name="_xleta.TRUNC" hidden="1" xlm="1">#NAME?</definedName>
    <definedName name="_xlpm.x" hidden="1" xlm="1">#NAME?</definedName>
    <definedName name="_xlnm.Print_Area" localSheetId="0">Sheet1!$A$1:$O$70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M93" i="1" l="1" a="1"/>
  <c r="M38" i="1"/>
  <c r="M36" i="1"/>
  <c r="CS25" i="1"/>
  <c r="CR25" i="1"/>
  <c r="CR23" i="1"/>
  <c r="CS23" i="1"/>
  <c r="CR24" i="1"/>
  <c r="CS24" i="1"/>
  <c r="CS22" i="1"/>
  <c r="CR22" i="1"/>
  <c r="CO23" i="1"/>
  <c r="CO24" i="1"/>
  <c r="CO22" i="1"/>
  <c r="CS18" i="1"/>
  <c r="CS19" i="1"/>
  <c r="CS20" i="1"/>
  <c r="CS21" i="1"/>
  <c r="CS17" i="1"/>
  <c r="CR18" i="1"/>
  <c r="CR19" i="1"/>
  <c r="CR20" i="1"/>
  <c r="CR21" i="1"/>
  <c r="CR17" i="1"/>
  <c r="BH68" i="1"/>
  <c r="BH64" i="1"/>
  <c r="BH62" i="1"/>
  <c r="Q34" i="1"/>
  <c r="R34" i="1"/>
  <c r="J32" i="1" s="1"/>
  <c r="H32" i="1"/>
  <c r="CP16" i="1"/>
  <c r="R33" i="1"/>
  <c r="L3" i="1"/>
  <c r="BP24" i="1"/>
  <c r="BP23" i="1"/>
  <c r="BC107" i="1"/>
  <c r="BD108" i="1"/>
  <c r="BE108" i="1"/>
  <c r="SB30" i="1"/>
  <c r="SB31" i="1"/>
  <c r="SB32" i="1"/>
  <c r="SB33" i="1"/>
  <c r="SB29" i="1"/>
  <c r="SA30" i="1"/>
  <c r="SA31" i="1"/>
  <c r="SA32" i="1"/>
  <c r="SA33" i="1"/>
  <c r="SA29" i="1"/>
  <c r="D14" i="2"/>
  <c r="D13" i="2"/>
  <c r="D3" i="2"/>
  <c r="D4" i="2"/>
  <c r="D5" i="2"/>
  <c r="E5" i="2" s="1"/>
  <c r="D6" i="2"/>
  <c r="J33" i="1"/>
  <c r="J31" i="1"/>
  <c r="H33" i="1"/>
  <c r="H31" i="1"/>
  <c r="CU10" i="1"/>
  <c r="CQ18" i="1"/>
  <c r="CQ19" i="1"/>
  <c r="CQ20" i="1"/>
  <c r="CQ21" i="1"/>
  <c r="CQ17" i="1"/>
  <c r="DH6" i="1"/>
  <c r="BJ66" i="1"/>
  <c r="SD69" i="1"/>
  <c r="CO9" i="1"/>
  <c r="CO10" i="1"/>
  <c r="CO11" i="1"/>
  <c r="CO12" i="1"/>
  <c r="CO8" i="1"/>
  <c r="BH70" i="1"/>
  <c r="A6" i="1" a="1"/>
  <c r="SG12" i="1" a="1"/>
  <c r="AS9" i="1"/>
  <c r="AS8" i="1"/>
  <c r="SG11" i="1" a="1"/>
  <c r="SG10" i="1" a="1"/>
  <c r="RM12" i="1"/>
  <c r="RQ12" i="1"/>
  <c r="NL35" i="1"/>
  <c r="MY54" i="1"/>
  <c r="NA30" i="1"/>
  <c r="MZ33" i="1"/>
  <c r="MT11" i="1"/>
  <c r="MT10" i="1"/>
  <c r="MX8" i="1"/>
  <c r="LB50" i="1" a="1"/>
  <c r="OR39" i="1"/>
  <c r="PE14" i="1"/>
  <c r="OT10" i="1"/>
  <c r="OT9" i="1"/>
  <c r="ON20" i="1"/>
  <c r="BL14" i="1"/>
  <c r="BK14" i="1"/>
  <c r="DM74" i="1"/>
  <c r="AV84" i="1"/>
  <c r="ES72" i="1"/>
  <c r="KR36" i="1"/>
  <c r="KW10" i="1"/>
  <c r="KR10" i="1"/>
  <c r="OM49" i="1" a="1"/>
  <c r="LD8" i="1"/>
  <c r="LE8" i="1"/>
  <c r="GX60" i="1"/>
  <c r="GX57" i="1"/>
  <c r="GW60" i="1"/>
  <c r="GW57" i="1"/>
  <c r="GP44" i="1" a="1"/>
  <c r="GI55" i="1"/>
  <c r="GI54" i="1"/>
  <c r="GI52" i="1"/>
  <c r="GI51" i="1"/>
  <c r="GI49" i="1"/>
  <c r="GI48" i="1"/>
  <c r="GI46" i="1"/>
  <c r="GI45" i="1"/>
  <c r="JV12" i="1"/>
  <c r="JR12" i="1"/>
  <c r="AZ34" i="1"/>
  <c r="AZ32" i="1"/>
  <c r="JN12" i="1"/>
  <c r="JG113" i="1" a="1"/>
  <c r="JG112" i="1" a="1"/>
  <c r="JG110" i="1" a="1"/>
  <c r="JG109" i="1" a="1"/>
  <c r="IZ113" i="1" a="1"/>
  <c r="IZ112" i="1" a="1"/>
  <c r="IZ110" i="1" a="1"/>
  <c r="IZ109" i="1" a="1"/>
  <c r="HC22" i="1"/>
  <c r="HC23" i="1"/>
  <c r="HC24" i="1"/>
  <c r="HC25" i="1"/>
  <c r="HC26" i="1"/>
  <c r="HC27" i="1"/>
  <c r="HC21" i="1"/>
  <c r="GZ28" i="1"/>
  <c r="BT7" i="1" a="1"/>
  <c r="M11" i="1"/>
  <c r="MX7" i="1" s="1"/>
  <c r="M10" i="1"/>
  <c r="MY7" i="1" s="1"/>
  <c r="IZ10" i="1" a="1"/>
  <c r="IV12" i="1"/>
  <c r="IR12" i="1"/>
  <c r="IN12" i="1"/>
  <c r="IJ12" i="1"/>
  <c r="IF12" i="1"/>
  <c r="IB12" i="1"/>
  <c r="HX12" i="1"/>
  <c r="HT12" i="1"/>
  <c r="HP12" i="1"/>
  <c r="HL12" i="1"/>
  <c r="FP22" i="1" a="1"/>
  <c r="FQ19" i="1"/>
  <c r="FQ18" i="1"/>
  <c r="FK25" i="1"/>
  <c r="FK26" i="1"/>
  <c r="FK27" i="1"/>
  <c r="FK28" i="1"/>
  <c r="FK29" i="1"/>
  <c r="FK30" i="1"/>
  <c r="FK31" i="1"/>
  <c r="FM31" i="1" s="1"/>
  <c r="FN31" i="1" s="1"/>
  <c r="FK24" i="1"/>
  <c r="FP25" i="1"/>
  <c r="FP26" i="1"/>
  <c r="FP27" i="1"/>
  <c r="FP28" i="1"/>
  <c r="FP29" i="1"/>
  <c r="FP30" i="1"/>
  <c r="FP31" i="1"/>
  <c r="FP24" i="1"/>
  <c r="Q40" i="1"/>
  <c r="GW28" i="1"/>
  <c r="K9" i="1"/>
  <c r="GY28" i="1"/>
  <c r="NL37" i="1" s="1" a="1"/>
  <c r="EV11" i="1"/>
  <c r="EV10" i="1"/>
  <c r="FM58" i="1"/>
  <c r="Q46" i="1" s="1"/>
  <c r="DA12" i="1"/>
  <c r="DA6" i="1"/>
  <c r="CX45" i="1"/>
  <c r="CS69" i="1"/>
  <c r="CR45" i="1"/>
  <c r="CM69" i="1"/>
  <c r="AQ74" i="1"/>
  <c r="AY58" i="1"/>
  <c r="AY57" i="1"/>
  <c r="CK28" i="1"/>
  <c r="CK27" i="1"/>
  <c r="AX42" i="1"/>
  <c r="AX41" i="1"/>
  <c r="AX39" i="1"/>
  <c r="AX40" i="1"/>
  <c r="AR38" i="1"/>
  <c r="AQ38" i="1"/>
  <c r="O17" i="1"/>
  <c r="EM151" i="1"/>
  <c r="EM148" i="1"/>
  <c r="EM145" i="1"/>
  <c r="EM142" i="1"/>
  <c r="EM139" i="1"/>
  <c r="EM136" i="1"/>
  <c r="EM133" i="1"/>
  <c r="EM130" i="1"/>
  <c r="EM127" i="1"/>
  <c r="EM124" i="1"/>
  <c r="DY88" i="1"/>
  <c r="AS79" i="1"/>
  <c r="AR78" i="1" a="1"/>
  <c r="EK70" i="1"/>
  <c r="AR69" i="1" a="1"/>
  <c r="AU58" i="1" a="1"/>
  <c r="DN76" i="1" s="1"/>
  <c r="J60" i="1"/>
  <c r="AU57" i="1" a="1"/>
  <c r="NA29" i="1" s="1"/>
  <c r="AV55" i="1"/>
  <c r="AT55" i="1"/>
  <c r="AV54" i="1"/>
  <c r="AT54" i="1"/>
  <c r="AV53" i="1"/>
  <c r="AT53" i="1"/>
  <c r="AV52" i="1"/>
  <c r="AT52" i="1"/>
  <c r="AV51" i="1"/>
  <c r="AT51" i="1"/>
  <c r="AV50" i="1"/>
  <c r="AT50" i="1"/>
  <c r="AV49" i="1"/>
  <c r="AT49" i="1"/>
  <c r="C49" i="1"/>
  <c r="F45" i="1"/>
  <c r="AY16" i="1"/>
  <c r="DS15" i="1"/>
  <c r="AY15" i="1"/>
  <c r="BE15" i="1"/>
  <c r="DS14" i="1"/>
  <c r="BE14" i="1"/>
  <c r="BW13" i="1"/>
  <c r="BM11" i="1"/>
  <c r="BL11" i="1"/>
  <c r="BM10" i="1"/>
  <c r="BL10" i="1"/>
  <c r="BM9" i="1"/>
  <c r="BL9" i="1"/>
  <c r="FE59" i="1" s="1"/>
  <c r="BM8" i="1"/>
  <c r="BL8" i="1"/>
  <c r="PO9" i="1" s="1"/>
  <c r="BM7" i="1"/>
  <c r="BL7" i="1"/>
  <c r="BX17" i="1" s="1"/>
  <c r="CP11" i="1" l="1"/>
  <c r="IS9" i="1" s="1"/>
  <c r="CP10" i="1"/>
  <c r="IO9" i="1" s="1"/>
  <c r="CP9" i="1"/>
  <c r="IK9" i="1" s="1"/>
  <c r="D15" i="2"/>
  <c r="SC30" i="1"/>
  <c r="SC31" i="1"/>
  <c r="SC32" i="1"/>
  <c r="CP12" i="1"/>
  <c r="IW9" i="1" s="1"/>
  <c r="SC33" i="1"/>
  <c r="CP8" i="1"/>
  <c r="CU9" i="1" s="1"/>
  <c r="CT11" i="1" s="1"/>
  <c r="SC29" i="1"/>
  <c r="KF12" i="1"/>
  <c r="BG68" i="1"/>
  <c r="BF68" i="1"/>
  <c r="BE68" i="1"/>
  <c r="BD68" i="1"/>
  <c r="RZ32" i="1"/>
  <c r="SG40" i="1" s="1"/>
  <c r="SG41" i="1" s="1"/>
  <c r="SG42" i="1" s="1"/>
  <c r="SI42" i="1" s="1"/>
  <c r="RY32" i="1"/>
  <c r="SF40" i="1" s="1"/>
  <c r="SF41" i="1" s="1"/>
  <c r="SF42" i="1" s="1"/>
  <c r="SH42" i="1" s="1"/>
  <c r="RZ31" i="1"/>
  <c r="SG36" i="1" s="1"/>
  <c r="SG37" i="1" s="1"/>
  <c r="SG38" i="1" s="1"/>
  <c r="SI38" i="1" s="1"/>
  <c r="RY31" i="1"/>
  <c r="SF36" i="1" s="1"/>
  <c r="SF37" i="1" s="1"/>
  <c r="SF38" i="1" s="1"/>
  <c r="SH38" i="1" s="1"/>
  <c r="RY30" i="1"/>
  <c r="SF32" i="1" s="1"/>
  <c r="SF33" i="1" s="1"/>
  <c r="SF34" i="1" s="1"/>
  <c r="SH34" i="1" s="1"/>
  <c r="RZ30" i="1"/>
  <c r="SG32" i="1" s="1"/>
  <c r="SG33" i="1" s="1"/>
  <c r="SG34" i="1" s="1"/>
  <c r="SI34" i="1" s="1"/>
  <c r="RZ29" i="1"/>
  <c r="SG28" i="1" s="1"/>
  <c r="SG29" i="1" s="1"/>
  <c r="SG30" i="1" s="1"/>
  <c r="SI30" i="1" s="1"/>
  <c r="RY29" i="1"/>
  <c r="SF28" i="1" s="1"/>
  <c r="SF29" i="1" s="1"/>
  <c r="SF30" i="1" s="1"/>
  <c r="SH30" i="1" s="1"/>
  <c r="RZ33" i="1"/>
  <c r="SG44" i="1" s="1"/>
  <c r="SG45" i="1" s="1"/>
  <c r="SG46" i="1" s="1"/>
  <c r="SI46" i="1" s="1"/>
  <c r="RY33" i="1"/>
  <c r="SF44" i="1" s="1"/>
  <c r="SF45" i="1" s="1"/>
  <c r="SF46" i="1" s="1"/>
  <c r="SH46" i="1" s="1"/>
  <c r="CA51" i="1"/>
  <c r="CA50" i="1"/>
  <c r="CA48" i="1"/>
  <c r="CA47" i="1"/>
  <c r="FF61" i="1"/>
  <c r="FF63" i="1"/>
  <c r="FF62" i="1"/>
  <c r="DW47" i="1"/>
  <c r="DW48" i="1"/>
  <c r="DW49" i="1"/>
  <c r="DW50" i="1"/>
  <c r="DW46" i="1"/>
  <c r="CP17" i="1" a="1"/>
  <c r="E4" i="2"/>
  <c r="E6" i="2"/>
  <c r="PO10" i="1"/>
  <c r="AZ33" i="1"/>
  <c r="KA81" i="1" s="1"/>
  <c r="JZ83" i="1" s="1"/>
  <c r="A5" i="1" a="1"/>
  <c r="PO8" i="1"/>
  <c r="LC8" i="1"/>
  <c r="MY55" i="1"/>
  <c r="MY82" i="1"/>
  <c r="MY79" i="1"/>
  <c r="MY76" i="1"/>
  <c r="MY73" i="1"/>
  <c r="MY70" i="1"/>
  <c r="MY67" i="1"/>
  <c r="MY64" i="1"/>
  <c r="MY61" i="1"/>
  <c r="MY58" i="1"/>
  <c r="ON57" i="1"/>
  <c r="KN44" i="1" s="1"/>
  <c r="LE51" i="1"/>
  <c r="OO57" i="1"/>
  <c r="KT18" i="1" s="1"/>
  <c r="LF51" i="1"/>
  <c r="LW68" i="1" s="1"/>
  <c r="PB23" i="1"/>
  <c r="PB24" i="1" s="1"/>
  <c r="PB27" i="1" s="1"/>
  <c r="PB28" i="1" s="1"/>
  <c r="EN61" i="1"/>
  <c r="OW30" i="1"/>
  <c r="OW29" i="1"/>
  <c r="DM76" i="1"/>
  <c r="PF18" i="1"/>
  <c r="PF19" i="1"/>
  <c r="PF20" i="1"/>
  <c r="PF22" i="1"/>
  <c r="PF23" i="1"/>
  <c r="PF25" i="1"/>
  <c r="PF26" i="1"/>
  <c r="PF28" i="1"/>
  <c r="PF30" i="1"/>
  <c r="PF32" i="1"/>
  <c r="PF34" i="1"/>
  <c r="PF17" i="1"/>
  <c r="PF15" i="1"/>
  <c r="PF16" i="1"/>
  <c r="PF21" i="1"/>
  <c r="PF24" i="1"/>
  <c r="PF27" i="1"/>
  <c r="PF29" i="1"/>
  <c r="PF33" i="1"/>
  <c r="PF31" i="1"/>
  <c r="EN60" i="1"/>
  <c r="KX36" i="1"/>
  <c r="IZ62" i="1" a="1"/>
  <c r="JG111" i="1" a="1"/>
  <c r="IZ111" i="1" a="1"/>
  <c r="HC61" i="1"/>
  <c r="HB61" i="1"/>
  <c r="HB60" i="1"/>
  <c r="HC60" i="1"/>
  <c r="HC58" i="1"/>
  <c r="HB57" i="1"/>
  <c r="HC57" i="1"/>
  <c r="HB58" i="1"/>
  <c r="KA9" i="1"/>
  <c r="KA63" i="1"/>
  <c r="KA39" i="1"/>
  <c r="KF10" i="1"/>
  <c r="JO9" i="1"/>
  <c r="IZ108" i="1" a="1"/>
  <c r="IZ61" i="1" a="1"/>
  <c r="JG108" i="1" a="1"/>
  <c r="JA95" i="1"/>
  <c r="JA176" i="1"/>
  <c r="JA87" i="1"/>
  <c r="JA158" i="1"/>
  <c r="JA79" i="1"/>
  <c r="JA140" i="1"/>
  <c r="JA71" i="1"/>
  <c r="JA122" i="1"/>
  <c r="JA63" i="1"/>
  <c r="JA104" i="1"/>
  <c r="G23" i="1"/>
  <c r="H23" i="1"/>
  <c r="G22" i="1"/>
  <c r="P29" i="1" s="1"/>
  <c r="H22" i="1"/>
  <c r="G21" i="1"/>
  <c r="P28" i="1" s="1"/>
  <c r="H21" i="1"/>
  <c r="G20" i="1"/>
  <c r="P27" i="1" s="1"/>
  <c r="H20" i="1"/>
  <c r="G19" i="1"/>
  <c r="P26" i="1" s="1"/>
  <c r="H19" i="1"/>
  <c r="AW15" i="1" a="1"/>
  <c r="JA52" i="1"/>
  <c r="IC9" i="1"/>
  <c r="FM52" i="1"/>
  <c r="Q44" i="1" s="1"/>
  <c r="JA42" i="1"/>
  <c r="HY9" i="1"/>
  <c r="JA32" i="1"/>
  <c r="HU9" i="1"/>
  <c r="JA22" i="1"/>
  <c r="HQ9" i="1"/>
  <c r="JA12" i="1"/>
  <c r="HM9" i="1"/>
  <c r="FM45" i="1"/>
  <c r="Q41" i="1" s="1"/>
  <c r="FP23" i="1" a="1"/>
  <c r="BN58" i="1"/>
  <c r="FQ24" i="1"/>
  <c r="FQ27" i="1" s="1"/>
  <c r="FQ25" i="1"/>
  <c r="FQ26" i="1" s="1"/>
  <c r="BM58" i="1"/>
  <c r="FR26" i="1"/>
  <c r="FR27" i="1" s="1"/>
  <c r="FR24" i="1"/>
  <c r="FR25" i="1" s="1"/>
  <c r="FM25" i="1"/>
  <c r="FN25" i="1" s="1"/>
  <c r="GI26" i="1"/>
  <c r="GE26" i="1"/>
  <c r="GL26" i="1" s="1"/>
  <c r="FM26" i="1"/>
  <c r="FN26" i="1" s="1"/>
  <c r="GI27" i="1"/>
  <c r="GE27" i="1"/>
  <c r="GL27" i="1" s="1"/>
  <c r="FM27" i="1"/>
  <c r="FN27" i="1" s="1"/>
  <c r="GI28" i="1"/>
  <c r="GE28" i="1"/>
  <c r="GL28" i="1" s="1"/>
  <c r="FM28" i="1"/>
  <c r="FN28" i="1" s="1"/>
  <c r="GE29" i="1"/>
  <c r="GL29" i="1" s="1"/>
  <c r="GI29" i="1"/>
  <c r="FM29" i="1"/>
  <c r="FN29" i="1" s="1"/>
  <c r="GE30" i="1"/>
  <c r="GL30" i="1" s="1"/>
  <c r="GI30" i="1"/>
  <c r="FM30" i="1"/>
  <c r="FN30" i="1" s="1"/>
  <c r="FM24" i="1"/>
  <c r="FN24" i="1" s="1"/>
  <c r="GE25" i="1"/>
  <c r="GL25" i="1" s="1"/>
  <c r="GI25" i="1"/>
  <c r="EV13" i="1"/>
  <c r="EV12" i="1"/>
  <c r="FM55" i="1"/>
  <c r="Q45" i="1" s="1"/>
  <c r="FM49" i="1"/>
  <c r="Q43" i="1" s="1"/>
  <c r="FM46" i="1"/>
  <c r="Q42" i="1" s="1"/>
  <c r="DU20" i="1"/>
  <c r="G40" i="1"/>
  <c r="DJ64" i="1"/>
  <c r="BB97" i="1"/>
  <c r="CU34" i="1"/>
  <c r="CO34" i="1"/>
  <c r="CO36" i="1" s="1"/>
  <c r="BB91" i="1"/>
  <c r="BB60" i="1"/>
  <c r="CD15" i="1"/>
  <c r="CD14" i="1"/>
  <c r="M18" i="1"/>
  <c r="NP11" i="1"/>
  <c r="CB14" i="1" s="1"/>
  <c r="NO11" i="1"/>
  <c r="J18" i="1"/>
  <c r="BW35" i="1"/>
  <c r="BL27" i="1"/>
  <c r="BL31" i="1"/>
  <c r="BL24" i="1"/>
  <c r="BK23" i="1"/>
  <c r="BK31" i="1"/>
  <c r="BL23" i="1"/>
  <c r="BW38" i="1"/>
  <c r="BK28" i="1"/>
  <c r="BL28" i="1"/>
  <c r="BK30" i="1"/>
  <c r="BK27" i="1"/>
  <c r="BL30" i="1"/>
  <c r="BK24" i="1"/>
  <c r="AT41" i="1"/>
  <c r="AU41" i="1"/>
  <c r="AV42" i="1"/>
  <c r="AV41" i="1"/>
  <c r="AU42" i="1"/>
  <c r="AT40" i="1"/>
  <c r="AU39" i="1"/>
  <c r="AS39" i="1"/>
  <c r="AV40" i="1"/>
  <c r="AT39" i="1"/>
  <c r="AS42" i="1"/>
  <c r="AS40" i="1"/>
  <c r="AV39" i="1"/>
  <c r="AS41" i="1"/>
  <c r="AT42" i="1"/>
  <c r="AU40" i="1"/>
  <c r="EN152" i="1"/>
  <c r="EO151" i="1"/>
  <c r="EO152" i="1" s="1"/>
  <c r="EN151" i="1"/>
  <c r="EO148" i="1"/>
  <c r="EO149" i="1" s="1"/>
  <c r="EN146" i="1"/>
  <c r="EN145" i="1"/>
  <c r="EN142" i="1"/>
  <c r="EN139" i="1"/>
  <c r="EN134" i="1"/>
  <c r="EJ121" i="1"/>
  <c r="EJ115" i="1"/>
  <c r="EJ105" i="1"/>
  <c r="EJ103" i="1"/>
  <c r="EJ100" i="1"/>
  <c r="EJ92" i="1"/>
  <c r="DY91" i="1"/>
  <c r="EJ88" i="1"/>
  <c r="EJ78" i="1"/>
  <c r="AT59" i="1" a="1"/>
  <c r="AV58" i="1" a="1"/>
  <c r="AT58" i="1" a="1"/>
  <c r="AV57" i="1" a="1"/>
  <c r="AT57" i="1" a="1"/>
  <c r="EM61" i="1" s="1"/>
  <c r="AS52" i="1"/>
  <c r="AS51" i="1"/>
  <c r="AS49" i="1"/>
  <c r="BL21" i="1"/>
  <c r="BK21" i="1"/>
  <c r="DY20" i="1"/>
  <c r="EV7" i="1"/>
  <c r="BY20" i="1"/>
  <c r="OM9" i="1"/>
  <c r="ON21" i="1" s="1"/>
  <c r="BL20" i="1"/>
  <c r="BK20" i="1"/>
  <c r="BF16" i="1"/>
  <c r="BU9" i="1"/>
  <c r="BV9" i="1" s="1"/>
  <c r="L15" i="1" s="1"/>
  <c r="BU8" i="1"/>
  <c r="BV8" i="1" s="1"/>
  <c r="EJ117" i="1"/>
  <c r="EJ116" i="1"/>
  <c r="EJ95" i="1"/>
  <c r="AS55" i="1"/>
  <c r="EN149" i="1"/>
  <c r="EN143" i="1"/>
  <c r="EN140" i="1"/>
  <c r="EJ93" i="1"/>
  <c r="EJ91" i="1"/>
  <c r="EJ79" i="1"/>
  <c r="EO145" i="1"/>
  <c r="EO146" i="1" s="1"/>
  <c r="EO133" i="1"/>
  <c r="EO134" i="1" s="1"/>
  <c r="EJ119" i="1"/>
  <c r="EJ72" i="1"/>
  <c r="AS53" i="1"/>
  <c r="EN133" i="1"/>
  <c r="EJ102" i="1"/>
  <c r="EJ96" i="1"/>
  <c r="EJ94" i="1"/>
  <c r="EJ73" i="1"/>
  <c r="EJ113" i="1"/>
  <c r="EJ108" i="1"/>
  <c r="EJ107" i="1"/>
  <c r="EJ84" i="1"/>
  <c r="EN137" i="1"/>
  <c r="EJ112" i="1"/>
  <c r="EJ110" i="1"/>
  <c r="EJ98" i="1"/>
  <c r="EJ85" i="1"/>
  <c r="AS50" i="1"/>
  <c r="F46" i="1"/>
  <c r="F47" i="1" s="1"/>
  <c r="F48" i="1" s="1"/>
  <c r="EJ109" i="1"/>
  <c r="EJ106" i="1"/>
  <c r="EJ104" i="1"/>
  <c r="EJ99" i="1"/>
  <c r="EJ83" i="1"/>
  <c r="EJ82" i="1"/>
  <c r="EJ80" i="1"/>
  <c r="EJ76" i="1"/>
  <c r="EJ74" i="1"/>
  <c r="EO136" i="1"/>
  <c r="EO137" i="1" s="1"/>
  <c r="EJ114" i="1"/>
  <c r="EJ97" i="1"/>
  <c r="EJ120" i="1"/>
  <c r="EJ111" i="1"/>
  <c r="EJ101" i="1"/>
  <c r="EJ89" i="1"/>
  <c r="ES74" i="1" a="1"/>
  <c r="EN148" i="1"/>
  <c r="EO142" i="1"/>
  <c r="EO143" i="1" s="1"/>
  <c r="EO139" i="1"/>
  <c r="EO140" i="1" s="1"/>
  <c r="EN136" i="1"/>
  <c r="EJ90" i="1"/>
  <c r="EJ81" i="1"/>
  <c r="EJ75" i="1"/>
  <c r="EJ118" i="1"/>
  <c r="EJ87" i="1"/>
  <c r="EJ86" i="1"/>
  <c r="EJ77" i="1"/>
  <c r="AS54" i="1"/>
  <c r="IG9" i="1" l="1"/>
  <c r="CP13" i="1"/>
  <c r="KH12" i="1"/>
  <c r="KG12" i="1"/>
  <c r="BA32" i="1"/>
  <c r="BA60" i="1" s="1"/>
  <c r="SC34" i="1"/>
  <c r="R19" i="1"/>
  <c r="R22" i="1"/>
  <c r="R21" i="1"/>
  <c r="R20" i="1"/>
  <c r="R18" i="1"/>
  <c r="P30" i="1"/>
  <c r="E10" i="2"/>
  <c r="CT10" i="1"/>
  <c r="NS35" i="1" s="1"/>
  <c r="CT12" i="1"/>
  <c r="CT9" i="1"/>
  <c r="CT13" i="1"/>
  <c r="CU11" i="1"/>
  <c r="J55" i="1" a="1"/>
  <c r="J57" i="1" a="1"/>
  <c r="I63" i="1"/>
  <c r="SD70" i="1"/>
  <c r="PU9" i="1"/>
  <c r="NH33" i="1"/>
  <c r="NK37" i="1" s="1"/>
  <c r="MU29" i="1"/>
  <c r="NS7" i="1"/>
  <c r="DD6" i="1"/>
  <c r="DD39" i="1"/>
  <c r="QV28" i="1"/>
  <c r="QV27" i="1"/>
  <c r="QV26" i="1"/>
  <c r="DM72" i="1"/>
  <c r="KF11" i="1"/>
  <c r="KA55" i="1"/>
  <c r="JS9" i="1"/>
  <c r="KA99" i="1"/>
  <c r="KA19" i="1"/>
  <c r="KA29" i="1"/>
  <c r="JW9" i="1"/>
  <c r="KA47" i="1"/>
  <c r="KO29" i="1"/>
  <c r="KO31" i="1" s="1"/>
  <c r="KO55" i="1"/>
  <c r="KO57" i="1" s="1"/>
  <c r="KN18" i="1"/>
  <c r="KN20" i="1" s="1"/>
  <c r="KS29" i="1"/>
  <c r="KS31" i="1" s="1"/>
  <c r="CH57" i="1"/>
  <c r="QV25" i="1"/>
  <c r="CH56" i="1"/>
  <c r="QV24" i="1"/>
  <c r="QL20" i="1"/>
  <c r="PZ20" i="1"/>
  <c r="MC15" i="1"/>
  <c r="MC17" i="1" s="1"/>
  <c r="LH33" i="1"/>
  <c r="LH35" i="1" s="1"/>
  <c r="LO33" i="1"/>
  <c r="LO35" i="1" s="1"/>
  <c r="LV15" i="1"/>
  <c r="LV17" i="1" s="1"/>
  <c r="LP15" i="1"/>
  <c r="LP17" i="1" s="1"/>
  <c r="LI15" i="1"/>
  <c r="LI17" i="1" s="1"/>
  <c r="MD33" i="1"/>
  <c r="MD35" i="1" s="1"/>
  <c r="LW33" i="1"/>
  <c r="LW35" i="1" s="1"/>
  <c r="MX61" i="1"/>
  <c r="LH68" i="1"/>
  <c r="LH70" i="1" s="1"/>
  <c r="LO68" i="1"/>
  <c r="LO70" i="1" s="1"/>
  <c r="MC57" i="1"/>
  <c r="MC59" i="1" s="1"/>
  <c r="LV57" i="1"/>
  <c r="LV59" i="1" s="1"/>
  <c r="LW70" i="1"/>
  <c r="MD68" i="1"/>
  <c r="MD70" i="1" s="1"/>
  <c r="LI57" i="1"/>
  <c r="LI59" i="1" s="1"/>
  <c r="LP57" i="1"/>
  <c r="LP59" i="1" s="1"/>
  <c r="PI28" i="1"/>
  <c r="PI30" i="1"/>
  <c r="PI32" i="1"/>
  <c r="PI34" i="1"/>
  <c r="PI27" i="1"/>
  <c r="PI29" i="1"/>
  <c r="PI33" i="1"/>
  <c r="PI31" i="1"/>
  <c r="KU55" i="1"/>
  <c r="KU57" i="1" s="1"/>
  <c r="KT44" i="1"/>
  <c r="KN46" i="1"/>
  <c r="KT20" i="1"/>
  <c r="KA11" i="1"/>
  <c r="JZ11" i="1"/>
  <c r="KA41" i="1"/>
  <c r="JZ41" i="1"/>
  <c r="KH10" i="1"/>
  <c r="KG10" i="1"/>
  <c r="JO11" i="1"/>
  <c r="JN11" i="1"/>
  <c r="JN176" i="1" s="1"/>
  <c r="JO270" i="1"/>
  <c r="JO274" i="1"/>
  <c r="JO301" i="1"/>
  <c r="JO360" i="1"/>
  <c r="JO273" i="1"/>
  <c r="JO272" i="1"/>
  <c r="JO269" i="1"/>
  <c r="JO300" i="1"/>
  <c r="JO361" i="1"/>
  <c r="JO271" i="1"/>
  <c r="JO362" i="1"/>
  <c r="JO363" i="1"/>
  <c r="JO302" i="1"/>
  <c r="JN273" i="1"/>
  <c r="JN271" i="1"/>
  <c r="JN363" i="1"/>
  <c r="JN301" i="1"/>
  <c r="JN303" i="1"/>
  <c r="JN364" i="1"/>
  <c r="JN272" i="1"/>
  <c r="JN274" i="1"/>
  <c r="JN302" i="1"/>
  <c r="JN362" i="1"/>
  <c r="JO141" i="1"/>
  <c r="JO64" i="1"/>
  <c r="JO28" i="1"/>
  <c r="JO347" i="1"/>
  <c r="JO68" i="1"/>
  <c r="JO69" i="1"/>
  <c r="JO317" i="1"/>
  <c r="JO174" i="1"/>
  <c r="JO70" i="1"/>
  <c r="JO24" i="1"/>
  <c r="JO294" i="1"/>
  <c r="JO76" i="1"/>
  <c r="JO295" i="1"/>
  <c r="JO79" i="1"/>
  <c r="JO81" i="1"/>
  <c r="JO83" i="1"/>
  <c r="JO296" i="1"/>
  <c r="JO297" i="1"/>
  <c r="JO313" i="1"/>
  <c r="JO260" i="1"/>
  <c r="JO314" i="1"/>
  <c r="JO315" i="1"/>
  <c r="JO374" i="1"/>
  <c r="JO179" i="1"/>
  <c r="JO181" i="1"/>
  <c r="JO126" i="1"/>
  <c r="JO17" i="1"/>
  <c r="JO127" i="1"/>
  <c r="JO322" i="1"/>
  <c r="JO128" i="1"/>
  <c r="JO323" i="1"/>
  <c r="JO129" i="1"/>
  <c r="JO324" i="1"/>
  <c r="JO130" i="1"/>
  <c r="JO325" i="1"/>
  <c r="JO131" i="1"/>
  <c r="JO326" i="1"/>
  <c r="JO132" i="1"/>
  <c r="JO327" i="1"/>
  <c r="JO133" i="1"/>
  <c r="JO328" i="1"/>
  <c r="JO134" i="1"/>
  <c r="JO329" i="1"/>
  <c r="JO135" i="1"/>
  <c r="JO330" i="1"/>
  <c r="JO136" i="1"/>
  <c r="JO331" i="1"/>
  <c r="JO137" i="1"/>
  <c r="JO332" i="1"/>
  <c r="JO138" i="1"/>
  <c r="JO333" i="1"/>
  <c r="JO139" i="1"/>
  <c r="JO334" i="1"/>
  <c r="JO140" i="1"/>
  <c r="JO335" i="1"/>
  <c r="JO192" i="1"/>
  <c r="JO336" i="1"/>
  <c r="JO142" i="1"/>
  <c r="JO342" i="1"/>
  <c r="JO143" i="1"/>
  <c r="JO343" i="1"/>
  <c r="JO144" i="1"/>
  <c r="JO344" i="1"/>
  <c r="JO145" i="1"/>
  <c r="JO345" i="1"/>
  <c r="JO146" i="1"/>
  <c r="JO346" i="1"/>
  <c r="JO147" i="1"/>
  <c r="JO348" i="1"/>
  <c r="JO148" i="1"/>
  <c r="JO349" i="1"/>
  <c r="JO149" i="1"/>
  <c r="JO369" i="1"/>
  <c r="JO150" i="1"/>
  <c r="JO371" i="1"/>
  <c r="JO151" i="1"/>
  <c r="JO373" i="1"/>
  <c r="JO20" i="1"/>
  <c r="JO262" i="1"/>
  <c r="JO353" i="1"/>
  <c r="JO354" i="1"/>
  <c r="JO355" i="1"/>
  <c r="JO168" i="1"/>
  <c r="JO356" i="1"/>
  <c r="JO357" i="1"/>
  <c r="JO172" i="1"/>
  <c r="JO358" i="1"/>
  <c r="JO176" i="1"/>
  <c r="JO178" i="1"/>
  <c r="JO359" i="1"/>
  <c r="JO23" i="1"/>
  <c r="JO364" i="1"/>
  <c r="JO159" i="1"/>
  <c r="JO161" i="1"/>
  <c r="JO162" i="1"/>
  <c r="JO365" i="1"/>
  <c r="JO366" i="1"/>
  <c r="JO166" i="1"/>
  <c r="JO167" i="1"/>
  <c r="JO367" i="1"/>
  <c r="JO171" i="1"/>
  <c r="JO173" i="1"/>
  <c r="JO175" i="1"/>
  <c r="JO368" i="1"/>
  <c r="JO182" i="1"/>
  <c r="JO16" i="1"/>
  <c r="JO183" i="1"/>
  <c r="JO19" i="1"/>
  <c r="JO184" i="1"/>
  <c r="JO21" i="1"/>
  <c r="JO185" i="1"/>
  <c r="JO102" i="1"/>
  <c r="JO186" i="1"/>
  <c r="JO105" i="1"/>
  <c r="JO187" i="1"/>
  <c r="JO117" i="1"/>
  <c r="JO188" i="1"/>
  <c r="JO123" i="1"/>
  <c r="JO189" i="1"/>
  <c r="JO169" i="1"/>
  <c r="JO190" i="1"/>
  <c r="JO177" i="1"/>
  <c r="JO191" i="1"/>
  <c r="JO154" i="1"/>
  <c r="JO213" i="1"/>
  <c r="JO122" i="1"/>
  <c r="JO193" i="1"/>
  <c r="JO42" i="1"/>
  <c r="JO194" i="1"/>
  <c r="JO43" i="1"/>
  <c r="JO195" i="1"/>
  <c r="JO44" i="1"/>
  <c r="JO196" i="1"/>
  <c r="JO45" i="1"/>
  <c r="JO197" i="1"/>
  <c r="JO46" i="1"/>
  <c r="JO198" i="1"/>
  <c r="JO47" i="1"/>
  <c r="JO199" i="1"/>
  <c r="JO48" i="1"/>
  <c r="JO200" i="1"/>
  <c r="JO49" i="1"/>
  <c r="JO201" i="1"/>
  <c r="JO50" i="1"/>
  <c r="JO202" i="1"/>
  <c r="JO51" i="1"/>
  <c r="JO203" i="1"/>
  <c r="JO52" i="1"/>
  <c r="JO204" i="1"/>
  <c r="JO205" i="1"/>
  <c r="JO53" i="1"/>
  <c r="JO208" i="1"/>
  <c r="JO54" i="1"/>
  <c r="JO55" i="1"/>
  <c r="JO233" i="1"/>
  <c r="JO104" i="1"/>
  <c r="JO234" i="1"/>
  <c r="JO107" i="1"/>
  <c r="JO235" i="1"/>
  <c r="JO291" i="1"/>
  <c r="JO236" i="1"/>
  <c r="JO110" i="1"/>
  <c r="JO237" i="1"/>
  <c r="JO111" i="1"/>
  <c r="JO253" i="1"/>
  <c r="JO113" i="1"/>
  <c r="JO115" i="1"/>
  <c r="JO118" i="1"/>
  <c r="JO256" i="1"/>
  <c r="JO120" i="1"/>
  <c r="JO121" i="1"/>
  <c r="JO210" i="1"/>
  <c r="JO292" i="1"/>
  <c r="JO18" i="1"/>
  <c r="JO94" i="1"/>
  <c r="JO267" i="1"/>
  <c r="JO71" i="1"/>
  <c r="JO238" i="1"/>
  <c r="JO74" i="1"/>
  <c r="JO239" i="1"/>
  <c r="JO77" i="1"/>
  <c r="JO240" i="1"/>
  <c r="JO78" i="1"/>
  <c r="JO241" i="1"/>
  <c r="JO84" i="1"/>
  <c r="JO242" i="1"/>
  <c r="JO87" i="1"/>
  <c r="JO243" i="1"/>
  <c r="JO88" i="1"/>
  <c r="JO244" i="1"/>
  <c r="JO91" i="1"/>
  <c r="JO245" i="1"/>
  <c r="JO95" i="1"/>
  <c r="JO246" i="1"/>
  <c r="JO261" i="1"/>
  <c r="JO263" i="1"/>
  <c r="JO320" i="1"/>
  <c r="JO34" i="1"/>
  <c r="JO275" i="1"/>
  <c r="JO39" i="1"/>
  <c r="JO276" i="1"/>
  <c r="JO32" i="1"/>
  <c r="JO277" i="1"/>
  <c r="JO40" i="1"/>
  <c r="JO278" i="1"/>
  <c r="JO36" i="1"/>
  <c r="JO279" i="1"/>
  <c r="JO30" i="1"/>
  <c r="JO280" i="1"/>
  <c r="JO26" i="1"/>
  <c r="JO281" i="1"/>
  <c r="JO31" i="1"/>
  <c r="JO282" i="1"/>
  <c r="JO33" i="1"/>
  <c r="JO283" i="1"/>
  <c r="JO25" i="1"/>
  <c r="JO284" i="1"/>
  <c r="JO38" i="1"/>
  <c r="JO285" i="1"/>
  <c r="JO29" i="1"/>
  <c r="JO286" i="1"/>
  <c r="JO41" i="1"/>
  <c r="JO287" i="1"/>
  <c r="JO27" i="1"/>
  <c r="JO288" i="1"/>
  <c r="JO35" i="1"/>
  <c r="JO289" i="1"/>
  <c r="JO37" i="1"/>
  <c r="JO290" i="1"/>
  <c r="JN66" i="1"/>
  <c r="JN67" i="1"/>
  <c r="JN95" i="1"/>
  <c r="JN72" i="1"/>
  <c r="JN75" i="1"/>
  <c r="JN78" i="1"/>
  <c r="JN85" i="1"/>
  <c r="JN87" i="1"/>
  <c r="JN89" i="1"/>
  <c r="JN92" i="1"/>
  <c r="JN182" i="1"/>
  <c r="JN116" i="1"/>
  <c r="JN172" i="1"/>
  <c r="JN262" i="1"/>
  <c r="JN123" i="1"/>
  <c r="JN126" i="1"/>
  <c r="JN173" i="1"/>
  <c r="JN216" i="1"/>
  <c r="JN16" i="1"/>
  <c r="JN17" i="1"/>
  <c r="JN124" i="1"/>
  <c r="JN212" i="1"/>
  <c r="JN215" i="1"/>
  <c r="JN217" i="1"/>
  <c r="JN127" i="1"/>
  <c r="JN128" i="1"/>
  <c r="JN129" i="1"/>
  <c r="JN130" i="1"/>
  <c r="JN131" i="1"/>
  <c r="JN132" i="1"/>
  <c r="JN133" i="1"/>
  <c r="JN134" i="1"/>
  <c r="JN135" i="1"/>
  <c r="JN136" i="1"/>
  <c r="JN137" i="1"/>
  <c r="JN138" i="1"/>
  <c r="JN139" i="1"/>
  <c r="JN140" i="1"/>
  <c r="JN141" i="1"/>
  <c r="JN142" i="1"/>
  <c r="JN143" i="1"/>
  <c r="JN144" i="1"/>
  <c r="JN145" i="1"/>
  <c r="JN146" i="1"/>
  <c r="JN147" i="1"/>
  <c r="JN148" i="1"/>
  <c r="JN149" i="1"/>
  <c r="JN150" i="1"/>
  <c r="JN151" i="1"/>
  <c r="JN152" i="1"/>
  <c r="JN156" i="1"/>
  <c r="JN213" i="1"/>
  <c r="JN264" i="1"/>
  <c r="JN318" i="1"/>
  <c r="JN269" i="1"/>
  <c r="JN157" i="1"/>
  <c r="JN158" i="1"/>
  <c r="JN159" i="1"/>
  <c r="JN160" i="1"/>
  <c r="JN161" i="1"/>
  <c r="JN162" i="1"/>
  <c r="JN163" i="1"/>
  <c r="JN166" i="1"/>
  <c r="JN167" i="1"/>
  <c r="JN168" i="1"/>
  <c r="JN170" i="1"/>
  <c r="JN171" i="1"/>
  <c r="JN174" i="1"/>
  <c r="JN181" i="1"/>
  <c r="JN155" i="1"/>
  <c r="JN164" i="1"/>
  <c r="JN165" i="1"/>
  <c r="JN169" i="1"/>
  <c r="JN178" i="1"/>
  <c r="JN183" i="1"/>
  <c r="JN184" i="1"/>
  <c r="JN185" i="1"/>
  <c r="JN186" i="1"/>
  <c r="JN187" i="1"/>
  <c r="JN188" i="1"/>
  <c r="JN189" i="1"/>
  <c r="JN190" i="1"/>
  <c r="JN191" i="1"/>
  <c r="JN192" i="1"/>
  <c r="JN58" i="1"/>
  <c r="JN193" i="1"/>
  <c r="JN194" i="1"/>
  <c r="JN195" i="1"/>
  <c r="JN196" i="1"/>
  <c r="JN197" i="1"/>
  <c r="JN198" i="1"/>
  <c r="JN199" i="1"/>
  <c r="JN200" i="1"/>
  <c r="JN201" i="1"/>
  <c r="JN202" i="1"/>
  <c r="JN203" i="1"/>
  <c r="JN204" i="1"/>
  <c r="JN206" i="1"/>
  <c r="JN209" i="1"/>
  <c r="JN210" i="1"/>
  <c r="JN257" i="1"/>
  <c r="JN214" i="1"/>
  <c r="JN265" i="1"/>
  <c r="JN205" i="1"/>
  <c r="JN207" i="1"/>
  <c r="JN208" i="1"/>
  <c r="JN19" i="1"/>
  <c r="JN263" i="1"/>
  <c r="JN218" i="1"/>
  <c r="JN219" i="1"/>
  <c r="JN220" i="1"/>
  <c r="JN221" i="1"/>
  <c r="JN222" i="1"/>
  <c r="JN223" i="1"/>
  <c r="JN224" i="1"/>
  <c r="JN225" i="1"/>
  <c r="JN226" i="1"/>
  <c r="JN227" i="1"/>
  <c r="JN228" i="1"/>
  <c r="JN229" i="1"/>
  <c r="JN230" i="1"/>
  <c r="JN231" i="1"/>
  <c r="JN232" i="1"/>
  <c r="JN233" i="1"/>
  <c r="JN234" i="1"/>
  <c r="JN235" i="1"/>
  <c r="JN237" i="1"/>
  <c r="JN238" i="1"/>
  <c r="JN254" i="1"/>
  <c r="JN255" i="1"/>
  <c r="JN256" i="1"/>
  <c r="JN258" i="1"/>
  <c r="JN259" i="1"/>
  <c r="JN260" i="1"/>
  <c r="JN261" i="1"/>
  <c r="JN374" i="1"/>
  <c r="JN270" i="1"/>
  <c r="JN239" i="1"/>
  <c r="JN240" i="1"/>
  <c r="JN241" i="1"/>
  <c r="JN242" i="1"/>
  <c r="JN243" i="1"/>
  <c r="JN244" i="1"/>
  <c r="JN245" i="1"/>
  <c r="JN246" i="1"/>
  <c r="JN247" i="1"/>
  <c r="JN248" i="1"/>
  <c r="JN249" i="1"/>
  <c r="JN250" i="1"/>
  <c r="JN251" i="1"/>
  <c r="JN252" i="1"/>
  <c r="JN253" i="1"/>
  <c r="JN267" i="1"/>
  <c r="JN275" i="1"/>
  <c r="JN276" i="1"/>
  <c r="JN277" i="1"/>
  <c r="JN278" i="1"/>
  <c r="JN279" i="1"/>
  <c r="JN280" i="1"/>
  <c r="JN281" i="1"/>
  <c r="JN282" i="1"/>
  <c r="JN283" i="1"/>
  <c r="JN284" i="1"/>
  <c r="JN285" i="1"/>
  <c r="JN286" i="1"/>
  <c r="JN287" i="1"/>
  <c r="JN288" i="1"/>
  <c r="JN289" i="1"/>
  <c r="JN290" i="1"/>
  <c r="JN291" i="1"/>
  <c r="JN312" i="1"/>
  <c r="JN337" i="1"/>
  <c r="JN299" i="1"/>
  <c r="JN18" i="1"/>
  <c r="JN313" i="1"/>
  <c r="JN373" i="1"/>
  <c r="JN293" i="1"/>
  <c r="JN268" i="1"/>
  <c r="JN314" i="1"/>
  <c r="JN43" i="1"/>
  <c r="JN300" i="1"/>
  <c r="JN44" i="1"/>
  <c r="JN236" i="1"/>
  <c r="JN45" i="1"/>
  <c r="JN315" i="1"/>
  <c r="JN46" i="1"/>
  <c r="JN292" i="1"/>
  <c r="JN47" i="1"/>
  <c r="JN316" i="1"/>
  <c r="JN48" i="1"/>
  <c r="JN319" i="1"/>
  <c r="JN49" i="1"/>
  <c r="JN321" i="1"/>
  <c r="JN50" i="1"/>
  <c r="JN304" i="1"/>
  <c r="JN51" i="1"/>
  <c r="JN351" i="1"/>
  <c r="JN52" i="1"/>
  <c r="JN352" i="1"/>
  <c r="JN53" i="1"/>
  <c r="JN353" i="1"/>
  <c r="JN54" i="1"/>
  <c r="JN354" i="1"/>
  <c r="JN55" i="1"/>
  <c r="JN356" i="1"/>
  <c r="JN56" i="1"/>
  <c r="JN357" i="1"/>
  <c r="JN57" i="1"/>
  <c r="JN358" i="1"/>
  <c r="JN359" i="1"/>
  <c r="JN59" i="1"/>
  <c r="JN360" i="1"/>
  <c r="JN361" i="1"/>
  <c r="JN61" i="1"/>
  <c r="JN295" i="1"/>
  <c r="JN62" i="1"/>
  <c r="JN338" i="1"/>
  <c r="JN63" i="1"/>
  <c r="JN21" i="1"/>
  <c r="JN64" i="1"/>
  <c r="JN65" i="1"/>
  <c r="JN339" i="1"/>
  <c r="JN305" i="1"/>
  <c r="JN340" i="1"/>
  <c r="JN69" i="1"/>
  <c r="JN323" i="1"/>
  <c r="JN96" i="1"/>
  <c r="JN98" i="1"/>
  <c r="JN180" i="1"/>
  <c r="JN71" i="1"/>
  <c r="JN341" i="1"/>
  <c r="JN320" i="1"/>
  <c r="JN74" i="1"/>
  <c r="JN342" i="1"/>
  <c r="JN77" i="1"/>
  <c r="JN79" i="1"/>
  <c r="JN343" i="1"/>
  <c r="JN82" i="1"/>
  <c r="JN344" i="1"/>
  <c r="JN84" i="1"/>
  <c r="JN345" i="1"/>
  <c r="JN346" i="1"/>
  <c r="JN88" i="1"/>
  <c r="JN347" i="1"/>
  <c r="JN91" i="1"/>
  <c r="JN348" i="1"/>
  <c r="JN94" i="1"/>
  <c r="JN349" i="1"/>
  <c r="JN350" i="1"/>
  <c r="JN100" i="1"/>
  <c r="JN324" i="1"/>
  <c r="JN103" i="1"/>
  <c r="JN306" i="1"/>
  <c r="JN106" i="1"/>
  <c r="JN325" i="1"/>
  <c r="JN296" i="1"/>
  <c r="JN326" i="1"/>
  <c r="JN307" i="1"/>
  <c r="JN327" i="1"/>
  <c r="JN117" i="1"/>
  <c r="JN322" i="1"/>
  <c r="JN355" i="1"/>
  <c r="JN328" i="1"/>
  <c r="JN266" i="1"/>
  <c r="JN175" i="1"/>
  <c r="JN154" i="1"/>
  <c r="JN308" i="1"/>
  <c r="JN329" i="1"/>
  <c r="JN60" i="1"/>
  <c r="JN68" i="1"/>
  <c r="JN70" i="1"/>
  <c r="JN297" i="1"/>
  <c r="JN97" i="1"/>
  <c r="JN177" i="1"/>
  <c r="JN24" i="1"/>
  <c r="JN330" i="1"/>
  <c r="JN73" i="1"/>
  <c r="JN309" i="1"/>
  <c r="JN76" i="1"/>
  <c r="JN365" i="1"/>
  <c r="JN331" i="1"/>
  <c r="JN80" i="1"/>
  <c r="JN81" i="1"/>
  <c r="JN83" i="1"/>
  <c r="JN366" i="1"/>
  <c r="JN86" i="1"/>
  <c r="JN14" i="1"/>
  <c r="JN367" i="1"/>
  <c r="JN90" i="1"/>
  <c r="JN332" i="1"/>
  <c r="JN93" i="1"/>
  <c r="JN368" i="1"/>
  <c r="JN179" i="1"/>
  <c r="JN310" i="1"/>
  <c r="JN99" i="1"/>
  <c r="JN101" i="1"/>
  <c r="JN102" i="1"/>
  <c r="JN104" i="1"/>
  <c r="JN107" i="1"/>
  <c r="JN109" i="1"/>
  <c r="JN112" i="1"/>
  <c r="JN114" i="1"/>
  <c r="JN369" i="1"/>
  <c r="JN119" i="1"/>
  <c r="JN121" i="1"/>
  <c r="JN122" i="1"/>
  <c r="JN370" i="1"/>
  <c r="JN371" i="1"/>
  <c r="JN153" i="1"/>
  <c r="JN372" i="1"/>
  <c r="JN317" i="1"/>
  <c r="JN333" i="1"/>
  <c r="JN211" i="1"/>
  <c r="JN298" i="1"/>
  <c r="JN294" i="1"/>
  <c r="JN334" i="1"/>
  <c r="JN23" i="1"/>
  <c r="JN15" i="1"/>
  <c r="JN27" i="1"/>
  <c r="JN22" i="1"/>
  <c r="JN35" i="1"/>
  <c r="JN42" i="1"/>
  <c r="JN28" i="1"/>
  <c r="JN311" i="1"/>
  <c r="JN26" i="1"/>
  <c r="JN32" i="1"/>
  <c r="JN40" i="1"/>
  <c r="JN29" i="1"/>
  <c r="JN25" i="1"/>
  <c r="JN105" i="1"/>
  <c r="JN38" i="1"/>
  <c r="JN335" i="1"/>
  <c r="JN108" i="1"/>
  <c r="JN110" i="1"/>
  <c r="JN37" i="1"/>
  <c r="JN111" i="1"/>
  <c r="JN113" i="1"/>
  <c r="JN41" i="1"/>
  <c r="JN115" i="1"/>
  <c r="JN36" i="1"/>
  <c r="JN39" i="1"/>
  <c r="JN20" i="1"/>
  <c r="JN118" i="1"/>
  <c r="JN34" i="1"/>
  <c r="JN120" i="1"/>
  <c r="JN30" i="1"/>
  <c r="JN31" i="1"/>
  <c r="JN336" i="1"/>
  <c r="JN125" i="1"/>
  <c r="JN33" i="1"/>
  <c r="AX16" i="1" a="1"/>
  <c r="AX15" i="1" a="1"/>
  <c r="EU21" i="1"/>
  <c r="EU20" i="1"/>
  <c r="EU19" i="1"/>
  <c r="L16" i="1"/>
  <c r="BQ18" i="1"/>
  <c r="GK29" i="1"/>
  <c r="GJ29" i="1"/>
  <c r="GK30" i="1"/>
  <c r="GJ30" i="1"/>
  <c r="EN130" i="1"/>
  <c r="DD50" i="1"/>
  <c r="EN131" i="1"/>
  <c r="ED27" i="1"/>
  <c r="ED29" i="1" s="1"/>
  <c r="CT36" i="1"/>
  <c r="CU36" i="1"/>
  <c r="CS70" i="1"/>
  <c r="M56" i="1" a="1"/>
  <c r="CM70" i="1"/>
  <c r="CN36" i="1"/>
  <c r="EC20" i="1"/>
  <c r="BZ18" i="1"/>
  <c r="BZ17" i="1"/>
  <c r="DQ15" i="1" s="1"/>
  <c r="NP13" i="1"/>
  <c r="NP12" i="1"/>
  <c r="CA14" i="1"/>
  <c r="NO12" i="1"/>
  <c r="NO14" i="1"/>
  <c r="DY25" i="1" a="1"/>
  <c r="EK121" i="1"/>
  <c r="EL121" i="1"/>
  <c r="EK115" i="1"/>
  <c r="EL115" i="1"/>
  <c r="EK105" i="1"/>
  <c r="EL105" i="1"/>
  <c r="EK103" i="1"/>
  <c r="EL103" i="1"/>
  <c r="EK100" i="1"/>
  <c r="EL100" i="1"/>
  <c r="EL92" i="1"/>
  <c r="EK92" i="1"/>
  <c r="EK88" i="1"/>
  <c r="EL88" i="1"/>
  <c r="DY22" i="1"/>
  <c r="DZ22" i="1"/>
  <c r="DV22" i="1"/>
  <c r="DT76" i="1"/>
  <c r="DU22" i="1"/>
  <c r="EV9" i="1"/>
  <c r="EW9" i="1"/>
  <c r="BY22" i="1"/>
  <c r="BZ22" i="1"/>
  <c r="CT43" i="1" s="1"/>
  <c r="CE45" i="1"/>
  <c r="CE69" i="1"/>
  <c r="OM11" i="1"/>
  <c r="ON30" i="1" s="1"/>
  <c r="ON32" i="1" s="1"/>
  <c r="ON11" i="1"/>
  <c r="OM41" i="1" s="1"/>
  <c r="BU34" i="1"/>
  <c r="BV34" i="1"/>
  <c r="BW9" i="1"/>
  <c r="BW8" i="1"/>
  <c r="EL117" i="1"/>
  <c r="EK117" i="1"/>
  <c r="EK116" i="1"/>
  <c r="EL116" i="1"/>
  <c r="EL95" i="1"/>
  <c r="EK95" i="1"/>
  <c r="EK93" i="1"/>
  <c r="EL93" i="1"/>
  <c r="EK91" i="1"/>
  <c r="EL91" i="1"/>
  <c r="EK119" i="1"/>
  <c r="EL119" i="1"/>
  <c r="EL102" i="1"/>
  <c r="EK102" i="1"/>
  <c r="EK96" i="1"/>
  <c r="EL96" i="1"/>
  <c r="EK94" i="1"/>
  <c r="EL94" i="1"/>
  <c r="EK113" i="1"/>
  <c r="EL113" i="1"/>
  <c r="EK108" i="1"/>
  <c r="EL108" i="1"/>
  <c r="EL107" i="1"/>
  <c r="EK107" i="1"/>
  <c r="EK84" i="1"/>
  <c r="EL84" i="1"/>
  <c r="EL112" i="1"/>
  <c r="EK112" i="1"/>
  <c r="EL110" i="1"/>
  <c r="EK110" i="1"/>
  <c r="EK98" i="1"/>
  <c r="EL98" i="1"/>
  <c r="EK85" i="1"/>
  <c r="EL85" i="1"/>
  <c r="EL109" i="1"/>
  <c r="EK109" i="1"/>
  <c r="EL106" i="1"/>
  <c r="EK106" i="1"/>
  <c r="EK104" i="1"/>
  <c r="EL104" i="1"/>
  <c r="EL99" i="1"/>
  <c r="EK99" i="1"/>
  <c r="EL114" i="1"/>
  <c r="EK114" i="1"/>
  <c r="EL97" i="1"/>
  <c r="EK97" i="1"/>
  <c r="EK120" i="1"/>
  <c r="EL120" i="1"/>
  <c r="EK111" i="1"/>
  <c r="EL111" i="1"/>
  <c r="EL101" i="1"/>
  <c r="EK101" i="1"/>
  <c r="EL89" i="1"/>
  <c r="EK89" i="1"/>
  <c r="EL90" i="1"/>
  <c r="EK90" i="1"/>
  <c r="EK118" i="1"/>
  <c r="EL118" i="1"/>
  <c r="EL87" i="1"/>
  <c r="EK87" i="1"/>
  <c r="EK86" i="1"/>
  <c r="EL86" i="1"/>
  <c r="F49" i="1"/>
  <c r="A66" i="1" l="1"/>
  <c r="I61" i="1"/>
  <c r="OV8" i="1"/>
  <c r="G26" i="1"/>
  <c r="G61" i="1"/>
  <c r="G63" i="1"/>
  <c r="G29" i="1"/>
  <c r="AZ28" i="1" s="1"/>
  <c r="DC45" i="1"/>
  <c r="DC46" i="1"/>
  <c r="DC42" i="1"/>
  <c r="DC43" i="1" s="1"/>
  <c r="DF41" i="1" s="1"/>
  <c r="DF44" i="1" s="1"/>
  <c r="DF47" i="1" s="1"/>
  <c r="DF50" i="1" s="1"/>
  <c r="DF53" i="1" s="1"/>
  <c r="DF56" i="1" s="1"/>
  <c r="DC41" i="1"/>
  <c r="G27" i="1"/>
  <c r="GW8" i="1" s="1"/>
  <c r="G30" i="1"/>
  <c r="G28" i="1"/>
  <c r="JH12" i="1"/>
  <c r="JH95" i="1"/>
  <c r="JH63" i="1"/>
  <c r="JH22" i="1"/>
  <c r="JH32" i="1"/>
  <c r="JH71" i="1"/>
  <c r="JH42" i="1"/>
  <c r="JH52" i="1"/>
  <c r="EC58" i="1"/>
  <c r="G49" i="1" a="1"/>
  <c r="BB66" i="1" a="1"/>
  <c r="BG63" i="1"/>
  <c r="JH87" i="1"/>
  <c r="JH79" i="1"/>
  <c r="JH140" i="1"/>
  <c r="JH104" i="1"/>
  <c r="JH122" i="1"/>
  <c r="JH176" i="1"/>
  <c r="GW11" i="1"/>
  <c r="OR37" i="1" a="1"/>
  <c r="ES73" i="1" a="1"/>
  <c r="BC61" i="1"/>
  <c r="JH158" i="1"/>
  <c r="QW27" i="1"/>
  <c r="GW10" i="1"/>
  <c r="DG60" i="1"/>
  <c r="DI64" i="1" s="1"/>
  <c r="DG6" i="1"/>
  <c r="IG8" i="1"/>
  <c r="LB31" i="1"/>
  <c r="LB32" i="1"/>
  <c r="NR39" i="1"/>
  <c r="NR42" i="1"/>
  <c r="LB33" i="1"/>
  <c r="JH89" i="1"/>
  <c r="JG89" i="1"/>
  <c r="JH97" i="1"/>
  <c r="JG97" i="1"/>
  <c r="JG81" i="1"/>
  <c r="JH81" i="1"/>
  <c r="LB35" i="1"/>
  <c r="JH54" i="1"/>
  <c r="JG54" i="1"/>
  <c r="PG31" i="1"/>
  <c r="PH31" i="1"/>
  <c r="OU29" i="1"/>
  <c r="OV17" i="1"/>
  <c r="OY17" i="1"/>
  <c r="OY24" i="1" s="1"/>
  <c r="OY25" i="1" s="1"/>
  <c r="OV26" i="1"/>
  <c r="OY16" i="1"/>
  <c r="OY19" i="1" s="1"/>
  <c r="OV39" i="1" s="1"/>
  <c r="OV40" i="1" s="1"/>
  <c r="OQ37" i="1" s="1"/>
  <c r="OV16" i="1"/>
  <c r="PG33" i="1"/>
  <c r="OU25" i="1"/>
  <c r="PH27" i="1"/>
  <c r="PH30" i="1"/>
  <c r="PG30" i="1"/>
  <c r="PG28" i="1"/>
  <c r="PH28" i="1"/>
  <c r="PH33" i="1"/>
  <c r="PH29" i="1"/>
  <c r="PH34" i="1"/>
  <c r="PG29" i="1"/>
  <c r="PG27" i="1"/>
  <c r="PG34" i="1"/>
  <c r="PH32" i="1"/>
  <c r="PG32" i="1"/>
  <c r="JG44" i="1"/>
  <c r="JH44" i="1"/>
  <c r="NA34" i="1"/>
  <c r="NA43" i="1"/>
  <c r="NA36" i="1"/>
  <c r="NA40" i="1"/>
  <c r="NA65" i="1"/>
  <c r="NA42" i="1"/>
  <c r="MX37" i="1"/>
  <c r="MX38" i="1" s="1"/>
  <c r="MX36" i="1"/>
  <c r="MX39" i="1" s="1"/>
  <c r="NA67" i="1"/>
  <c r="NA61" i="1"/>
  <c r="NA44" i="1"/>
  <c r="NA38" i="1"/>
  <c r="NA45" i="1"/>
  <c r="NA35" i="1"/>
  <c r="NA66" i="1"/>
  <c r="PT11" i="1"/>
  <c r="PU11" i="1"/>
  <c r="NA41" i="1"/>
  <c r="NA64" i="1"/>
  <c r="NA68" i="1"/>
  <c r="MX32" i="1"/>
  <c r="NA37" i="1"/>
  <c r="NT12" i="1"/>
  <c r="NA60" i="1"/>
  <c r="NA63" i="1"/>
  <c r="NA39" i="1"/>
  <c r="NA46" i="1"/>
  <c r="NA47" i="1"/>
  <c r="NA48" i="1"/>
  <c r="NA49" i="1"/>
  <c r="NA50" i="1"/>
  <c r="NA51" i="1"/>
  <c r="NA52" i="1"/>
  <c r="NA53" i="1"/>
  <c r="NA54" i="1"/>
  <c r="NA55" i="1"/>
  <c r="NA56" i="1"/>
  <c r="NA57" i="1"/>
  <c r="NA58" i="1"/>
  <c r="NA59" i="1"/>
  <c r="NA62" i="1"/>
  <c r="MX42" i="1"/>
  <c r="MX43" i="1" s="1"/>
  <c r="MX41" i="1"/>
  <c r="MX44" i="1" s="1"/>
  <c r="MX31" i="1"/>
  <c r="MX34" i="1" s="1"/>
  <c r="MU31" i="1"/>
  <c r="NI35" i="1" s="1"/>
  <c r="MT41" i="1"/>
  <c r="MU59" i="1" s="1"/>
  <c r="MU60" i="1" s="1"/>
  <c r="MU61" i="1" s="1"/>
  <c r="MT37" i="1"/>
  <c r="MU55" i="1" s="1"/>
  <c r="MU56" i="1" s="1"/>
  <c r="MU57" i="1" s="1"/>
  <c r="BC81" i="1"/>
  <c r="BB80" i="1"/>
  <c r="BC82" i="1"/>
  <c r="H51" i="1"/>
  <c r="OX18" i="1"/>
  <c r="PA28" i="1" s="1"/>
  <c r="BB82" i="1"/>
  <c r="OX16" i="1"/>
  <c r="DM81" i="1"/>
  <c r="DM84" i="1"/>
  <c r="OV47" i="1"/>
  <c r="OY36" i="1"/>
  <c r="OY40" i="1" s="1"/>
  <c r="BC80" i="1"/>
  <c r="JZ65" i="1"/>
  <c r="KA65" i="1"/>
  <c r="BB81" i="1"/>
  <c r="MX58" i="1"/>
  <c r="MX59" i="1" s="1"/>
  <c r="JO298" i="1"/>
  <c r="JO90" i="1"/>
  <c r="JO299" i="1"/>
  <c r="JO96" i="1"/>
  <c r="JO303" i="1"/>
  <c r="JO99" i="1"/>
  <c r="JO100" i="1"/>
  <c r="JO103" i="1"/>
  <c r="JO106" i="1"/>
  <c r="JO108" i="1"/>
  <c r="JO112" i="1"/>
  <c r="JO114" i="1"/>
  <c r="JO304" i="1"/>
  <c r="JO119" i="1"/>
  <c r="JO124" i="1"/>
  <c r="JO305" i="1"/>
  <c r="JO152" i="1"/>
  <c r="JO259" i="1"/>
  <c r="JO211" i="1"/>
  <c r="JO215" i="1"/>
  <c r="JO306" i="1"/>
  <c r="JO321" i="1"/>
  <c r="JO293" i="1"/>
  <c r="JO109" i="1"/>
  <c r="JO307" i="1"/>
  <c r="JO308" i="1"/>
  <c r="JO309" i="1"/>
  <c r="JO153" i="1"/>
  <c r="JO318" i="1"/>
  <c r="JO310" i="1"/>
  <c r="JO311" i="1"/>
  <c r="JO312" i="1"/>
  <c r="JO337" i="1"/>
  <c r="JO338" i="1"/>
  <c r="JO339" i="1"/>
  <c r="JO340" i="1"/>
  <c r="JO156" i="1"/>
  <c r="JO341" i="1"/>
  <c r="JO157" i="1"/>
  <c r="JO370" i="1"/>
  <c r="JO158" i="1"/>
  <c r="JO372" i="1"/>
  <c r="JO14" i="1"/>
  <c r="JO160" i="1"/>
  <c r="JO350" i="1"/>
  <c r="JO351" i="1"/>
  <c r="JO352" i="1"/>
  <c r="JO163" i="1"/>
  <c r="JO164" i="1"/>
  <c r="JO165" i="1"/>
  <c r="JO56" i="1"/>
  <c r="JO15" i="1"/>
  <c r="JO57" i="1"/>
  <c r="JO216" i="1"/>
  <c r="JO58" i="1"/>
  <c r="JO264" i="1"/>
  <c r="JO59" i="1"/>
  <c r="JO206" i="1"/>
  <c r="JO60" i="1"/>
  <c r="JO207" i="1"/>
  <c r="JO61" i="1"/>
  <c r="JO209" i="1"/>
  <c r="JO258" i="1"/>
  <c r="JO265" i="1"/>
  <c r="JO62" i="1"/>
  <c r="JO212" i="1"/>
  <c r="JO63" i="1"/>
  <c r="JO319" i="1"/>
  <c r="JO316" i="1"/>
  <c r="JO266" i="1"/>
  <c r="JO268" i="1"/>
  <c r="JO217" i="1"/>
  <c r="JO65" i="1"/>
  <c r="JO218" i="1"/>
  <c r="JO66" i="1"/>
  <c r="JO219" i="1"/>
  <c r="JO67" i="1"/>
  <c r="JO220" i="1"/>
  <c r="JO93" i="1"/>
  <c r="JO221" i="1"/>
  <c r="JO72" i="1"/>
  <c r="JO222" i="1"/>
  <c r="JO73" i="1"/>
  <c r="JO223" i="1"/>
  <c r="JO75" i="1"/>
  <c r="JO224" i="1"/>
  <c r="JO80" i="1"/>
  <c r="JO225" i="1"/>
  <c r="JO82" i="1"/>
  <c r="JO226" i="1"/>
  <c r="JO85" i="1"/>
  <c r="JO227" i="1"/>
  <c r="JO86" i="1"/>
  <c r="JO228" i="1"/>
  <c r="JO89" i="1"/>
  <c r="JO229" i="1"/>
  <c r="JO92" i="1"/>
  <c r="JO230" i="1"/>
  <c r="JO97" i="1"/>
  <c r="JO231" i="1"/>
  <c r="JO180" i="1"/>
  <c r="JO232" i="1"/>
  <c r="JO101" i="1"/>
  <c r="JO98" i="1"/>
  <c r="JO247" i="1"/>
  <c r="JO116" i="1"/>
  <c r="JO248" i="1"/>
  <c r="JO125" i="1"/>
  <c r="JO249" i="1"/>
  <c r="JO170" i="1"/>
  <c r="JO250" i="1"/>
  <c r="JO155" i="1"/>
  <c r="JO251" i="1"/>
  <c r="JO22" i="1"/>
  <c r="JO252" i="1"/>
  <c r="JO214" i="1"/>
  <c r="JO254" i="1"/>
  <c r="JO255" i="1"/>
  <c r="JO257" i="1"/>
  <c r="JR62" i="1"/>
  <c r="JR54" i="1"/>
  <c r="JR36" i="1"/>
  <c r="JR326" i="1"/>
  <c r="JR289" i="1"/>
  <c r="JR260" i="1"/>
  <c r="JR272" i="1"/>
  <c r="JR288" i="1"/>
  <c r="JR286" i="1"/>
  <c r="JR282" i="1"/>
  <c r="JR369" i="1"/>
  <c r="JS373" i="1"/>
  <c r="JR373" i="1"/>
  <c r="JS372" i="1"/>
  <c r="JR372" i="1"/>
  <c r="JS371" i="1"/>
  <c r="JR371" i="1"/>
  <c r="JS370" i="1"/>
  <c r="JR370" i="1"/>
  <c r="JS369" i="1"/>
  <c r="JS368" i="1"/>
  <c r="JR368" i="1"/>
  <c r="JS367" i="1"/>
  <c r="JR367" i="1"/>
  <c r="JS366" i="1"/>
  <c r="JR366" i="1"/>
  <c r="JS365" i="1"/>
  <c r="JR365" i="1"/>
  <c r="JS364" i="1"/>
  <c r="JR364" i="1"/>
  <c r="JS363" i="1"/>
  <c r="JR363" i="1"/>
  <c r="JS362" i="1"/>
  <c r="JR129" i="1"/>
  <c r="JS128" i="1"/>
  <c r="JR128" i="1"/>
  <c r="JS127" i="1"/>
  <c r="JR127" i="1"/>
  <c r="JS126" i="1"/>
  <c r="JR126" i="1"/>
  <c r="JS125" i="1"/>
  <c r="JR125" i="1"/>
  <c r="JS124" i="1"/>
  <c r="JR124" i="1"/>
  <c r="JS123" i="1"/>
  <c r="JR123" i="1"/>
  <c r="JS122" i="1"/>
  <c r="JR122" i="1"/>
  <c r="JS343" i="1"/>
  <c r="JR341" i="1"/>
  <c r="JR339" i="1"/>
  <c r="JR332" i="1"/>
  <c r="JS318" i="1"/>
  <c r="JR311" i="1"/>
  <c r="JR308" i="1"/>
  <c r="JR304" i="1"/>
  <c r="JR301" i="1"/>
  <c r="JR298" i="1"/>
  <c r="JR296" i="1"/>
  <c r="JS292" i="1"/>
  <c r="JS284" i="1"/>
  <c r="JR275" i="1"/>
  <c r="JS272" i="1"/>
  <c r="JW168" i="1"/>
  <c r="JW73" i="1"/>
  <c r="JW71" i="1"/>
  <c r="JW70" i="1"/>
  <c r="JW69" i="1"/>
  <c r="JV68" i="1"/>
  <c r="JV64" i="1"/>
  <c r="JW61" i="1"/>
  <c r="JV173" i="1"/>
  <c r="JW170" i="1"/>
  <c r="JW169" i="1"/>
  <c r="JW167" i="1"/>
  <c r="JV72" i="1"/>
  <c r="JV71" i="1"/>
  <c r="JV70" i="1"/>
  <c r="JW68" i="1"/>
  <c r="JW66" i="1"/>
  <c r="JV65" i="1"/>
  <c r="JV63" i="1"/>
  <c r="JW72" i="1"/>
  <c r="JW67" i="1"/>
  <c r="JW65" i="1"/>
  <c r="JW63" i="1"/>
  <c r="JV62" i="1"/>
  <c r="JW171" i="1"/>
  <c r="JV67" i="1"/>
  <c r="JV73" i="1"/>
  <c r="JV69" i="1"/>
  <c r="JV66" i="1"/>
  <c r="JW64" i="1"/>
  <c r="JW62" i="1"/>
  <c r="JV61" i="1"/>
  <c r="JW60" i="1"/>
  <c r="JV60" i="1"/>
  <c r="JW59" i="1"/>
  <c r="JW41" i="1"/>
  <c r="JV41" i="1"/>
  <c r="JW40" i="1"/>
  <c r="JV40" i="1"/>
  <c r="JW39" i="1"/>
  <c r="JV39" i="1"/>
  <c r="JW38" i="1"/>
  <c r="JV38" i="1"/>
  <c r="JW37" i="1"/>
  <c r="JV37" i="1"/>
  <c r="JW36" i="1"/>
  <c r="JW58" i="1"/>
  <c r="JV58" i="1"/>
  <c r="JW57" i="1"/>
  <c r="JV57" i="1"/>
  <c r="JW56" i="1"/>
  <c r="JV56" i="1"/>
  <c r="JW55" i="1"/>
  <c r="JV55" i="1"/>
  <c r="JW54" i="1"/>
  <c r="JV59" i="1"/>
  <c r="JV54" i="1"/>
  <c r="JW53" i="1"/>
  <c r="JV53" i="1"/>
  <c r="JW52" i="1"/>
  <c r="JV52" i="1"/>
  <c r="JW51" i="1"/>
  <c r="JV51" i="1"/>
  <c r="JW50" i="1"/>
  <c r="JV50" i="1"/>
  <c r="JW49" i="1"/>
  <c r="JV49" i="1"/>
  <c r="JW48" i="1"/>
  <c r="JV48" i="1"/>
  <c r="JW47" i="1"/>
  <c r="JV47" i="1"/>
  <c r="JW46" i="1"/>
  <c r="JV46" i="1"/>
  <c r="JW45" i="1"/>
  <c r="JV45" i="1"/>
  <c r="JW44" i="1"/>
  <c r="JV44" i="1"/>
  <c r="JW43" i="1"/>
  <c r="JV43" i="1"/>
  <c r="JW42" i="1"/>
  <c r="JV42" i="1"/>
  <c r="JR233" i="1"/>
  <c r="JS232" i="1"/>
  <c r="JR232" i="1"/>
  <c r="JS231" i="1"/>
  <c r="JR231" i="1"/>
  <c r="JS230" i="1"/>
  <c r="JR230" i="1"/>
  <c r="JS229" i="1"/>
  <c r="JR229" i="1"/>
  <c r="JS228" i="1"/>
  <c r="JR228" i="1"/>
  <c r="JS227" i="1"/>
  <c r="JR227" i="1"/>
  <c r="JS226" i="1"/>
  <c r="JR226" i="1"/>
  <c r="JS225" i="1"/>
  <c r="JR225" i="1"/>
  <c r="JS224" i="1"/>
  <c r="JR224" i="1"/>
  <c r="JS223" i="1"/>
  <c r="JR223" i="1"/>
  <c r="JS222" i="1"/>
  <c r="JR222" i="1"/>
  <c r="JS221" i="1"/>
  <c r="JR221" i="1"/>
  <c r="JS220" i="1"/>
  <c r="JR220" i="1"/>
  <c r="JS219" i="1"/>
  <c r="JR219" i="1"/>
  <c r="JS218" i="1"/>
  <c r="JR218" i="1"/>
  <c r="JS217" i="1"/>
  <c r="JR217" i="1"/>
  <c r="JS216" i="1"/>
  <c r="JR216" i="1"/>
  <c r="JS215" i="1"/>
  <c r="JR215" i="1"/>
  <c r="JS214" i="1"/>
  <c r="JR214" i="1"/>
  <c r="JS213" i="1"/>
  <c r="JR213" i="1"/>
  <c r="JS212" i="1"/>
  <c r="JR212" i="1"/>
  <c r="JS211" i="1"/>
  <c r="JR211" i="1"/>
  <c r="JS210" i="1"/>
  <c r="JR210" i="1"/>
  <c r="JS209" i="1"/>
  <c r="JR209" i="1"/>
  <c r="JS208" i="1"/>
  <c r="JR208" i="1"/>
  <c r="JS207" i="1"/>
  <c r="JR207" i="1"/>
  <c r="JS206" i="1"/>
  <c r="JR206" i="1"/>
  <c r="JS205" i="1"/>
  <c r="JR205" i="1"/>
  <c r="JS204" i="1"/>
  <c r="JR204" i="1"/>
  <c r="JS203" i="1"/>
  <c r="JR203" i="1"/>
  <c r="JS202" i="1"/>
  <c r="JR202" i="1"/>
  <c r="JS201" i="1"/>
  <c r="JR201" i="1"/>
  <c r="JS200" i="1"/>
  <c r="JR200" i="1"/>
  <c r="JS199" i="1"/>
  <c r="JR199" i="1"/>
  <c r="JS198" i="1"/>
  <c r="JR198" i="1"/>
  <c r="JS197" i="1"/>
  <c r="JR197" i="1"/>
  <c r="JS196" i="1"/>
  <c r="JR196" i="1"/>
  <c r="JS195" i="1"/>
  <c r="JR195" i="1"/>
  <c r="JS337" i="1"/>
  <c r="JR325" i="1"/>
  <c r="JS121" i="1"/>
  <c r="JR121" i="1"/>
  <c r="JS120" i="1"/>
  <c r="JR120" i="1"/>
  <c r="JS119" i="1"/>
  <c r="JR119" i="1"/>
  <c r="JS118" i="1"/>
  <c r="JR118" i="1"/>
  <c r="JS117" i="1"/>
  <c r="JR117" i="1"/>
  <c r="JS116" i="1"/>
  <c r="JR116" i="1"/>
  <c r="JS115" i="1"/>
  <c r="JR115" i="1"/>
  <c r="JS114" i="1"/>
  <c r="JR114" i="1"/>
  <c r="JS113" i="1"/>
  <c r="JR113" i="1"/>
  <c r="JS112" i="1"/>
  <c r="JR112" i="1"/>
  <c r="JS111" i="1"/>
  <c r="JR111" i="1"/>
  <c r="JS110" i="1"/>
  <c r="JR110" i="1"/>
  <c r="JS109" i="1"/>
  <c r="JR109" i="1"/>
  <c r="JS108" i="1"/>
  <c r="JR108" i="1"/>
  <c r="JS107" i="1"/>
  <c r="JR107" i="1"/>
  <c r="JS106" i="1"/>
  <c r="JR106" i="1"/>
  <c r="JS105" i="1"/>
  <c r="JR105" i="1"/>
  <c r="JS104" i="1"/>
  <c r="JR104" i="1"/>
  <c r="JS103" i="1"/>
  <c r="JR103" i="1"/>
  <c r="JS102" i="1"/>
  <c r="JR102" i="1"/>
  <c r="JS101" i="1"/>
  <c r="JR101" i="1"/>
  <c r="JS100" i="1"/>
  <c r="JR100" i="1"/>
  <c r="JS99" i="1"/>
  <c r="JR99" i="1"/>
  <c r="JS98" i="1"/>
  <c r="JR98" i="1"/>
  <c r="JS97" i="1"/>
  <c r="JR97" i="1"/>
  <c r="JS96" i="1"/>
  <c r="JR96" i="1"/>
  <c r="JS95" i="1"/>
  <c r="JR95" i="1"/>
  <c r="JS94" i="1"/>
  <c r="JR94" i="1"/>
  <c r="JS93" i="1"/>
  <c r="JR93" i="1"/>
  <c r="JS92" i="1"/>
  <c r="JR92" i="1"/>
  <c r="JS91" i="1"/>
  <c r="JR91" i="1"/>
  <c r="JS90" i="1"/>
  <c r="JR90" i="1"/>
  <c r="JS89" i="1"/>
  <c r="JR89" i="1"/>
  <c r="JR350" i="1"/>
  <c r="JS346" i="1"/>
  <c r="JR30" i="1"/>
  <c r="JS29" i="1"/>
  <c r="JR29" i="1"/>
  <c r="JS28" i="1"/>
  <c r="JR28" i="1"/>
  <c r="JS27" i="1"/>
  <c r="JR27" i="1"/>
  <c r="JS26" i="1"/>
  <c r="JR26" i="1"/>
  <c r="JS25" i="1"/>
  <c r="JR25" i="1"/>
  <c r="JS24" i="1"/>
  <c r="JR24" i="1"/>
  <c r="JS23" i="1"/>
  <c r="JR23" i="1"/>
  <c r="JS22" i="1"/>
  <c r="JR22" i="1"/>
  <c r="JS21" i="1"/>
  <c r="JR21" i="1"/>
  <c r="JS20" i="1"/>
  <c r="JR20" i="1"/>
  <c r="JS19" i="1"/>
  <c r="JR19" i="1"/>
  <c r="JS18" i="1"/>
  <c r="JR18" i="1"/>
  <c r="JS17" i="1"/>
  <c r="JR17" i="1"/>
  <c r="JS16" i="1"/>
  <c r="JR16" i="1"/>
  <c r="JR353" i="1"/>
  <c r="JS351" i="1"/>
  <c r="JS348" i="1"/>
  <c r="JS341" i="1"/>
  <c r="JR336" i="1"/>
  <c r="JW109" i="1"/>
  <c r="JV102" i="1"/>
  <c r="JW100" i="1"/>
  <c r="JV99" i="1"/>
  <c r="JV96" i="1"/>
  <c r="JW93" i="1"/>
  <c r="JW90" i="1"/>
  <c r="JV89" i="1"/>
  <c r="JW86" i="1"/>
  <c r="JW84" i="1"/>
  <c r="JW79" i="1"/>
  <c r="JW285" i="1"/>
  <c r="JW280" i="1"/>
  <c r="JV235" i="1"/>
  <c r="JV230" i="1"/>
  <c r="JW227" i="1"/>
  <c r="JV177" i="1"/>
  <c r="JV113" i="1"/>
  <c r="JW110" i="1"/>
  <c r="JV106" i="1"/>
  <c r="JW104" i="1"/>
  <c r="JW102" i="1"/>
  <c r="JV101" i="1"/>
  <c r="JW98" i="1"/>
  <c r="JW94" i="1"/>
  <c r="JV92" i="1"/>
  <c r="JV86" i="1"/>
  <c r="JW81" i="1"/>
  <c r="JV79" i="1"/>
  <c r="JW288" i="1"/>
  <c r="JV282" i="1"/>
  <c r="JV232" i="1"/>
  <c r="JV180" i="1"/>
  <c r="JV176" i="1"/>
  <c r="JV112" i="1"/>
  <c r="JV110" i="1"/>
  <c r="JW108" i="1"/>
  <c r="JV107" i="1"/>
  <c r="JW105" i="1"/>
  <c r="JV103" i="1"/>
  <c r="JV100" i="1"/>
  <c r="JV97" i="1"/>
  <c r="JV95" i="1"/>
  <c r="JV91" i="1"/>
  <c r="JV84" i="1"/>
  <c r="JV81" i="1"/>
  <c r="JW78" i="1"/>
  <c r="JV283" i="1"/>
  <c r="JV233" i="1"/>
  <c r="JV183" i="1"/>
  <c r="JV178" i="1"/>
  <c r="JV174" i="1"/>
  <c r="JW111" i="1"/>
  <c r="JV109" i="1"/>
  <c r="JW106" i="1"/>
  <c r="JV105" i="1"/>
  <c r="JW103" i="1"/>
  <c r="JW101" i="1"/>
  <c r="JW95" i="1"/>
  <c r="JV93" i="1"/>
  <c r="JW91" i="1"/>
  <c r="JW88" i="1"/>
  <c r="JV85" i="1"/>
  <c r="JV83" i="1"/>
  <c r="JV78" i="1"/>
  <c r="JW284" i="1"/>
  <c r="JW236" i="1"/>
  <c r="JW231" i="1"/>
  <c r="JV229" i="1"/>
  <c r="JV182" i="1"/>
  <c r="JV175" i="1"/>
  <c r="JV111" i="1"/>
  <c r="JV108" i="1"/>
  <c r="JW107" i="1"/>
  <c r="JV104" i="1"/>
  <c r="JW99" i="1"/>
  <c r="JV98" i="1"/>
  <c r="JW96" i="1"/>
  <c r="JV94" i="1"/>
  <c r="JW92" i="1"/>
  <c r="JW89" i="1"/>
  <c r="JV87" i="1"/>
  <c r="JW82" i="1"/>
  <c r="JV80" i="1"/>
  <c r="JV288" i="1"/>
  <c r="JW235" i="1"/>
  <c r="JW230" i="1"/>
  <c r="JV228" i="1"/>
  <c r="JV181" i="1"/>
  <c r="JW178" i="1"/>
  <c r="JW97" i="1"/>
  <c r="JV90" i="1"/>
  <c r="JW85" i="1"/>
  <c r="JW83" i="1"/>
  <c r="JV82" i="1"/>
  <c r="JW80" i="1"/>
  <c r="JW286" i="1"/>
  <c r="JV234" i="1"/>
  <c r="JV231" i="1"/>
  <c r="JV227" i="1"/>
  <c r="JW179" i="1"/>
  <c r="KA57" i="1"/>
  <c r="JZ57" i="1"/>
  <c r="JR11" i="1"/>
  <c r="JS11" i="1"/>
  <c r="JR15" i="1"/>
  <c r="JS15" i="1"/>
  <c r="JS374" i="1"/>
  <c r="JV370" i="1"/>
  <c r="JW369" i="1"/>
  <c r="JV369" i="1"/>
  <c r="JW368" i="1"/>
  <c r="JV368" i="1"/>
  <c r="JV361" i="1"/>
  <c r="JW359" i="1"/>
  <c r="JW358" i="1"/>
  <c r="JW357" i="1"/>
  <c r="JV356" i="1"/>
  <c r="JV354" i="1"/>
  <c r="JW352" i="1"/>
  <c r="JW351" i="1"/>
  <c r="JV246" i="1"/>
  <c r="JV374" i="1"/>
  <c r="JV357" i="1"/>
  <c r="JW354" i="1"/>
  <c r="JV353" i="1"/>
  <c r="JV351" i="1"/>
  <c r="JW245" i="1"/>
  <c r="JW355" i="1"/>
  <c r="JV360" i="1"/>
  <c r="JW367" i="1"/>
  <c r="JV367" i="1"/>
  <c r="JW366" i="1"/>
  <c r="JV366" i="1"/>
  <c r="JW365" i="1"/>
  <c r="JV365" i="1"/>
  <c r="JW364" i="1"/>
  <c r="JV364" i="1"/>
  <c r="JW363" i="1"/>
  <c r="JV363" i="1"/>
  <c r="JW362" i="1"/>
  <c r="JV362" i="1"/>
  <c r="JW361" i="1"/>
  <c r="JW360" i="1"/>
  <c r="JV359" i="1"/>
  <c r="JV358" i="1"/>
  <c r="JW356" i="1"/>
  <c r="JV355" i="1"/>
  <c r="JW353" i="1"/>
  <c r="JV352" i="1"/>
  <c r="JW350" i="1"/>
  <c r="JV245" i="1"/>
  <c r="JV373" i="1"/>
  <c r="JV36" i="1"/>
  <c r="JW35" i="1"/>
  <c r="JV35" i="1"/>
  <c r="JW34" i="1"/>
  <c r="JV34" i="1"/>
  <c r="JW33" i="1"/>
  <c r="JV33" i="1"/>
  <c r="JW112" i="1"/>
  <c r="JW15" i="1"/>
  <c r="JV15" i="1"/>
  <c r="JW372" i="1"/>
  <c r="JV372" i="1"/>
  <c r="JW371" i="1"/>
  <c r="JV371" i="1"/>
  <c r="JW370" i="1"/>
  <c r="JV16" i="1"/>
  <c r="JR46" i="1"/>
  <c r="JR42" i="1"/>
  <c r="JS41" i="1"/>
  <c r="JR41" i="1"/>
  <c r="JS40" i="1"/>
  <c r="JR163" i="1"/>
  <c r="JS163" i="1"/>
  <c r="JR166" i="1"/>
  <c r="JS165" i="1"/>
  <c r="JR165" i="1"/>
  <c r="JS164" i="1"/>
  <c r="JR164" i="1"/>
  <c r="JR40" i="1"/>
  <c r="JS162" i="1"/>
  <c r="JR162" i="1"/>
  <c r="JS161" i="1"/>
  <c r="JR161" i="1"/>
  <c r="JS160" i="1"/>
  <c r="JR160" i="1"/>
  <c r="JS159" i="1"/>
  <c r="JR159" i="1"/>
  <c r="JS158" i="1"/>
  <c r="JS53" i="1"/>
  <c r="JR53" i="1"/>
  <c r="JS52" i="1"/>
  <c r="JR52" i="1"/>
  <c r="JS51" i="1"/>
  <c r="JR51" i="1"/>
  <c r="JS50" i="1"/>
  <c r="JR50" i="1"/>
  <c r="JS49" i="1"/>
  <c r="JR49" i="1"/>
  <c r="JS48" i="1"/>
  <c r="JR48" i="1"/>
  <c r="JS47" i="1"/>
  <c r="JR47" i="1"/>
  <c r="JS46" i="1"/>
  <c r="JS45" i="1"/>
  <c r="JR45" i="1"/>
  <c r="JS44" i="1"/>
  <c r="JR44" i="1"/>
  <c r="JS43" i="1"/>
  <c r="JR43" i="1"/>
  <c r="JS42" i="1"/>
  <c r="KA101" i="1"/>
  <c r="JZ101" i="1"/>
  <c r="KA21" i="1"/>
  <c r="JZ21" i="1"/>
  <c r="KA31" i="1"/>
  <c r="JZ31" i="1"/>
  <c r="JV220" i="1"/>
  <c r="JV244" i="1"/>
  <c r="JV219" i="1"/>
  <c r="JW218" i="1"/>
  <c r="JV218" i="1"/>
  <c r="JW217" i="1"/>
  <c r="JV217" i="1"/>
  <c r="JV11" i="1"/>
  <c r="JW11" i="1"/>
  <c r="JV14" i="1"/>
  <c r="JW14" i="1"/>
  <c r="JW374" i="1"/>
  <c r="JW373" i="1"/>
  <c r="JW219" i="1"/>
  <c r="JW244" i="1"/>
  <c r="JW243" i="1"/>
  <c r="JV243" i="1"/>
  <c r="JW242" i="1"/>
  <c r="JV242" i="1"/>
  <c r="JW241" i="1"/>
  <c r="JV241" i="1"/>
  <c r="JW240" i="1"/>
  <c r="JV240" i="1"/>
  <c r="JW239" i="1"/>
  <c r="JV239" i="1"/>
  <c r="JW238" i="1"/>
  <c r="JV238" i="1"/>
  <c r="JW237" i="1"/>
  <c r="JV237" i="1"/>
  <c r="JW289" i="1"/>
  <c r="JV287" i="1"/>
  <c r="JV286" i="1"/>
  <c r="JV285" i="1"/>
  <c r="JW282" i="1"/>
  <c r="JW281" i="1"/>
  <c r="JV281" i="1"/>
  <c r="JV280" i="1"/>
  <c r="JV236" i="1"/>
  <c r="JW225" i="1"/>
  <c r="JW226" i="1"/>
  <c r="JV226" i="1"/>
  <c r="JV225" i="1"/>
  <c r="JW224" i="1"/>
  <c r="JV224" i="1"/>
  <c r="JW223" i="1"/>
  <c r="JV223" i="1"/>
  <c r="JW222" i="1"/>
  <c r="JV222" i="1"/>
  <c r="JW221" i="1"/>
  <c r="JV221" i="1"/>
  <c r="JW220" i="1"/>
  <c r="JR256" i="1"/>
  <c r="JS254" i="1"/>
  <c r="JR253" i="1"/>
  <c r="JR250" i="1"/>
  <c r="JR249" i="1"/>
  <c r="JS246" i="1"/>
  <c r="JS245" i="1"/>
  <c r="JS244" i="1"/>
  <c r="JS243" i="1"/>
  <c r="JS242" i="1"/>
  <c r="JS241" i="1"/>
  <c r="JR349" i="1"/>
  <c r="JS240" i="1"/>
  <c r="JR240" i="1"/>
  <c r="JS238" i="1"/>
  <c r="JS194" i="1"/>
  <c r="JS193" i="1"/>
  <c r="JS192" i="1"/>
  <c r="JS191" i="1"/>
  <c r="JR191" i="1"/>
  <c r="JS190" i="1"/>
  <c r="JR190" i="1"/>
  <c r="JS189" i="1"/>
  <c r="JS188" i="1"/>
  <c r="JR188" i="1"/>
  <c r="JS187" i="1"/>
  <c r="JR187" i="1"/>
  <c r="JS186" i="1"/>
  <c r="JR186" i="1"/>
  <c r="JS150" i="1"/>
  <c r="JR150" i="1"/>
  <c r="JS149" i="1"/>
  <c r="JR149" i="1"/>
  <c r="JS148" i="1"/>
  <c r="JR148" i="1"/>
  <c r="JS147" i="1"/>
  <c r="JR147" i="1"/>
  <c r="JS146" i="1"/>
  <c r="JR146" i="1"/>
  <c r="JS145" i="1"/>
  <c r="JR145" i="1"/>
  <c r="JS144" i="1"/>
  <c r="JR144" i="1"/>
  <c r="JS143" i="1"/>
  <c r="JR143" i="1"/>
  <c r="JS142" i="1"/>
  <c r="JR142" i="1"/>
  <c r="JR192" i="1"/>
  <c r="JR337" i="1"/>
  <c r="JR333" i="1"/>
  <c r="JR324" i="1"/>
  <c r="JR320" i="1"/>
  <c r="JS317" i="1"/>
  <c r="JS312" i="1"/>
  <c r="JR309" i="1"/>
  <c r="JS301" i="1"/>
  <c r="JR299" i="1"/>
  <c r="JS296" i="1"/>
  <c r="JR290" i="1"/>
  <c r="JS279" i="1"/>
  <c r="JR271" i="1"/>
  <c r="JR270" i="1"/>
  <c r="JR268" i="1"/>
  <c r="JR267" i="1"/>
  <c r="JR259" i="1"/>
  <c r="JS257" i="1"/>
  <c r="JV216" i="1"/>
  <c r="JW216" i="1"/>
  <c r="JW215" i="1"/>
  <c r="JV215" i="1"/>
  <c r="JW214" i="1"/>
  <c r="JV214" i="1"/>
  <c r="JW213" i="1"/>
  <c r="JV213" i="1"/>
  <c r="JW212" i="1"/>
  <c r="JW211" i="1"/>
  <c r="JV211" i="1"/>
  <c r="JW210" i="1"/>
  <c r="JV210" i="1"/>
  <c r="JW209" i="1"/>
  <c r="JV209" i="1"/>
  <c r="JW208" i="1"/>
  <c r="JV208" i="1"/>
  <c r="JW207" i="1"/>
  <c r="JV207" i="1"/>
  <c r="JW206" i="1"/>
  <c r="JV116" i="1"/>
  <c r="JW115" i="1"/>
  <c r="JV115" i="1"/>
  <c r="JW114" i="1"/>
  <c r="JV114" i="1"/>
  <c r="JW113" i="1"/>
  <c r="JV212" i="1"/>
  <c r="JZ49" i="1"/>
  <c r="KA49" i="1"/>
  <c r="KG11" i="1"/>
  <c r="KH11" i="1"/>
  <c r="JS342" i="1"/>
  <c r="JW322" i="1"/>
  <c r="JV322" i="1"/>
  <c r="JW321" i="1"/>
  <c r="JV321" i="1"/>
  <c r="JW320" i="1"/>
  <c r="JV320" i="1"/>
  <c r="JW319" i="1"/>
  <c r="JV319" i="1"/>
  <c r="JW318" i="1"/>
  <c r="JV318" i="1"/>
  <c r="JW317" i="1"/>
  <c r="JV317" i="1"/>
  <c r="JW316" i="1"/>
  <c r="JV316" i="1"/>
  <c r="JW315" i="1"/>
  <c r="JV315" i="1"/>
  <c r="JW314" i="1"/>
  <c r="JV314" i="1"/>
  <c r="JW313" i="1"/>
  <c r="JV313" i="1"/>
  <c r="JW312" i="1"/>
  <c r="JV312" i="1"/>
  <c r="JW311" i="1"/>
  <c r="JV311" i="1"/>
  <c r="JW310" i="1"/>
  <c r="JV310" i="1"/>
  <c r="JW309" i="1"/>
  <c r="JV309" i="1"/>
  <c r="JW308" i="1"/>
  <c r="JV308" i="1"/>
  <c r="JW307" i="1"/>
  <c r="JV307" i="1"/>
  <c r="JW306" i="1"/>
  <c r="JV306" i="1"/>
  <c r="JW305" i="1"/>
  <c r="JV305" i="1"/>
  <c r="JW304" i="1"/>
  <c r="JV304" i="1"/>
  <c r="JW303" i="1"/>
  <c r="JV303" i="1"/>
  <c r="JW302" i="1"/>
  <c r="JV302" i="1"/>
  <c r="JW301" i="1"/>
  <c r="JV301" i="1"/>
  <c r="JW300" i="1"/>
  <c r="JV300" i="1"/>
  <c r="JW299" i="1"/>
  <c r="JV299" i="1"/>
  <c r="JW298" i="1"/>
  <c r="JV298" i="1"/>
  <c r="JW297" i="1"/>
  <c r="JW296" i="1"/>
  <c r="JV296" i="1"/>
  <c r="JW295" i="1"/>
  <c r="JV295" i="1"/>
  <c r="JW294" i="1"/>
  <c r="JV294" i="1"/>
  <c r="JW293" i="1"/>
  <c r="JV293" i="1"/>
  <c r="JW292" i="1"/>
  <c r="JV292" i="1"/>
  <c r="JW291" i="1"/>
  <c r="JV291" i="1"/>
  <c r="JW290" i="1"/>
  <c r="JV290" i="1"/>
  <c r="JV289" i="1"/>
  <c r="JW287" i="1"/>
  <c r="JV284" i="1"/>
  <c r="JW283" i="1"/>
  <c r="JW279" i="1"/>
  <c r="JV279" i="1"/>
  <c r="JW278" i="1"/>
  <c r="JV278" i="1"/>
  <c r="JW277" i="1"/>
  <c r="JV277" i="1"/>
  <c r="JW276" i="1"/>
  <c r="JV276" i="1"/>
  <c r="JW275" i="1"/>
  <c r="JV275" i="1"/>
  <c r="JW274" i="1"/>
  <c r="JV274" i="1"/>
  <c r="JW273" i="1"/>
  <c r="JV273" i="1"/>
  <c r="JW272" i="1"/>
  <c r="JV272" i="1"/>
  <c r="JW271" i="1"/>
  <c r="JV271" i="1"/>
  <c r="JW270" i="1"/>
  <c r="JV270" i="1"/>
  <c r="JW269" i="1"/>
  <c r="JV269" i="1"/>
  <c r="JW268" i="1"/>
  <c r="JV268" i="1"/>
  <c r="JW267" i="1"/>
  <c r="JV267" i="1"/>
  <c r="JW266" i="1"/>
  <c r="JV266" i="1"/>
  <c r="JW265" i="1"/>
  <c r="JV265" i="1"/>
  <c r="JW264" i="1"/>
  <c r="JV264" i="1"/>
  <c r="JW263" i="1"/>
  <c r="JV263" i="1"/>
  <c r="JW262" i="1"/>
  <c r="JV262" i="1"/>
  <c r="JW261" i="1"/>
  <c r="JV261" i="1"/>
  <c r="JW260" i="1"/>
  <c r="JV260" i="1"/>
  <c r="JW259" i="1"/>
  <c r="JV259" i="1"/>
  <c r="JW258" i="1"/>
  <c r="JV258" i="1"/>
  <c r="JW257" i="1"/>
  <c r="JV257" i="1"/>
  <c r="JW256" i="1"/>
  <c r="JV256" i="1"/>
  <c r="JW255" i="1"/>
  <c r="JV255" i="1"/>
  <c r="JW254" i="1"/>
  <c r="JV254" i="1"/>
  <c r="JW253" i="1"/>
  <c r="JV253" i="1"/>
  <c r="JW252" i="1"/>
  <c r="JV252" i="1"/>
  <c r="JW251" i="1"/>
  <c r="JV251" i="1"/>
  <c r="JW250" i="1"/>
  <c r="JV250" i="1"/>
  <c r="JW249" i="1"/>
  <c r="JV249" i="1"/>
  <c r="JW248" i="1"/>
  <c r="JV248" i="1"/>
  <c r="JW247" i="1"/>
  <c r="JV247" i="1"/>
  <c r="JW246" i="1"/>
  <c r="JV206" i="1"/>
  <c r="JW205" i="1"/>
  <c r="JV205" i="1"/>
  <c r="JW204" i="1"/>
  <c r="JV204" i="1"/>
  <c r="JW203" i="1"/>
  <c r="JV203" i="1"/>
  <c r="JW202" i="1"/>
  <c r="JV202" i="1"/>
  <c r="JW201" i="1"/>
  <c r="JV201" i="1"/>
  <c r="JW200" i="1"/>
  <c r="JV200" i="1"/>
  <c r="JW199" i="1"/>
  <c r="JV199" i="1"/>
  <c r="JW198" i="1"/>
  <c r="JV198" i="1"/>
  <c r="JW197" i="1"/>
  <c r="JV197" i="1"/>
  <c r="JW196" i="1"/>
  <c r="JV196" i="1"/>
  <c r="JW195" i="1"/>
  <c r="JV195" i="1"/>
  <c r="JW194" i="1"/>
  <c r="JV194" i="1"/>
  <c r="JW193" i="1"/>
  <c r="JV193" i="1"/>
  <c r="JW192" i="1"/>
  <c r="JV192" i="1"/>
  <c r="JW191" i="1"/>
  <c r="JV191" i="1"/>
  <c r="JW190" i="1"/>
  <c r="JV190" i="1"/>
  <c r="JW189" i="1"/>
  <c r="JV189" i="1"/>
  <c r="JW188" i="1"/>
  <c r="JV188" i="1"/>
  <c r="JW187" i="1"/>
  <c r="JV187" i="1"/>
  <c r="JW186" i="1"/>
  <c r="JV186" i="1"/>
  <c r="JW185" i="1"/>
  <c r="JV185" i="1"/>
  <c r="JW184" i="1"/>
  <c r="JV184" i="1"/>
  <c r="JV150" i="1"/>
  <c r="JW149" i="1"/>
  <c r="JV149" i="1"/>
  <c r="JW148" i="1"/>
  <c r="JV148" i="1"/>
  <c r="JW147" i="1"/>
  <c r="JV147" i="1"/>
  <c r="JW146" i="1"/>
  <c r="JV146" i="1"/>
  <c r="JW145" i="1"/>
  <c r="JV145" i="1"/>
  <c r="JW144" i="1"/>
  <c r="JV144" i="1"/>
  <c r="JW143" i="1"/>
  <c r="JV143" i="1"/>
  <c r="JW142" i="1"/>
  <c r="JV142" i="1"/>
  <c r="JW141" i="1"/>
  <c r="JV141" i="1"/>
  <c r="JW140" i="1"/>
  <c r="JV140" i="1"/>
  <c r="JW139" i="1"/>
  <c r="JV139" i="1"/>
  <c r="JW138" i="1"/>
  <c r="JV138" i="1"/>
  <c r="JW137" i="1"/>
  <c r="JV137" i="1"/>
  <c r="JW136" i="1"/>
  <c r="JV136" i="1"/>
  <c r="JW135" i="1"/>
  <c r="JV135" i="1"/>
  <c r="JW134" i="1"/>
  <c r="JV134" i="1"/>
  <c r="JW133" i="1"/>
  <c r="JV133" i="1"/>
  <c r="JW132" i="1"/>
  <c r="JV132" i="1"/>
  <c r="JW131" i="1"/>
  <c r="JV131" i="1"/>
  <c r="JW234" i="1"/>
  <c r="JW233" i="1"/>
  <c r="JW232" i="1"/>
  <c r="JW229" i="1"/>
  <c r="JW228" i="1"/>
  <c r="JW183" i="1"/>
  <c r="JW182" i="1"/>
  <c r="JW181" i="1"/>
  <c r="JW180" i="1"/>
  <c r="JV179" i="1"/>
  <c r="JW177" i="1"/>
  <c r="JW176" i="1"/>
  <c r="JW175" i="1"/>
  <c r="JW174" i="1"/>
  <c r="JW173" i="1"/>
  <c r="JW172" i="1"/>
  <c r="JV172" i="1"/>
  <c r="JV171" i="1"/>
  <c r="JV170" i="1"/>
  <c r="JV169" i="1"/>
  <c r="JV168" i="1"/>
  <c r="JW166" i="1"/>
  <c r="JV166" i="1"/>
  <c r="JV165" i="1"/>
  <c r="JV164" i="1"/>
  <c r="JW162" i="1"/>
  <c r="JV162" i="1"/>
  <c r="JW161" i="1"/>
  <c r="JW160" i="1"/>
  <c r="JW159" i="1"/>
  <c r="JW158" i="1"/>
  <c r="JW157" i="1"/>
  <c r="JW156" i="1"/>
  <c r="JV156" i="1"/>
  <c r="JV155" i="1"/>
  <c r="JV154" i="1"/>
  <c r="JV153" i="1"/>
  <c r="JV152" i="1"/>
  <c r="JV151" i="1"/>
  <c r="JW129" i="1"/>
  <c r="JW128" i="1"/>
  <c r="JW127" i="1"/>
  <c r="JW126" i="1"/>
  <c r="JW125" i="1"/>
  <c r="JV125" i="1"/>
  <c r="JV124" i="1"/>
  <c r="JW123" i="1"/>
  <c r="JV123" i="1"/>
  <c r="JW122" i="1"/>
  <c r="JV122" i="1"/>
  <c r="JW121" i="1"/>
  <c r="JV121" i="1"/>
  <c r="JW120" i="1"/>
  <c r="JV120" i="1"/>
  <c r="JW119" i="1"/>
  <c r="JV119" i="1"/>
  <c r="JW118" i="1"/>
  <c r="JV118" i="1"/>
  <c r="JW117" i="1"/>
  <c r="JV117" i="1"/>
  <c r="JW116" i="1"/>
  <c r="JV167" i="1"/>
  <c r="JW165" i="1"/>
  <c r="JW164" i="1"/>
  <c r="JW163" i="1"/>
  <c r="JV163" i="1"/>
  <c r="JV161" i="1"/>
  <c r="JV160" i="1"/>
  <c r="JV159" i="1"/>
  <c r="JV158" i="1"/>
  <c r="JV157" i="1"/>
  <c r="JW155" i="1"/>
  <c r="JW154" i="1"/>
  <c r="JW153" i="1"/>
  <c r="JW152" i="1"/>
  <c r="JW151" i="1"/>
  <c r="JW150" i="1"/>
  <c r="JW130" i="1"/>
  <c r="JV130" i="1"/>
  <c r="JV129" i="1"/>
  <c r="JV128" i="1"/>
  <c r="JV127" i="1"/>
  <c r="JV126" i="1"/>
  <c r="JW77" i="1"/>
  <c r="JV77" i="1"/>
  <c r="JW76" i="1"/>
  <c r="JV76" i="1"/>
  <c r="JW75" i="1"/>
  <c r="JV75" i="1"/>
  <c r="JW74" i="1"/>
  <c r="JV74" i="1"/>
  <c r="JV324" i="1"/>
  <c r="JV350" i="1"/>
  <c r="JW349" i="1"/>
  <c r="JV349" i="1"/>
  <c r="JW348" i="1"/>
  <c r="JV348" i="1"/>
  <c r="JW124" i="1"/>
  <c r="JW347" i="1"/>
  <c r="JV347" i="1"/>
  <c r="JW346" i="1"/>
  <c r="JV346" i="1"/>
  <c r="JW345" i="1"/>
  <c r="JV345" i="1"/>
  <c r="JW344" i="1"/>
  <c r="JV344" i="1"/>
  <c r="JW343" i="1"/>
  <c r="JV343" i="1"/>
  <c r="JW342" i="1"/>
  <c r="JV342" i="1"/>
  <c r="JW341" i="1"/>
  <c r="JV341" i="1"/>
  <c r="JW340" i="1"/>
  <c r="JV340" i="1"/>
  <c r="JW339" i="1"/>
  <c r="JV339" i="1"/>
  <c r="JW338" i="1"/>
  <c r="JV338" i="1"/>
  <c r="JW337" i="1"/>
  <c r="JV337" i="1"/>
  <c r="JW336" i="1"/>
  <c r="JV336" i="1"/>
  <c r="JW335" i="1"/>
  <c r="JV335" i="1"/>
  <c r="JW334" i="1"/>
  <c r="JV334" i="1"/>
  <c r="JW333" i="1"/>
  <c r="JV333" i="1"/>
  <c r="JW332" i="1"/>
  <c r="JV332" i="1"/>
  <c r="JW331" i="1"/>
  <c r="JV331" i="1"/>
  <c r="JW330" i="1"/>
  <c r="JV330" i="1"/>
  <c r="JW329" i="1"/>
  <c r="JV329" i="1"/>
  <c r="JW328" i="1"/>
  <c r="JV328" i="1"/>
  <c r="JW327" i="1"/>
  <c r="JV327" i="1"/>
  <c r="JW326" i="1"/>
  <c r="JV326" i="1"/>
  <c r="JW325" i="1"/>
  <c r="JV325" i="1"/>
  <c r="JW324" i="1"/>
  <c r="JV297" i="1"/>
  <c r="JW323" i="1"/>
  <c r="JV323" i="1"/>
  <c r="KA83" i="1"/>
  <c r="OM43" i="1"/>
  <c r="NT43" i="1"/>
  <c r="NT13" i="1"/>
  <c r="NU42" i="1"/>
  <c r="NU43" i="1" s="1"/>
  <c r="NU9" i="1"/>
  <c r="NU12" i="1"/>
  <c r="NU13" i="1" s="1"/>
  <c r="NU10" i="1"/>
  <c r="NT39" i="1"/>
  <c r="NT40" i="1" s="1"/>
  <c r="NT9" i="1"/>
  <c r="NT10" i="1" s="1"/>
  <c r="NO15" i="1"/>
  <c r="NU40" i="1"/>
  <c r="OR36" i="1"/>
  <c r="NL38" i="1"/>
  <c r="NT42" i="1"/>
  <c r="MX64" i="1"/>
  <c r="MX62" i="1"/>
  <c r="DD43" i="1"/>
  <c r="DD41" i="1"/>
  <c r="DD34" i="1"/>
  <c r="DD35" i="1" s="1"/>
  <c r="DD22" i="1"/>
  <c r="KD41" i="1"/>
  <c r="KD44" i="1"/>
  <c r="KD39" i="1"/>
  <c r="KD42" i="1"/>
  <c r="KD43" i="1" s="1"/>
  <c r="KC41" i="1"/>
  <c r="KC44" i="1"/>
  <c r="KC39" i="1"/>
  <c r="KC40" i="1"/>
  <c r="KC42" i="1" s="1"/>
  <c r="NP14" i="1"/>
  <c r="KT46" i="1"/>
  <c r="KD13" i="1"/>
  <c r="KD14" i="1" s="1"/>
  <c r="KD9" i="1"/>
  <c r="KD16" i="1"/>
  <c r="KD11" i="1"/>
  <c r="KD12" i="1"/>
  <c r="KD15" i="1" s="1"/>
  <c r="KC11" i="1"/>
  <c r="KC12" i="1" s="1"/>
  <c r="KC9" i="1"/>
  <c r="KC10" i="1"/>
  <c r="KC13" i="1" s="1"/>
  <c r="KC15" i="1"/>
  <c r="KC16" i="1" s="1"/>
  <c r="JV88" i="1"/>
  <c r="JV27" i="1"/>
  <c r="JV24" i="1"/>
  <c r="JV32" i="1"/>
  <c r="JV26" i="1"/>
  <c r="JV31" i="1"/>
  <c r="JV21" i="1"/>
  <c r="JV30" i="1"/>
  <c r="JV22" i="1"/>
  <c r="JV29" i="1"/>
  <c r="JV25" i="1"/>
  <c r="JV28" i="1"/>
  <c r="JV23" i="1"/>
  <c r="JV20" i="1"/>
  <c r="JV19" i="1"/>
  <c r="JV18" i="1"/>
  <c r="JV17" i="1"/>
  <c r="JW28" i="1"/>
  <c r="JW27" i="1"/>
  <c r="JW26" i="1"/>
  <c r="JW25" i="1"/>
  <c r="JW24" i="1"/>
  <c r="JW23" i="1"/>
  <c r="JW22" i="1"/>
  <c r="JW21" i="1"/>
  <c r="JW30" i="1"/>
  <c r="JW20" i="1"/>
  <c r="JW87" i="1"/>
  <c r="JW19" i="1"/>
  <c r="JW32" i="1"/>
  <c r="JW18" i="1"/>
  <c r="JW31" i="1"/>
  <c r="JW17" i="1"/>
  <c r="JW29" i="1"/>
  <c r="JW16" i="1"/>
  <c r="EU17" i="1" a="1"/>
  <c r="FC20" i="1"/>
  <c r="FA21" i="1"/>
  <c r="FC19" i="1"/>
  <c r="FA19" i="1"/>
  <c r="FA20" i="1"/>
  <c r="FB21" i="1"/>
  <c r="FB34" i="1" s="1"/>
  <c r="FB36" i="1" s="1"/>
  <c r="FB37" i="1" s="1"/>
  <c r="FB39" i="1" s="1"/>
  <c r="FB20" i="1"/>
  <c r="EZ20" i="1"/>
  <c r="EZ21" i="1"/>
  <c r="FB19" i="1"/>
  <c r="FB24" i="1" s="1"/>
  <c r="EZ19" i="1"/>
  <c r="EZ24" i="1" s="1"/>
  <c r="EY20" i="1"/>
  <c r="EY34" i="1" s="1"/>
  <c r="EY36" i="1" s="1"/>
  <c r="EY37" i="1" s="1"/>
  <c r="EY39" i="1" s="1"/>
  <c r="EW19" i="1"/>
  <c r="EW20" i="1"/>
  <c r="EW24" i="1" s="1"/>
  <c r="EY21" i="1"/>
  <c r="EY24" i="1" s="1"/>
  <c r="EY19" i="1"/>
  <c r="EY25" i="1" s="1"/>
  <c r="EY27" i="1" s="1"/>
  <c r="EY28" i="1" s="1"/>
  <c r="EY30" i="1" s="1"/>
  <c r="EW21" i="1"/>
  <c r="EX21" i="1"/>
  <c r="EX19" i="1"/>
  <c r="EV21" i="1"/>
  <c r="EV28" i="1" s="1"/>
  <c r="EV30" i="1" s="1"/>
  <c r="EV19" i="1"/>
  <c r="EV34" i="1" s="1"/>
  <c r="EX20" i="1"/>
  <c r="EV20" i="1"/>
  <c r="DC58" i="1"/>
  <c r="DD58" i="1"/>
  <c r="DD59" i="1" s="1"/>
  <c r="DC59" i="1"/>
  <c r="DC61" i="1"/>
  <c r="DD61" i="1"/>
  <c r="DD62" i="1" s="1"/>
  <c r="DC62" i="1"/>
  <c r="DC64" i="1"/>
  <c r="DD64" i="1"/>
  <c r="DD65" i="1" s="1"/>
  <c r="DC65" i="1"/>
  <c r="DC67" i="1"/>
  <c r="DD67" i="1"/>
  <c r="DD68" i="1" s="1"/>
  <c r="DC68" i="1"/>
  <c r="DC70" i="1"/>
  <c r="DD70" i="1"/>
  <c r="DD71" i="1" s="1"/>
  <c r="DC71" i="1"/>
  <c r="DC73" i="1"/>
  <c r="DD73" i="1"/>
  <c r="DD74" i="1" s="1"/>
  <c r="DC74" i="1"/>
  <c r="DC76" i="1"/>
  <c r="DD76" i="1"/>
  <c r="DD77" i="1" s="1"/>
  <c r="DC77" i="1"/>
  <c r="DC79" i="1"/>
  <c r="DD79" i="1"/>
  <c r="DD80" i="1" s="1"/>
  <c r="DC80" i="1"/>
  <c r="DD8" i="1"/>
  <c r="DN73" i="1" s="1"/>
  <c r="DN77" i="1" s="1"/>
  <c r="DC18" i="1"/>
  <c r="DC19" i="1" s="1"/>
  <c r="DC14" i="1"/>
  <c r="DC15" i="1" s="1"/>
  <c r="CN67" i="1"/>
  <c r="CO43" i="1"/>
  <c r="CN65" i="1"/>
  <c r="CU65" i="1"/>
  <c r="CW42" i="1"/>
  <c r="CT45" i="1"/>
  <c r="BZ50" i="1"/>
  <c r="BZ51" i="1"/>
  <c r="EC23" i="1"/>
  <c r="EC21" i="1"/>
  <c r="NP15" i="1"/>
  <c r="NP16" i="1"/>
  <c r="DR14" i="1"/>
  <c r="CA15" i="1"/>
  <c r="NO13" i="1"/>
  <c r="NU39" i="1" s="1"/>
  <c r="NO16" i="1"/>
  <c r="BY51" i="1"/>
  <c r="BY50" i="1"/>
  <c r="DU46" i="1"/>
  <c r="BN54" i="1" s="1"/>
  <c r="DU48" i="1"/>
  <c r="BN56" i="1" s="1"/>
  <c r="DV47" i="1"/>
  <c r="BM55" i="1" s="1"/>
  <c r="DV49" i="1"/>
  <c r="BM57" i="1" s="1"/>
  <c r="DV48" i="1"/>
  <c r="BM56" i="1" s="1"/>
  <c r="DV46" i="1"/>
  <c r="BM54" i="1" s="1"/>
  <c r="BZ48" i="1"/>
  <c r="BZ47" i="1"/>
  <c r="BY47" i="1"/>
  <c r="BY48" i="1"/>
  <c r="CG49" i="1"/>
  <c r="CF47" i="1"/>
  <c r="CF48" i="1" s="1"/>
  <c r="ON14" i="1"/>
  <c r="BU36" i="1"/>
  <c r="BC54" i="1"/>
  <c r="ON16" i="1"/>
  <c r="BU38" i="1"/>
  <c r="BU39" i="1" s="1"/>
  <c r="BV36" i="1"/>
  <c r="OM14" i="1"/>
  <c r="OM35" i="1" s="1"/>
  <c r="BV37" i="1"/>
  <c r="BV38" i="1" s="1"/>
  <c r="OM15" i="1"/>
  <c r="BD54" i="1"/>
  <c r="JG65" i="1" l="1"/>
  <c r="JH65" i="1"/>
  <c r="JG34" i="1"/>
  <c r="JJ38" i="1" s="1"/>
  <c r="JJ39" i="1" s="1"/>
  <c r="JH34" i="1"/>
  <c r="QW24" i="1"/>
  <c r="GW7" i="1"/>
  <c r="JH73" i="1"/>
  <c r="JG73" i="1"/>
  <c r="LA31" i="1"/>
  <c r="AZ25" i="1"/>
  <c r="DF14" i="1"/>
  <c r="DF18" i="1"/>
  <c r="LA32" i="1"/>
  <c r="QW25" i="1"/>
  <c r="AZ26" i="1"/>
  <c r="AZ29" i="1"/>
  <c r="QW28" i="1"/>
  <c r="AZ27" i="1"/>
  <c r="LA33" i="1"/>
  <c r="QW26" i="1"/>
  <c r="GW9" i="1"/>
  <c r="G44" i="1" s="1" a="1"/>
  <c r="NO28" i="1" a="1"/>
  <c r="EH62" i="1"/>
  <c r="EH61" i="1"/>
  <c r="EF61" i="1"/>
  <c r="EO105" i="1"/>
  <c r="OV18" i="1"/>
  <c r="OV20" i="1" s="1"/>
  <c r="OV53" i="1"/>
  <c r="OY23" i="1"/>
  <c r="OV54" i="1"/>
  <c r="PB25" i="1"/>
  <c r="OX17" i="1"/>
  <c r="OU18" i="1" s="1"/>
  <c r="PA23" i="1"/>
  <c r="OU30" i="1"/>
  <c r="OX40" i="1"/>
  <c r="MX33" i="1"/>
  <c r="NC34" i="1"/>
  <c r="NC42" i="1" s="1"/>
  <c r="DF15" i="1"/>
  <c r="DF19" i="1"/>
  <c r="DG8" i="1"/>
  <c r="DG9" i="1" s="1"/>
  <c r="DG22" i="1"/>
  <c r="DG34" i="1"/>
  <c r="DG35" i="1" s="1"/>
  <c r="DG72" i="1"/>
  <c r="DG73" i="1" s="1"/>
  <c r="DG70" i="1"/>
  <c r="DG71" i="1" s="1"/>
  <c r="DJ65" i="1" a="1"/>
  <c r="DG63" i="1"/>
  <c r="OU26" i="1"/>
  <c r="OX36" i="1"/>
  <c r="MX55" i="1"/>
  <c r="MX56" i="1" s="1"/>
  <c r="MV48" i="1"/>
  <c r="MV51" i="1" s="1"/>
  <c r="PG43" i="1"/>
  <c r="PG40" i="1"/>
  <c r="PG49" i="1"/>
  <c r="OV30" i="1"/>
  <c r="PG46" i="1"/>
  <c r="PG52" i="1"/>
  <c r="OV34" i="1"/>
  <c r="OV24" i="1"/>
  <c r="OV22" i="1"/>
  <c r="OY18" i="1"/>
  <c r="OV43" i="1"/>
  <c r="OX19" i="1"/>
  <c r="OU20" i="1"/>
  <c r="OU39" i="1"/>
  <c r="OU40" i="1" s="1"/>
  <c r="OP37" i="1" s="1"/>
  <c r="LB36" i="1"/>
  <c r="I51" i="1"/>
  <c r="L51" i="1" s="1"/>
  <c r="LB37" i="1"/>
  <c r="JK92" i="1"/>
  <c r="JK89" i="1"/>
  <c r="JK90" i="1"/>
  <c r="JK91" i="1" s="1"/>
  <c r="JK87" i="1"/>
  <c r="JJ87" i="1"/>
  <c r="JJ88" i="1"/>
  <c r="JJ90" i="1" s="1"/>
  <c r="JJ80" i="1"/>
  <c r="JJ82" i="1" s="1"/>
  <c r="JJ84" i="1"/>
  <c r="JJ81" i="1"/>
  <c r="JJ79" i="1"/>
  <c r="JK81" i="1"/>
  <c r="JK82" i="1"/>
  <c r="JK83" i="1" s="1"/>
  <c r="JK79" i="1"/>
  <c r="JK84" i="1"/>
  <c r="JJ44" i="1"/>
  <c r="JJ45" i="1" s="1"/>
  <c r="JJ43" i="1"/>
  <c r="JJ46" i="1" s="1"/>
  <c r="JJ42" i="1"/>
  <c r="JJ48" i="1"/>
  <c r="JJ49" i="1" s="1"/>
  <c r="JK46" i="1"/>
  <c r="JK47" i="1" s="1"/>
  <c r="JK45" i="1"/>
  <c r="JK48" i="1" s="1"/>
  <c r="JK49" i="1"/>
  <c r="JK44" i="1"/>
  <c r="JK42" i="1"/>
  <c r="JJ89" i="1"/>
  <c r="JJ92" i="1"/>
  <c r="ND65" i="1"/>
  <c r="NE65" i="1"/>
  <c r="NB65" i="1"/>
  <c r="NC65" i="1"/>
  <c r="ND67" i="1"/>
  <c r="NC67" i="1"/>
  <c r="NB67" i="1"/>
  <c r="NE67" i="1"/>
  <c r="ND61" i="1"/>
  <c r="NC61" i="1"/>
  <c r="NB61" i="1"/>
  <c r="NE61" i="1"/>
  <c r="NE44" i="1"/>
  <c r="NC44" i="1"/>
  <c r="NE45" i="1"/>
  <c r="NC45" i="1"/>
  <c r="ND66" i="1"/>
  <c r="NE66" i="1"/>
  <c r="NC66" i="1"/>
  <c r="NB66" i="1"/>
  <c r="JK97" i="1"/>
  <c r="JK100" i="1"/>
  <c r="JK98" i="1"/>
  <c r="JK99" i="1" s="1"/>
  <c r="JK95" i="1"/>
  <c r="JJ97" i="1"/>
  <c r="JJ96" i="1"/>
  <c r="JJ98" i="1" s="1"/>
  <c r="JJ95" i="1"/>
  <c r="JJ100" i="1"/>
  <c r="JK56" i="1"/>
  <c r="JK57" i="1" s="1"/>
  <c r="JK54" i="1"/>
  <c r="JK55" i="1"/>
  <c r="JK58" i="1" s="1"/>
  <c r="JK59" i="1"/>
  <c r="JK52" i="1"/>
  <c r="JJ52" i="1"/>
  <c r="JJ53" i="1"/>
  <c r="JJ56" i="1" s="1"/>
  <c r="JJ54" i="1"/>
  <c r="JJ55" i="1" s="1"/>
  <c r="JJ58" i="1"/>
  <c r="JJ59" i="1" s="1"/>
  <c r="ND64" i="1"/>
  <c r="NB64" i="1"/>
  <c r="NC64" i="1"/>
  <c r="NE64" i="1"/>
  <c r="NB68" i="1"/>
  <c r="NE68" i="1"/>
  <c r="NC68" i="1"/>
  <c r="ND68" i="1"/>
  <c r="ND60" i="1"/>
  <c r="NB60" i="1"/>
  <c r="NE60" i="1"/>
  <c r="NC60" i="1"/>
  <c r="NE63" i="1"/>
  <c r="ND63" i="1"/>
  <c r="NC63" i="1"/>
  <c r="NB63" i="1"/>
  <c r="ND46" i="1"/>
  <c r="NC46" i="1"/>
  <c r="NB46" i="1"/>
  <c r="NE46" i="1"/>
  <c r="ND47" i="1"/>
  <c r="NC47" i="1"/>
  <c r="NB47" i="1"/>
  <c r="NE47" i="1"/>
  <c r="ND48" i="1"/>
  <c r="NC48" i="1"/>
  <c r="NB48" i="1"/>
  <c r="NE48" i="1"/>
  <c r="ND49" i="1"/>
  <c r="NB49" i="1"/>
  <c r="NC49" i="1"/>
  <c r="NE49" i="1"/>
  <c r="NC50" i="1"/>
  <c r="NE50" i="1"/>
  <c r="ND50" i="1"/>
  <c r="NB50" i="1"/>
  <c r="NC51" i="1"/>
  <c r="NE51" i="1"/>
  <c r="ND51" i="1"/>
  <c r="NB51" i="1"/>
  <c r="NE52" i="1"/>
  <c r="ND52" i="1"/>
  <c r="NC52" i="1"/>
  <c r="NB52" i="1"/>
  <c r="ND53" i="1"/>
  <c r="NB53" i="1"/>
  <c r="NC53" i="1"/>
  <c r="NE53" i="1"/>
  <c r="ND54" i="1"/>
  <c r="NB54" i="1"/>
  <c r="NC54" i="1"/>
  <c r="NE54" i="1"/>
  <c r="ND55" i="1"/>
  <c r="NC55" i="1"/>
  <c r="NB55" i="1"/>
  <c r="NE55" i="1"/>
  <c r="ND56" i="1"/>
  <c r="NB56" i="1"/>
  <c r="NC56" i="1"/>
  <c r="NE56" i="1"/>
  <c r="NB57" i="1"/>
  <c r="ND57" i="1"/>
  <c r="NC57" i="1"/>
  <c r="NE57" i="1"/>
  <c r="NC58" i="1"/>
  <c r="NB58" i="1"/>
  <c r="NE58" i="1"/>
  <c r="ND58" i="1"/>
  <c r="ND59" i="1"/>
  <c r="NC59" i="1"/>
  <c r="NE59" i="1"/>
  <c r="NB59" i="1"/>
  <c r="ND62" i="1"/>
  <c r="NB62" i="1"/>
  <c r="NC62" i="1"/>
  <c r="NE62" i="1"/>
  <c r="MU32" i="1"/>
  <c r="MU34" i="1"/>
  <c r="MU36" i="1"/>
  <c r="MU64" i="1"/>
  <c r="MU67" i="1" s="1"/>
  <c r="MU70" i="1" s="1"/>
  <c r="MU73" i="1" s="1"/>
  <c r="MU76" i="1" s="1"/>
  <c r="MU79" i="1" s="1"/>
  <c r="MT42" i="1"/>
  <c r="MU63" i="1"/>
  <c r="MU66" i="1" s="1"/>
  <c r="MU69" i="1" s="1"/>
  <c r="MU72" i="1" s="1"/>
  <c r="MU75" i="1" s="1"/>
  <c r="MU78" i="1" s="1"/>
  <c r="MT38" i="1"/>
  <c r="OV48" i="1"/>
  <c r="OQ36" i="1" s="1"/>
  <c r="OV51" i="1"/>
  <c r="KD66" i="1"/>
  <c r="KD77" i="1" s="1"/>
  <c r="KD67" i="1"/>
  <c r="KD76" i="1" s="1"/>
  <c r="KD68" i="1"/>
  <c r="KD75" i="1" s="1"/>
  <c r="KD69" i="1"/>
  <c r="KD74" i="1" s="1"/>
  <c r="KD70" i="1"/>
  <c r="KD71" i="1"/>
  <c r="KD72" i="1" s="1"/>
  <c r="KD73" i="1" s="1"/>
  <c r="KD63" i="1"/>
  <c r="KD65" i="1"/>
  <c r="KD78" i="1" s="1"/>
  <c r="DG41" i="1"/>
  <c r="DG42" i="1" s="1"/>
  <c r="DH41" i="1"/>
  <c r="KC67" i="1"/>
  <c r="KC68" i="1" s="1"/>
  <c r="KC77" i="1"/>
  <c r="KC78" i="1" s="1"/>
  <c r="KC75" i="1"/>
  <c r="KC76" i="1" s="1"/>
  <c r="KC63" i="1"/>
  <c r="KC65" i="1"/>
  <c r="KC66" i="1" s="1"/>
  <c r="KC69" i="1" s="1"/>
  <c r="KC70" i="1" s="1"/>
  <c r="KC64" i="1"/>
  <c r="KC71" i="1" s="1"/>
  <c r="NI40" i="1"/>
  <c r="NI36" i="1"/>
  <c r="NK35" i="1" s="1"/>
  <c r="RV12" i="1"/>
  <c r="JR189" i="1"/>
  <c r="JR354" i="1"/>
  <c r="JR294" i="1"/>
  <c r="JR158" i="1"/>
  <c r="JR285" i="1"/>
  <c r="JR281" i="1"/>
  <c r="JR141" i="1"/>
  <c r="JR277" i="1"/>
  <c r="JR81" i="1"/>
  <c r="JR255" i="1"/>
  <c r="JR31" i="1"/>
  <c r="JR84" i="1"/>
  <c r="JR258" i="1"/>
  <c r="JR257" i="1"/>
  <c r="JR174" i="1"/>
  <c r="JR66" i="1"/>
  <c r="JR88" i="1"/>
  <c r="JR74" i="1"/>
  <c r="JR35" i="1"/>
  <c r="JR83" i="1"/>
  <c r="JR239" i="1"/>
  <c r="JR177" i="1"/>
  <c r="JR156" i="1"/>
  <c r="JR69" i="1"/>
  <c r="JR85" i="1"/>
  <c r="JR265" i="1"/>
  <c r="JR173" i="1"/>
  <c r="JR34" i="1"/>
  <c r="JR193" i="1"/>
  <c r="JR86" i="1"/>
  <c r="JR362" i="1"/>
  <c r="JR245" i="1"/>
  <c r="JR361" i="1"/>
  <c r="JR342" i="1"/>
  <c r="JR360" i="1"/>
  <c r="JR269" i="1"/>
  <c r="JR359" i="1"/>
  <c r="JR55" i="1"/>
  <c r="JR358" i="1"/>
  <c r="JR151" i="1"/>
  <c r="JR357" i="1"/>
  <c r="JR67" i="1"/>
  <c r="JR356" i="1"/>
  <c r="JR351" i="1"/>
  <c r="JR355" i="1"/>
  <c r="JR244" i="1"/>
  <c r="JR262" i="1"/>
  <c r="JR264" i="1"/>
  <c r="JR345" i="1"/>
  <c r="JR335" i="1"/>
  <c r="JR182" i="1"/>
  <c r="JR169" i="1"/>
  <c r="JR323" i="1"/>
  <c r="JR248" i="1"/>
  <c r="JR247" i="1"/>
  <c r="JR75" i="1"/>
  <c r="JR235" i="1"/>
  <c r="JR82" i="1"/>
  <c r="JR280" i="1"/>
  <c r="JR254" i="1"/>
  <c r="JR242" i="1"/>
  <c r="JR246" i="1"/>
  <c r="JR238" i="1"/>
  <c r="JR184" i="1"/>
  <c r="JR181" i="1"/>
  <c r="JR58" i="1"/>
  <c r="JR33" i="1"/>
  <c r="JR306" i="1"/>
  <c r="JR170" i="1"/>
  <c r="JR167" i="1"/>
  <c r="JR153" i="1"/>
  <c r="JR261" i="1"/>
  <c r="JR305" i="1"/>
  <c r="JR284" i="1"/>
  <c r="JR172" i="1"/>
  <c r="JR76" i="1"/>
  <c r="JR73" i="1"/>
  <c r="JR71" i="1"/>
  <c r="JR68" i="1"/>
  <c r="JR60" i="1"/>
  <c r="JR57" i="1"/>
  <c r="JR56" i="1"/>
  <c r="JR39" i="1"/>
  <c r="JR38" i="1"/>
  <c r="JR37" i="1"/>
  <c r="JR352" i="1"/>
  <c r="JR79" i="1"/>
  <c r="JR178" i="1"/>
  <c r="JR234" i="1"/>
  <c r="JR241" i="1"/>
  <c r="JR283" i="1"/>
  <c r="JR168" i="1"/>
  <c r="JR237" i="1"/>
  <c r="JR140" i="1"/>
  <c r="JR78" i="1"/>
  <c r="JR139" i="1"/>
  <c r="JR330" i="1"/>
  <c r="JR138" i="1"/>
  <c r="JR331" i="1"/>
  <c r="JR137" i="1"/>
  <c r="JR185" i="1"/>
  <c r="JR136" i="1"/>
  <c r="JR176" i="1"/>
  <c r="JR135" i="1"/>
  <c r="JR175" i="1"/>
  <c r="JR134" i="1"/>
  <c r="JR183" i="1"/>
  <c r="JR133" i="1"/>
  <c r="JR59" i="1"/>
  <c r="JR132" i="1"/>
  <c r="JR343" i="1"/>
  <c r="JR131" i="1"/>
  <c r="JR236" i="1"/>
  <c r="JR130" i="1"/>
  <c r="JR61" i="1"/>
  <c r="JR340" i="1"/>
  <c r="JR72" i="1"/>
  <c r="JR322" i="1"/>
  <c r="JR274" i="1"/>
  <c r="JR297" i="1"/>
  <c r="JR291" i="1"/>
  <c r="JR65" i="1"/>
  <c r="JR374" i="1"/>
  <c r="JR310" i="1"/>
  <c r="JR70" i="1"/>
  <c r="JR279" i="1"/>
  <c r="JR276" i="1"/>
  <c r="JR273" i="1"/>
  <c r="JR347" i="1"/>
  <c r="JR300" i="1"/>
  <c r="JR152" i="1"/>
  <c r="JR334" i="1"/>
  <c r="JR329" i="1"/>
  <c r="JR303" i="1"/>
  <c r="JR64" i="1"/>
  <c r="JR292" i="1"/>
  <c r="JR317" i="1"/>
  <c r="JR316" i="1"/>
  <c r="JR314" i="1"/>
  <c r="JR180" i="1"/>
  <c r="JR307" i="1"/>
  <c r="JR14" i="1"/>
  <c r="JR194" i="1"/>
  <c r="JR295" i="1"/>
  <c r="JR266" i="1"/>
  <c r="JR252" i="1"/>
  <c r="JR171" i="1"/>
  <c r="JR251" i="1"/>
  <c r="JR154" i="1"/>
  <c r="JR293" i="1"/>
  <c r="JR328" i="1"/>
  <c r="JR321" i="1"/>
  <c r="JR63" i="1"/>
  <c r="JR155" i="1"/>
  <c r="JR348" i="1"/>
  <c r="JR344" i="1"/>
  <c r="JR338" i="1"/>
  <c r="JR263" i="1"/>
  <c r="JR327" i="1"/>
  <c r="JR243" i="1"/>
  <c r="JR319" i="1"/>
  <c r="JR315" i="1"/>
  <c r="JR313" i="1"/>
  <c r="JR87" i="1"/>
  <c r="JR77" i="1"/>
  <c r="JR302" i="1"/>
  <c r="JR179" i="1"/>
  <c r="JR80" i="1"/>
  <c r="JR346" i="1"/>
  <c r="JR287" i="1"/>
  <c r="JR32" i="1"/>
  <c r="JR318" i="1"/>
  <c r="JR278" i="1"/>
  <c r="JR157" i="1"/>
  <c r="JR312" i="1"/>
  <c r="JS295" i="1"/>
  <c r="JS84" i="1"/>
  <c r="JS276" i="1"/>
  <c r="JS239" i="1"/>
  <c r="JS172" i="1"/>
  <c r="JS54" i="1"/>
  <c r="JS287" i="1"/>
  <c r="JS35" i="1"/>
  <c r="JS303" i="1"/>
  <c r="JS86" i="1"/>
  <c r="JS252" i="1"/>
  <c r="JS70" i="1"/>
  <c r="JS87" i="1"/>
  <c r="JS31" i="1"/>
  <c r="JS361" i="1"/>
  <c r="JS360" i="1"/>
  <c r="JS359" i="1"/>
  <c r="JS358" i="1"/>
  <c r="JS357" i="1"/>
  <c r="JS356" i="1"/>
  <c r="JS355" i="1"/>
  <c r="JS354" i="1"/>
  <c r="JS350" i="1"/>
  <c r="JS331" i="1"/>
  <c r="JS325" i="1"/>
  <c r="JS237" i="1"/>
  <c r="JS319" i="1"/>
  <c r="JS268" i="1"/>
  <c r="JS253" i="1"/>
  <c r="JS177" i="1"/>
  <c r="JS175" i="1"/>
  <c r="JS173" i="1"/>
  <c r="JS185" i="1"/>
  <c r="JS81" i="1"/>
  <c r="JS79" i="1"/>
  <c r="JS77" i="1"/>
  <c r="JS332" i="1"/>
  <c r="JS278" i="1"/>
  <c r="JS271" i="1"/>
  <c r="JS33" i="1"/>
  <c r="JS269" i="1"/>
  <c r="JS140" i="1"/>
  <c r="JS139" i="1"/>
  <c r="JS138" i="1"/>
  <c r="JS137" i="1"/>
  <c r="JS136" i="1"/>
  <c r="JS135" i="1"/>
  <c r="JS134" i="1"/>
  <c r="JS133" i="1"/>
  <c r="JS132" i="1"/>
  <c r="JS131" i="1"/>
  <c r="JS130" i="1"/>
  <c r="JS129" i="1"/>
  <c r="JS330" i="1"/>
  <c r="JS326" i="1"/>
  <c r="JS305" i="1"/>
  <c r="JS288" i="1"/>
  <c r="JS308" i="1"/>
  <c r="JS345" i="1"/>
  <c r="JS339" i="1"/>
  <c r="JS327" i="1"/>
  <c r="JS324" i="1"/>
  <c r="JS323" i="1"/>
  <c r="JS309" i="1"/>
  <c r="JS302" i="1"/>
  <c r="JS299" i="1"/>
  <c r="JS283" i="1"/>
  <c r="JS274" i="1"/>
  <c r="JS347" i="1"/>
  <c r="JS338" i="1"/>
  <c r="JS333" i="1"/>
  <c r="JS328" i="1"/>
  <c r="JS315" i="1"/>
  <c r="JS311" i="1"/>
  <c r="JS334" i="1"/>
  <c r="JS320" i="1"/>
  <c r="JS310" i="1"/>
  <c r="JS307" i="1"/>
  <c r="JS297" i="1"/>
  <c r="JS349" i="1"/>
  <c r="JS336" i="1"/>
  <c r="JS329" i="1"/>
  <c r="JS316" i="1"/>
  <c r="JS314" i="1"/>
  <c r="JS300" i="1"/>
  <c r="JS280" i="1"/>
  <c r="JS80" i="1"/>
  <c r="JS55" i="1"/>
  <c r="JS273" i="1"/>
  <c r="JS298" i="1"/>
  <c r="JS234" i="1"/>
  <c r="JS183" i="1"/>
  <c r="JS174" i="1"/>
  <c r="JS39" i="1"/>
  <c r="JS281" i="1"/>
  <c r="JS32" i="1"/>
  <c r="JS261" i="1"/>
  <c r="JS63" i="1"/>
  <c r="JS264" i="1"/>
  <c r="JS270" i="1"/>
  <c r="JS352" i="1"/>
  <c r="JS73" i="1"/>
  <c r="JS61" i="1"/>
  <c r="JS258" i="1"/>
  <c r="JS235" i="1"/>
  <c r="JS155" i="1"/>
  <c r="JS72" i="1"/>
  <c r="JS62" i="1"/>
  <c r="JS66" i="1"/>
  <c r="JS286" i="1"/>
  <c r="JS265" i="1"/>
  <c r="JS38" i="1"/>
  <c r="JS59" i="1"/>
  <c r="JS247" i="1"/>
  <c r="JS289" i="1"/>
  <c r="JS294" i="1"/>
  <c r="JS30" i="1"/>
  <c r="JS151" i="1"/>
  <c r="JS262" i="1"/>
  <c r="JS285" i="1"/>
  <c r="JS171" i="1"/>
  <c r="JS255" i="1"/>
  <c r="JS58" i="1"/>
  <c r="JS344" i="1"/>
  <c r="JS275" i="1"/>
  <c r="JS157" i="1"/>
  <c r="JS166" i="1"/>
  <c r="JS65" i="1"/>
  <c r="JS57" i="1"/>
  <c r="JS259" i="1"/>
  <c r="JS263" i="1"/>
  <c r="JS141" i="1"/>
  <c r="JS83" i="1"/>
  <c r="JS156" i="1"/>
  <c r="JS34" i="1"/>
  <c r="JS184" i="1"/>
  <c r="JS260" i="1"/>
  <c r="JS37" i="1"/>
  <c r="JS178" i="1"/>
  <c r="JS267" i="1"/>
  <c r="JS71" i="1"/>
  <c r="JS60" i="1"/>
  <c r="JS74" i="1"/>
  <c r="JS321" i="1"/>
  <c r="JS291" i="1"/>
  <c r="JS78" i="1"/>
  <c r="JS75" i="1"/>
  <c r="JS64" i="1"/>
  <c r="JS248" i="1"/>
  <c r="JS340" i="1"/>
  <c r="JS67" i="1"/>
  <c r="JS152" i="1"/>
  <c r="JS282" i="1"/>
  <c r="JS169" i="1"/>
  <c r="JS353" i="1"/>
  <c r="JS56" i="1"/>
  <c r="JS153" i="1"/>
  <c r="JS249" i="1"/>
  <c r="JS76" i="1"/>
  <c r="JS176" i="1"/>
  <c r="JS335" i="1"/>
  <c r="JS293" i="1"/>
  <c r="JS85" i="1"/>
  <c r="JS256" i="1"/>
  <c r="JS313" i="1"/>
  <c r="JS251" i="1"/>
  <c r="JS180" i="1"/>
  <c r="JS181" i="1"/>
  <c r="JS167" i="1"/>
  <c r="JS233" i="1"/>
  <c r="JS250" i="1"/>
  <c r="JS69" i="1"/>
  <c r="JS170" i="1"/>
  <c r="JS82" i="1"/>
  <c r="JS236" i="1"/>
  <c r="JS304" i="1"/>
  <c r="JS277" i="1"/>
  <c r="JS322" i="1"/>
  <c r="JS168" i="1"/>
  <c r="JS179" i="1"/>
  <c r="JS68" i="1"/>
  <c r="JS88" i="1"/>
  <c r="JS266" i="1"/>
  <c r="JS182" i="1"/>
  <c r="JS36" i="1"/>
  <c r="JS154" i="1"/>
  <c r="JS306" i="1"/>
  <c r="JS14" i="1"/>
  <c r="JS290" i="1"/>
  <c r="KD57" i="1"/>
  <c r="KD58" i="1"/>
  <c r="KD59" i="1" s="1"/>
  <c r="KD60" i="1"/>
  <c r="KD55" i="1"/>
  <c r="KC57" i="1"/>
  <c r="KC60" i="1"/>
  <c r="KC55" i="1"/>
  <c r="KC56" i="1"/>
  <c r="KC58" i="1" s="1"/>
  <c r="KD19" i="1"/>
  <c r="KD23" i="1"/>
  <c r="KD24" i="1" s="1"/>
  <c r="KD21" i="1"/>
  <c r="KD26" i="1"/>
  <c r="KD22" i="1"/>
  <c r="KD25" i="1" s="1"/>
  <c r="KC20" i="1"/>
  <c r="KC23" i="1" s="1"/>
  <c r="KC21" i="1"/>
  <c r="KC22" i="1" s="1"/>
  <c r="KC25" i="1"/>
  <c r="KC26" i="1" s="1"/>
  <c r="KC19" i="1"/>
  <c r="KD36" i="1"/>
  <c r="KD32" i="1"/>
  <c r="KD35" i="1" s="1"/>
  <c r="KD29" i="1"/>
  <c r="KD31" i="1"/>
  <c r="KD33" i="1"/>
  <c r="KD34" i="1" s="1"/>
  <c r="KC31" i="1"/>
  <c r="KC32" i="1" s="1"/>
  <c r="KC29" i="1"/>
  <c r="KC35" i="1"/>
  <c r="KC36" i="1" s="1"/>
  <c r="KC30" i="1"/>
  <c r="KC33" i="1" s="1"/>
  <c r="KD102" i="1"/>
  <c r="KD113" i="1" s="1"/>
  <c r="KD103" i="1"/>
  <c r="KD112" i="1" s="1"/>
  <c r="KD104" i="1"/>
  <c r="KD111" i="1" s="1"/>
  <c r="KD107" i="1"/>
  <c r="KD108" i="1" s="1"/>
  <c r="KD109" i="1" s="1"/>
  <c r="KD101" i="1"/>
  <c r="KD114" i="1" s="1"/>
  <c r="KD105" i="1"/>
  <c r="KD110" i="1" s="1"/>
  <c r="KD106" i="1"/>
  <c r="KD99" i="1"/>
  <c r="KC103" i="1"/>
  <c r="KC104" i="1" s="1"/>
  <c r="KC101" i="1"/>
  <c r="KC102" i="1" s="1"/>
  <c r="KC105" i="1" s="1"/>
  <c r="KC106" i="1" s="1"/>
  <c r="KC111" i="1"/>
  <c r="KC112" i="1" s="1"/>
  <c r="KC113" i="1"/>
  <c r="KC114" i="1" s="1"/>
  <c r="KC99" i="1"/>
  <c r="KC100" i="1"/>
  <c r="KC107" i="1" s="1"/>
  <c r="KC48" i="1"/>
  <c r="KC50" i="1" s="1"/>
  <c r="KC49" i="1"/>
  <c r="KC52" i="1"/>
  <c r="KC47" i="1"/>
  <c r="KD49" i="1"/>
  <c r="KD50" i="1"/>
  <c r="KD51" i="1" s="1"/>
  <c r="KD52" i="1"/>
  <c r="KD47" i="1"/>
  <c r="KC83" i="1"/>
  <c r="KC84" i="1" s="1"/>
  <c r="KC87" i="1" s="1"/>
  <c r="KC88" i="1" s="1"/>
  <c r="KC85" i="1"/>
  <c r="KC86" i="1" s="1"/>
  <c r="KC95" i="1"/>
  <c r="KC96" i="1" s="1"/>
  <c r="KC93" i="1"/>
  <c r="KC94" i="1" s="1"/>
  <c r="KC81" i="1"/>
  <c r="KC82" i="1"/>
  <c r="KC89" i="1" s="1"/>
  <c r="KD83" i="1"/>
  <c r="KD96" i="1" s="1"/>
  <c r="KD84" i="1"/>
  <c r="KD95" i="1" s="1"/>
  <c r="KD85" i="1"/>
  <c r="KD94" i="1" s="1"/>
  <c r="KD86" i="1"/>
  <c r="KD93" i="1" s="1"/>
  <c r="KD87" i="1"/>
  <c r="KD92" i="1" s="1"/>
  <c r="KD88" i="1"/>
  <c r="KD89" i="1"/>
  <c r="KD90" i="1" s="1"/>
  <c r="KD91" i="1" s="1"/>
  <c r="KD81" i="1"/>
  <c r="OM37" i="1"/>
  <c r="OM44" i="1"/>
  <c r="ON40" i="1"/>
  <c r="ON35" i="1"/>
  <c r="ON38" i="1" s="1"/>
  <c r="ON36" i="1"/>
  <c r="OM40" i="1"/>
  <c r="OM36" i="1"/>
  <c r="OM29" i="1"/>
  <c r="OM25" i="1"/>
  <c r="OM24" i="1"/>
  <c r="OM27" i="1" s="1"/>
  <c r="KD45" i="1"/>
  <c r="KD40" i="1"/>
  <c r="KC43" i="1"/>
  <c r="KC45" i="1"/>
  <c r="PW10" i="1" a="1"/>
  <c r="KD10" i="1"/>
  <c r="KD17" i="1"/>
  <c r="KC14" i="1"/>
  <c r="KC17" i="1"/>
  <c r="MX67" i="1"/>
  <c r="MX65" i="1"/>
  <c r="ON17" i="1"/>
  <c r="GO45" i="1" a="1"/>
  <c r="MI8" i="1"/>
  <c r="J51" i="1"/>
  <c r="FC31" i="1"/>
  <c r="FC33" i="1" s="1"/>
  <c r="FC28" i="1"/>
  <c r="FC30" i="1" s="1"/>
  <c r="FC25" i="1"/>
  <c r="FC27" i="1" s="1"/>
  <c r="FC24" i="1"/>
  <c r="FC40" i="1" s="1"/>
  <c r="EZ37" i="1"/>
  <c r="EZ39" i="1" s="1"/>
  <c r="EZ28" i="1"/>
  <c r="EZ30" i="1" s="1"/>
  <c r="EZ31" i="1" s="1"/>
  <c r="EZ33" i="1" s="1"/>
  <c r="EZ34" i="1" s="1"/>
  <c r="EZ36" i="1" s="1"/>
  <c r="FB25" i="1"/>
  <c r="FB27" i="1" s="1"/>
  <c r="FB28" i="1" s="1"/>
  <c r="FB30" i="1" s="1"/>
  <c r="FB31" i="1"/>
  <c r="FB33" i="1" s="1"/>
  <c r="FB40" i="1"/>
  <c r="EW25" i="1"/>
  <c r="EW27" i="1" s="1"/>
  <c r="EW40" i="1"/>
  <c r="FA31" i="1"/>
  <c r="FA33" i="1" s="1"/>
  <c r="FA28" i="1"/>
  <c r="FA30" i="1" s="1"/>
  <c r="FA24" i="1"/>
  <c r="FA40" i="1" s="1"/>
  <c r="FA25" i="1"/>
  <c r="FA27" i="1" s="1"/>
  <c r="FC21" i="1"/>
  <c r="FD19" i="1" s="1" a="1"/>
  <c r="FA34" i="1"/>
  <c r="FA36" i="1" s="1"/>
  <c r="FA37" i="1"/>
  <c r="FA39" i="1" s="1"/>
  <c r="EZ25" i="1"/>
  <c r="EZ27" i="1" s="1"/>
  <c r="EZ40" i="1"/>
  <c r="EW28" i="1"/>
  <c r="EW31" i="1"/>
  <c r="EW33" i="1" s="1"/>
  <c r="EW34" i="1" s="1"/>
  <c r="EW36" i="1" s="1"/>
  <c r="EV24" i="1"/>
  <c r="EV25" i="1"/>
  <c r="EY31" i="1"/>
  <c r="EY33" i="1" s="1"/>
  <c r="EY40" i="1"/>
  <c r="EV31" i="1"/>
  <c r="EX31" i="1"/>
  <c r="EX33" i="1" s="1"/>
  <c r="DD42" i="1"/>
  <c r="DD46" i="1" s="1"/>
  <c r="DD45" i="1"/>
  <c r="DD9" i="1"/>
  <c r="DD10" i="1" s="1"/>
  <c r="DC47" i="1"/>
  <c r="DF42" i="1"/>
  <c r="DF45" i="1" s="1"/>
  <c r="DF48" i="1" s="1"/>
  <c r="DF51" i="1" s="1"/>
  <c r="DF54" i="1" s="1"/>
  <c r="DF57" i="1" s="1"/>
  <c r="DD13" i="1"/>
  <c r="DD14" i="1" s="1"/>
  <c r="DM83" i="1" s="1"/>
  <c r="DM86" i="1" s="1"/>
  <c r="DD11" i="1"/>
  <c r="DD21" i="1" s="1"/>
  <c r="DD33" i="1"/>
  <c r="DD36" i="1" s="1"/>
  <c r="DD27" i="1"/>
  <c r="DD28" i="1" s="1"/>
  <c r="DD23" i="1"/>
  <c r="DD47" i="1"/>
  <c r="CO45" i="1"/>
  <c r="CU67" i="1"/>
  <c r="BF54" i="1"/>
  <c r="BF55" i="1"/>
  <c r="CH48" i="1"/>
  <c r="CE87" i="1"/>
  <c r="BZ65" i="1"/>
  <c r="CE86" i="1"/>
  <c r="BZ31" i="1"/>
  <c r="BZ67" i="1"/>
  <c r="BZ68" i="1" s="1"/>
  <c r="BZ71" i="1"/>
  <c r="CE82" i="1"/>
  <c r="CE85" i="1" s="1"/>
  <c r="CE83" i="1"/>
  <c r="BZ73" i="1"/>
  <c r="BZ74" i="1" s="1"/>
  <c r="BZ33" i="1"/>
  <c r="BY72" i="1"/>
  <c r="BY73" i="1" s="1"/>
  <c r="CD83" i="1"/>
  <c r="BY71" i="1"/>
  <c r="CD87" i="1"/>
  <c r="BY65" i="1"/>
  <c r="BY66" i="1"/>
  <c r="BY67" i="1" s="1"/>
  <c r="BY32" i="1"/>
  <c r="BY31" i="1"/>
  <c r="DU52" i="1"/>
  <c r="DU53" i="1" s="1"/>
  <c r="DU47" i="1"/>
  <c r="BN55" i="1" s="1"/>
  <c r="DU51" i="1"/>
  <c r="BL54" i="1"/>
  <c r="DU25" i="1"/>
  <c r="DU63" i="1"/>
  <c r="DU92" i="1"/>
  <c r="DU26" i="1"/>
  <c r="DU49" i="1"/>
  <c r="BN57" i="1" s="1"/>
  <c r="BL56" i="1"/>
  <c r="DU64" i="1"/>
  <c r="DU65" i="1" s="1"/>
  <c r="BK55" i="1"/>
  <c r="DV57" i="1"/>
  <c r="DV59" i="1"/>
  <c r="DV60" i="1" s="1"/>
  <c r="DV89" i="1"/>
  <c r="DV93" i="1" s="1"/>
  <c r="DV25" i="1"/>
  <c r="BK57" i="1"/>
  <c r="DV69" i="1"/>
  <c r="DV71" i="1"/>
  <c r="DV72" i="1" s="1"/>
  <c r="DV99" i="1"/>
  <c r="DV103" i="1"/>
  <c r="DV65" i="1"/>
  <c r="DV66" i="1" s="1"/>
  <c r="DV63" i="1"/>
  <c r="DV27" i="1"/>
  <c r="BK56" i="1"/>
  <c r="DV53" i="1"/>
  <c r="DV54" i="1" s="1"/>
  <c r="BK54" i="1"/>
  <c r="DV51" i="1"/>
  <c r="BZ61" i="1"/>
  <c r="BZ62" i="1" s="1"/>
  <c r="BZ59" i="1"/>
  <c r="CE63" i="1"/>
  <c r="BZ25" i="1"/>
  <c r="CE59" i="1"/>
  <c r="BZ55" i="1"/>
  <c r="BZ56" i="1" s="1"/>
  <c r="BZ53" i="1"/>
  <c r="BZ27" i="1"/>
  <c r="BY54" i="1"/>
  <c r="BY55" i="1" s="1"/>
  <c r="BG54" i="1"/>
  <c r="BY53" i="1"/>
  <c r="CD59" i="1"/>
  <c r="CD58" i="1"/>
  <c r="CD61" i="1" s="1"/>
  <c r="BY25" i="1"/>
  <c r="BY60" i="1"/>
  <c r="BY61" i="1" s="1"/>
  <c r="BY59" i="1"/>
  <c r="BG55" i="1"/>
  <c r="CD63" i="1"/>
  <c r="CD62" i="1"/>
  <c r="CD65" i="1" s="1"/>
  <c r="BY26" i="1"/>
  <c r="ON18" i="1"/>
  <c r="ON15" i="1"/>
  <c r="ON24" i="1" s="1"/>
  <c r="BU37" i="1"/>
  <c r="BU40" i="1"/>
  <c r="BV39" i="1"/>
  <c r="BV40" i="1"/>
  <c r="OM18" i="1"/>
  <c r="OM17" i="1"/>
  <c r="OM16" i="1"/>
  <c r="OL16" i="1"/>
  <c r="JJ68" i="1" l="1"/>
  <c r="JJ65" i="1"/>
  <c r="JJ63" i="1"/>
  <c r="JJ64" i="1"/>
  <c r="JJ66" i="1" s="1"/>
  <c r="JK65" i="1"/>
  <c r="JK68" i="1"/>
  <c r="JK66" i="1"/>
  <c r="JK67" i="1" s="1"/>
  <c r="JK63" i="1"/>
  <c r="JJ32" i="1"/>
  <c r="JJ34" i="1"/>
  <c r="JJ35" i="1" s="1"/>
  <c r="JJ33" i="1"/>
  <c r="JJ36" i="1" s="1"/>
  <c r="JK35" i="1"/>
  <c r="JK38" i="1" s="1"/>
  <c r="JK36" i="1"/>
  <c r="JK37" i="1" s="1"/>
  <c r="JK34" i="1"/>
  <c r="JK32" i="1"/>
  <c r="JK39" i="1"/>
  <c r="JJ72" i="1"/>
  <c r="JJ74" i="1" s="1"/>
  <c r="JJ76" i="1"/>
  <c r="JJ73" i="1"/>
  <c r="JJ71" i="1"/>
  <c r="JK74" i="1"/>
  <c r="JK75" i="1" s="1"/>
  <c r="JK76" i="1"/>
  <c r="JK71" i="1"/>
  <c r="JK73" i="1"/>
  <c r="EN65" i="1"/>
  <c r="EH63" i="1"/>
  <c r="EH68" i="1" s="1"/>
  <c r="EK62" i="1"/>
  <c r="EH67" i="1"/>
  <c r="EN62" i="1"/>
  <c r="EO66" i="1" s="1"/>
  <c r="EH66" i="1"/>
  <c r="EH64" i="1"/>
  <c r="EH69" i="1" s="1"/>
  <c r="EN64" i="1"/>
  <c r="EK61" i="1"/>
  <c r="EF62" i="1"/>
  <c r="EF66" i="1"/>
  <c r="EM123" i="1"/>
  <c r="EF64" i="1"/>
  <c r="EO102" i="1"/>
  <c r="EO103" i="1" s="1"/>
  <c r="EO109" i="1"/>
  <c r="EO106" i="1"/>
  <c r="FD62" i="1"/>
  <c r="FE63" i="1"/>
  <c r="FD61" i="1"/>
  <c r="FE62" i="1"/>
  <c r="FD63" i="1"/>
  <c r="FE61" i="1"/>
  <c r="OV21" i="1"/>
  <c r="OV36" i="1"/>
  <c r="OV37" i="1" s="1"/>
  <c r="OY28" i="1"/>
  <c r="OY29" i="1" s="1"/>
  <c r="OY26" i="1"/>
  <c r="OY31" i="1" s="1"/>
  <c r="OY32" i="1" s="1"/>
  <c r="OV55" i="1"/>
  <c r="OQ40" i="1"/>
  <c r="OY45" i="1"/>
  <c r="OR40" i="1" s="1"/>
  <c r="PI15" i="1"/>
  <c r="PI16" i="1" s="1"/>
  <c r="PI17" i="1" s="1"/>
  <c r="PI18" i="1" s="1"/>
  <c r="PI19" i="1" s="1"/>
  <c r="PI20" i="1" s="1"/>
  <c r="PI21" i="1" s="1"/>
  <c r="PI22" i="1" s="1"/>
  <c r="PI23" i="1" s="1"/>
  <c r="PI24" i="1" s="1"/>
  <c r="PI25" i="1" s="1"/>
  <c r="PI26" i="1" s="1"/>
  <c r="PB26" i="1"/>
  <c r="PE39" i="1"/>
  <c r="PE42" i="1" s="1"/>
  <c r="PE45" i="1" s="1"/>
  <c r="PE48" i="1" s="1"/>
  <c r="PE51" i="1" s="1"/>
  <c r="OX41" i="1"/>
  <c r="NC38" i="1"/>
  <c r="NC41" i="1"/>
  <c r="NC39" i="1"/>
  <c r="MV49" i="1"/>
  <c r="NC35" i="1"/>
  <c r="NC37" i="1"/>
  <c r="NC36" i="1"/>
  <c r="NC43" i="1"/>
  <c r="NC40" i="1"/>
  <c r="MU16" i="1" a="1"/>
  <c r="DG11" i="1"/>
  <c r="DG13" i="1"/>
  <c r="DG14" i="1" s="1"/>
  <c r="DG33" i="1"/>
  <c r="DM73" i="1"/>
  <c r="DM77" i="1" s="1"/>
  <c r="DG10" i="1"/>
  <c r="DG27" i="1"/>
  <c r="DG23" i="1"/>
  <c r="DG28" i="1" s="1"/>
  <c r="DG64" i="1"/>
  <c r="DI62" i="1" s="1"/>
  <c r="DG67" i="1"/>
  <c r="DG68" i="1" s="1"/>
  <c r="DI63" i="1" s="1"/>
  <c r="PE38" i="1"/>
  <c r="PE41" i="1" s="1"/>
  <c r="PE44" i="1" s="1"/>
  <c r="PE47" i="1" s="1"/>
  <c r="PE50" i="1" s="1"/>
  <c r="OX37" i="1"/>
  <c r="OV44" i="1"/>
  <c r="PH15" i="1"/>
  <c r="LC32" i="1"/>
  <c r="LC33" i="1"/>
  <c r="LC31" i="1"/>
  <c r="MU33" i="1"/>
  <c r="NI37" i="1"/>
  <c r="NI38" i="1" s="1"/>
  <c r="NE38" i="1"/>
  <c r="NE43" i="1"/>
  <c r="NE40" i="1"/>
  <c r="NE42" i="1"/>
  <c r="NE41" i="1"/>
  <c r="NE39" i="1"/>
  <c r="OV25" i="1"/>
  <c r="OV29" i="1" s="1"/>
  <c r="OV28" i="1"/>
  <c r="OV42" i="1"/>
  <c r="OV35" i="1"/>
  <c r="OQ39" i="1" s="1"/>
  <c r="LC37" i="1"/>
  <c r="LC36" i="1"/>
  <c r="LC35" i="1"/>
  <c r="JK88" i="1"/>
  <c r="JK93" i="1"/>
  <c r="JJ93" i="1"/>
  <c r="JJ91" i="1"/>
  <c r="JJ83" i="1"/>
  <c r="JJ85" i="1"/>
  <c r="JK80" i="1"/>
  <c r="JK85" i="1"/>
  <c r="JJ47" i="1"/>
  <c r="JJ50" i="1"/>
  <c r="JK50" i="1"/>
  <c r="JK43" i="1"/>
  <c r="JK60" i="1"/>
  <c r="JK53" i="1"/>
  <c r="JJ57" i="1"/>
  <c r="JJ60" i="1"/>
  <c r="JK101" i="1"/>
  <c r="JK96" i="1"/>
  <c r="JJ99" i="1"/>
  <c r="JJ101" i="1"/>
  <c r="MU37" i="1"/>
  <c r="MU40" i="1"/>
  <c r="KD64" i="1"/>
  <c r="KD79" i="1"/>
  <c r="DH42" i="1"/>
  <c r="DH44" i="1"/>
  <c r="CO70" i="1"/>
  <c r="CU70" i="1"/>
  <c r="KC79" i="1"/>
  <c r="KC72" i="1"/>
  <c r="KC73" i="1" s="1"/>
  <c r="KC74" i="1" s="1"/>
  <c r="KD56" i="1"/>
  <c r="KD61" i="1"/>
  <c r="KC61" i="1"/>
  <c r="KC59" i="1"/>
  <c r="KD20" i="1"/>
  <c r="KD27" i="1"/>
  <c r="KC27" i="1"/>
  <c r="KC24" i="1"/>
  <c r="KD37" i="1"/>
  <c r="KD30" i="1"/>
  <c r="KC37" i="1"/>
  <c r="KC34" i="1"/>
  <c r="KD115" i="1"/>
  <c r="KD100" i="1"/>
  <c r="KC108" i="1"/>
  <c r="KC109" i="1" s="1"/>
  <c r="KC110" i="1" s="1"/>
  <c r="KC115" i="1"/>
  <c r="KC51" i="1"/>
  <c r="KC53" i="1"/>
  <c r="KD53" i="1"/>
  <c r="KD48" i="1"/>
  <c r="KC97" i="1"/>
  <c r="KC90" i="1"/>
  <c r="KC91" i="1" s="1"/>
  <c r="KC92" i="1" s="1"/>
  <c r="KD82" i="1"/>
  <c r="KD97" i="1"/>
  <c r="OO28" i="1"/>
  <c r="OQ28" i="1"/>
  <c r="OM38" i="1"/>
  <c r="ON26" i="1"/>
  <c r="ON33" i="1"/>
  <c r="OP29" i="1"/>
  <c r="OP30" i="1" s="1"/>
  <c r="ON41" i="1"/>
  <c r="ON43" i="1" s="1"/>
  <c r="ON44" i="1" s="1"/>
  <c r="ON37" i="1"/>
  <c r="OP28" i="1"/>
  <c r="OQ29" i="1"/>
  <c r="OO29" i="1"/>
  <c r="OM30" i="1"/>
  <c r="OM32" i="1" s="1"/>
  <c r="OM33" i="1" s="1"/>
  <c r="OO25" i="1"/>
  <c r="OO26" i="1" s="1"/>
  <c r="OO30" i="1"/>
  <c r="OQ30" i="1"/>
  <c r="OM26" i="1"/>
  <c r="OO24" i="1"/>
  <c r="ON25" i="1"/>
  <c r="ON29" i="1"/>
  <c r="MX70" i="1"/>
  <c r="MX68" i="1"/>
  <c r="GP45" i="1" a="1"/>
  <c r="EW37" i="1"/>
  <c r="EW39" i="1" s="1"/>
  <c r="EW30" i="1"/>
  <c r="EX37" i="1"/>
  <c r="EX39" i="1" s="1"/>
  <c r="EV40" i="1"/>
  <c r="EV27" i="1"/>
  <c r="EX34" i="1"/>
  <c r="EX36" i="1" s="1"/>
  <c r="FC34" i="1"/>
  <c r="FC37" i="1"/>
  <c r="FC39" i="1" s="1"/>
  <c r="EX28" i="1"/>
  <c r="EX30" i="1" s="1"/>
  <c r="EV33" i="1"/>
  <c r="DD24" i="1"/>
  <c r="DD26" i="1"/>
  <c r="DD29" i="1" s="1"/>
  <c r="EO130" i="1"/>
  <c r="EO131" i="1" s="1"/>
  <c r="DD17" i="1"/>
  <c r="DD18" i="1" s="1"/>
  <c r="DD15" i="1"/>
  <c r="DD19" i="1" s="1"/>
  <c r="CN29" i="1"/>
  <c r="CO30" i="1"/>
  <c r="CC47" i="1"/>
  <c r="CO28" i="1"/>
  <c r="CB47" i="1"/>
  <c r="CD47" i="1" s="1"/>
  <c r="CN28" i="1"/>
  <c r="CC71" i="1"/>
  <c r="CB71" i="1"/>
  <c r="BZ34" i="1"/>
  <c r="CC74" i="1" s="1"/>
  <c r="CC73" i="1"/>
  <c r="CE71" i="1" s="1"/>
  <c r="CE72" i="1" s="1"/>
  <c r="CE81" i="1" s="1"/>
  <c r="BY33" i="1"/>
  <c r="CB73" i="1" s="1"/>
  <c r="CB72" i="1"/>
  <c r="BZ69" i="1"/>
  <c r="BZ66" i="1"/>
  <c r="CE89" i="1"/>
  <c r="CH72" i="1"/>
  <c r="BZ35" i="1"/>
  <c r="CC75" i="1" s="1"/>
  <c r="BZ32" i="1"/>
  <c r="CC72" i="1" s="1"/>
  <c r="BZ72" i="1"/>
  <c r="BZ75" i="1"/>
  <c r="BY74" i="1"/>
  <c r="BY75" i="1"/>
  <c r="BY69" i="1"/>
  <c r="BY68" i="1"/>
  <c r="BY35" i="1"/>
  <c r="CB75" i="1" s="1"/>
  <c r="BY34" i="1"/>
  <c r="CB74" i="1" s="1"/>
  <c r="BZ28" i="1"/>
  <c r="CC50" i="1" s="1"/>
  <c r="CC49" i="1"/>
  <c r="CE54" i="1" s="1"/>
  <c r="CE55" i="1" s="1"/>
  <c r="BY27" i="1"/>
  <c r="CB49" i="1" s="1"/>
  <c r="CB48" i="1"/>
  <c r="DU89" i="1"/>
  <c r="DU91" i="1" s="1"/>
  <c r="DU88" i="1"/>
  <c r="BL55" i="1"/>
  <c r="DU57" i="1"/>
  <c r="DU58" i="1"/>
  <c r="DU59" i="1" s="1"/>
  <c r="DU55" i="1"/>
  <c r="DU54" i="1"/>
  <c r="DR78" i="1"/>
  <c r="DU77" i="1" s="1"/>
  <c r="DU29" i="1"/>
  <c r="DR82" i="1" s="1"/>
  <c r="DZ26" i="1"/>
  <c r="DU28" i="1"/>
  <c r="DR81" i="1" s="1"/>
  <c r="DU66" i="1"/>
  <c r="DU67" i="1"/>
  <c r="DU95" i="1"/>
  <c r="DU93" i="1"/>
  <c r="DR79" i="1"/>
  <c r="DZ27" i="1"/>
  <c r="DU27" i="1"/>
  <c r="DR80" i="1" s="1"/>
  <c r="DZ28" i="1"/>
  <c r="BL57" i="1"/>
  <c r="DU100" i="1"/>
  <c r="DU104" i="1" s="1"/>
  <c r="DU69" i="1"/>
  <c r="DU70" i="1"/>
  <c r="DU71" i="1" s="1"/>
  <c r="DV58" i="1"/>
  <c r="DV61" i="1"/>
  <c r="DS78" i="1"/>
  <c r="DV77" i="1" s="1"/>
  <c r="EA26" i="1"/>
  <c r="DV26" i="1"/>
  <c r="DS79" i="1" s="1"/>
  <c r="DV82" i="1" s="1"/>
  <c r="DV29" i="1"/>
  <c r="DS82" i="1" s="1"/>
  <c r="DV70" i="1"/>
  <c r="DV73" i="1"/>
  <c r="DV100" i="1"/>
  <c r="DV102" i="1"/>
  <c r="DV104" i="1"/>
  <c r="DV106" i="1"/>
  <c r="DV67" i="1"/>
  <c r="DV64" i="1"/>
  <c r="DS80" i="1"/>
  <c r="DV84" i="1" s="1"/>
  <c r="DV85" i="1" s="1"/>
  <c r="EA28" i="1"/>
  <c r="EA29" i="1" s="1"/>
  <c r="DV28" i="1"/>
  <c r="DS81" i="1" s="1"/>
  <c r="DV107" i="1" s="1"/>
  <c r="DV52" i="1"/>
  <c r="DV55" i="1"/>
  <c r="BZ60" i="1"/>
  <c r="BZ63" i="1"/>
  <c r="BZ29" i="1"/>
  <c r="CC51" i="1" s="1"/>
  <c r="BZ26" i="1"/>
  <c r="CC48" i="1" s="1"/>
  <c r="BZ57" i="1"/>
  <c r="BZ54" i="1"/>
  <c r="BY56" i="1"/>
  <c r="BY57" i="1"/>
  <c r="BY28" i="1"/>
  <c r="CB50" i="1" s="1"/>
  <c r="BY29" i="1"/>
  <c r="CB51" i="1" s="1"/>
  <c r="BY62" i="1"/>
  <c r="BY63" i="1"/>
  <c r="JJ69" i="1" l="1"/>
  <c r="JJ67" i="1"/>
  <c r="JK69" i="1"/>
  <c r="JK64" i="1"/>
  <c r="JJ37" i="1"/>
  <c r="JJ40" i="1"/>
  <c r="JK40" i="1"/>
  <c r="JK33" i="1"/>
  <c r="JJ77" i="1"/>
  <c r="JJ75" i="1"/>
  <c r="JK72" i="1"/>
  <c r="JK77" i="1"/>
  <c r="EN66" i="1"/>
  <c r="DG36" i="1"/>
  <c r="DD52" i="1"/>
  <c r="DD53" i="1" s="1"/>
  <c r="EL72" i="1"/>
  <c r="EK63" i="1"/>
  <c r="EK64" i="1"/>
  <c r="EO124" i="1"/>
  <c r="EO125" i="1" s="1"/>
  <c r="EF63" i="1"/>
  <c r="EO100" i="1"/>
  <c r="EO101" i="1" s="1"/>
  <c r="EF70" i="1"/>
  <c r="EF67" i="1"/>
  <c r="EO107" i="1"/>
  <c r="ER73" i="1" s="1"/>
  <c r="EO110" i="1"/>
  <c r="PH20" i="1"/>
  <c r="OV46" i="1"/>
  <c r="OV50" i="1" s="1"/>
  <c r="PH18" i="1"/>
  <c r="PH17" i="1"/>
  <c r="PH16" i="1"/>
  <c r="OY37" i="1"/>
  <c r="PH19" i="1"/>
  <c r="PH22" i="1"/>
  <c r="PH25" i="1"/>
  <c r="PH26" i="1"/>
  <c r="DN85" i="1"/>
  <c r="DM78" i="1"/>
  <c r="DN86" i="1" s="1"/>
  <c r="NE37" i="1"/>
  <c r="NE35" i="1"/>
  <c r="NE36" i="1"/>
  <c r="NE34" i="1"/>
  <c r="NI48" i="1"/>
  <c r="NI41" i="1"/>
  <c r="MV50" i="1"/>
  <c r="MY17" i="1"/>
  <c r="MU17" i="1"/>
  <c r="MW17" i="1"/>
  <c r="DG17" i="1"/>
  <c r="DG18" i="1" s="1"/>
  <c r="DG21" i="1"/>
  <c r="DM80" i="1"/>
  <c r="DM85" i="1" s="1"/>
  <c r="DG15" i="1"/>
  <c r="DG19" i="1" s="1"/>
  <c r="DG39" i="1" s="1"/>
  <c r="DG44" i="1" s="1"/>
  <c r="DG45" i="1" s="1"/>
  <c r="PH21" i="1"/>
  <c r="PH23" i="1"/>
  <c r="PH24" i="1"/>
  <c r="CT71" i="1"/>
  <c r="CN70" i="1"/>
  <c r="CN71" i="1" s="1"/>
  <c r="CN72" i="1" s="1"/>
  <c r="CP45" i="1" s="1"/>
  <c r="CT70" i="1"/>
  <c r="OY44" i="1"/>
  <c r="OQ38" i="1"/>
  <c r="CO71" i="1"/>
  <c r="CO72" i="1" s="1"/>
  <c r="CQ45" i="1" s="1"/>
  <c r="MU38" i="1"/>
  <c r="MU41" i="1"/>
  <c r="DH47" i="1"/>
  <c r="DH45" i="1"/>
  <c r="OQ24" i="1"/>
  <c r="OP25" i="1"/>
  <c r="OQ25" i="1"/>
  <c r="OP26" i="1"/>
  <c r="OQ26" i="1"/>
  <c r="OP24" i="1"/>
  <c r="ON27" i="1"/>
  <c r="PN13" i="1" a="1"/>
  <c r="MX73" i="1"/>
  <c r="MX71" i="1"/>
  <c r="EL81" i="1"/>
  <c r="EL82" i="1"/>
  <c r="LC9" i="1" a="1"/>
  <c r="BJ54" i="1" a="1"/>
  <c r="BI54" i="1" a="1"/>
  <c r="BO54" i="1" s="1" a="1"/>
  <c r="FC36" i="1"/>
  <c r="EX25" i="1"/>
  <c r="EX27" i="1" s="1"/>
  <c r="EV36" i="1"/>
  <c r="AV74" i="1"/>
  <c r="EO127" i="1"/>
  <c r="EO128" i="1" s="1"/>
  <c r="CT39" i="1"/>
  <c r="CT57" i="1"/>
  <c r="CT46" i="1"/>
  <c r="DD55" i="1"/>
  <c r="DD56" i="1" s="1"/>
  <c r="CN30" i="1"/>
  <c r="CN68" i="1"/>
  <c r="CN61" i="1"/>
  <c r="CW56" i="1"/>
  <c r="CQ55" i="1"/>
  <c r="CU59" i="1"/>
  <c r="CU60" i="1" s="1"/>
  <c r="CU64" i="1"/>
  <c r="CU61" i="1"/>
  <c r="CU68" i="1"/>
  <c r="CU37" i="1"/>
  <c r="CT48" i="1"/>
  <c r="CT37" i="1"/>
  <c r="CT64" i="1"/>
  <c r="CT59" i="1"/>
  <c r="CO31" i="1"/>
  <c r="CO37" i="1"/>
  <c r="CO39" i="1"/>
  <c r="CO59" i="1"/>
  <c r="CN37" i="1"/>
  <c r="CN59" i="1"/>
  <c r="CD57" i="1"/>
  <c r="CE47" i="1"/>
  <c r="CD48" i="1"/>
  <c r="CE57" i="1"/>
  <c r="CE58" i="1" s="1"/>
  <c r="CE61" i="1" s="1"/>
  <c r="CE73" i="1"/>
  <c r="CE90" i="1"/>
  <c r="CE76" i="1"/>
  <c r="CO32" i="1"/>
  <c r="CO29" i="1"/>
  <c r="AW74" i="1" s="1"/>
  <c r="CD71" i="1"/>
  <c r="CD76" i="1"/>
  <c r="CD77" i="1" s="1"/>
  <c r="CN32" i="1"/>
  <c r="CN31" i="1"/>
  <c r="CF73" i="1"/>
  <c r="CD78" i="1"/>
  <c r="CD79" i="1" s="1"/>
  <c r="CH73" i="1"/>
  <c r="BX28" i="1"/>
  <c r="BX27" i="1"/>
  <c r="CH47" i="1"/>
  <c r="CD52" i="1"/>
  <c r="CD49" i="1"/>
  <c r="CD50" i="1" s="1"/>
  <c r="CD66" i="1"/>
  <c r="CE52" i="1"/>
  <c r="CE53" i="1" s="1"/>
  <c r="CH49" i="1"/>
  <c r="DU60" i="1"/>
  <c r="DU61" i="1"/>
  <c r="DU78" i="1"/>
  <c r="DU87" i="1"/>
  <c r="DZ29" i="1"/>
  <c r="EE9" i="1"/>
  <c r="DZ30" i="1"/>
  <c r="EC9" i="1"/>
  <c r="EI9" i="1"/>
  <c r="EI12" i="1" s="1"/>
  <c r="DU96" i="1"/>
  <c r="DU79" i="1"/>
  <c r="EK9" i="1"/>
  <c r="EC11" i="1"/>
  <c r="EC12" i="1" s="1"/>
  <c r="EC24" i="1" s="1"/>
  <c r="EC14" i="1"/>
  <c r="EC26" i="1" s="1"/>
  <c r="EG9" i="1"/>
  <c r="DU73" i="1"/>
  <c r="DU72" i="1"/>
  <c r="DV87" i="1"/>
  <c r="DV78" i="1"/>
  <c r="DV80" i="1"/>
  <c r="EA30" i="1"/>
  <c r="EA27" i="1"/>
  <c r="ED9" i="1"/>
  <c r="EH9" i="1"/>
  <c r="DX82" i="1"/>
  <c r="DX91" i="1" s="1"/>
  <c r="DY82" i="1"/>
  <c r="DV98" i="1"/>
  <c r="DV83" i="1"/>
  <c r="EH18" i="1"/>
  <c r="ED16" i="1"/>
  <c r="ED17" i="1" s="1"/>
  <c r="ED30" i="1" s="1"/>
  <c r="DT27" i="1"/>
  <c r="DT28" i="1"/>
  <c r="EL80" i="1" l="1"/>
  <c r="EL79" i="1"/>
  <c r="EL78" i="1"/>
  <c r="EL73" i="1"/>
  <c r="EO72" i="1"/>
  <c r="EO114" i="1"/>
  <c r="EO118" i="1" s="1"/>
  <c r="EL83" i="1"/>
  <c r="EL77" i="1"/>
  <c r="EL75" i="1"/>
  <c r="EL74" i="1"/>
  <c r="EL76" i="1"/>
  <c r="EF68" i="1"/>
  <c r="EF71" i="1"/>
  <c r="AT68" i="1"/>
  <c r="AT67" i="1"/>
  <c r="OY41" i="1"/>
  <c r="OY38" i="1"/>
  <c r="NI44" i="1"/>
  <c r="MV56" i="1"/>
  <c r="NI42" i="1"/>
  <c r="NL39" i="1"/>
  <c r="NK36" i="1"/>
  <c r="NL36" i="1"/>
  <c r="MW41" i="1"/>
  <c r="MW42" i="1" s="1"/>
  <c r="MW43" i="1"/>
  <c r="MW44" i="1" s="1"/>
  <c r="MW31" i="1"/>
  <c r="MW32" i="1" s="1"/>
  <c r="MW33" i="1"/>
  <c r="MW34" i="1" s="1"/>
  <c r="MW36" i="1"/>
  <c r="MW37" i="1" s="1"/>
  <c r="NJ37" i="1"/>
  <c r="MW38" i="1"/>
  <c r="MW39" i="1" s="1"/>
  <c r="DG75" i="1"/>
  <c r="DG24" i="1"/>
  <c r="DG29" i="1" s="1"/>
  <c r="DG26" i="1"/>
  <c r="OR38" i="1"/>
  <c r="T52" i="1"/>
  <c r="DG47" i="1"/>
  <c r="DG48" i="1" s="1"/>
  <c r="NI45" i="1"/>
  <c r="MU42" i="1"/>
  <c r="MV55" i="1"/>
  <c r="MV59" i="1" s="1"/>
  <c r="DH50" i="1"/>
  <c r="DH48" i="1"/>
  <c r="MX76" i="1"/>
  <c r="MX74" i="1"/>
  <c r="EV37" i="1"/>
  <c r="CT40" i="1"/>
  <c r="CV38" i="1"/>
  <c r="CX38" i="1"/>
  <c r="CN40" i="1"/>
  <c r="CR44" i="1"/>
  <c r="CP44" i="1"/>
  <c r="CN62" i="1"/>
  <c r="DA7" i="1"/>
  <c r="CN38" i="1"/>
  <c r="CN48" i="1"/>
  <c r="CN49" i="1" s="1"/>
  <c r="CX43" i="1"/>
  <c r="CW43" i="1"/>
  <c r="CU62" i="1"/>
  <c r="CX42" i="1"/>
  <c r="CW44" i="1"/>
  <c r="CX44" i="1"/>
  <c r="CU38" i="1"/>
  <c r="CU48" i="1"/>
  <c r="CU40" i="1"/>
  <c r="CU42" i="1"/>
  <c r="CT38" i="1"/>
  <c r="CT42" i="1"/>
  <c r="CT65" i="1"/>
  <c r="CT67" i="1" s="1"/>
  <c r="CT68" i="1" s="1"/>
  <c r="CV43" i="1"/>
  <c r="CV44" i="1" s="1"/>
  <c r="CT62" i="1"/>
  <c r="CT60" i="1"/>
  <c r="CU71" i="1"/>
  <c r="CU72" i="1" s="1"/>
  <c r="CW45" i="1" s="1"/>
  <c r="CT72" i="1"/>
  <c r="CV45" i="1" s="1"/>
  <c r="CN42" i="1"/>
  <c r="CO40" i="1"/>
  <c r="CO38" i="1"/>
  <c r="CO42" i="1"/>
  <c r="CO48" i="1"/>
  <c r="CO64" i="1"/>
  <c r="CO62" i="1"/>
  <c r="CO60" i="1"/>
  <c r="CN60" i="1"/>
  <c r="CN64" i="1"/>
  <c r="CE50" i="1"/>
  <c r="CE48" i="1"/>
  <c r="CE62" i="1"/>
  <c r="CE65" i="1" s="1"/>
  <c r="CE66" i="1" s="1"/>
  <c r="CG48" i="1"/>
  <c r="CG71" i="1"/>
  <c r="CG72" i="1" s="1"/>
  <c r="CE74" i="1"/>
  <c r="CE79" i="1"/>
  <c r="CE77" i="1"/>
  <c r="CH71" i="1"/>
  <c r="CD81" i="1"/>
  <c r="CD82" i="1" s="1"/>
  <c r="CD85" i="1" s="1"/>
  <c r="CD86" i="1" s="1"/>
  <c r="CD74" i="1"/>
  <c r="CD72" i="1"/>
  <c r="EE18" i="1"/>
  <c r="EI18" i="1"/>
  <c r="EK18" i="1"/>
  <c r="EC27" i="1"/>
  <c r="EC29" i="1" s="1"/>
  <c r="EC30" i="1" s="1"/>
  <c r="EI19" i="1"/>
  <c r="EI20" i="1" s="1"/>
  <c r="EJ20" i="1"/>
  <c r="EK20" i="1"/>
  <c r="EC15" i="1"/>
  <c r="EC10" i="1"/>
  <c r="EC19" i="1"/>
  <c r="ED10" i="1"/>
  <c r="ED19" i="1"/>
  <c r="BX29" i="1"/>
  <c r="CD53" i="1"/>
  <c r="CD55" i="1"/>
  <c r="DY77" i="1"/>
  <c r="DU80" i="1"/>
  <c r="DU82" i="1" s="1"/>
  <c r="EC17" i="1"/>
  <c r="EI16" i="1"/>
  <c r="EG10" i="1"/>
  <c r="DV88" i="1"/>
  <c r="DV91" i="1" s="1"/>
  <c r="DV92" i="1" s="1"/>
  <c r="DV95" i="1" s="1"/>
  <c r="DV96" i="1" s="1"/>
  <c r="DX88" i="1"/>
  <c r="DX77" i="1"/>
  <c r="DV79" i="1"/>
  <c r="ED14" i="1"/>
  <c r="EJ10" i="1"/>
  <c r="EJ11" i="1" s="1"/>
  <c r="EK10" i="1"/>
  <c r="EF9" i="1"/>
  <c r="ED12" i="1"/>
  <c r="ER72" i="1"/>
  <c r="DW77" i="1"/>
  <c r="DW88" i="1" s="1"/>
  <c r="DT29" i="1"/>
  <c r="EO76" i="1" l="1"/>
  <c r="EO73" i="1"/>
  <c r="EO77" i="1" s="1"/>
  <c r="EO82" i="1"/>
  <c r="EO115" i="1"/>
  <c r="EO74" i="1"/>
  <c r="EO78" i="1" s="1"/>
  <c r="EF72" i="1"/>
  <c r="C51" i="1"/>
  <c r="QQ31" i="1" s="1"/>
  <c r="AU68" i="1"/>
  <c r="AU67" i="1"/>
  <c r="OY42" i="1"/>
  <c r="PF38" i="1"/>
  <c r="MV60" i="1"/>
  <c r="MV57" i="1"/>
  <c r="MV61" i="1" s="1"/>
  <c r="MV63" i="1" s="1"/>
  <c r="DG79" i="1"/>
  <c r="DG76" i="1"/>
  <c r="NI49" i="1"/>
  <c r="NK38" i="1"/>
  <c r="NI46" i="1"/>
  <c r="DG50" i="1"/>
  <c r="DG51" i="1" s="1"/>
  <c r="DH53" i="1"/>
  <c r="DH51" i="1"/>
  <c r="HY11" i="1"/>
  <c r="HT11" i="1"/>
  <c r="IB11" i="1"/>
  <c r="HP11" i="1"/>
  <c r="HP285" i="1" s="1"/>
  <c r="HX11" i="1"/>
  <c r="J23" i="1"/>
  <c r="H30" i="1" s="1"/>
  <c r="JH178" i="1" s="1"/>
  <c r="HQ11" i="1"/>
  <c r="HU11" i="1"/>
  <c r="IC11" i="1"/>
  <c r="M23" i="1"/>
  <c r="J30" i="1" s="1"/>
  <c r="JG178" i="1" s="1"/>
  <c r="M22" i="1"/>
  <c r="J29" i="1" s="1"/>
  <c r="JG160" i="1" s="1"/>
  <c r="J22" i="1"/>
  <c r="M21" i="1"/>
  <c r="J28" i="1" s="1"/>
  <c r="JG142" i="1" s="1"/>
  <c r="J21" i="1"/>
  <c r="H28" i="1" s="1"/>
  <c r="JH142" i="1" s="1"/>
  <c r="J20" i="1"/>
  <c r="H27" i="1" s="1"/>
  <c r="JH124" i="1" s="1"/>
  <c r="M19" i="1"/>
  <c r="J26" i="1" s="1"/>
  <c r="JG106" i="1" s="1"/>
  <c r="J19" i="1"/>
  <c r="H26" i="1" s="1"/>
  <c r="JH106" i="1" s="1"/>
  <c r="M20" i="1"/>
  <c r="J27" i="1" s="1"/>
  <c r="JG124" i="1" s="1"/>
  <c r="MX79" i="1"/>
  <c r="MX77" i="1"/>
  <c r="IC72" i="1"/>
  <c r="IC70" i="1"/>
  <c r="IC68" i="1"/>
  <c r="HX160" i="1"/>
  <c r="HX234" i="1"/>
  <c r="HX171" i="1"/>
  <c r="HX235" i="1"/>
  <c r="HX317" i="1"/>
  <c r="HX236" i="1"/>
  <c r="HX166" i="1"/>
  <c r="HX241" i="1"/>
  <c r="HX242" i="1"/>
  <c r="HX243" i="1"/>
  <c r="HX176" i="1"/>
  <c r="HX60" i="1"/>
  <c r="JA97" i="1"/>
  <c r="JD100" i="1" s="1"/>
  <c r="IZ97" i="1"/>
  <c r="IZ89" i="1"/>
  <c r="JA89" i="1"/>
  <c r="JA73" i="1"/>
  <c r="IZ73" i="1"/>
  <c r="IZ81" i="1"/>
  <c r="JA81" i="1"/>
  <c r="JA65" i="1"/>
  <c r="IZ65" i="1"/>
  <c r="EX24" i="1"/>
  <c r="EX40" i="1" s="1"/>
  <c r="EV39" i="1"/>
  <c r="FD24" i="1" s="1" a="1"/>
  <c r="LC51" i="1" s="1" a="1"/>
  <c r="CN39" i="1"/>
  <c r="CP36" i="1"/>
  <c r="CN52" i="1"/>
  <c r="CN53" i="1" s="1"/>
  <c r="CN56" i="1" s="1"/>
  <c r="CN57" i="1" s="1"/>
  <c r="CP39" i="1"/>
  <c r="CP40" i="1" s="1"/>
  <c r="CP41" i="1" s="1"/>
  <c r="CW36" i="1"/>
  <c r="CU39" i="1"/>
  <c r="CU49" i="1"/>
  <c r="CU52" i="1" s="1"/>
  <c r="CU53" i="1" s="1"/>
  <c r="CU56" i="1" s="1"/>
  <c r="CU57" i="1" s="1"/>
  <c r="CW39" i="1"/>
  <c r="CW40" i="1" s="1"/>
  <c r="CW41" i="1" s="1"/>
  <c r="CU43" i="1"/>
  <c r="CU45" i="1" s="1"/>
  <c r="CU46" i="1" s="1"/>
  <c r="CW37" i="1"/>
  <c r="CW38" i="1" s="1"/>
  <c r="CX36" i="1"/>
  <c r="CV36" i="1"/>
  <c r="CX37" i="1"/>
  <c r="CV37" i="1"/>
  <c r="CT61" i="1"/>
  <c r="CV42" i="1"/>
  <c r="CO57" i="1"/>
  <c r="CO46" i="1"/>
  <c r="CP37" i="1"/>
  <c r="CN43" i="1"/>
  <c r="CN45" i="1" s="1"/>
  <c r="CQ36" i="1"/>
  <c r="CR36" i="1"/>
  <c r="CQ37" i="1"/>
  <c r="CR37" i="1"/>
  <c r="DA10" i="1" s="1"/>
  <c r="CP42" i="1"/>
  <c r="CR42" i="1"/>
  <c r="CP43" i="1"/>
  <c r="CR43" i="1"/>
  <c r="CO65" i="1"/>
  <c r="CO67" i="1" s="1"/>
  <c r="CO68" i="1" s="1"/>
  <c r="CQ43" i="1"/>
  <c r="CQ44" i="1" s="1"/>
  <c r="CO61" i="1"/>
  <c r="CQ42" i="1"/>
  <c r="CG47" i="1"/>
  <c r="CE49" i="1"/>
  <c r="CE78" i="1"/>
  <c r="CG73" i="1"/>
  <c r="CF72" i="1"/>
  <c r="CD73" i="1"/>
  <c r="CF71" i="1"/>
  <c r="CD89" i="1"/>
  <c r="CD90" i="1" s="1"/>
  <c r="EK17" i="1"/>
  <c r="EI17" i="1"/>
  <c r="ED20" i="1"/>
  <c r="ED23" i="1" s="1"/>
  <c r="ED24" i="1" s="1"/>
  <c r="EJ17" i="1"/>
  <c r="EJ18" i="1" s="1"/>
  <c r="ED15" i="1"/>
  <c r="ED26" i="1"/>
  <c r="CF49" i="1"/>
  <c r="CD54" i="1"/>
  <c r="DU85" i="1"/>
  <c r="DU83" i="1"/>
  <c r="DU98" i="1"/>
  <c r="DU99" i="1" s="1"/>
  <c r="EI10" i="1"/>
  <c r="EC16" i="1"/>
  <c r="EG13" i="1"/>
  <c r="EI15" i="1"/>
  <c r="M58" i="1" a="1"/>
  <c r="ED11" i="1"/>
  <c r="EJ9" i="1"/>
  <c r="EJ12" i="1"/>
  <c r="EJ13" i="1" s="1"/>
  <c r="EJ14" i="1" s="1"/>
  <c r="EF10" i="1"/>
  <c r="EF13" i="1" s="1"/>
  <c r="EF14" i="1" s="1"/>
  <c r="EF17" i="1" s="1"/>
  <c r="EF18" i="1" s="1"/>
  <c r="JK184" i="1" l="1"/>
  <c r="JK185" i="1" s="1"/>
  <c r="JK186" i="1" s="1"/>
  <c r="JK181" i="1"/>
  <c r="JK188" i="1" s="1"/>
  <c r="JK176" i="1"/>
  <c r="JK183" i="1"/>
  <c r="JK180" i="1"/>
  <c r="JK189" i="1" s="1"/>
  <c r="JK179" i="1"/>
  <c r="JK190" i="1" s="1"/>
  <c r="JK178" i="1"/>
  <c r="JK191" i="1" s="1"/>
  <c r="JK182" i="1"/>
  <c r="JK187" i="1" s="1"/>
  <c r="JJ188" i="1"/>
  <c r="JJ189" i="1" s="1"/>
  <c r="JJ178" i="1"/>
  <c r="JJ179" i="1" s="1"/>
  <c r="JJ182" i="1" s="1"/>
  <c r="JJ183" i="1" s="1"/>
  <c r="JJ180" i="1"/>
  <c r="JJ181" i="1" s="1"/>
  <c r="JJ176" i="1"/>
  <c r="JJ190" i="1"/>
  <c r="JJ191" i="1" s="1"/>
  <c r="JJ177" i="1"/>
  <c r="JJ184" i="1" s="1"/>
  <c r="JJ159" i="1"/>
  <c r="JJ166" i="1" s="1"/>
  <c r="JJ170" i="1"/>
  <c r="JJ171" i="1" s="1"/>
  <c r="JJ158" i="1"/>
  <c r="JJ160" i="1"/>
  <c r="JJ161" i="1" s="1"/>
  <c r="JJ164" i="1" s="1"/>
  <c r="JJ165" i="1" s="1"/>
  <c r="JJ172" i="1"/>
  <c r="JJ173" i="1" s="1"/>
  <c r="JJ162" i="1"/>
  <c r="JJ163" i="1" s="1"/>
  <c r="JJ152" i="1"/>
  <c r="JJ153" i="1" s="1"/>
  <c r="JJ140" i="1"/>
  <c r="JJ142" i="1"/>
  <c r="JJ143" i="1" s="1"/>
  <c r="JJ146" i="1" s="1"/>
  <c r="JJ147" i="1" s="1"/>
  <c r="JJ141" i="1"/>
  <c r="JJ148" i="1" s="1"/>
  <c r="JJ144" i="1"/>
  <c r="JJ145" i="1" s="1"/>
  <c r="JJ154" i="1"/>
  <c r="JJ155" i="1" s="1"/>
  <c r="JK148" i="1"/>
  <c r="JK149" i="1" s="1"/>
  <c r="JK150" i="1" s="1"/>
  <c r="JK140" i="1"/>
  <c r="JK146" i="1"/>
  <c r="JK151" i="1" s="1"/>
  <c r="JK145" i="1"/>
  <c r="JK152" i="1" s="1"/>
  <c r="JK144" i="1"/>
  <c r="JK153" i="1" s="1"/>
  <c r="JK147" i="1"/>
  <c r="JK142" i="1"/>
  <c r="JK155" i="1" s="1"/>
  <c r="JK143" i="1"/>
  <c r="JK154" i="1" s="1"/>
  <c r="JK124" i="1"/>
  <c r="JK137" i="1" s="1"/>
  <c r="JK129" i="1"/>
  <c r="JK130" i="1"/>
  <c r="JK131" i="1" s="1"/>
  <c r="JK132" i="1" s="1"/>
  <c r="JK127" i="1"/>
  <c r="JK134" i="1" s="1"/>
  <c r="JK126" i="1"/>
  <c r="JK135" i="1" s="1"/>
  <c r="JK128" i="1"/>
  <c r="JK133" i="1" s="1"/>
  <c r="JK122" i="1"/>
  <c r="JK125" i="1"/>
  <c r="JK136" i="1" s="1"/>
  <c r="JJ108" i="1"/>
  <c r="JJ109" i="1" s="1"/>
  <c r="JJ118" i="1"/>
  <c r="JJ119" i="1" s="1"/>
  <c r="JJ104" i="1"/>
  <c r="JJ116" i="1"/>
  <c r="JJ117" i="1" s="1"/>
  <c r="JJ105" i="1"/>
  <c r="JJ112" i="1" s="1"/>
  <c r="JJ106" i="1"/>
  <c r="JJ107" i="1" s="1"/>
  <c r="JJ110" i="1" s="1"/>
  <c r="JJ111" i="1" s="1"/>
  <c r="JK109" i="1"/>
  <c r="JK116" i="1" s="1"/>
  <c r="JK110" i="1"/>
  <c r="JK115" i="1" s="1"/>
  <c r="JK112" i="1"/>
  <c r="JK113" i="1" s="1"/>
  <c r="JK114" i="1" s="1"/>
  <c r="JK106" i="1"/>
  <c r="JK119" i="1" s="1"/>
  <c r="JK111" i="1"/>
  <c r="JK107" i="1"/>
  <c r="JK118" i="1" s="1"/>
  <c r="JK104" i="1"/>
  <c r="JK108" i="1"/>
  <c r="JK117" i="1" s="1"/>
  <c r="JJ134" i="1"/>
  <c r="JJ135" i="1" s="1"/>
  <c r="JJ124" i="1"/>
  <c r="JJ125" i="1" s="1"/>
  <c r="JJ128" i="1" s="1"/>
  <c r="JJ129" i="1" s="1"/>
  <c r="JJ126" i="1"/>
  <c r="JJ127" i="1" s="1"/>
  <c r="JJ123" i="1"/>
  <c r="JJ130" i="1" s="1"/>
  <c r="JJ136" i="1"/>
  <c r="JJ137" i="1" s="1"/>
  <c r="JJ122" i="1"/>
  <c r="NW39" i="1"/>
  <c r="NX39" i="1" s="1"/>
  <c r="JH24" i="1"/>
  <c r="NV40" i="1"/>
  <c r="JG14" i="1"/>
  <c r="NW40" i="1"/>
  <c r="NX40" i="1" s="1"/>
  <c r="JH14" i="1"/>
  <c r="NV39" i="1"/>
  <c r="JG24" i="1"/>
  <c r="QE31" i="1"/>
  <c r="QQ28" i="1"/>
  <c r="IF11" i="1"/>
  <c r="NV42" i="1"/>
  <c r="NX42" i="1" s="1"/>
  <c r="IJ11" i="1"/>
  <c r="NV43" i="1"/>
  <c r="NX43" i="1" s="1"/>
  <c r="NY43" i="1" s="1"/>
  <c r="HX62" i="1"/>
  <c r="HX66" i="1"/>
  <c r="HX70" i="1"/>
  <c r="HX72" i="1"/>
  <c r="BB79" i="1"/>
  <c r="NP32" i="1"/>
  <c r="IW11" i="1"/>
  <c r="QX28" i="1"/>
  <c r="QY28" i="1"/>
  <c r="BC79" i="1"/>
  <c r="IV11" i="1"/>
  <c r="DY49" i="1"/>
  <c r="IR11" i="1"/>
  <c r="QY27" i="1"/>
  <c r="BC78" i="1"/>
  <c r="JA160" i="1"/>
  <c r="H29" i="1"/>
  <c r="JH160" i="1" s="1"/>
  <c r="M28" i="1"/>
  <c r="BC27" i="1" s="1"/>
  <c r="BD27" i="1" s="1"/>
  <c r="BC77" i="1"/>
  <c r="DY48" i="1"/>
  <c r="IN11" i="1"/>
  <c r="QY26" i="1"/>
  <c r="RC27" i="1" s="1"/>
  <c r="MU13" i="1"/>
  <c r="MY12" i="1"/>
  <c r="NV13" i="1"/>
  <c r="L28" i="1"/>
  <c r="BA27" i="1" s="1"/>
  <c r="BB77" i="1"/>
  <c r="MZ14" i="1"/>
  <c r="NP30" i="1"/>
  <c r="MX15" i="1"/>
  <c r="IO11" i="1"/>
  <c r="DZ48" i="1"/>
  <c r="QX26" i="1"/>
  <c r="NP29" i="1"/>
  <c r="IK11" i="1"/>
  <c r="IF308" i="1"/>
  <c r="IF265" i="1"/>
  <c r="IF273" i="1"/>
  <c r="IF278" i="1"/>
  <c r="IF279" i="1"/>
  <c r="IF280" i="1"/>
  <c r="IF281" i="1"/>
  <c r="IF263" i="1"/>
  <c r="IF262" i="1"/>
  <c r="IF264" i="1"/>
  <c r="IF139" i="1"/>
  <c r="IF260" i="1"/>
  <c r="IF261" i="1"/>
  <c r="IF284" i="1"/>
  <c r="IF285" i="1"/>
  <c r="IF287" i="1"/>
  <c r="IF289" i="1"/>
  <c r="IF291" i="1"/>
  <c r="IF293" i="1"/>
  <c r="IF373" i="1"/>
  <c r="IF358" i="1"/>
  <c r="IF32" i="1"/>
  <c r="IF34" i="1"/>
  <c r="IF36" i="1"/>
  <c r="IF39" i="1"/>
  <c r="IF42" i="1"/>
  <c r="IF353" i="1"/>
  <c r="IF294" i="1"/>
  <c r="IF122" i="1"/>
  <c r="IF368" i="1"/>
  <c r="IF124" i="1"/>
  <c r="IF38" i="1"/>
  <c r="IF41" i="1"/>
  <c r="IF323" i="1"/>
  <c r="IF295" i="1"/>
  <c r="IF367" i="1"/>
  <c r="IF246" i="1"/>
  <c r="IF297" i="1"/>
  <c r="IF298" i="1"/>
  <c r="IF370" i="1"/>
  <c r="IF224" i="1"/>
  <c r="IF371" i="1"/>
  <c r="IF372" i="1"/>
  <c r="IF223" i="1"/>
  <c r="IF61" i="1"/>
  <c r="IF60" i="1"/>
  <c r="IF359" i="1"/>
  <c r="IF128" i="1"/>
  <c r="IF44" i="1"/>
  <c r="IF43" i="1"/>
  <c r="IF129" i="1"/>
  <c r="IF135" i="1"/>
  <c r="IF137" i="1"/>
  <c r="IF138" i="1"/>
  <c r="IF136" i="1"/>
  <c r="IF115" i="1"/>
  <c r="IF121" i="1"/>
  <c r="IF123" i="1"/>
  <c r="IF15" i="1"/>
  <c r="IF296" i="1"/>
  <c r="IF45" i="1"/>
  <c r="IF369" i="1"/>
  <c r="IF351" i="1"/>
  <c r="IF350" i="1"/>
  <c r="IF330" i="1"/>
  <c r="IF329" i="1"/>
  <c r="IF328" i="1"/>
  <c r="IF327" i="1"/>
  <c r="IF326" i="1"/>
  <c r="IF325" i="1"/>
  <c r="IF324" i="1"/>
  <c r="IF253" i="1"/>
  <c r="IF252" i="1"/>
  <c r="IF352" i="1"/>
  <c r="IF236" i="1"/>
  <c r="IF237" i="1"/>
  <c r="IF238" i="1"/>
  <c r="IF239" i="1"/>
  <c r="IF240" i="1"/>
  <c r="IF241" i="1"/>
  <c r="IF242" i="1"/>
  <c r="IF243" i="1"/>
  <c r="IF244" i="1"/>
  <c r="IF245" i="1"/>
  <c r="IF247" i="1"/>
  <c r="IF25" i="1"/>
  <c r="IF24" i="1"/>
  <c r="IF23" i="1"/>
  <c r="IF22" i="1"/>
  <c r="IF21" i="1"/>
  <c r="IF20" i="1"/>
  <c r="IF19" i="1"/>
  <c r="IF18" i="1"/>
  <c r="IF16" i="1"/>
  <c r="IF17" i="1"/>
  <c r="IF248" i="1"/>
  <c r="IF249" i="1"/>
  <c r="IF322" i="1"/>
  <c r="IF321" i="1"/>
  <c r="IF320" i="1"/>
  <c r="IF319" i="1"/>
  <c r="IF318" i="1"/>
  <c r="IF317" i="1"/>
  <c r="IF316" i="1"/>
  <c r="IF315" i="1"/>
  <c r="IF314" i="1"/>
  <c r="IF313" i="1"/>
  <c r="IF312" i="1"/>
  <c r="IF311" i="1"/>
  <c r="IF310" i="1"/>
  <c r="IF309" i="1"/>
  <c r="IF306" i="1"/>
  <c r="IF365" i="1"/>
  <c r="IF282" i="1"/>
  <c r="IF58" i="1"/>
  <c r="IF33" i="1"/>
  <c r="IF221" i="1"/>
  <c r="IF218" i="1"/>
  <c r="IF213" i="1"/>
  <c r="IF210" i="1"/>
  <c r="IF207" i="1"/>
  <c r="IF203" i="1"/>
  <c r="IF199" i="1"/>
  <c r="IF195" i="1"/>
  <c r="IF192" i="1"/>
  <c r="IF189" i="1"/>
  <c r="IF188" i="1"/>
  <c r="IF187" i="1"/>
  <c r="IF186" i="1"/>
  <c r="IF185" i="1"/>
  <c r="IF184" i="1"/>
  <c r="IF183" i="1"/>
  <c r="IF182" i="1"/>
  <c r="IF181" i="1"/>
  <c r="IF180" i="1"/>
  <c r="IF179" i="1"/>
  <c r="IF178" i="1"/>
  <c r="IF177" i="1"/>
  <c r="IF176" i="1"/>
  <c r="IF114" i="1"/>
  <c r="IF113" i="1"/>
  <c r="IF112" i="1"/>
  <c r="IF111" i="1"/>
  <c r="IF110" i="1"/>
  <c r="IF109" i="1"/>
  <c r="IF108" i="1"/>
  <c r="IF107" i="1"/>
  <c r="IF106" i="1"/>
  <c r="IF105" i="1"/>
  <c r="IF104" i="1"/>
  <c r="IF103" i="1"/>
  <c r="IF102" i="1"/>
  <c r="IF101" i="1"/>
  <c r="IF100" i="1"/>
  <c r="IF99" i="1"/>
  <c r="IF98" i="1"/>
  <c r="IF97" i="1"/>
  <c r="IF96" i="1"/>
  <c r="IF95" i="1"/>
  <c r="IF94" i="1"/>
  <c r="IF93" i="1"/>
  <c r="IF92" i="1"/>
  <c r="IF91" i="1"/>
  <c r="IF90" i="1"/>
  <c r="IF89" i="1"/>
  <c r="IF88" i="1"/>
  <c r="IF87" i="1"/>
  <c r="IF86" i="1"/>
  <c r="IF85" i="1"/>
  <c r="IF84" i="1"/>
  <c r="IF83" i="1"/>
  <c r="IF82" i="1"/>
  <c r="IF81" i="1"/>
  <c r="IF80" i="1"/>
  <c r="IF79" i="1"/>
  <c r="IF78" i="1"/>
  <c r="IF77" i="1"/>
  <c r="IF76" i="1"/>
  <c r="IF75" i="1"/>
  <c r="IF74" i="1"/>
  <c r="IF73" i="1"/>
  <c r="IF72" i="1"/>
  <c r="IF71" i="1"/>
  <c r="IF70" i="1"/>
  <c r="IF69" i="1"/>
  <c r="IF68" i="1"/>
  <c r="IF67" i="1"/>
  <c r="IF66" i="1"/>
  <c r="IF65" i="1"/>
  <c r="IF64" i="1"/>
  <c r="IF63" i="1"/>
  <c r="IF62" i="1"/>
  <c r="IF361" i="1"/>
  <c r="IF228" i="1"/>
  <c r="IF362" i="1"/>
  <c r="IF229" i="1"/>
  <c r="IF230" i="1"/>
  <c r="IF363" i="1"/>
  <c r="IF231" i="1"/>
  <c r="IF364" i="1"/>
  <c r="IF232" i="1"/>
  <c r="IF29" i="1"/>
  <c r="IF233" i="1"/>
  <c r="IF334" i="1"/>
  <c r="IF354" i="1"/>
  <c r="IF355" i="1"/>
  <c r="IF374" i="1"/>
  <c r="IF356" i="1"/>
  <c r="IF357" i="1"/>
  <c r="IF57" i="1"/>
  <c r="IF56" i="1"/>
  <c r="IF55" i="1"/>
  <c r="IF54" i="1"/>
  <c r="IF53" i="1"/>
  <c r="IF52" i="1"/>
  <c r="IF51" i="1"/>
  <c r="NP28" i="1"/>
  <c r="IG11" i="1"/>
  <c r="IJ92" i="1"/>
  <c r="IJ91" i="1"/>
  <c r="IJ320" i="1"/>
  <c r="IJ22" i="1"/>
  <c r="IJ323" i="1"/>
  <c r="IJ98" i="1"/>
  <c r="IJ247" i="1"/>
  <c r="IJ257" i="1"/>
  <c r="IJ53" i="1"/>
  <c r="IJ270" i="1"/>
  <c r="IJ52" i="1"/>
  <c r="IJ277" i="1"/>
  <c r="IJ351" i="1"/>
  <c r="IJ357" i="1"/>
  <c r="IJ363" i="1"/>
  <c r="IJ120" i="1"/>
  <c r="IJ121" i="1"/>
  <c r="IJ123" i="1"/>
  <c r="IJ125" i="1"/>
  <c r="IJ126" i="1"/>
  <c r="IJ129" i="1"/>
  <c r="IJ130" i="1"/>
  <c r="IJ132" i="1"/>
  <c r="IJ134" i="1"/>
  <c r="IJ135" i="1"/>
  <c r="IJ181" i="1"/>
  <c r="IJ182" i="1"/>
  <c r="IJ183" i="1"/>
  <c r="IJ186" i="1"/>
  <c r="IJ187" i="1"/>
  <c r="IJ189" i="1"/>
  <c r="IJ368" i="1"/>
  <c r="IJ367" i="1"/>
  <c r="IJ45" i="1"/>
  <c r="IJ263" i="1"/>
  <c r="IJ328" i="1"/>
  <c r="IJ266" i="1"/>
  <c r="IJ57" i="1"/>
  <c r="IJ327" i="1"/>
  <c r="IJ46" i="1"/>
  <c r="IJ274" i="1"/>
  <c r="IJ68" i="1"/>
  <c r="IJ72" i="1"/>
  <c r="IJ93" i="1"/>
  <c r="IJ278" i="1"/>
  <c r="IJ365" i="1"/>
  <c r="IJ326" i="1"/>
  <c r="IJ283" i="1"/>
  <c r="IJ285" i="1"/>
  <c r="IJ287" i="1"/>
  <c r="IJ47" i="1"/>
  <c r="IJ325" i="1"/>
  <c r="IJ293" i="1"/>
  <c r="IJ290" i="1"/>
  <c r="IJ286" i="1"/>
  <c r="IJ282" i="1"/>
  <c r="IJ279" i="1"/>
  <c r="IJ273" i="1"/>
  <c r="IJ272" i="1"/>
  <c r="IJ269" i="1"/>
  <c r="IJ268" i="1"/>
  <c r="IJ267" i="1"/>
  <c r="IJ264" i="1"/>
  <c r="IJ261" i="1"/>
  <c r="IJ259" i="1"/>
  <c r="IJ255" i="1"/>
  <c r="IJ254" i="1"/>
  <c r="IJ251" i="1"/>
  <c r="IJ250" i="1"/>
  <c r="IJ249" i="1"/>
  <c r="IJ372" i="1"/>
  <c r="IJ369" i="1"/>
  <c r="IJ364" i="1"/>
  <c r="IJ362" i="1"/>
  <c r="IJ361" i="1"/>
  <c r="IJ359" i="1"/>
  <c r="IJ358" i="1"/>
  <c r="IJ356" i="1"/>
  <c r="IJ355" i="1"/>
  <c r="IJ353" i="1"/>
  <c r="IJ352" i="1"/>
  <c r="IJ350" i="1"/>
  <c r="IJ349" i="1"/>
  <c r="IJ347" i="1"/>
  <c r="IJ346" i="1"/>
  <c r="IJ345" i="1"/>
  <c r="IJ343" i="1"/>
  <c r="IJ342" i="1"/>
  <c r="IJ340" i="1"/>
  <c r="IJ339" i="1"/>
  <c r="IJ246" i="1"/>
  <c r="IJ245" i="1"/>
  <c r="IJ244" i="1"/>
  <c r="IJ243" i="1"/>
  <c r="IJ242" i="1"/>
  <c r="IJ241" i="1"/>
  <c r="IJ240" i="1"/>
  <c r="IJ216" i="1"/>
  <c r="IJ239" i="1"/>
  <c r="IJ238" i="1"/>
  <c r="IJ237" i="1"/>
  <c r="IJ236" i="1"/>
  <c r="IJ235" i="1"/>
  <c r="IJ234" i="1"/>
  <c r="IJ233" i="1"/>
  <c r="IJ232" i="1"/>
  <c r="IJ231" i="1"/>
  <c r="IJ230" i="1"/>
  <c r="IJ229" i="1"/>
  <c r="IJ228" i="1"/>
  <c r="IJ227" i="1"/>
  <c r="IJ226" i="1"/>
  <c r="IJ225" i="1"/>
  <c r="IJ224" i="1"/>
  <c r="IJ223" i="1"/>
  <c r="IJ222" i="1"/>
  <c r="IJ221" i="1"/>
  <c r="IJ220" i="1"/>
  <c r="IJ219" i="1"/>
  <c r="IJ218" i="1"/>
  <c r="IJ217" i="1"/>
  <c r="IJ215" i="1"/>
  <c r="IJ214" i="1"/>
  <c r="IJ213" i="1"/>
  <c r="IJ212" i="1"/>
  <c r="IJ211" i="1"/>
  <c r="IJ210" i="1"/>
  <c r="IJ209" i="1"/>
  <c r="IJ208" i="1"/>
  <c r="IJ207" i="1"/>
  <c r="IJ206" i="1"/>
  <c r="IJ205" i="1"/>
  <c r="IJ204" i="1"/>
  <c r="IJ203" i="1"/>
  <c r="IJ202" i="1"/>
  <c r="IJ118" i="1"/>
  <c r="IJ117" i="1"/>
  <c r="IJ116" i="1"/>
  <c r="IJ115" i="1"/>
  <c r="IJ114" i="1"/>
  <c r="IJ113" i="1"/>
  <c r="IJ112" i="1"/>
  <c r="IJ111" i="1"/>
  <c r="IJ110" i="1"/>
  <c r="IJ314" i="1"/>
  <c r="IJ307" i="1"/>
  <c r="IJ313" i="1"/>
  <c r="IJ94" i="1"/>
  <c r="IJ312" i="1"/>
  <c r="IJ306" i="1"/>
  <c r="IJ311" i="1"/>
  <c r="IJ89" i="1"/>
  <c r="IJ310" i="1"/>
  <c r="IJ305" i="1"/>
  <c r="IJ309" i="1"/>
  <c r="IJ308" i="1"/>
  <c r="IJ88" i="1"/>
  <c r="IJ304" i="1"/>
  <c r="IJ85" i="1"/>
  <c r="IJ303" i="1"/>
  <c r="IJ84" i="1"/>
  <c r="IJ83" i="1"/>
  <c r="IJ80" i="1"/>
  <c r="IJ77" i="1"/>
  <c r="IJ300" i="1"/>
  <c r="IJ318" i="1"/>
  <c r="IJ316" i="1"/>
  <c r="IJ19" i="1"/>
  <c r="IJ26" i="1"/>
  <c r="IJ322" i="1"/>
  <c r="IJ44" i="1"/>
  <c r="IJ370" i="1"/>
  <c r="IJ265" i="1"/>
  <c r="IJ271" i="1"/>
  <c r="IJ276" i="1"/>
  <c r="IJ15" i="1"/>
  <c r="IJ42" i="1"/>
  <c r="IJ16" i="1"/>
  <c r="IJ284" i="1"/>
  <c r="IJ59" i="1"/>
  <c r="IJ55" i="1"/>
  <c r="IJ288" i="1"/>
  <c r="IJ289" i="1"/>
  <c r="IJ291" i="1"/>
  <c r="IJ281" i="1"/>
  <c r="IJ97" i="1"/>
  <c r="IJ56" i="1"/>
  <c r="IJ58" i="1"/>
  <c r="IJ374" i="1"/>
  <c r="IJ96" i="1"/>
  <c r="IJ99" i="1"/>
  <c r="IJ41" i="1"/>
  <c r="IJ258" i="1"/>
  <c r="IJ65" i="1"/>
  <c r="IJ71" i="1"/>
  <c r="IJ253" i="1"/>
  <c r="IJ252" i="1"/>
  <c r="IJ51" i="1"/>
  <c r="IJ73" i="1"/>
  <c r="IJ35" i="1"/>
  <c r="IJ50" i="1"/>
  <c r="IJ36" i="1"/>
  <c r="IJ69" i="1"/>
  <c r="IJ37" i="1"/>
  <c r="IJ49" i="1"/>
  <c r="IJ38" i="1"/>
  <c r="IJ66" i="1"/>
  <c r="IJ39" i="1"/>
  <c r="IJ61" i="1"/>
  <c r="IJ40" i="1"/>
  <c r="IJ100" i="1"/>
  <c r="IJ54" i="1"/>
  <c r="IJ101" i="1"/>
  <c r="IJ48" i="1"/>
  <c r="IJ102" i="1"/>
  <c r="IJ62" i="1"/>
  <c r="IJ103" i="1"/>
  <c r="IJ70" i="1"/>
  <c r="IJ104" i="1"/>
  <c r="IJ60" i="1"/>
  <c r="IJ105" i="1"/>
  <c r="IJ67" i="1"/>
  <c r="IJ106" i="1"/>
  <c r="IJ324" i="1"/>
  <c r="IJ107" i="1"/>
  <c r="IJ64" i="1"/>
  <c r="IJ108" i="1"/>
  <c r="IJ63" i="1"/>
  <c r="IJ109" i="1"/>
  <c r="IJ95" i="1"/>
  <c r="IJ292" i="1"/>
  <c r="IJ23" i="1"/>
  <c r="IJ24" i="1"/>
  <c r="IJ25" i="1"/>
  <c r="IJ27" i="1"/>
  <c r="IJ28" i="1"/>
  <c r="IJ29" i="1"/>
  <c r="IJ30" i="1"/>
  <c r="IJ31" i="1"/>
  <c r="IJ32" i="1"/>
  <c r="IJ33" i="1"/>
  <c r="IJ34" i="1"/>
  <c r="IJ180" i="1"/>
  <c r="IJ298" i="1"/>
  <c r="IJ82" i="1"/>
  <c r="IJ79" i="1"/>
  <c r="IJ75" i="1"/>
  <c r="IJ74" i="1"/>
  <c r="IJ18" i="1"/>
  <c r="IJ315" i="1"/>
  <c r="IJ321" i="1"/>
  <c r="IJ371" i="1"/>
  <c r="IJ256" i="1"/>
  <c r="IJ262" i="1"/>
  <c r="IJ43" i="1"/>
  <c r="IJ275" i="1"/>
  <c r="IJ280" i="1"/>
  <c r="IJ366" i="1"/>
  <c r="IJ122" i="1"/>
  <c r="IJ127" i="1"/>
  <c r="IJ131" i="1"/>
  <c r="IJ136" i="1"/>
  <c r="IJ185" i="1"/>
  <c r="IJ188" i="1"/>
  <c r="IJ190" i="1"/>
  <c r="IJ192" i="1"/>
  <c r="IJ193" i="1"/>
  <c r="IJ194" i="1"/>
  <c r="IJ195" i="1"/>
  <c r="IJ196" i="1"/>
  <c r="IJ197" i="1"/>
  <c r="IJ198" i="1"/>
  <c r="IJ199" i="1"/>
  <c r="IJ200" i="1"/>
  <c r="IJ201" i="1"/>
  <c r="IJ329" i="1"/>
  <c r="IJ330" i="1"/>
  <c r="IJ331" i="1"/>
  <c r="IJ332" i="1"/>
  <c r="IJ333" i="1"/>
  <c r="IJ334" i="1"/>
  <c r="IJ335" i="1"/>
  <c r="IJ336" i="1"/>
  <c r="IJ337" i="1"/>
  <c r="IJ338" i="1"/>
  <c r="IJ341" i="1"/>
  <c r="IJ344" i="1"/>
  <c r="IJ348" i="1"/>
  <c r="IJ294" i="1"/>
  <c r="IJ295" i="1"/>
  <c r="IJ296" i="1"/>
  <c r="IJ297" i="1"/>
  <c r="IJ138" i="1"/>
  <c r="IJ139" i="1"/>
  <c r="IJ140" i="1"/>
  <c r="IJ141" i="1"/>
  <c r="IJ142" i="1"/>
  <c r="IJ143" i="1"/>
  <c r="IJ144" i="1"/>
  <c r="IJ145" i="1"/>
  <c r="IJ146" i="1"/>
  <c r="IJ147" i="1"/>
  <c r="IJ148" i="1"/>
  <c r="IJ149" i="1"/>
  <c r="IJ150" i="1"/>
  <c r="IJ151" i="1"/>
  <c r="IJ152" i="1"/>
  <c r="IJ153" i="1"/>
  <c r="IJ154" i="1"/>
  <c r="IJ155" i="1"/>
  <c r="IJ156" i="1"/>
  <c r="IJ157" i="1"/>
  <c r="IJ158" i="1"/>
  <c r="IJ159" i="1"/>
  <c r="IJ160" i="1"/>
  <c r="IJ161" i="1"/>
  <c r="IJ162" i="1"/>
  <c r="IJ163" i="1"/>
  <c r="IJ164" i="1"/>
  <c r="IJ165" i="1"/>
  <c r="IJ166" i="1"/>
  <c r="IJ167" i="1"/>
  <c r="IJ168" i="1"/>
  <c r="IJ169" i="1"/>
  <c r="IJ170" i="1"/>
  <c r="IJ171" i="1"/>
  <c r="IJ172" i="1"/>
  <c r="IJ173" i="1"/>
  <c r="IJ174" i="1"/>
  <c r="IJ175" i="1"/>
  <c r="IJ176" i="1"/>
  <c r="IJ177" i="1"/>
  <c r="IJ178" i="1"/>
  <c r="IJ179" i="1"/>
  <c r="IJ86" i="1"/>
  <c r="IJ78" i="1"/>
  <c r="IJ319" i="1"/>
  <c r="IJ317" i="1"/>
  <c r="IJ90" i="1"/>
  <c r="IJ20" i="1"/>
  <c r="IJ21" i="1"/>
  <c r="IJ17" i="1"/>
  <c r="IJ248" i="1"/>
  <c r="IJ260" i="1"/>
  <c r="IJ373" i="1"/>
  <c r="IJ14" i="1"/>
  <c r="IJ354" i="1"/>
  <c r="IJ360" i="1"/>
  <c r="IJ119" i="1"/>
  <c r="IJ124" i="1"/>
  <c r="IJ128" i="1"/>
  <c r="IJ133" i="1"/>
  <c r="IJ137" i="1"/>
  <c r="IJ184" i="1"/>
  <c r="IJ191" i="1"/>
  <c r="IJ299" i="1"/>
  <c r="IJ302" i="1"/>
  <c r="HX36" i="1"/>
  <c r="HX107" i="1"/>
  <c r="HX310" i="1"/>
  <c r="IC358" i="1"/>
  <c r="IC355" i="1"/>
  <c r="IC354" i="1"/>
  <c r="IC353" i="1"/>
  <c r="IC352" i="1"/>
  <c r="IC351" i="1"/>
  <c r="IC350" i="1"/>
  <c r="IC349" i="1"/>
  <c r="IC348" i="1"/>
  <c r="IC347" i="1"/>
  <c r="IC346" i="1"/>
  <c r="IC345" i="1"/>
  <c r="IC344" i="1"/>
  <c r="IC343" i="1"/>
  <c r="IC342" i="1"/>
  <c r="IC341" i="1"/>
  <c r="IC340" i="1"/>
  <c r="IC339" i="1"/>
  <c r="IC338" i="1"/>
  <c r="IC337" i="1"/>
  <c r="EO85" i="1"/>
  <c r="EO83" i="1"/>
  <c r="BB76" i="1"/>
  <c r="MZ15" i="1"/>
  <c r="MV14" i="1"/>
  <c r="QX25" i="1"/>
  <c r="QM28" i="1"/>
  <c r="QL38" i="1"/>
  <c r="NW9" i="1"/>
  <c r="DZ47" i="1"/>
  <c r="DY46" i="1"/>
  <c r="J38" i="1"/>
  <c r="H50" i="1" s="1"/>
  <c r="J50" i="1" s="1"/>
  <c r="QY24" i="1"/>
  <c r="QA28" i="1"/>
  <c r="PZ40" i="1"/>
  <c r="GG70" i="1"/>
  <c r="GF70" i="1"/>
  <c r="BC75" i="1"/>
  <c r="MU12" i="1"/>
  <c r="I37" i="1"/>
  <c r="MY13" i="1"/>
  <c r="GF69" i="1"/>
  <c r="NV12" i="1"/>
  <c r="NW12" i="1" s="1"/>
  <c r="NX12" i="1" s="1"/>
  <c r="NW13" i="1"/>
  <c r="NX13" i="1" s="1"/>
  <c r="BB75" i="1"/>
  <c r="CL20" i="1"/>
  <c r="CJ23" i="1"/>
  <c r="GG68" i="1"/>
  <c r="GG67" i="1"/>
  <c r="H38" i="1"/>
  <c r="QL39" i="1"/>
  <c r="QX24" i="1"/>
  <c r="RC25" i="1" s="1"/>
  <c r="QM31" i="1"/>
  <c r="MV15" i="1"/>
  <c r="GF68" i="1"/>
  <c r="MX14" i="1"/>
  <c r="I35" i="1"/>
  <c r="GF67" i="1"/>
  <c r="NW10" i="1"/>
  <c r="DZ46" i="1"/>
  <c r="BC76" i="1"/>
  <c r="GG69" i="1"/>
  <c r="DY47" i="1"/>
  <c r="MW12" i="1"/>
  <c r="MW13" i="1"/>
  <c r="PZ41" i="1"/>
  <c r="QA31" i="1"/>
  <c r="QY25" i="1"/>
  <c r="EO116" i="1"/>
  <c r="EO119" i="1"/>
  <c r="AS67" i="1" a="1"/>
  <c r="QE28" i="1"/>
  <c r="QA9" i="1"/>
  <c r="RP15" i="1"/>
  <c r="RO15" i="1"/>
  <c r="RW15" i="1"/>
  <c r="AS66" i="1" a="1"/>
  <c r="PT12" i="1"/>
  <c r="JA178" i="1"/>
  <c r="JA54" i="1"/>
  <c r="IZ178" i="1"/>
  <c r="IZ54" i="1"/>
  <c r="PG38" i="1"/>
  <c r="PF39" i="1"/>
  <c r="AS76" i="1"/>
  <c r="MV64" i="1"/>
  <c r="MV66" i="1"/>
  <c r="HX179" i="1"/>
  <c r="HX168" i="1"/>
  <c r="HX180" i="1"/>
  <c r="HX158" i="1"/>
  <c r="HX181" i="1"/>
  <c r="HX230" i="1"/>
  <c r="HX169" i="1"/>
  <c r="HX231" i="1"/>
  <c r="HX163" i="1"/>
  <c r="HX232" i="1"/>
  <c r="HX170" i="1"/>
  <c r="HX233" i="1"/>
  <c r="IZ160" i="1"/>
  <c r="GA27" i="1"/>
  <c r="GA28" i="1" s="1"/>
  <c r="DG77" i="1"/>
  <c r="DI65" i="1" s="1"/>
  <c r="DG80" i="1"/>
  <c r="PG39" i="1"/>
  <c r="PF41" i="1"/>
  <c r="QA24" i="1"/>
  <c r="QA21" i="1"/>
  <c r="RB14" i="1"/>
  <c r="RB12" i="1"/>
  <c r="RA13" i="1"/>
  <c r="RA12" i="1"/>
  <c r="QN21" i="1"/>
  <c r="QN24" i="1"/>
  <c r="PT23" i="1"/>
  <c r="PU296" i="1"/>
  <c r="PU222" i="1"/>
  <c r="PU226" i="1"/>
  <c r="PU233" i="1"/>
  <c r="PT247" i="1"/>
  <c r="PT251" i="1"/>
  <c r="PU255" i="1"/>
  <c r="PT356" i="1"/>
  <c r="PU365" i="1"/>
  <c r="PU373" i="1"/>
  <c r="HQ180" i="1"/>
  <c r="HQ179" i="1"/>
  <c r="HQ308" i="1"/>
  <c r="HQ178" i="1"/>
  <c r="HQ76" i="1"/>
  <c r="HQ77" i="1"/>
  <c r="PU154" i="1"/>
  <c r="PT155" i="1"/>
  <c r="PU155" i="1"/>
  <c r="PT156" i="1"/>
  <c r="PU156" i="1"/>
  <c r="PT157" i="1"/>
  <c r="PU157" i="1"/>
  <c r="PT158" i="1"/>
  <c r="PU158" i="1"/>
  <c r="PT159" i="1"/>
  <c r="PU159" i="1"/>
  <c r="PT168" i="1"/>
  <c r="PT169" i="1"/>
  <c r="PU23" i="1"/>
  <c r="PT22" i="1"/>
  <c r="PT258" i="1"/>
  <c r="PT259" i="1"/>
  <c r="PT260" i="1"/>
  <c r="PT261" i="1"/>
  <c r="PU262" i="1"/>
  <c r="PT265" i="1"/>
  <c r="PU266" i="1"/>
  <c r="PU293" i="1"/>
  <c r="PT294" i="1"/>
  <c r="PU294" i="1"/>
  <c r="PU295" i="1"/>
  <c r="PT298" i="1"/>
  <c r="PT337" i="1"/>
  <c r="PU337" i="1"/>
  <c r="PT338" i="1"/>
  <c r="PU338" i="1"/>
  <c r="PT86" i="1"/>
  <c r="PT104" i="1"/>
  <c r="PU127" i="1"/>
  <c r="PU170" i="1"/>
  <c r="PU199" i="1"/>
  <c r="PT211" i="1"/>
  <c r="PU227" i="1"/>
  <c r="PU261" i="1"/>
  <c r="PU28" i="1"/>
  <c r="PT359" i="1"/>
  <c r="PU140" i="1"/>
  <c r="PT230" i="1"/>
  <c r="PT339" i="1"/>
  <c r="PU339" i="1"/>
  <c r="PT340" i="1"/>
  <c r="PU340" i="1"/>
  <c r="PT341" i="1"/>
  <c r="PU341" i="1"/>
  <c r="PT342" i="1"/>
  <c r="PU342" i="1"/>
  <c r="PT343" i="1"/>
  <c r="PU343" i="1"/>
  <c r="PT344" i="1"/>
  <c r="PU344" i="1"/>
  <c r="PT345" i="1"/>
  <c r="PU345" i="1"/>
  <c r="PT346" i="1"/>
  <c r="PU346" i="1"/>
  <c r="PT347" i="1"/>
  <c r="PU347" i="1"/>
  <c r="PT348" i="1"/>
  <c r="PU348" i="1"/>
  <c r="PT349" i="1"/>
  <c r="PU349" i="1"/>
  <c r="PT350" i="1"/>
  <c r="PT351" i="1"/>
  <c r="PU351" i="1"/>
  <c r="PT352" i="1"/>
  <c r="PU352" i="1"/>
  <c r="PT353" i="1"/>
  <c r="PU353" i="1"/>
  <c r="PT354" i="1"/>
  <c r="PU36" i="1"/>
  <c r="PT332" i="1"/>
  <c r="PT137" i="1"/>
  <c r="PT183" i="1"/>
  <c r="PT224" i="1"/>
  <c r="PT257" i="1"/>
  <c r="PT43" i="1"/>
  <c r="PU76" i="1"/>
  <c r="PT82" i="1"/>
  <c r="PT92" i="1"/>
  <c r="PT118" i="1"/>
  <c r="PT164" i="1"/>
  <c r="PU196" i="1"/>
  <c r="PT207" i="1"/>
  <c r="PT214" i="1"/>
  <c r="PT232" i="1"/>
  <c r="PU249" i="1"/>
  <c r="PT362" i="1"/>
  <c r="PT215" i="1"/>
  <c r="PU244" i="1"/>
  <c r="PU354" i="1"/>
  <c r="PT357" i="1"/>
  <c r="PU372" i="1"/>
  <c r="PT16" i="1"/>
  <c r="PT19" i="1"/>
  <c r="PU35" i="1"/>
  <c r="PT71" i="1"/>
  <c r="PU29" i="1"/>
  <c r="PU304" i="1"/>
  <c r="PT101" i="1"/>
  <c r="PT334" i="1"/>
  <c r="PT331" i="1"/>
  <c r="PT96" i="1"/>
  <c r="PU43" i="1"/>
  <c r="PT48" i="1"/>
  <c r="PT50" i="1"/>
  <c r="PT52" i="1"/>
  <c r="PU54" i="1"/>
  <c r="PT60" i="1"/>
  <c r="PT64" i="1"/>
  <c r="PT69" i="1"/>
  <c r="PT95" i="1"/>
  <c r="PT237" i="1"/>
  <c r="PU274" i="1"/>
  <c r="PT253" i="1"/>
  <c r="PU371" i="1"/>
  <c r="PT20" i="1"/>
  <c r="PU25" i="1"/>
  <c r="PU112" i="1"/>
  <c r="PU174" i="1"/>
  <c r="PU217" i="1"/>
  <c r="PT239" i="1"/>
  <c r="PU258" i="1"/>
  <c r="PU369" i="1"/>
  <c r="PU330" i="1"/>
  <c r="PT79" i="1"/>
  <c r="PU89" i="1"/>
  <c r="PT106" i="1"/>
  <c r="PT132" i="1"/>
  <c r="PT184" i="1"/>
  <c r="PT205" i="1"/>
  <c r="PT272" i="1"/>
  <c r="PU235" i="1"/>
  <c r="PT366" i="1"/>
  <c r="PU17" i="1"/>
  <c r="PU42" i="1"/>
  <c r="PU219" i="1"/>
  <c r="PT295" i="1"/>
  <c r="PT17" i="1"/>
  <c r="PT15" i="1"/>
  <c r="PT29" i="1"/>
  <c r="PU358" i="1"/>
  <c r="PT100" i="1"/>
  <c r="PT32" i="1"/>
  <c r="PT45" i="1"/>
  <c r="PU47" i="1"/>
  <c r="PU51" i="1"/>
  <c r="PT59" i="1"/>
  <c r="PT72" i="1"/>
  <c r="PT73" i="1"/>
  <c r="PT76" i="1"/>
  <c r="PU82" i="1"/>
  <c r="PU87" i="1"/>
  <c r="PT93" i="1"/>
  <c r="PT111" i="1"/>
  <c r="PU116" i="1"/>
  <c r="PU121" i="1"/>
  <c r="PU125" i="1"/>
  <c r="PT127" i="1"/>
  <c r="PU132" i="1"/>
  <c r="HQ350" i="1"/>
  <c r="HQ90" i="1"/>
  <c r="HQ82" i="1"/>
  <c r="HQ63" i="1"/>
  <c r="HQ61" i="1"/>
  <c r="HQ133" i="1"/>
  <c r="HQ21" i="1"/>
  <c r="HQ193" i="1"/>
  <c r="HQ124" i="1"/>
  <c r="HQ118" i="1"/>
  <c r="HQ268" i="1"/>
  <c r="HQ233" i="1"/>
  <c r="HQ349" i="1"/>
  <c r="HQ348" i="1"/>
  <c r="HQ92" i="1"/>
  <c r="HQ87" i="1"/>
  <c r="HQ83" i="1"/>
  <c r="HQ80" i="1"/>
  <c r="HQ334" i="1"/>
  <c r="HQ33" i="1"/>
  <c r="HQ23" i="1"/>
  <c r="HQ20" i="1"/>
  <c r="HQ114" i="1"/>
  <c r="HQ310" i="1"/>
  <c r="HQ22" i="1"/>
  <c r="PU176" i="1"/>
  <c r="PU163" i="1"/>
  <c r="PT128" i="1"/>
  <c r="PU115" i="1"/>
  <c r="PT103" i="1"/>
  <c r="PU88" i="1"/>
  <c r="PT83" i="1"/>
  <c r="PT328" i="1"/>
  <c r="PT24" i="1"/>
  <c r="PU367" i="1"/>
  <c r="PU303" i="1"/>
  <c r="PU260" i="1"/>
  <c r="PT243" i="1"/>
  <c r="PT270" i="1"/>
  <c r="PU207" i="1"/>
  <c r="PU195" i="1"/>
  <c r="PU133" i="1"/>
  <c r="PT125" i="1"/>
  <c r="PU131" i="1"/>
  <c r="PT114" i="1"/>
  <c r="PU106" i="1"/>
  <c r="PU103" i="1"/>
  <c r="PT91" i="1"/>
  <c r="PU78" i="1"/>
  <c r="PT304" i="1"/>
  <c r="PT329" i="1"/>
  <c r="PU40" i="1"/>
  <c r="PT26" i="1"/>
  <c r="PT371" i="1"/>
  <c r="PT367" i="1"/>
  <c r="PU210" i="1"/>
  <c r="PU177" i="1"/>
  <c r="PT175" i="1"/>
  <c r="PT166" i="1"/>
  <c r="PU190" i="1"/>
  <c r="PU192" i="1"/>
  <c r="PU146" i="1"/>
  <c r="PU141" i="1"/>
  <c r="PT146" i="1"/>
  <c r="PT144" i="1"/>
  <c r="PU360" i="1"/>
  <c r="PT361" i="1"/>
  <c r="PU15" i="1"/>
  <c r="PU189" i="1"/>
  <c r="PU234" i="1"/>
  <c r="PT220" i="1"/>
  <c r="PT264" i="1"/>
  <c r="PU211" i="1"/>
  <c r="PT202" i="1"/>
  <c r="PT194" i="1"/>
  <c r="PT135" i="1"/>
  <c r="PU123" i="1"/>
  <c r="PU118" i="1"/>
  <c r="PT105" i="1"/>
  <c r="PT89" i="1"/>
  <c r="PT81" i="1"/>
  <c r="PU74" i="1"/>
  <c r="PT39" i="1"/>
  <c r="PU65" i="1"/>
  <c r="PU60" i="1"/>
  <c r="PT56" i="1"/>
  <c r="PT305" i="1"/>
  <c r="PT368" i="1"/>
  <c r="PU355" i="1"/>
  <c r="PT275" i="1"/>
  <c r="PT241" i="1"/>
  <c r="PT218" i="1"/>
  <c r="PT208" i="1"/>
  <c r="PT204" i="1"/>
  <c r="PU194" i="1"/>
  <c r="PU166" i="1"/>
  <c r="PU139" i="1"/>
  <c r="PU137" i="1"/>
  <c r="PU126" i="1"/>
  <c r="PU105" i="1"/>
  <c r="PU90" i="1"/>
  <c r="PU86" i="1"/>
  <c r="PU68" i="1"/>
  <c r="PU98" i="1"/>
  <c r="PT33" i="1"/>
  <c r="PT271" i="1"/>
  <c r="PU245" i="1"/>
  <c r="PU230" i="1"/>
  <c r="PT213" i="1"/>
  <c r="PU204" i="1"/>
  <c r="PU172" i="1"/>
  <c r="PU128" i="1"/>
  <c r="PT116" i="1"/>
  <c r="PT124" i="1"/>
  <c r="PU108" i="1"/>
  <c r="PT139" i="1"/>
  <c r="PT136" i="1"/>
  <c r="PU41" i="1"/>
  <c r="PT129" i="1"/>
  <c r="PT126" i="1"/>
  <c r="PT122" i="1"/>
  <c r="PU119" i="1"/>
  <c r="PT117" i="1"/>
  <c r="PU110" i="1"/>
  <c r="PT108" i="1"/>
  <c r="PU104" i="1"/>
  <c r="PU91" i="1"/>
  <c r="PU85" i="1"/>
  <c r="PU80" i="1"/>
  <c r="PU72" i="1"/>
  <c r="PT68" i="1"/>
  <c r="PU66" i="1"/>
  <c r="PT62" i="1"/>
  <c r="PT58" i="1"/>
  <c r="PU56" i="1"/>
  <c r="PT55" i="1"/>
  <c r="PU53" i="1"/>
  <c r="PT51" i="1"/>
  <c r="PU49" i="1"/>
  <c r="PT47" i="1"/>
  <c r="PT44" i="1"/>
  <c r="PT35" i="1"/>
  <c r="PT37" i="1"/>
  <c r="PT250" i="1"/>
  <c r="PT256" i="1"/>
  <c r="PU241" i="1"/>
  <c r="PT225" i="1"/>
  <c r="PU275" i="1"/>
  <c r="PU213" i="1"/>
  <c r="PT134" i="1"/>
  <c r="PU129" i="1"/>
  <c r="PT121" i="1"/>
  <c r="PU114" i="1"/>
  <c r="PT40" i="1"/>
  <c r="PT97" i="1"/>
  <c r="PU331" i="1"/>
  <c r="PU336" i="1"/>
  <c r="PT336" i="1"/>
  <c r="PU335" i="1"/>
  <c r="PT335" i="1"/>
  <c r="PU71" i="1"/>
  <c r="PT70" i="1"/>
  <c r="PT188" i="1"/>
  <c r="PT187" i="1"/>
  <c r="PT186" i="1"/>
  <c r="PU185" i="1"/>
  <c r="PU184" i="1"/>
  <c r="PU183" i="1"/>
  <c r="PU182" i="1"/>
  <c r="PU181" i="1"/>
  <c r="PU180" i="1"/>
  <c r="PT179" i="1"/>
  <c r="PT178" i="1"/>
  <c r="PT177" i="1"/>
  <c r="PT176" i="1"/>
  <c r="PT174" i="1"/>
  <c r="PT173" i="1"/>
  <c r="PT172" i="1"/>
  <c r="PT171" i="1"/>
  <c r="PT170" i="1"/>
  <c r="PU153" i="1"/>
  <c r="PT153" i="1"/>
  <c r="PU152" i="1"/>
  <c r="PU265" i="1"/>
  <c r="PT210" i="1"/>
  <c r="PU202" i="1"/>
  <c r="PU200" i="1"/>
  <c r="PU178" i="1"/>
  <c r="PU167" i="1"/>
  <c r="PT165" i="1"/>
  <c r="PT140" i="1"/>
  <c r="PU135" i="1"/>
  <c r="PT131" i="1"/>
  <c r="PT120" i="1"/>
  <c r="PU113" i="1"/>
  <c r="PU109" i="1"/>
  <c r="PU107" i="1"/>
  <c r="PT102" i="1"/>
  <c r="PT88" i="1"/>
  <c r="PT85" i="1"/>
  <c r="PT80" i="1"/>
  <c r="PU75" i="1"/>
  <c r="PT38" i="1"/>
  <c r="PT67" i="1"/>
  <c r="PT65" i="1"/>
  <c r="PU62" i="1"/>
  <c r="PU61" i="1"/>
  <c r="PU58" i="1"/>
  <c r="PU312" i="1"/>
  <c r="PT311" i="1"/>
  <c r="PU309" i="1"/>
  <c r="PT308" i="1"/>
  <c r="PU306" i="1"/>
  <c r="PT276" i="1"/>
  <c r="PT273" i="1"/>
  <c r="PT269" i="1"/>
  <c r="PT369" i="1"/>
  <c r="PU263" i="1"/>
  <c r="PU240" i="1"/>
  <c r="PU229" i="1"/>
  <c r="PT206" i="1"/>
  <c r="PU55" i="1"/>
  <c r="PT54" i="1"/>
  <c r="PU50" i="1"/>
  <c r="PU327" i="1"/>
  <c r="PT113" i="1"/>
  <c r="PT75" i="1"/>
  <c r="PT66" i="1"/>
  <c r="PT201" i="1"/>
  <c r="PU208" i="1"/>
  <c r="PU214" i="1"/>
  <c r="PT262" i="1"/>
  <c r="PU218" i="1"/>
  <c r="PT227" i="1"/>
  <c r="PU231" i="1"/>
  <c r="PT235" i="1"/>
  <c r="PT240" i="1"/>
  <c r="PT242" i="1"/>
  <c r="PT245" i="1"/>
  <c r="PU264" i="1"/>
  <c r="PU272" i="1"/>
  <c r="PU247" i="1"/>
  <c r="PT355" i="1"/>
  <c r="PU366" i="1"/>
  <c r="PU368" i="1"/>
  <c r="PU370" i="1"/>
  <c r="PU374" i="1"/>
  <c r="PT27" i="1"/>
  <c r="PU39" i="1"/>
  <c r="PU27" i="1"/>
  <c r="PU33" i="1"/>
  <c r="PT330" i="1"/>
  <c r="PT28" i="1"/>
  <c r="PT36" i="1"/>
  <c r="PU46" i="1"/>
  <c r="PT49" i="1"/>
  <c r="PT53" i="1"/>
  <c r="PU59" i="1"/>
  <c r="PT61" i="1"/>
  <c r="PU64" i="1"/>
  <c r="PU93" i="1"/>
  <c r="PT74" i="1"/>
  <c r="PT78" i="1"/>
  <c r="PT87" i="1"/>
  <c r="PT90" i="1"/>
  <c r="PT115" i="1"/>
  <c r="PT84" i="1"/>
  <c r="HQ78" i="1"/>
  <c r="HQ94" i="1"/>
  <c r="HQ97" i="1"/>
  <c r="HQ86" i="1"/>
  <c r="HQ85" i="1"/>
  <c r="HQ84" i="1"/>
  <c r="HQ81" i="1"/>
  <c r="HQ79" i="1"/>
  <c r="HQ62" i="1"/>
  <c r="HQ18" i="1"/>
  <c r="HQ189" i="1"/>
  <c r="HQ32" i="1"/>
  <c r="HQ31" i="1"/>
  <c r="HQ136" i="1"/>
  <c r="HQ188" i="1"/>
  <c r="HQ28" i="1"/>
  <c r="HQ27" i="1"/>
  <c r="HQ26" i="1"/>
  <c r="HQ25" i="1"/>
  <c r="HQ187" i="1"/>
  <c r="HQ191" i="1"/>
  <c r="HQ132" i="1"/>
  <c r="HQ186" i="1"/>
  <c r="HQ131" i="1"/>
  <c r="HQ115" i="1"/>
  <c r="HQ181" i="1"/>
  <c r="HQ360" i="1"/>
  <c r="HQ309" i="1"/>
  <c r="HQ307" i="1"/>
  <c r="HQ215" i="1"/>
  <c r="HQ93" i="1"/>
  <c r="HQ95" i="1"/>
  <c r="HQ100" i="1"/>
  <c r="HQ102" i="1"/>
  <c r="HQ105" i="1"/>
  <c r="HQ98" i="1"/>
  <c r="HQ89" i="1"/>
  <c r="HQ88" i="1"/>
  <c r="HQ109" i="1"/>
  <c r="HQ91" i="1"/>
  <c r="HQ107" i="1"/>
  <c r="HQ15" i="1"/>
  <c r="HQ346" i="1"/>
  <c r="HQ369" i="1"/>
  <c r="IZ106" i="1"/>
  <c r="DG53" i="1"/>
  <c r="DG54" i="1" s="1"/>
  <c r="DH56" i="1"/>
  <c r="DH54" i="1"/>
  <c r="HM11" i="1"/>
  <c r="JA106" i="1"/>
  <c r="HQ251" i="1"/>
  <c r="HQ246" i="1"/>
  <c r="HQ65" i="1"/>
  <c r="HQ73" i="1"/>
  <c r="HQ204" i="1"/>
  <c r="HQ60" i="1"/>
  <c r="HQ258" i="1"/>
  <c r="HQ365" i="1"/>
  <c r="HQ185" i="1"/>
  <c r="HQ333" i="1"/>
  <c r="HQ326" i="1"/>
  <c r="HQ321" i="1"/>
  <c r="HQ207" i="1"/>
  <c r="HQ201" i="1"/>
  <c r="HQ176" i="1"/>
  <c r="HQ264" i="1"/>
  <c r="HQ243" i="1"/>
  <c r="HQ341" i="1"/>
  <c r="HQ338" i="1"/>
  <c r="HQ285" i="1"/>
  <c r="HQ281" i="1"/>
  <c r="HQ274" i="1"/>
  <c r="HQ372" i="1"/>
  <c r="HQ366" i="1"/>
  <c r="HQ329" i="1"/>
  <c r="HQ241" i="1"/>
  <c r="HQ318" i="1"/>
  <c r="HQ137" i="1"/>
  <c r="HQ192" i="1"/>
  <c r="HQ75" i="1"/>
  <c r="HQ135" i="1"/>
  <c r="HQ195" i="1"/>
  <c r="HQ134" i="1"/>
  <c r="HQ24" i="1"/>
  <c r="HQ99" i="1"/>
  <c r="HQ101" i="1"/>
  <c r="HQ143" i="1"/>
  <c r="HY213" i="1"/>
  <c r="HY244" i="1"/>
  <c r="HY243" i="1"/>
  <c r="HY242" i="1"/>
  <c r="HY241" i="1"/>
  <c r="HY239" i="1"/>
  <c r="HY238" i="1"/>
  <c r="HY237" i="1"/>
  <c r="HY236" i="1"/>
  <c r="HY235" i="1"/>
  <c r="HY234" i="1"/>
  <c r="HY233" i="1"/>
  <c r="HY370" i="1"/>
  <c r="HY55" i="1"/>
  <c r="HY369" i="1"/>
  <c r="HY52" i="1"/>
  <c r="HY368" i="1"/>
  <c r="HY276" i="1"/>
  <c r="HY150" i="1"/>
  <c r="HY240" i="1"/>
  <c r="HY149" i="1"/>
  <c r="HY101" i="1"/>
  <c r="HY109" i="1"/>
  <c r="HY34" i="1"/>
  <c r="HY68" i="1"/>
  <c r="HY107" i="1"/>
  <c r="HY100" i="1"/>
  <c r="HY106" i="1"/>
  <c r="HY61" i="1"/>
  <c r="HY327" i="1"/>
  <c r="HY154" i="1"/>
  <c r="HY28" i="1"/>
  <c r="HY29" i="1"/>
  <c r="HY30" i="1"/>
  <c r="HY31" i="1"/>
  <c r="HY32" i="1"/>
  <c r="HY33" i="1"/>
  <c r="HY313" i="1"/>
  <c r="HY104" i="1"/>
  <c r="HY90" i="1"/>
  <c r="HY58" i="1"/>
  <c r="HY316" i="1"/>
  <c r="HY374" i="1"/>
  <c r="HY93" i="1"/>
  <c r="HY94" i="1"/>
  <c r="HY158" i="1"/>
  <c r="HY160" i="1"/>
  <c r="HY161" i="1"/>
  <c r="HY163" i="1"/>
  <c r="HY164" i="1"/>
  <c r="HY247" i="1"/>
  <c r="HY248" i="1"/>
  <c r="HY249" i="1"/>
  <c r="HY250" i="1"/>
  <c r="HY302" i="1"/>
  <c r="HY303" i="1"/>
  <c r="HY304" i="1"/>
  <c r="HY84" i="1"/>
  <c r="HY97" i="1"/>
  <c r="HY115" i="1"/>
  <c r="HY148" i="1"/>
  <c r="HY82" i="1"/>
  <c r="HY372" i="1"/>
  <c r="HY373" i="1"/>
  <c r="HY275" i="1"/>
  <c r="HY366" i="1"/>
  <c r="HY98" i="1"/>
  <c r="HY95" i="1"/>
  <c r="HY118" i="1"/>
  <c r="HY96" i="1"/>
  <c r="HY117" i="1"/>
  <c r="HY40" i="1"/>
  <c r="HY155" i="1"/>
  <c r="HY74" i="1"/>
  <c r="HY67" i="1"/>
  <c r="HY79" i="1"/>
  <c r="HY69" i="1"/>
  <c r="HY75" i="1"/>
  <c r="HY72" i="1"/>
  <c r="HY89" i="1"/>
  <c r="HY314" i="1"/>
  <c r="HY315" i="1"/>
  <c r="HY91" i="1"/>
  <c r="HY92" i="1"/>
  <c r="HY14" i="1"/>
  <c r="HY157" i="1"/>
  <c r="HY159" i="1"/>
  <c r="HY162" i="1"/>
  <c r="HY371" i="1"/>
  <c r="HY246" i="1"/>
  <c r="HY245" i="1"/>
  <c r="IB58" i="1"/>
  <c r="IB57" i="1"/>
  <c r="IB59" i="1"/>
  <c r="IB60" i="1"/>
  <c r="IB61" i="1"/>
  <c r="IB62" i="1"/>
  <c r="IB63" i="1"/>
  <c r="IB64" i="1"/>
  <c r="IB65" i="1"/>
  <c r="IB66" i="1"/>
  <c r="IB67" i="1"/>
  <c r="IB68" i="1"/>
  <c r="IB69" i="1"/>
  <c r="IB70" i="1"/>
  <c r="IB71" i="1"/>
  <c r="IB72" i="1"/>
  <c r="IB73" i="1"/>
  <c r="IB74" i="1"/>
  <c r="IB76" i="1"/>
  <c r="IB77" i="1"/>
  <c r="IB78" i="1"/>
  <c r="IB79" i="1"/>
  <c r="IB335" i="1"/>
  <c r="IB332" i="1"/>
  <c r="IB326" i="1"/>
  <c r="IB341" i="1"/>
  <c r="IB81" i="1"/>
  <c r="IB82" i="1"/>
  <c r="IB84" i="1"/>
  <c r="IB86" i="1"/>
  <c r="IB95" i="1"/>
  <c r="IB97" i="1"/>
  <c r="IB99" i="1"/>
  <c r="IB101" i="1"/>
  <c r="IB331" i="1"/>
  <c r="IB75" i="1"/>
  <c r="IB56" i="1"/>
  <c r="IB40" i="1"/>
  <c r="IB80" i="1"/>
  <c r="IB83" i="1"/>
  <c r="IB85" i="1"/>
  <c r="IB96" i="1"/>
  <c r="IB98" i="1"/>
  <c r="IB100" i="1"/>
  <c r="IB103" i="1"/>
  <c r="IB102" i="1"/>
  <c r="IB114" i="1"/>
  <c r="IB113" i="1"/>
  <c r="IB263" i="1"/>
  <c r="IB219" i="1"/>
  <c r="IB116" i="1"/>
  <c r="IB115" i="1"/>
  <c r="IB320" i="1"/>
  <c r="IB365" i="1"/>
  <c r="IB363" i="1"/>
  <c r="IB361" i="1"/>
  <c r="IB357" i="1"/>
  <c r="IB355" i="1"/>
  <c r="IB352" i="1"/>
  <c r="IB350" i="1"/>
  <c r="IB348" i="1"/>
  <c r="IB345" i="1"/>
  <c r="IB344" i="1"/>
  <c r="IB339" i="1"/>
  <c r="IB333" i="1"/>
  <c r="HX34" i="1"/>
  <c r="HX51" i="1"/>
  <c r="HX54" i="1"/>
  <c r="HX57" i="1"/>
  <c r="HX117" i="1"/>
  <c r="HX118" i="1"/>
  <c r="HX119" i="1"/>
  <c r="HX98" i="1"/>
  <c r="HX106" i="1"/>
  <c r="HX103" i="1"/>
  <c r="HX94" i="1"/>
  <c r="HX354" i="1"/>
  <c r="HX172" i="1"/>
  <c r="HX86" i="1"/>
  <c r="HX156" i="1"/>
  <c r="HX151" i="1"/>
  <c r="HX284" i="1"/>
  <c r="HX84" i="1"/>
  <c r="HX90" i="1"/>
  <c r="HX153" i="1"/>
  <c r="HX150" i="1"/>
  <c r="HX100" i="1"/>
  <c r="HX82" i="1"/>
  <c r="HX96" i="1"/>
  <c r="HX74" i="1"/>
  <c r="HX115" i="1"/>
  <c r="HX111" i="1"/>
  <c r="HX102" i="1"/>
  <c r="HX71" i="1"/>
  <c r="HX329" i="1"/>
  <c r="HX309" i="1"/>
  <c r="HX240" i="1"/>
  <c r="HX65" i="1"/>
  <c r="HX114" i="1"/>
  <c r="HX105" i="1"/>
  <c r="HX261" i="1"/>
  <c r="HX208" i="1"/>
  <c r="HX263" i="1"/>
  <c r="HX207" i="1"/>
  <c r="HX265" i="1"/>
  <c r="HX206" i="1"/>
  <c r="HX219" i="1"/>
  <c r="HX205" i="1"/>
  <c r="HX228" i="1"/>
  <c r="HX204" i="1"/>
  <c r="HX264" i="1"/>
  <c r="HX203" i="1"/>
  <c r="HX255" i="1"/>
  <c r="HX202" i="1"/>
  <c r="HX275" i="1"/>
  <c r="HX201" i="1"/>
  <c r="HX270" i="1"/>
  <c r="HX200" i="1"/>
  <c r="HX271" i="1"/>
  <c r="HX199" i="1"/>
  <c r="HX272" i="1"/>
  <c r="HX198" i="1"/>
  <c r="HX273" i="1"/>
  <c r="HX109" i="1"/>
  <c r="HX259" i="1"/>
  <c r="HX245" i="1"/>
  <c r="HX195" i="1"/>
  <c r="HX246" i="1"/>
  <c r="HX194" i="1"/>
  <c r="HX247" i="1"/>
  <c r="HX193" i="1"/>
  <c r="HX248" i="1"/>
  <c r="HX192" i="1"/>
  <c r="HX249" i="1"/>
  <c r="HX191" i="1"/>
  <c r="HX250" i="1"/>
  <c r="HX127" i="1"/>
  <c r="HX251" i="1"/>
  <c r="HX126" i="1"/>
  <c r="HX303" i="1"/>
  <c r="HX125" i="1"/>
  <c r="HX304" i="1"/>
  <c r="HX124" i="1"/>
  <c r="HX305" i="1"/>
  <c r="HX123" i="1"/>
  <c r="HX306" i="1"/>
  <c r="HX122" i="1"/>
  <c r="HX307" i="1"/>
  <c r="HX308" i="1"/>
  <c r="HX328" i="1"/>
  <c r="HX97" i="1"/>
  <c r="HX75" i="1"/>
  <c r="HX311" i="1"/>
  <c r="HX63" i="1"/>
  <c r="HX312" i="1"/>
  <c r="HX59" i="1"/>
  <c r="HX313" i="1"/>
  <c r="HX55" i="1"/>
  <c r="HX314" i="1"/>
  <c r="HX197" i="1"/>
  <c r="HX315" i="1"/>
  <c r="HX316" i="1"/>
  <c r="HX159" i="1"/>
  <c r="HX177" i="1"/>
  <c r="HX167" i="1"/>
  <c r="HX178" i="1"/>
  <c r="HX162" i="1"/>
  <c r="HX196" i="1"/>
  <c r="HX215" i="1"/>
  <c r="HX99" i="1"/>
  <c r="HX73" i="1"/>
  <c r="HX76" i="1"/>
  <c r="HX79" i="1"/>
  <c r="HX113" i="1"/>
  <c r="HX214" i="1"/>
  <c r="HX41" i="1"/>
  <c r="HX42" i="1"/>
  <c r="HX48" i="1"/>
  <c r="HX49" i="1"/>
  <c r="HX50" i="1"/>
  <c r="HX53" i="1"/>
  <c r="HX358" i="1"/>
  <c r="HX359" i="1"/>
  <c r="HX360" i="1"/>
  <c r="HX361" i="1"/>
  <c r="HX362" i="1"/>
  <c r="HX363" i="1"/>
  <c r="HX364" i="1"/>
  <c r="HX365" i="1"/>
  <c r="HX366" i="1"/>
  <c r="HX367" i="1"/>
  <c r="HX368" i="1"/>
  <c r="HX56" i="1"/>
  <c r="HX58" i="1"/>
  <c r="HX61" i="1"/>
  <c r="HX52" i="1"/>
  <c r="HQ68" i="1"/>
  <c r="HQ116" i="1"/>
  <c r="HQ288" i="1"/>
  <c r="HQ182" i="1"/>
  <c r="HQ57" i="1"/>
  <c r="HQ352" i="1"/>
  <c r="HQ344" i="1"/>
  <c r="HQ121" i="1"/>
  <c r="HQ291" i="1"/>
  <c r="HQ230" i="1"/>
  <c r="HQ262" i="1"/>
  <c r="HQ316" i="1"/>
  <c r="HQ184" i="1"/>
  <c r="HQ199" i="1"/>
  <c r="HQ126" i="1"/>
  <c r="HQ263" i="1"/>
  <c r="HQ358" i="1"/>
  <c r="HQ165" i="1"/>
  <c r="HQ323" i="1"/>
  <c r="HQ317" i="1"/>
  <c r="HQ312" i="1"/>
  <c r="HQ205" i="1"/>
  <c r="HQ254" i="1"/>
  <c r="HQ198" i="1"/>
  <c r="HQ125" i="1"/>
  <c r="HQ177" i="1"/>
  <c r="HQ166" i="1"/>
  <c r="HQ277" i="1"/>
  <c r="HQ130" i="1"/>
  <c r="HQ324" i="1"/>
  <c r="HQ314" i="1"/>
  <c r="HQ206" i="1"/>
  <c r="HQ255" i="1"/>
  <c r="HQ248" i="1"/>
  <c r="HQ30" i="1"/>
  <c r="HQ362" i="1"/>
  <c r="HQ17" i="1"/>
  <c r="HQ276" i="1"/>
  <c r="HQ103" i="1"/>
  <c r="HQ104" i="1"/>
  <c r="HQ106" i="1"/>
  <c r="HQ108" i="1"/>
  <c r="HQ110" i="1"/>
  <c r="HQ140" i="1"/>
  <c r="HQ139" i="1"/>
  <c r="HQ138" i="1"/>
  <c r="HQ223" i="1"/>
  <c r="HQ210" i="1"/>
  <c r="HQ157" i="1"/>
  <c r="HQ153" i="1"/>
  <c r="HQ151" i="1"/>
  <c r="HQ150" i="1"/>
  <c r="HQ149" i="1"/>
  <c r="HQ148" i="1"/>
  <c r="HQ147" i="1"/>
  <c r="HQ146" i="1"/>
  <c r="HQ145" i="1"/>
  <c r="HQ144" i="1"/>
  <c r="HQ29" i="1"/>
  <c r="HQ225" i="1"/>
  <c r="HQ219" i="1"/>
  <c r="HQ152" i="1"/>
  <c r="HQ226" i="1"/>
  <c r="HQ213" i="1"/>
  <c r="HQ158" i="1"/>
  <c r="HQ220" i="1"/>
  <c r="HQ217" i="1"/>
  <c r="HQ208" i="1"/>
  <c r="HU24" i="1"/>
  <c r="HU254" i="1"/>
  <c r="HU253" i="1"/>
  <c r="HU16" i="1"/>
  <c r="HU329" i="1"/>
  <c r="HU328" i="1"/>
  <c r="HU327" i="1"/>
  <c r="HU134" i="1"/>
  <c r="HU133" i="1"/>
  <c r="HU132" i="1"/>
  <c r="HU245" i="1"/>
  <c r="HU17" i="1"/>
  <c r="HU246" i="1"/>
  <c r="HU247" i="1"/>
  <c r="HU19" i="1"/>
  <c r="HU248" i="1"/>
  <c r="HU20" i="1"/>
  <c r="HU249" i="1"/>
  <c r="HU21" i="1"/>
  <c r="HU324" i="1"/>
  <c r="HU35" i="1"/>
  <c r="HU267" i="1"/>
  <c r="HU25" i="1"/>
  <c r="HU223" i="1"/>
  <c r="HU239" i="1"/>
  <c r="HU250" i="1"/>
  <c r="HU22" i="1"/>
  <c r="HU251" i="1"/>
  <c r="HU23" i="1"/>
  <c r="HU252" i="1"/>
  <c r="HU26" i="1"/>
  <c r="HU255" i="1"/>
  <c r="HU27" i="1"/>
  <c r="HU256" i="1"/>
  <c r="HU28" i="1"/>
  <c r="HU257" i="1"/>
  <c r="HU29" i="1"/>
  <c r="HU258" i="1"/>
  <c r="HU30" i="1"/>
  <c r="HU259" i="1"/>
  <c r="HU31" i="1"/>
  <c r="HU286" i="1"/>
  <c r="HU46" i="1"/>
  <c r="HU285" i="1"/>
  <c r="HU45" i="1"/>
  <c r="HU284" i="1"/>
  <c r="HU283" i="1"/>
  <c r="HU277" i="1"/>
  <c r="HU270" i="1"/>
  <c r="HU40" i="1"/>
  <c r="HU44" i="1"/>
  <c r="HU43" i="1"/>
  <c r="HU42" i="1"/>
  <c r="HU41" i="1"/>
  <c r="HU269" i="1"/>
  <c r="HU268" i="1"/>
  <c r="IC357" i="1"/>
  <c r="IC359" i="1"/>
  <c r="IC361" i="1"/>
  <c r="IC363" i="1"/>
  <c r="IC366" i="1"/>
  <c r="IC249" i="1"/>
  <c r="IC41" i="1"/>
  <c r="IC44" i="1"/>
  <c r="IC273" i="1"/>
  <c r="IC216" i="1"/>
  <c r="IC274" i="1"/>
  <c r="IC217" i="1"/>
  <c r="IC333" i="1"/>
  <c r="IC332" i="1"/>
  <c r="IC331" i="1"/>
  <c r="IC330" i="1"/>
  <c r="IC329" i="1"/>
  <c r="IC328" i="1"/>
  <c r="IC282" i="1"/>
  <c r="IC327" i="1"/>
  <c r="IC316" i="1"/>
  <c r="IC159" i="1"/>
  <c r="IC317" i="1"/>
  <c r="IC160" i="1"/>
  <c r="IC326" i="1"/>
  <c r="IC325" i="1"/>
  <c r="IC324" i="1"/>
  <c r="IC175" i="1"/>
  <c r="IC58" i="1"/>
  <c r="IC60" i="1"/>
  <c r="IC62" i="1"/>
  <c r="IC64" i="1"/>
  <c r="IC66" i="1"/>
  <c r="IC360" i="1"/>
  <c r="IC271" i="1"/>
  <c r="IC223" i="1"/>
  <c r="IC255" i="1"/>
  <c r="IC224" i="1"/>
  <c r="IC270" i="1"/>
  <c r="IC225" i="1"/>
  <c r="IC242" i="1"/>
  <c r="IC241" i="1"/>
  <c r="IC240" i="1"/>
  <c r="IC239" i="1"/>
  <c r="IC226" i="1"/>
  <c r="IC227" i="1"/>
  <c r="IC228" i="1"/>
  <c r="IC229" i="1"/>
  <c r="IC230" i="1"/>
  <c r="IC334" i="1"/>
  <c r="IC56" i="1"/>
  <c r="IC236" i="1"/>
  <c r="IC238" i="1"/>
  <c r="IC252" i="1"/>
  <c r="IC253" i="1"/>
  <c r="IC275" i="1"/>
  <c r="IC362" i="1"/>
  <c r="IC364" i="1"/>
  <c r="IC365" i="1"/>
  <c r="IC367" i="1"/>
  <c r="IC286" i="1"/>
  <c r="IC287" i="1"/>
  <c r="IC43" i="1"/>
  <c r="IC46" i="1"/>
  <c r="IC48" i="1"/>
  <c r="IC51" i="1"/>
  <c r="IC256" i="1"/>
  <c r="IC237" i="1"/>
  <c r="IC254" i="1"/>
  <c r="IC272" i="1"/>
  <c r="IC269" i="1"/>
  <c r="IC356" i="1"/>
  <c r="IC53" i="1"/>
  <c r="IC55" i="1"/>
  <c r="IC57" i="1"/>
  <c r="IC59" i="1"/>
  <c r="IC61" i="1"/>
  <c r="IC200" i="1"/>
  <c r="IC199" i="1"/>
  <c r="IC198" i="1"/>
  <c r="IC197" i="1"/>
  <c r="IC196" i="1"/>
  <c r="IC195" i="1"/>
  <c r="IC194" i="1"/>
  <c r="IC40" i="1"/>
  <c r="IC39" i="1"/>
  <c r="IC38" i="1"/>
  <c r="IC37" i="1"/>
  <c r="IC36" i="1"/>
  <c r="IC32" i="1"/>
  <c r="IC127" i="1"/>
  <c r="IC35" i="1"/>
  <c r="IC34" i="1"/>
  <c r="IC33" i="1"/>
  <c r="IC31" i="1"/>
  <c r="IC300" i="1"/>
  <c r="IC299" i="1"/>
  <c r="IC298" i="1"/>
  <c r="IC297" i="1"/>
  <c r="IC296" i="1"/>
  <c r="IC295" i="1"/>
  <c r="IC294" i="1"/>
  <c r="IC293" i="1"/>
  <c r="IC292" i="1"/>
  <c r="IC290" i="1"/>
  <c r="IC289" i="1"/>
  <c r="IC288" i="1"/>
  <c r="IC305" i="1"/>
  <c r="IC28" i="1"/>
  <c r="IC304" i="1"/>
  <c r="IC27" i="1"/>
  <c r="IC303" i="1"/>
  <c r="IC26" i="1"/>
  <c r="IC235" i="1"/>
  <c r="IC25" i="1"/>
  <c r="IC234" i="1"/>
  <c r="IC24" i="1"/>
  <c r="IC233" i="1"/>
  <c r="IC278" i="1"/>
  <c r="IC221" i="1"/>
  <c r="IC279" i="1"/>
  <c r="IC222" i="1"/>
  <c r="IC280" i="1"/>
  <c r="HY228" i="1"/>
  <c r="HY179" i="1"/>
  <c r="HY178" i="1"/>
  <c r="HY177" i="1"/>
  <c r="HY331" i="1"/>
  <c r="HY325" i="1"/>
  <c r="HY324" i="1"/>
  <c r="HY323" i="1"/>
  <c r="HY322" i="1"/>
  <c r="HY321" i="1"/>
  <c r="HY320" i="1"/>
  <c r="HY319" i="1"/>
  <c r="HY318" i="1"/>
  <c r="HY317" i="1"/>
  <c r="HY301" i="1"/>
  <c r="HY300" i="1"/>
  <c r="HY299" i="1"/>
  <c r="HY298" i="1"/>
  <c r="HY297" i="1"/>
  <c r="HY296" i="1"/>
  <c r="HY295" i="1"/>
  <c r="HY294" i="1"/>
  <c r="HY293" i="1"/>
  <c r="HY292" i="1"/>
  <c r="HY291" i="1"/>
  <c r="HY290" i="1"/>
  <c r="HY19" i="1"/>
  <c r="HY18" i="1"/>
  <c r="HY17" i="1"/>
  <c r="HY15" i="1"/>
  <c r="HY16" i="1"/>
  <c r="HY266" i="1"/>
  <c r="HY330" i="1"/>
  <c r="HY345" i="1"/>
  <c r="HY211" i="1"/>
  <c r="HY210" i="1"/>
  <c r="HY209" i="1"/>
  <c r="HY208" i="1"/>
  <c r="HY207" i="1"/>
  <c r="HY206" i="1"/>
  <c r="HY205" i="1"/>
  <c r="HY204" i="1"/>
  <c r="HY203" i="1"/>
  <c r="HY202" i="1"/>
  <c r="HY201" i="1"/>
  <c r="HY200" i="1"/>
  <c r="HY199" i="1"/>
  <c r="HY198" i="1"/>
  <c r="HY197" i="1"/>
  <c r="HY196" i="1"/>
  <c r="HY195" i="1"/>
  <c r="HY194" i="1"/>
  <c r="HY193" i="1"/>
  <c r="HY192" i="1"/>
  <c r="HY191" i="1"/>
  <c r="HY190" i="1"/>
  <c r="HY126" i="1"/>
  <c r="HY125" i="1"/>
  <c r="HY124" i="1"/>
  <c r="HY123" i="1"/>
  <c r="HY122" i="1"/>
  <c r="HY121" i="1"/>
  <c r="HY329" i="1"/>
  <c r="HY328" i="1"/>
  <c r="HY70" i="1"/>
  <c r="HY64" i="1"/>
  <c r="HY60" i="1"/>
  <c r="HY56" i="1"/>
  <c r="HY53" i="1"/>
  <c r="HY50" i="1"/>
  <c r="HY48" i="1"/>
  <c r="HY47" i="1"/>
  <c r="HY42" i="1"/>
  <c r="HY36" i="1"/>
  <c r="HY274" i="1"/>
  <c r="HY166" i="1"/>
  <c r="HY212" i="1"/>
  <c r="HY137" i="1"/>
  <c r="HY138" i="1"/>
  <c r="HY139" i="1"/>
  <c r="HY140" i="1"/>
  <c r="HY141" i="1"/>
  <c r="HY144" i="1"/>
  <c r="HY188" i="1"/>
  <c r="HY65" i="1"/>
  <c r="HY78" i="1"/>
  <c r="HY134" i="1"/>
  <c r="HY360" i="1"/>
  <c r="HY146" i="1"/>
  <c r="HY362" i="1"/>
  <c r="HY181" i="1"/>
  <c r="HY182" i="1"/>
  <c r="HY364" i="1"/>
  <c r="HY187" i="1"/>
  <c r="HY216" i="1"/>
  <c r="HY367" i="1"/>
  <c r="HY231" i="1"/>
  <c r="HY355" i="1"/>
  <c r="HY219" i="1"/>
  <c r="HY225" i="1"/>
  <c r="HY252" i="1"/>
  <c r="HY260" i="1"/>
  <c r="HY116" i="1"/>
  <c r="HY215" i="1"/>
  <c r="HY127" i="1"/>
  <c r="HY128" i="1"/>
  <c r="HY129" i="1"/>
  <c r="HY130" i="1"/>
  <c r="HY76" i="1"/>
  <c r="HY310" i="1"/>
  <c r="HY77" i="1"/>
  <c r="HY83" i="1"/>
  <c r="HY111" i="1"/>
  <c r="HY224" i="1"/>
  <c r="HY114" i="1"/>
  <c r="HY26" i="1"/>
  <c r="HY37" i="1"/>
  <c r="HY38" i="1"/>
  <c r="HY258" i="1"/>
  <c r="HY264" i="1"/>
  <c r="HY81" i="1"/>
  <c r="HY269" i="1"/>
  <c r="HY39" i="1"/>
  <c r="HY131" i="1"/>
  <c r="HY35" i="1"/>
  <c r="HY132" i="1"/>
  <c r="HY80" i="1"/>
  <c r="HY133" i="1"/>
  <c r="HY43" i="1"/>
  <c r="HY44" i="1"/>
  <c r="HY135" i="1"/>
  <c r="HY45" i="1"/>
  <c r="HY136" i="1"/>
  <c r="HY46" i="1"/>
  <c r="HY73" i="1"/>
  <c r="HY112" i="1"/>
  <c r="HY105" i="1"/>
  <c r="HY51" i="1"/>
  <c r="HY142" i="1"/>
  <c r="HY143" i="1"/>
  <c r="HY108" i="1"/>
  <c r="HY54" i="1"/>
  <c r="HY220" i="1"/>
  <c r="HY226" i="1"/>
  <c r="HY251" i="1"/>
  <c r="HY119" i="1"/>
  <c r="HY361" i="1"/>
  <c r="HY147" i="1"/>
  <c r="HY156" i="1"/>
  <c r="HY363" i="1"/>
  <c r="HY183" i="1"/>
  <c r="HY41" i="1"/>
  <c r="HY185" i="1"/>
  <c r="HY186" i="1"/>
  <c r="HY153" i="1"/>
  <c r="HY326" i="1"/>
  <c r="HY227" i="1"/>
  <c r="HY354" i="1"/>
  <c r="HY59" i="1"/>
  <c r="HY356" i="1"/>
  <c r="HY223" i="1"/>
  <c r="HY62" i="1"/>
  <c r="HY254" i="1"/>
  <c r="HY262" i="1"/>
  <c r="HY66" i="1"/>
  <c r="HY278" i="1"/>
  <c r="HY277" i="1"/>
  <c r="HY288" i="1"/>
  <c r="HY285" i="1"/>
  <c r="HY165" i="1"/>
  <c r="HY312" i="1"/>
  <c r="HY87" i="1"/>
  <c r="HY102" i="1"/>
  <c r="HY311" i="1"/>
  <c r="HY86" i="1"/>
  <c r="HY214" i="1"/>
  <c r="HY85" i="1"/>
  <c r="HY189" i="1"/>
  <c r="HY218" i="1"/>
  <c r="HY222" i="1"/>
  <c r="HY71" i="1"/>
  <c r="HY145" i="1"/>
  <c r="HY358" i="1"/>
  <c r="HY359" i="1"/>
  <c r="HY253" i="1"/>
  <c r="HY120" i="1"/>
  <c r="HY151" i="1"/>
  <c r="HY152" i="1"/>
  <c r="HY57" i="1"/>
  <c r="HY184" i="1"/>
  <c r="HY365" i="1"/>
  <c r="HY217" i="1"/>
  <c r="HY353" i="1"/>
  <c r="HY255" i="1"/>
  <c r="HY273" i="1"/>
  <c r="HY221" i="1"/>
  <c r="HY229" i="1"/>
  <c r="HY256" i="1"/>
  <c r="HY63" i="1"/>
  <c r="HY267" i="1"/>
  <c r="HY110" i="1"/>
  <c r="HY99" i="1"/>
  <c r="HY270" i="1"/>
  <c r="HY103" i="1"/>
  <c r="HY271" i="1"/>
  <c r="HY113" i="1"/>
  <c r="HY272" i="1"/>
  <c r="HY357" i="1"/>
  <c r="HY259" i="1"/>
  <c r="HY265" i="1"/>
  <c r="HY49" i="1"/>
  <c r="HY263" i="1"/>
  <c r="HY22" i="1"/>
  <c r="HY23" i="1"/>
  <c r="HY24" i="1"/>
  <c r="HY25" i="1"/>
  <c r="HY27" i="1"/>
  <c r="HY230" i="1"/>
  <c r="HY180" i="1"/>
  <c r="HT358" i="1"/>
  <c r="HT264" i="1"/>
  <c r="HT125" i="1"/>
  <c r="HT105" i="1"/>
  <c r="HT101" i="1"/>
  <c r="HT96" i="1"/>
  <c r="HT92" i="1"/>
  <c r="HT87" i="1"/>
  <c r="HT142" i="1"/>
  <c r="HT131" i="1"/>
  <c r="HT80" i="1"/>
  <c r="HT178" i="1"/>
  <c r="HT225" i="1"/>
  <c r="HT15" i="1"/>
  <c r="HT267" i="1"/>
  <c r="HT207" i="1"/>
  <c r="HT296" i="1"/>
  <c r="HT351" i="1"/>
  <c r="HT298" i="1"/>
  <c r="HT300" i="1"/>
  <c r="HT356" i="1"/>
  <c r="HT371" i="1"/>
  <c r="HT168" i="1"/>
  <c r="HT263" i="1"/>
  <c r="HT205" i="1"/>
  <c r="HT373" i="1"/>
  <c r="HT360" i="1"/>
  <c r="HT123" i="1"/>
  <c r="HT361" i="1"/>
  <c r="HT188" i="1"/>
  <c r="HT310" i="1"/>
  <c r="HT362" i="1"/>
  <c r="HT14" i="1"/>
  <c r="HT363" i="1"/>
  <c r="HT159" i="1"/>
  <c r="HT364" i="1"/>
  <c r="HT189" i="1"/>
  <c r="HT132" i="1"/>
  <c r="HT121" i="1"/>
  <c r="HT185" i="1"/>
  <c r="HT348" i="1"/>
  <c r="HT347" i="1"/>
  <c r="HT157" i="1"/>
  <c r="HT344" i="1"/>
  <c r="HT286" i="1"/>
  <c r="HT284" i="1"/>
  <c r="HT184" i="1"/>
  <c r="HT183" i="1"/>
  <c r="HT278" i="1"/>
  <c r="HT120" i="1"/>
  <c r="HT330" i="1"/>
  <c r="HT328" i="1"/>
  <c r="HT326" i="1"/>
  <c r="HT324" i="1"/>
  <c r="HT316" i="1"/>
  <c r="HT249" i="1"/>
  <c r="HT124" i="1"/>
  <c r="HT163" i="1"/>
  <c r="HT365" i="1"/>
  <c r="HT359" i="1"/>
  <c r="HT369" i="1"/>
  <c r="HT314" i="1"/>
  <c r="HT313" i="1"/>
  <c r="HT312" i="1"/>
  <c r="HT311" i="1"/>
  <c r="HT223" i="1"/>
  <c r="HT222" i="1"/>
  <c r="HT309" i="1"/>
  <c r="HT151" i="1"/>
  <c r="HT308" i="1"/>
  <c r="HT221" i="1"/>
  <c r="HT307" i="1"/>
  <c r="HT175" i="1"/>
  <c r="HT306" i="1"/>
  <c r="HT220" i="1"/>
  <c r="HT305" i="1"/>
  <c r="HT150" i="1"/>
  <c r="HT304" i="1"/>
  <c r="HT219" i="1"/>
  <c r="HT303" i="1"/>
  <c r="HT174" i="1"/>
  <c r="HT302" i="1"/>
  <c r="HT218" i="1"/>
  <c r="HT301" i="1"/>
  <c r="HT374" i="1"/>
  <c r="HT149" i="1"/>
  <c r="HT217" i="1"/>
  <c r="HT173" i="1"/>
  <c r="HT216" i="1"/>
  <c r="HT297" i="1"/>
  <c r="HT126" i="1"/>
  <c r="HT215" i="1"/>
  <c r="HT294" i="1"/>
  <c r="HT172" i="1"/>
  <c r="HT293" i="1"/>
  <c r="HT214" i="1"/>
  <c r="HT292" i="1"/>
  <c r="HT192" i="1"/>
  <c r="HT235" i="1"/>
  <c r="HT133" i="1"/>
  <c r="HT234" i="1"/>
  <c r="HT191" i="1"/>
  <c r="HT233" i="1"/>
  <c r="HT160" i="1"/>
  <c r="HT232" i="1"/>
  <c r="HT117" i="1"/>
  <c r="HT116" i="1"/>
  <c r="HT115" i="1"/>
  <c r="HT114" i="1"/>
  <c r="HT113" i="1"/>
  <c r="HT112" i="1"/>
  <c r="HT111" i="1"/>
  <c r="HT108" i="1"/>
  <c r="HT103" i="1"/>
  <c r="HT93" i="1"/>
  <c r="HT89" i="1"/>
  <c r="HT146" i="1"/>
  <c r="HT136" i="1"/>
  <c r="HT83" i="1"/>
  <c r="HT78" i="1"/>
  <c r="HT77" i="1"/>
  <c r="HT76" i="1"/>
  <c r="HT75" i="1"/>
  <c r="HT74" i="1"/>
  <c r="HT73" i="1"/>
  <c r="HT72" i="1"/>
  <c r="HT71" i="1"/>
  <c r="HT370" i="1"/>
  <c r="HT368" i="1"/>
  <c r="HT230" i="1"/>
  <c r="HT229" i="1"/>
  <c r="HT244" i="1"/>
  <c r="HT197" i="1"/>
  <c r="HT247" i="1"/>
  <c r="HT248" i="1"/>
  <c r="HT199" i="1"/>
  <c r="HT315" i="1"/>
  <c r="HT317" i="1"/>
  <c r="HT318" i="1"/>
  <c r="HT319" i="1"/>
  <c r="HT320" i="1"/>
  <c r="HT321" i="1"/>
  <c r="HT322" i="1"/>
  <c r="HT323" i="1"/>
  <c r="HT325" i="1"/>
  <c r="HT327" i="1"/>
  <c r="HT329" i="1"/>
  <c r="HT276" i="1"/>
  <c r="HT277" i="1"/>
  <c r="HT182" i="1"/>
  <c r="HT156" i="1"/>
  <c r="HT128" i="1"/>
  <c r="HT283" i="1"/>
  <c r="HT285" i="1"/>
  <c r="HT70" i="1"/>
  <c r="HT69" i="1"/>
  <c r="HT68" i="1"/>
  <c r="HT67" i="1"/>
  <c r="HT66" i="1"/>
  <c r="HT65" i="1"/>
  <c r="HT64" i="1"/>
  <c r="HT63" i="1"/>
  <c r="HT62" i="1"/>
  <c r="HT61" i="1"/>
  <c r="HT60" i="1"/>
  <c r="HT59" i="1"/>
  <c r="HT58" i="1"/>
  <c r="HT57" i="1"/>
  <c r="HT56" i="1"/>
  <c r="HT55" i="1"/>
  <c r="HT54" i="1"/>
  <c r="HT53" i="1"/>
  <c r="HT52" i="1"/>
  <c r="HT51" i="1"/>
  <c r="HT50" i="1"/>
  <c r="HT49" i="1"/>
  <c r="HT48" i="1"/>
  <c r="HT47" i="1"/>
  <c r="HT46" i="1"/>
  <c r="HT45" i="1"/>
  <c r="HT44" i="1"/>
  <c r="HT43" i="1"/>
  <c r="HT42" i="1"/>
  <c r="HT84" i="1"/>
  <c r="HT295" i="1"/>
  <c r="HT290" i="1"/>
  <c r="HT289" i="1"/>
  <c r="HT346" i="1"/>
  <c r="HT345" i="1"/>
  <c r="HT287" i="1"/>
  <c r="HT343" i="1"/>
  <c r="HT342" i="1"/>
  <c r="HT341" i="1"/>
  <c r="HT340" i="1"/>
  <c r="HT339" i="1"/>
  <c r="HT338" i="1"/>
  <c r="HT337" i="1"/>
  <c r="HT336" i="1"/>
  <c r="HT335" i="1"/>
  <c r="HT334" i="1"/>
  <c r="HT333" i="1"/>
  <c r="HT332" i="1"/>
  <c r="HT331" i="1"/>
  <c r="HT181" i="1"/>
  <c r="HT275" i="1"/>
  <c r="HT155" i="1"/>
  <c r="HT274" i="1"/>
  <c r="HT180" i="1"/>
  <c r="HT273" i="1"/>
  <c r="HT127" i="1"/>
  <c r="HT272" i="1"/>
  <c r="HT179" i="1"/>
  <c r="HT228" i="1"/>
  <c r="HT109" i="1"/>
  <c r="HT106" i="1"/>
  <c r="HT102" i="1"/>
  <c r="HT98" i="1"/>
  <c r="HT94" i="1"/>
  <c r="HT88" i="1"/>
  <c r="HT148" i="1"/>
  <c r="HT141" i="1"/>
  <c r="HT135" i="1"/>
  <c r="HT81" i="1"/>
  <c r="HT227" i="1"/>
  <c r="HT122" i="1"/>
  <c r="HT224" i="1"/>
  <c r="HT152" i="1"/>
  <c r="HT176" i="1"/>
  <c r="HT261" i="1"/>
  <c r="HT167" i="1"/>
  <c r="HT367" i="1"/>
  <c r="HT118" i="1"/>
  <c r="HT291" i="1"/>
  <c r="HT213" i="1"/>
  <c r="HT171" i="1"/>
  <c r="HT288" i="1"/>
  <c r="HT212" i="1"/>
  <c r="HT145" i="1"/>
  <c r="HT211" i="1"/>
  <c r="HT170" i="1"/>
  <c r="HT282" i="1"/>
  <c r="HT281" i="1"/>
  <c r="HT260" i="1"/>
  <c r="HT204" i="1"/>
  <c r="HT259" i="1"/>
  <c r="HT258" i="1"/>
  <c r="HT203" i="1"/>
  <c r="HT257" i="1"/>
  <c r="HT166" i="1"/>
  <c r="HT208" i="1"/>
  <c r="HT256" i="1"/>
  <c r="HT202" i="1"/>
  <c r="HT255" i="1"/>
  <c r="HT139" i="1"/>
  <c r="HT254" i="1"/>
  <c r="HT201" i="1"/>
  <c r="HT253" i="1"/>
  <c r="HT165" i="1"/>
  <c r="HT252" i="1"/>
  <c r="HT200" i="1"/>
  <c r="HT251" i="1"/>
  <c r="HT138" i="1"/>
  <c r="HT250" i="1"/>
  <c r="HT164" i="1"/>
  <c r="HT198" i="1"/>
  <c r="HT246" i="1"/>
  <c r="HT245" i="1"/>
  <c r="HT196" i="1"/>
  <c r="HT366" i="1"/>
  <c r="HT231" i="1"/>
  <c r="HT190" i="1"/>
  <c r="HT268" i="1"/>
  <c r="HT169" i="1"/>
  <c r="HT269" i="1"/>
  <c r="HT209" i="1"/>
  <c r="HT270" i="1"/>
  <c r="HT144" i="1"/>
  <c r="HT271" i="1"/>
  <c r="HT210" i="1"/>
  <c r="HT279" i="1"/>
  <c r="HT280" i="1"/>
  <c r="HT353" i="1"/>
  <c r="HT243" i="1"/>
  <c r="HT119" i="1"/>
  <c r="HT242" i="1"/>
  <c r="HT195" i="1"/>
  <c r="HT241" i="1"/>
  <c r="HT162" i="1"/>
  <c r="HT240" i="1"/>
  <c r="HT194" i="1"/>
  <c r="HT239" i="1"/>
  <c r="HT134" i="1"/>
  <c r="HT238" i="1"/>
  <c r="HT193" i="1"/>
  <c r="HT237" i="1"/>
  <c r="HT161" i="1"/>
  <c r="HT236" i="1"/>
  <c r="HT41" i="1"/>
  <c r="HT40" i="1"/>
  <c r="HT39" i="1"/>
  <c r="HT38" i="1"/>
  <c r="HT37" i="1"/>
  <c r="HT36" i="1"/>
  <c r="HT35" i="1"/>
  <c r="HT34" i="1"/>
  <c r="HT33" i="1"/>
  <c r="HT32" i="1"/>
  <c r="HT31" i="1"/>
  <c r="HT30" i="1"/>
  <c r="HT29" i="1"/>
  <c r="HT28" i="1"/>
  <c r="HT27" i="1"/>
  <c r="HT26" i="1"/>
  <c r="HT25" i="1"/>
  <c r="HT24" i="1"/>
  <c r="HT23" i="1"/>
  <c r="HT22" i="1"/>
  <c r="HT21" i="1"/>
  <c r="HT20" i="1"/>
  <c r="HT19" i="1"/>
  <c r="HT18" i="1"/>
  <c r="HT104" i="1"/>
  <c r="HT99" i="1"/>
  <c r="HT95" i="1"/>
  <c r="HT90" i="1"/>
  <c r="HT85" i="1"/>
  <c r="HT147" i="1"/>
  <c r="HT137" i="1"/>
  <c r="HT82" i="1"/>
  <c r="HT79" i="1"/>
  <c r="HT226" i="1"/>
  <c r="HT17" i="1"/>
  <c r="HT153" i="1"/>
  <c r="HT266" i="1"/>
  <c r="HT349" i="1"/>
  <c r="HT129" i="1"/>
  <c r="HT352" i="1"/>
  <c r="HT354" i="1"/>
  <c r="HT158" i="1"/>
  <c r="HT357" i="1"/>
  <c r="HT372" i="1"/>
  <c r="HT206" i="1"/>
  <c r="HT262" i="1"/>
  <c r="HT110" i="1"/>
  <c r="HT107" i="1"/>
  <c r="HT100" i="1"/>
  <c r="HT97" i="1"/>
  <c r="HT91" i="1"/>
  <c r="HT86" i="1"/>
  <c r="HT140" i="1"/>
  <c r="HT130" i="1"/>
  <c r="HT154" i="1"/>
  <c r="HT177" i="1"/>
  <c r="HT16" i="1"/>
  <c r="HT143" i="1"/>
  <c r="HT265" i="1"/>
  <c r="HT350" i="1"/>
  <c r="HT186" i="1"/>
  <c r="HT299" i="1"/>
  <c r="HT355" i="1"/>
  <c r="HT187" i="1"/>
  <c r="IB367" i="1"/>
  <c r="IB272" i="1"/>
  <c r="IB217" i="1"/>
  <c r="IB218" i="1"/>
  <c r="IB220" i="1"/>
  <c r="IB221" i="1"/>
  <c r="IB222" i="1"/>
  <c r="IB223" i="1"/>
  <c r="IB224" i="1"/>
  <c r="IB225" i="1"/>
  <c r="IB226" i="1"/>
  <c r="IB227" i="1"/>
  <c r="IB228" i="1"/>
  <c r="IB229" i="1"/>
  <c r="IB271" i="1"/>
  <c r="IB273" i="1"/>
  <c r="IB230" i="1"/>
  <c r="IB231" i="1"/>
  <c r="IB160" i="1"/>
  <c r="IB237" i="1"/>
  <c r="IB238" i="1"/>
  <c r="IB253" i="1"/>
  <c r="IB254" i="1"/>
  <c r="IB255" i="1"/>
  <c r="IB270" i="1"/>
  <c r="IB14" i="1"/>
  <c r="IB351" i="1"/>
  <c r="IB163" i="1"/>
  <c r="IB307" i="1"/>
  <c r="IB233" i="1"/>
  <c r="IB277" i="1"/>
  <c r="IB311" i="1"/>
  <c r="IB256" i="1"/>
  <c r="IB257" i="1"/>
  <c r="IB119" i="1"/>
  <c r="IB117" i="1"/>
  <c r="IB118" i="1"/>
  <c r="IB178" i="1"/>
  <c r="IB196" i="1"/>
  <c r="IB189" i="1"/>
  <c r="IB186" i="1"/>
  <c r="IB240" i="1"/>
  <c r="IB201" i="1"/>
  <c r="IB198" i="1"/>
  <c r="IB300" i="1"/>
  <c r="IB301" i="1"/>
  <c r="IB298" i="1"/>
  <c r="IB32" i="1"/>
  <c r="IB131" i="1"/>
  <c r="IB132" i="1"/>
  <c r="IB192" i="1"/>
  <c r="IB193" i="1"/>
  <c r="IB194" i="1"/>
  <c r="IB195" i="1"/>
  <c r="IB249" i="1"/>
  <c r="IB250" i="1"/>
  <c r="IB137" i="1"/>
  <c r="IB138" i="1"/>
  <c r="IB140" i="1"/>
  <c r="IB205" i="1"/>
  <c r="IB209" i="1"/>
  <c r="IB285" i="1"/>
  <c r="IB286" i="1"/>
  <c r="IB302" i="1"/>
  <c r="IB288" i="1"/>
  <c r="IB287" i="1"/>
  <c r="IB203" i="1"/>
  <c r="IB305" i="1"/>
  <c r="IB318" i="1"/>
  <c r="IB167" i="1"/>
  <c r="IB317" i="1"/>
  <c r="IB304" i="1"/>
  <c r="IB316" i="1"/>
  <c r="IB162" i="1"/>
  <c r="IB364" i="1"/>
  <c r="IB362" i="1"/>
  <c r="IB360" i="1"/>
  <c r="IB359" i="1"/>
  <c r="IB358" i="1"/>
  <c r="IB356" i="1"/>
  <c r="IB354" i="1"/>
  <c r="IB353" i="1"/>
  <c r="IB349" i="1"/>
  <c r="IB347" i="1"/>
  <c r="IB346" i="1"/>
  <c r="IB343" i="1"/>
  <c r="IB342" i="1"/>
  <c r="IB340" i="1"/>
  <c r="IB338" i="1"/>
  <c r="IB41" i="1"/>
  <c r="IB39" i="1"/>
  <c r="IB337" i="1"/>
  <c r="IB325" i="1"/>
  <c r="IB327" i="1"/>
  <c r="IB328" i="1"/>
  <c r="IB329" i="1"/>
  <c r="IB330" i="1"/>
  <c r="IB123" i="1"/>
  <c r="IB124" i="1"/>
  <c r="IB125" i="1"/>
  <c r="IB126" i="1"/>
  <c r="IB127" i="1"/>
  <c r="IB128" i="1"/>
  <c r="IB130" i="1"/>
  <c r="IB135" i="1"/>
  <c r="IB136" i="1"/>
  <c r="IB139" i="1"/>
  <c r="IB202" i="1"/>
  <c r="IB323" i="1"/>
  <c r="IB324" i="1"/>
  <c r="IB111" i="1"/>
  <c r="IB204" i="1"/>
  <c r="IB206" i="1"/>
  <c r="IB207" i="1"/>
  <c r="IB208" i="1"/>
  <c r="IB210" i="1"/>
  <c r="IB211" i="1"/>
  <c r="IB213" i="1"/>
  <c r="IB282" i="1"/>
  <c r="IB303" i="1"/>
  <c r="IB322" i="1"/>
  <c r="IB108" i="1"/>
  <c r="IB105" i="1"/>
  <c r="IB55" i="1"/>
  <c r="IB54" i="1"/>
  <c r="IB53" i="1"/>
  <c r="IB48" i="1"/>
  <c r="IB121" i="1"/>
  <c r="IB122" i="1"/>
  <c r="IB280" i="1"/>
  <c r="IB281" i="1"/>
  <c r="IB266" i="1"/>
  <c r="IB265" i="1"/>
  <c r="IB264" i="1"/>
  <c r="IB262" i="1"/>
  <c r="IB261" i="1"/>
  <c r="IB260" i="1"/>
  <c r="IB259" i="1"/>
  <c r="IB258" i="1"/>
  <c r="IB141" i="1"/>
  <c r="IB142" i="1"/>
  <c r="IB155" i="1"/>
  <c r="IB150" i="1"/>
  <c r="IB152" i="1"/>
  <c r="IB154" i="1"/>
  <c r="IB156" i="1"/>
  <c r="IB158" i="1"/>
  <c r="IB169" i="1"/>
  <c r="IB171" i="1"/>
  <c r="IB173" i="1"/>
  <c r="IB143" i="1"/>
  <c r="IB267" i="1"/>
  <c r="IB144" i="1"/>
  <c r="IB268" i="1"/>
  <c r="IB369" i="1"/>
  <c r="IB370" i="1"/>
  <c r="IB373" i="1"/>
  <c r="IB310" i="1"/>
  <c r="IB314" i="1"/>
  <c r="IB374" i="1"/>
  <c r="IB187" i="1"/>
  <c r="IB166" i="1"/>
  <c r="IB336" i="1"/>
  <c r="IB165" i="1"/>
  <c r="IB37" i="1"/>
  <c r="IB34" i="1"/>
  <c r="IB33" i="1"/>
  <c r="IB35" i="1"/>
  <c r="IB313" i="1"/>
  <c r="IB36" i="1"/>
  <c r="IB234" i="1"/>
  <c r="IB15" i="1"/>
  <c r="IB191" i="1"/>
  <c r="IB38" i="1"/>
  <c r="IB315" i="1"/>
  <c r="IB274" i="1"/>
  <c r="IB275" i="1"/>
  <c r="IB279" i="1"/>
  <c r="IB306" i="1"/>
  <c r="IB46" i="1"/>
  <c r="IB175" i="1"/>
  <c r="IB366" i="1"/>
  <c r="IB43" i="1"/>
  <c r="IB312" i="1"/>
  <c r="IB368" i="1"/>
  <c r="IB309" i="1"/>
  <c r="IB236" i="1"/>
  <c r="IB308" i="1"/>
  <c r="IB44" i="1"/>
  <c r="IB47" i="1"/>
  <c r="IB51" i="1"/>
  <c r="IB146" i="1"/>
  <c r="IB147" i="1"/>
  <c r="IB149" i="1"/>
  <c r="IB151" i="1"/>
  <c r="IB153" i="1"/>
  <c r="IB42" i="1"/>
  <c r="IB157" i="1"/>
  <c r="IB168" i="1"/>
  <c r="IB170" i="1"/>
  <c r="IB172" i="1"/>
  <c r="IB174" i="1"/>
  <c r="IB176" i="1"/>
  <c r="IB244" i="1"/>
  <c r="IB245" i="1"/>
  <c r="IB246" i="1"/>
  <c r="IB247" i="1"/>
  <c r="IB276" i="1"/>
  <c r="IB278" i="1"/>
  <c r="IB235" i="1"/>
  <c r="IB248" i="1"/>
  <c r="IB251" i="1"/>
  <c r="IB252" i="1"/>
  <c r="IB50" i="1"/>
  <c r="IB45" i="1"/>
  <c r="IB49" i="1"/>
  <c r="IB52" i="1"/>
  <c r="IB145" i="1"/>
  <c r="IB148" i="1"/>
  <c r="IB16" i="1"/>
  <c r="IB17" i="1"/>
  <c r="IB18" i="1"/>
  <c r="IB19" i="1"/>
  <c r="IB20" i="1"/>
  <c r="IB21" i="1"/>
  <c r="IB22" i="1"/>
  <c r="IB23" i="1"/>
  <c r="IB24" i="1"/>
  <c r="IB25" i="1"/>
  <c r="IB26" i="1"/>
  <c r="IB27" i="1"/>
  <c r="IB28" i="1"/>
  <c r="IB29" i="1"/>
  <c r="IB30" i="1"/>
  <c r="IB31" i="1"/>
  <c r="IB87" i="1"/>
  <c r="IB88" i="1"/>
  <c r="IB89" i="1"/>
  <c r="IB90" i="1"/>
  <c r="IB91" i="1"/>
  <c r="IB92" i="1"/>
  <c r="IB93" i="1"/>
  <c r="IB94" i="1"/>
  <c r="IB159" i="1"/>
  <c r="IB161" i="1"/>
  <c r="IB164" i="1"/>
  <c r="IB232" i="1"/>
  <c r="IB239" i="1"/>
  <c r="IB199" i="1"/>
  <c r="IB197" i="1"/>
  <c r="IB190" i="1"/>
  <c r="IB120" i="1"/>
  <c r="IB212" i="1"/>
  <c r="IB214" i="1"/>
  <c r="IB215" i="1"/>
  <c r="IB216" i="1"/>
  <c r="IB283" i="1"/>
  <c r="IB284" i="1"/>
  <c r="IB334" i="1"/>
  <c r="IB321" i="1"/>
  <c r="IB110" i="1"/>
  <c r="IB109" i="1"/>
  <c r="IB107" i="1"/>
  <c r="IB106" i="1"/>
  <c r="IB104" i="1"/>
  <c r="IB188" i="1"/>
  <c r="IB371" i="1"/>
  <c r="IB372" i="1"/>
  <c r="IB296" i="1"/>
  <c r="IB129" i="1"/>
  <c r="IB133" i="1"/>
  <c r="IB134" i="1"/>
  <c r="IB185" i="1"/>
  <c r="IB184" i="1"/>
  <c r="IB183" i="1"/>
  <c r="IB182" i="1"/>
  <c r="IB181" i="1"/>
  <c r="IB180" i="1"/>
  <c r="IB179" i="1"/>
  <c r="IB177" i="1"/>
  <c r="IB200" i="1"/>
  <c r="IB243" i="1"/>
  <c r="IB242" i="1"/>
  <c r="IB241" i="1"/>
  <c r="IB269" i="1"/>
  <c r="IB289" i="1"/>
  <c r="IB290" i="1"/>
  <c r="IB291" i="1"/>
  <c r="IB292" i="1"/>
  <c r="IB293" i="1"/>
  <c r="IB294" i="1"/>
  <c r="IB295" i="1"/>
  <c r="IB112" i="1"/>
  <c r="IB319" i="1"/>
  <c r="IB297" i="1"/>
  <c r="IB299" i="1"/>
  <c r="HP157" i="1"/>
  <c r="HP156" i="1"/>
  <c r="HP155" i="1"/>
  <c r="HP154" i="1"/>
  <c r="HP153" i="1"/>
  <c r="HP152" i="1"/>
  <c r="HP151" i="1"/>
  <c r="HP150" i="1"/>
  <c r="HP149" i="1"/>
  <c r="HP148" i="1"/>
  <c r="HP147" i="1"/>
  <c r="HP146" i="1"/>
  <c r="HP145" i="1"/>
  <c r="HP144" i="1"/>
  <c r="HP92" i="1"/>
  <c r="HP282" i="1"/>
  <c r="HP347" i="1"/>
  <c r="HP93" i="1"/>
  <c r="HP95" i="1"/>
  <c r="HP98" i="1"/>
  <c r="HP100" i="1"/>
  <c r="HP90" i="1"/>
  <c r="HP88" i="1"/>
  <c r="HP85" i="1"/>
  <c r="HP84" i="1"/>
  <c r="HP82" i="1"/>
  <c r="HP80" i="1"/>
  <c r="HP116" i="1"/>
  <c r="HP115" i="1"/>
  <c r="HP182" i="1"/>
  <c r="HP361" i="1"/>
  <c r="HP181" i="1"/>
  <c r="HP190" i="1"/>
  <c r="HP180" i="1"/>
  <c r="HP309" i="1"/>
  <c r="HP179" i="1"/>
  <c r="HP308" i="1"/>
  <c r="HP178" i="1"/>
  <c r="HP307" i="1"/>
  <c r="HP76" i="1"/>
  <c r="HP77" i="1"/>
  <c r="HP300" i="1"/>
  <c r="HP301" i="1"/>
  <c r="HP303" i="1"/>
  <c r="HP140" i="1"/>
  <c r="HP304" i="1"/>
  <c r="HP75" i="1"/>
  <c r="HP54" i="1"/>
  <c r="HP143" i="1"/>
  <c r="HP142" i="1"/>
  <c r="HP239" i="1"/>
  <c r="HP238" i="1"/>
  <c r="HP237" i="1"/>
  <c r="HP236" i="1"/>
  <c r="HP235" i="1"/>
  <c r="HP175" i="1"/>
  <c r="HP174" i="1"/>
  <c r="HP173" i="1"/>
  <c r="HP172" i="1"/>
  <c r="HP171" i="1"/>
  <c r="HP296" i="1"/>
  <c r="HP170" i="1"/>
  <c r="HP169" i="1"/>
  <c r="HP271" i="1"/>
  <c r="HP263" i="1"/>
  <c r="HP292" i="1"/>
  <c r="HP163" i="1"/>
  <c r="HP341" i="1"/>
  <c r="HP287" i="1"/>
  <c r="HP344" i="1"/>
  <c r="HP278" i="1"/>
  <c r="HP277" i="1"/>
  <c r="HP276" i="1"/>
  <c r="HP275" i="1"/>
  <c r="HP274" i="1"/>
  <c r="HP273" i="1"/>
  <c r="HP231" i="1"/>
  <c r="HP63" i="1"/>
  <c r="HP62" i="1"/>
  <c r="HP374" i="1"/>
  <c r="HP34" i="1"/>
  <c r="HP373" i="1"/>
  <c r="HP33" i="1"/>
  <c r="HP372" i="1"/>
  <c r="HP234" i="1"/>
  <c r="HP371" i="1"/>
  <c r="HP32" i="1"/>
  <c r="HP370" i="1"/>
  <c r="HP233" i="1"/>
  <c r="HP369" i="1"/>
  <c r="HP31" i="1"/>
  <c r="HP368" i="1"/>
  <c r="HP232" i="1"/>
  <c r="HP367" i="1"/>
  <c r="HP30" i="1"/>
  <c r="HP366" i="1"/>
  <c r="HP207" i="1"/>
  <c r="HP365" i="1"/>
  <c r="HP29" i="1"/>
  <c r="HP364" i="1"/>
  <c r="HP206" i="1"/>
  <c r="HP28" i="1"/>
  <c r="HP205" i="1"/>
  <c r="HP27" i="1"/>
  <c r="HP204" i="1"/>
  <c r="HP26" i="1"/>
  <c r="HP203" i="1"/>
  <c r="HP334" i="1"/>
  <c r="HP25" i="1"/>
  <c r="HP333" i="1"/>
  <c r="HP202" i="1"/>
  <c r="HP332" i="1"/>
  <c r="HP24" i="1"/>
  <c r="HP312" i="1"/>
  <c r="HP310" i="1"/>
  <c r="HP201" i="1"/>
  <c r="HP330" i="1"/>
  <c r="HP23" i="1"/>
  <c r="HP329" i="1"/>
  <c r="HP200" i="1"/>
  <c r="HP328" i="1"/>
  <c r="HP22" i="1"/>
  <c r="HP327" i="1"/>
  <c r="HP199" i="1"/>
  <c r="HP326" i="1"/>
  <c r="HP21" i="1"/>
  <c r="HP325" i="1"/>
  <c r="HP198" i="1"/>
  <c r="HP324" i="1"/>
  <c r="HP20" i="1"/>
  <c r="HP323" i="1"/>
  <c r="HP197" i="1"/>
  <c r="HP322" i="1"/>
  <c r="HP19" i="1"/>
  <c r="HP321" i="1"/>
  <c r="HP196" i="1"/>
  <c r="HP320" i="1"/>
  <c r="HP195" i="1"/>
  <c r="HP319" i="1"/>
  <c r="HP194" i="1"/>
  <c r="HP318" i="1"/>
  <c r="HP193" i="1"/>
  <c r="HP317" i="1"/>
  <c r="HP192" i="1"/>
  <c r="HP316" i="1"/>
  <c r="HP191" i="1"/>
  <c r="HP315" i="1"/>
  <c r="HP314" i="1"/>
  <c r="HP189" i="1"/>
  <c r="HP313" i="1"/>
  <c r="HP188" i="1"/>
  <c r="HP187" i="1"/>
  <c r="HP186" i="1"/>
  <c r="HP311" i="1"/>
  <c r="HP185" i="1"/>
  <c r="HP184" i="1"/>
  <c r="HP138" i="1"/>
  <c r="HP137" i="1"/>
  <c r="HP136" i="1"/>
  <c r="HP135" i="1"/>
  <c r="HP134" i="1"/>
  <c r="HP133" i="1"/>
  <c r="HP132" i="1"/>
  <c r="HP131" i="1"/>
  <c r="HP260" i="1"/>
  <c r="HP130" i="1"/>
  <c r="HP259" i="1"/>
  <c r="HP129" i="1"/>
  <c r="HP258" i="1"/>
  <c r="HP128" i="1"/>
  <c r="HP257" i="1"/>
  <c r="HP127" i="1"/>
  <c r="HP256" i="1"/>
  <c r="HP126" i="1"/>
  <c r="HP255" i="1"/>
  <c r="HP125" i="1"/>
  <c r="HP254" i="1"/>
  <c r="HP61" i="1"/>
  <c r="HP253" i="1"/>
  <c r="HP335" i="1"/>
  <c r="HP79" i="1"/>
  <c r="HP81" i="1"/>
  <c r="HP83" i="1"/>
  <c r="HP266" i="1"/>
  <c r="HP86" i="1"/>
  <c r="HP87" i="1"/>
  <c r="HP89" i="1"/>
  <c r="HP91" i="1"/>
  <c r="HP108" i="1"/>
  <c r="HP97" i="1"/>
  <c r="HP94" i="1"/>
  <c r="HP264" i="1"/>
  <c r="HP18" i="1"/>
  <c r="HP346" i="1"/>
  <c r="HP284" i="1"/>
  <c r="HP74" i="1"/>
  <c r="HP252" i="1"/>
  <c r="HP73" i="1"/>
  <c r="HP251" i="1"/>
  <c r="HP72" i="1"/>
  <c r="HP250" i="1"/>
  <c r="HP71" i="1"/>
  <c r="HP249" i="1"/>
  <c r="HP70" i="1"/>
  <c r="HP248" i="1"/>
  <c r="HP69" i="1"/>
  <c r="HP247" i="1"/>
  <c r="HP68" i="1"/>
  <c r="HP67" i="1"/>
  <c r="HP66" i="1"/>
  <c r="HP65" i="1"/>
  <c r="HP64" i="1"/>
  <c r="HP177" i="1"/>
  <c r="HP306" i="1"/>
  <c r="HP246" i="1"/>
  <c r="HP176" i="1"/>
  <c r="HP245" i="1"/>
  <c r="HP60" i="1"/>
  <c r="HP59" i="1"/>
  <c r="HP58" i="1"/>
  <c r="HP244" i="1"/>
  <c r="HP243" i="1"/>
  <c r="HP363" i="1"/>
  <c r="HP362" i="1"/>
  <c r="HP183" i="1"/>
  <c r="HP124" i="1"/>
  <c r="HP123" i="1"/>
  <c r="HP122" i="1"/>
  <c r="HP121" i="1"/>
  <c r="HP119" i="1"/>
  <c r="HP118" i="1"/>
  <c r="HP117" i="1"/>
  <c r="HP120" i="1"/>
  <c r="HP331" i="1"/>
  <c r="HP14" i="1"/>
  <c r="HP267" i="1"/>
  <c r="HP268" i="1"/>
  <c r="HP35" i="1"/>
  <c r="HP51" i="1"/>
  <c r="HP53" i="1"/>
  <c r="HP57" i="1"/>
  <c r="HP302" i="1"/>
  <c r="HP50" i="1"/>
  <c r="HP55" i="1"/>
  <c r="HP305" i="1"/>
  <c r="HP294" i="1"/>
  <c r="HP293" i="1"/>
  <c r="HP272" i="1"/>
  <c r="HP270" i="1"/>
  <c r="HP269" i="1"/>
  <c r="HP141" i="1"/>
  <c r="HP281" i="1"/>
  <c r="HP339" i="1"/>
  <c r="HP345" i="1"/>
  <c r="HP17" i="1"/>
  <c r="HP241" i="1"/>
  <c r="HP283" i="1"/>
  <c r="HP16" i="1"/>
  <c r="HP165" i="1"/>
  <c r="HP280" i="1"/>
  <c r="HP167" i="1"/>
  <c r="HP288" i="1"/>
  <c r="HP15" i="1"/>
  <c r="HP162" i="1"/>
  <c r="HP242" i="1"/>
  <c r="HP337" i="1"/>
  <c r="HP262" i="1"/>
  <c r="HP290" i="1"/>
  <c r="HP342" i="1"/>
  <c r="HP166" i="1"/>
  <c r="HP261" i="1"/>
  <c r="HP279" i="1"/>
  <c r="HP286" i="1"/>
  <c r="HP291" i="1"/>
  <c r="HP340" i="1"/>
  <c r="HP348" i="1"/>
  <c r="HP265" i="1"/>
  <c r="HP36" i="1"/>
  <c r="HP240" i="1"/>
  <c r="HP56" i="1"/>
  <c r="HP52" i="1"/>
  <c r="HP289" i="1"/>
  <c r="HP338" i="1"/>
  <c r="HP343" i="1"/>
  <c r="HP164" i="1"/>
  <c r="HP219" i="1"/>
  <c r="HP228" i="1"/>
  <c r="HP213" i="1"/>
  <c r="HP227" i="1"/>
  <c r="HP225" i="1"/>
  <c r="HP222" i="1"/>
  <c r="HP220" i="1"/>
  <c r="HP223" i="1"/>
  <c r="HP217" i="1"/>
  <c r="HP218" i="1"/>
  <c r="HP214" i="1"/>
  <c r="HP230" i="1"/>
  <c r="HP221" i="1"/>
  <c r="HP216" i="1"/>
  <c r="HP39" i="1"/>
  <c r="HP349" i="1"/>
  <c r="HP229" i="1"/>
  <c r="HP226" i="1"/>
  <c r="HP215" i="1"/>
  <c r="HP336" i="1"/>
  <c r="HP224" i="1"/>
  <c r="HP295" i="1"/>
  <c r="HP297" i="1"/>
  <c r="HP298" i="1"/>
  <c r="HP299" i="1"/>
  <c r="HP78" i="1"/>
  <c r="HP96" i="1"/>
  <c r="HP168" i="1"/>
  <c r="HP99" i="1"/>
  <c r="HP101" i="1"/>
  <c r="HP102" i="1"/>
  <c r="HP103" i="1"/>
  <c r="HP104" i="1"/>
  <c r="HP105" i="1"/>
  <c r="HP106" i="1"/>
  <c r="HP107" i="1"/>
  <c r="HP109" i="1"/>
  <c r="HP110" i="1"/>
  <c r="HP40" i="1"/>
  <c r="HP139" i="1"/>
  <c r="HP114" i="1"/>
  <c r="HP43" i="1"/>
  <c r="HP113" i="1"/>
  <c r="HP112" i="1"/>
  <c r="HP111" i="1"/>
  <c r="HP360" i="1"/>
  <c r="HP44" i="1"/>
  <c r="HP359" i="1"/>
  <c r="HP45" i="1"/>
  <c r="HP358" i="1"/>
  <c r="HP46" i="1"/>
  <c r="HP357" i="1"/>
  <c r="HP47" i="1"/>
  <c r="HP356" i="1"/>
  <c r="HP48" i="1"/>
  <c r="HP355" i="1"/>
  <c r="HP49" i="1"/>
  <c r="HP354" i="1"/>
  <c r="HP38" i="1"/>
  <c r="HP353" i="1"/>
  <c r="HP41" i="1"/>
  <c r="HP352" i="1"/>
  <c r="HP42" i="1"/>
  <c r="HP351" i="1"/>
  <c r="HP37" i="1"/>
  <c r="HP350" i="1"/>
  <c r="HP212" i="1"/>
  <c r="HP211" i="1"/>
  <c r="HP210" i="1"/>
  <c r="HP209" i="1"/>
  <c r="HP208" i="1"/>
  <c r="HP161" i="1"/>
  <c r="HP160" i="1"/>
  <c r="HP159" i="1"/>
  <c r="HP158" i="1"/>
  <c r="HX92" i="1"/>
  <c r="HX88" i="1"/>
  <c r="HX276" i="1"/>
  <c r="HX130" i="1"/>
  <c r="HX142" i="1"/>
  <c r="HX143" i="1"/>
  <c r="HX144" i="1"/>
  <c r="HX343" i="1"/>
  <c r="HX342" i="1"/>
  <c r="HX341" i="1"/>
  <c r="HX340" i="1"/>
  <c r="HX226" i="1"/>
  <c r="HX227" i="1"/>
  <c r="HX336" i="1"/>
  <c r="HX252" i="1"/>
  <c r="HX335" i="1"/>
  <c r="HX254" i="1"/>
  <c r="HX334" i="1"/>
  <c r="HX268" i="1"/>
  <c r="HX333" i="1"/>
  <c r="HX131" i="1"/>
  <c r="HX332" i="1"/>
  <c r="HX132" i="1"/>
  <c r="HX133" i="1"/>
  <c r="HX325" i="1"/>
  <c r="HX134" i="1"/>
  <c r="HX324" i="1"/>
  <c r="HX135" i="1"/>
  <c r="HX323" i="1"/>
  <c r="HX136" i="1"/>
  <c r="HX322" i="1"/>
  <c r="HX137" i="1"/>
  <c r="HX321" i="1"/>
  <c r="HX138" i="1"/>
  <c r="HX320" i="1"/>
  <c r="HX139" i="1"/>
  <c r="HX140" i="1"/>
  <c r="HX318" i="1"/>
  <c r="HX141" i="1"/>
  <c r="HX302" i="1"/>
  <c r="HX187" i="1"/>
  <c r="HX301" i="1"/>
  <c r="HX190" i="1"/>
  <c r="HX300" i="1"/>
  <c r="HX217" i="1"/>
  <c r="HX299" i="1"/>
  <c r="HX218" i="1"/>
  <c r="HX298" i="1"/>
  <c r="HX223" i="1"/>
  <c r="HX297" i="1"/>
  <c r="HX225" i="1"/>
  <c r="HX296" i="1"/>
  <c r="HX256" i="1"/>
  <c r="HX295" i="1"/>
  <c r="HX260" i="1"/>
  <c r="HX294" i="1"/>
  <c r="HX266" i="1"/>
  <c r="HX293" i="1"/>
  <c r="HX269" i="1"/>
  <c r="HX292" i="1"/>
  <c r="HX147" i="1"/>
  <c r="HX291" i="1"/>
  <c r="HX148" i="1"/>
  <c r="HX290" i="1"/>
  <c r="HX165" i="1"/>
  <c r="HX239" i="1"/>
  <c r="HX173" i="1"/>
  <c r="HX238" i="1"/>
  <c r="HX17" i="1"/>
  <c r="HX16" i="1"/>
  <c r="HX157" i="1"/>
  <c r="HX182" i="1"/>
  <c r="HX183" i="1"/>
  <c r="HX184" i="1"/>
  <c r="HX185" i="1"/>
  <c r="HX186" i="1"/>
  <c r="HX189" i="1"/>
  <c r="HX330" i="1"/>
  <c r="HX213" i="1"/>
  <c r="HX220" i="1"/>
  <c r="HX353" i="1"/>
  <c r="HX91" i="1"/>
  <c r="HX89" i="1"/>
  <c r="HX327" i="1"/>
  <c r="HX155" i="1"/>
  <c r="HX121" i="1"/>
  <c r="HX120" i="1"/>
  <c r="HX285" i="1"/>
  <c r="HX85" i="1"/>
  <c r="HX237" i="1"/>
  <c r="HX93" i="1"/>
  <c r="HX87" i="1"/>
  <c r="HX326" i="1"/>
  <c r="HX154" i="1"/>
  <c r="HX152" i="1"/>
  <c r="HX149" i="1"/>
  <c r="HX108" i="1"/>
  <c r="HX83" i="1"/>
  <c r="HX81" i="1"/>
  <c r="HX80" i="1"/>
  <c r="HX77" i="1"/>
  <c r="HX116" i="1"/>
  <c r="HX67" i="1"/>
  <c r="HX212" i="1"/>
  <c r="HX222" i="1"/>
  <c r="HX211" i="1"/>
  <c r="HX224" i="1"/>
  <c r="HX210" i="1"/>
  <c r="HX253" i="1"/>
  <c r="HX209" i="1"/>
  <c r="HX164" i="1"/>
  <c r="HX47" i="1"/>
  <c r="HX46" i="1"/>
  <c r="HX331" i="1"/>
  <c r="HX44" i="1"/>
  <c r="HX43" i="1"/>
  <c r="HX14" i="1"/>
  <c r="HX40" i="1"/>
  <c r="HX39" i="1"/>
  <c r="HX38" i="1"/>
  <c r="HX37" i="1"/>
  <c r="HX174" i="1"/>
  <c r="HX161" i="1"/>
  <c r="HX175" i="1"/>
  <c r="HX244" i="1"/>
  <c r="HX45" i="1"/>
  <c r="HX104" i="1"/>
  <c r="HX101" i="1"/>
  <c r="HX278" i="1"/>
  <c r="HX280" i="1"/>
  <c r="HX282" i="1"/>
  <c r="HX286" i="1"/>
  <c r="HX288" i="1"/>
  <c r="HX289" i="1"/>
  <c r="HX28" i="1"/>
  <c r="HX26" i="1"/>
  <c r="HX25" i="1"/>
  <c r="HX23" i="1"/>
  <c r="HX257" i="1"/>
  <c r="HX21" i="1"/>
  <c r="HX20" i="1"/>
  <c r="HX15" i="1"/>
  <c r="HX352" i="1"/>
  <c r="HX267" i="1"/>
  <c r="HX274" i="1"/>
  <c r="HX128" i="1"/>
  <c r="HX129" i="1"/>
  <c r="HX348" i="1"/>
  <c r="HX347" i="1"/>
  <c r="HX346" i="1"/>
  <c r="HX345" i="1"/>
  <c r="HX344" i="1"/>
  <c r="HX145" i="1"/>
  <c r="HX146" i="1"/>
  <c r="HX188" i="1"/>
  <c r="HX216" i="1"/>
  <c r="HX221" i="1"/>
  <c r="HX339" i="1"/>
  <c r="HX338" i="1"/>
  <c r="HX337" i="1"/>
  <c r="HX229" i="1"/>
  <c r="HX319" i="1"/>
  <c r="HX78" i="1"/>
  <c r="HX69" i="1"/>
  <c r="HX68" i="1"/>
  <c r="HX64" i="1"/>
  <c r="HX19" i="1"/>
  <c r="HX112" i="1"/>
  <c r="HX110" i="1"/>
  <c r="HX277" i="1"/>
  <c r="HX279" i="1"/>
  <c r="HX281" i="1"/>
  <c r="HX283" i="1"/>
  <c r="HX287" i="1"/>
  <c r="HX95" i="1"/>
  <c r="DV50" i="1"/>
  <c r="L30" i="1"/>
  <c r="BA29" i="1" s="1"/>
  <c r="HQ322" i="1"/>
  <c r="HQ332" i="1"/>
  <c r="HQ196" i="1"/>
  <c r="HQ14" i="1"/>
  <c r="HQ275" i="1"/>
  <c r="HQ279" i="1"/>
  <c r="HQ287" i="1"/>
  <c r="HQ340" i="1"/>
  <c r="HQ345" i="1"/>
  <c r="HQ353" i="1"/>
  <c r="HQ359" i="1"/>
  <c r="HQ266" i="1"/>
  <c r="HQ120" i="1"/>
  <c r="HQ71" i="1"/>
  <c r="HQ194" i="1"/>
  <c r="HQ260" i="1"/>
  <c r="HQ66" i="1"/>
  <c r="HQ127" i="1"/>
  <c r="HQ252" i="1"/>
  <c r="HQ286" i="1"/>
  <c r="HQ203" i="1"/>
  <c r="HQ232" i="1"/>
  <c r="HQ284" i="1"/>
  <c r="HQ292" i="1"/>
  <c r="HQ343" i="1"/>
  <c r="HQ355" i="1"/>
  <c r="HQ242" i="1"/>
  <c r="HQ58" i="1"/>
  <c r="HQ164" i="1"/>
  <c r="HQ64" i="1"/>
  <c r="HQ69" i="1"/>
  <c r="HQ183" i="1"/>
  <c r="HQ259" i="1"/>
  <c r="HQ319" i="1"/>
  <c r="HQ330" i="1"/>
  <c r="HQ129" i="1"/>
  <c r="HQ368" i="1"/>
  <c r="HQ371" i="1"/>
  <c r="HQ273" i="1"/>
  <c r="HQ283" i="1"/>
  <c r="HQ289" i="1"/>
  <c r="HQ339" i="1"/>
  <c r="HQ342" i="1"/>
  <c r="HQ347" i="1"/>
  <c r="HQ19" i="1"/>
  <c r="HQ357" i="1"/>
  <c r="HQ261" i="1"/>
  <c r="HQ122" i="1"/>
  <c r="HQ244" i="1"/>
  <c r="HQ111" i="1"/>
  <c r="HQ112" i="1"/>
  <c r="HQ113" i="1"/>
  <c r="HQ42" i="1"/>
  <c r="HQ38" i="1"/>
  <c r="HQ37" i="1"/>
  <c r="HQ36" i="1"/>
  <c r="HQ41" i="1"/>
  <c r="HQ39" i="1"/>
  <c r="HQ48" i="1"/>
  <c r="HQ46" i="1"/>
  <c r="HQ45" i="1"/>
  <c r="HQ155" i="1"/>
  <c r="HQ40" i="1"/>
  <c r="HQ43" i="1"/>
  <c r="HQ141" i="1"/>
  <c r="HQ47" i="1"/>
  <c r="HQ44" i="1"/>
  <c r="HQ154" i="1"/>
  <c r="HQ216" i="1"/>
  <c r="HQ221" i="1"/>
  <c r="HQ229" i="1"/>
  <c r="HQ336" i="1"/>
  <c r="HQ209" i="1"/>
  <c r="HQ218" i="1"/>
  <c r="HQ222" i="1"/>
  <c r="HQ228" i="1"/>
  <c r="HQ160" i="1"/>
  <c r="HQ335" i="1"/>
  <c r="HQ156" i="1"/>
  <c r="HQ214" i="1"/>
  <c r="HQ227" i="1"/>
  <c r="HQ159" i="1"/>
  <c r="HQ211" i="1"/>
  <c r="HQ224" i="1"/>
  <c r="HQ59" i="1"/>
  <c r="HQ212" i="1"/>
  <c r="HQ294" i="1"/>
  <c r="HQ293" i="1"/>
  <c r="HQ271" i="1"/>
  <c r="HQ270" i="1"/>
  <c r="HQ269" i="1"/>
  <c r="HQ34" i="1"/>
  <c r="HQ96" i="1"/>
  <c r="HQ167" i="1"/>
  <c r="HQ169" i="1"/>
  <c r="HQ170" i="1"/>
  <c r="HQ171" i="1"/>
  <c r="HQ172" i="1"/>
  <c r="HQ52" i="1"/>
  <c r="HQ163" i="1"/>
  <c r="HQ174" i="1"/>
  <c r="HQ234" i="1"/>
  <c r="HQ235" i="1"/>
  <c r="HQ236" i="1"/>
  <c r="HQ237" i="1"/>
  <c r="HQ239" i="1"/>
  <c r="HQ142" i="1"/>
  <c r="HQ161" i="1"/>
  <c r="HQ315" i="1"/>
  <c r="HQ173" i="1"/>
  <c r="HQ49" i="1"/>
  <c r="HQ35" i="1"/>
  <c r="HQ50" i="1"/>
  <c r="HQ162" i="1"/>
  <c r="HQ306" i="1"/>
  <c r="HQ72" i="1"/>
  <c r="HQ197" i="1"/>
  <c r="HQ250" i="1"/>
  <c r="HQ202" i="1"/>
  <c r="HQ327" i="1"/>
  <c r="HQ328" i="1"/>
  <c r="HQ190" i="1"/>
  <c r="HQ364" i="1"/>
  <c r="HQ370" i="1"/>
  <c r="HQ231" i="1"/>
  <c r="HQ280" i="1"/>
  <c r="HQ117" i="1"/>
  <c r="HQ363" i="1"/>
  <c r="HQ175" i="1"/>
  <c r="HQ240" i="1"/>
  <c r="HQ67" i="1"/>
  <c r="HQ51" i="1"/>
  <c r="HQ238" i="1"/>
  <c r="HQ53" i="1"/>
  <c r="HQ54" i="1"/>
  <c r="HQ55" i="1"/>
  <c r="HQ56" i="1"/>
  <c r="HQ305" i="1"/>
  <c r="HQ74" i="1"/>
  <c r="HQ303" i="1"/>
  <c r="HQ302" i="1"/>
  <c r="HQ304" i="1"/>
  <c r="HQ301" i="1"/>
  <c r="HQ300" i="1"/>
  <c r="HQ299" i="1"/>
  <c r="HQ298" i="1"/>
  <c r="HQ297" i="1"/>
  <c r="HQ296" i="1"/>
  <c r="HQ168" i="1"/>
  <c r="HQ295" i="1"/>
  <c r="HQ374" i="1"/>
  <c r="HQ272" i="1"/>
  <c r="HQ278" i="1"/>
  <c r="HQ337" i="1"/>
  <c r="HQ354" i="1"/>
  <c r="HQ267" i="1"/>
  <c r="HQ119" i="1"/>
  <c r="HQ123" i="1"/>
  <c r="HQ70" i="1"/>
  <c r="HQ249" i="1"/>
  <c r="HQ256" i="1"/>
  <c r="HQ311" i="1"/>
  <c r="HU72" i="1"/>
  <c r="HU313" i="1"/>
  <c r="HU71" i="1"/>
  <c r="HU312" i="1"/>
  <c r="HU70" i="1"/>
  <c r="HU311" i="1"/>
  <c r="HU69" i="1"/>
  <c r="HU310" i="1"/>
  <c r="HU68" i="1"/>
  <c r="HU374" i="1"/>
  <c r="HU67" i="1"/>
  <c r="HU309" i="1"/>
  <c r="HU66" i="1"/>
  <c r="HU308" i="1"/>
  <c r="HU65" i="1"/>
  <c r="HU307" i="1"/>
  <c r="HU64" i="1"/>
  <c r="HU306" i="1"/>
  <c r="HU63" i="1"/>
  <c r="HU305" i="1"/>
  <c r="HU62" i="1"/>
  <c r="HU304" i="1"/>
  <c r="HU61" i="1"/>
  <c r="HU303" i="1"/>
  <c r="HU60" i="1"/>
  <c r="HU302" i="1"/>
  <c r="HU59" i="1"/>
  <c r="HU301" i="1"/>
  <c r="HU58" i="1"/>
  <c r="HU371" i="1"/>
  <c r="HU57" i="1"/>
  <c r="HU370" i="1"/>
  <c r="HU56" i="1"/>
  <c r="HU299" i="1"/>
  <c r="HU55" i="1"/>
  <c r="HU298" i="1"/>
  <c r="HU54" i="1"/>
  <c r="HU295" i="1"/>
  <c r="HU53" i="1"/>
  <c r="HU294" i="1"/>
  <c r="HU52" i="1"/>
  <c r="HU293" i="1"/>
  <c r="HU51" i="1"/>
  <c r="HU50" i="1"/>
  <c r="HU291" i="1"/>
  <c r="HU49" i="1"/>
  <c r="HU290" i="1"/>
  <c r="HU48" i="1"/>
  <c r="HU289" i="1"/>
  <c r="HU47" i="1"/>
  <c r="HU129" i="1"/>
  <c r="HU326" i="1"/>
  <c r="HU230" i="1"/>
  <c r="HU297" i="1"/>
  <c r="HU218" i="1"/>
  <c r="HU215" i="1"/>
  <c r="HU211" i="1"/>
  <c r="HU209" i="1"/>
  <c r="HU207" i="1"/>
  <c r="HU204" i="1"/>
  <c r="HU203" i="1"/>
  <c r="HU200" i="1"/>
  <c r="HU198" i="1"/>
  <c r="HU196" i="1"/>
  <c r="HU191" i="1"/>
  <c r="HU188" i="1"/>
  <c r="HU185" i="1"/>
  <c r="HU181" i="1"/>
  <c r="HU178" i="1"/>
  <c r="HU263" i="1"/>
  <c r="HU234" i="1"/>
  <c r="HU288" i="1"/>
  <c r="HU216" i="1"/>
  <c r="HU213" i="1"/>
  <c r="HU205" i="1"/>
  <c r="HU197" i="1"/>
  <c r="HU194" i="1"/>
  <c r="HU190" i="1"/>
  <c r="HU187" i="1"/>
  <c r="HU184" i="1"/>
  <c r="HU182" i="1"/>
  <c r="HU179" i="1"/>
  <c r="HU241" i="1"/>
  <c r="HU14" i="1"/>
  <c r="HU221" i="1"/>
  <c r="HU214" i="1"/>
  <c r="HU210" i="1"/>
  <c r="HU208" i="1"/>
  <c r="HU206" i="1"/>
  <c r="HU201" i="1"/>
  <c r="HU199" i="1"/>
  <c r="HU195" i="1"/>
  <c r="HU192" i="1"/>
  <c r="HU189" i="1"/>
  <c r="HU186" i="1"/>
  <c r="HU180" i="1"/>
  <c r="HU360" i="1"/>
  <c r="HU265" i="1"/>
  <c r="HU369" i="1"/>
  <c r="HU217" i="1"/>
  <c r="HU212" i="1"/>
  <c r="HU202" i="1"/>
  <c r="HU193" i="1"/>
  <c r="HU183" i="1"/>
  <c r="HU177" i="1"/>
  <c r="HU176" i="1"/>
  <c r="HU175" i="1"/>
  <c r="HU174" i="1"/>
  <c r="HU173" i="1"/>
  <c r="HU172" i="1"/>
  <c r="HU171" i="1"/>
  <c r="HU170" i="1"/>
  <c r="HU169" i="1"/>
  <c r="HU168" i="1"/>
  <c r="HU167" i="1"/>
  <c r="HU166" i="1"/>
  <c r="HU165" i="1"/>
  <c r="HU164" i="1"/>
  <c r="HU163" i="1"/>
  <c r="HU162" i="1"/>
  <c r="HU161" i="1"/>
  <c r="HU160" i="1"/>
  <c r="HU159" i="1"/>
  <c r="HU158" i="1"/>
  <c r="HU157" i="1"/>
  <c r="HU156" i="1"/>
  <c r="HU155" i="1"/>
  <c r="HU137" i="1"/>
  <c r="HU154" i="1"/>
  <c r="HU153" i="1"/>
  <c r="HU147" i="1"/>
  <c r="HU146" i="1"/>
  <c r="HU141" i="1"/>
  <c r="HU140" i="1"/>
  <c r="HU136" i="1"/>
  <c r="HU135" i="1"/>
  <c r="HU130" i="1"/>
  <c r="HU127" i="1"/>
  <c r="HU126" i="1"/>
  <c r="HU125" i="1"/>
  <c r="HU124" i="1"/>
  <c r="HU123" i="1"/>
  <c r="HU122" i="1"/>
  <c r="HU121" i="1"/>
  <c r="HU120" i="1"/>
  <c r="HU119" i="1"/>
  <c r="HU118" i="1"/>
  <c r="HU117" i="1"/>
  <c r="HU39" i="1"/>
  <c r="HU131" i="1"/>
  <c r="HU235" i="1"/>
  <c r="HU231" i="1"/>
  <c r="HU229" i="1"/>
  <c r="HU228" i="1"/>
  <c r="HU373" i="1"/>
  <c r="HU300" i="1"/>
  <c r="HU296" i="1"/>
  <c r="HU222" i="1"/>
  <c r="HU220" i="1"/>
  <c r="HU219" i="1"/>
  <c r="HU372" i="1"/>
  <c r="HU116" i="1"/>
  <c r="HU368" i="1"/>
  <c r="HU115" i="1"/>
  <c r="HU367" i="1"/>
  <c r="HU114" i="1"/>
  <c r="HU366" i="1"/>
  <c r="HU113" i="1"/>
  <c r="HU365" i="1"/>
  <c r="HU112" i="1"/>
  <c r="HU364" i="1"/>
  <c r="HU111" i="1"/>
  <c r="HU363" i="1"/>
  <c r="HU110" i="1"/>
  <c r="HU362" i="1"/>
  <c r="HU109" i="1"/>
  <c r="HU361" i="1"/>
  <c r="HU108" i="1"/>
  <c r="HU292" i="1"/>
  <c r="HU107" i="1"/>
  <c r="HU359" i="1"/>
  <c r="HU106" i="1"/>
  <c r="HU358" i="1"/>
  <c r="HU105" i="1"/>
  <c r="HU357" i="1"/>
  <c r="HU104" i="1"/>
  <c r="HU356" i="1"/>
  <c r="HU103" i="1"/>
  <c r="HU355" i="1"/>
  <c r="HU102" i="1"/>
  <c r="HU243" i="1"/>
  <c r="HU15" i="1"/>
  <c r="HU244" i="1"/>
  <c r="HU287" i="1"/>
  <c r="HU282" i="1"/>
  <c r="HU281" i="1"/>
  <c r="HU280" i="1"/>
  <c r="HU279" i="1"/>
  <c r="HU278" i="1"/>
  <c r="HU276" i="1"/>
  <c r="HU275" i="1"/>
  <c r="HU274" i="1"/>
  <c r="HU273" i="1"/>
  <c r="HU272" i="1"/>
  <c r="HU271" i="1"/>
  <c r="HU227" i="1"/>
  <c r="HU226" i="1"/>
  <c r="HU225" i="1"/>
  <c r="HU224" i="1"/>
  <c r="HU349" i="1"/>
  <c r="HU96" i="1"/>
  <c r="HU348" i="1"/>
  <c r="HU95" i="1"/>
  <c r="HU347" i="1"/>
  <c r="HU94" i="1"/>
  <c r="HU346" i="1"/>
  <c r="HU93" i="1"/>
  <c r="HU345" i="1"/>
  <c r="HU92" i="1"/>
  <c r="HU344" i="1"/>
  <c r="HU91" i="1"/>
  <c r="HU343" i="1"/>
  <c r="HU90" i="1"/>
  <c r="HU342" i="1"/>
  <c r="HU89" i="1"/>
  <c r="HU341" i="1"/>
  <c r="HU88" i="1"/>
  <c r="HU340" i="1"/>
  <c r="HU87" i="1"/>
  <c r="HU339" i="1"/>
  <c r="HU86" i="1"/>
  <c r="HU338" i="1"/>
  <c r="HU85" i="1"/>
  <c r="HU337" i="1"/>
  <c r="HU84" i="1"/>
  <c r="HU336" i="1"/>
  <c r="HU152" i="1"/>
  <c r="HU151" i="1"/>
  <c r="HU150" i="1"/>
  <c r="HU149" i="1"/>
  <c r="HU148" i="1"/>
  <c r="HU335" i="1"/>
  <c r="HU334" i="1"/>
  <c r="HU333" i="1"/>
  <c r="HU145" i="1"/>
  <c r="HU144" i="1"/>
  <c r="HU143" i="1"/>
  <c r="HU142" i="1"/>
  <c r="HU332" i="1"/>
  <c r="HU331" i="1"/>
  <c r="HU330" i="1"/>
  <c r="HU139" i="1"/>
  <c r="HU138" i="1"/>
  <c r="HU260" i="1"/>
  <c r="HU32" i="1"/>
  <c r="HU261" i="1"/>
  <c r="HU33" i="1"/>
  <c r="HU128" i="1"/>
  <c r="HU37" i="1"/>
  <c r="HU242" i="1"/>
  <c r="HU238" i="1"/>
  <c r="HU233" i="1"/>
  <c r="HU262" i="1"/>
  <c r="HU36" i="1"/>
  <c r="HU34" i="1"/>
  <c r="HU83" i="1"/>
  <c r="HU264" i="1"/>
  <c r="HU266" i="1"/>
  <c r="HU240" i="1"/>
  <c r="HU232" i="1"/>
  <c r="HU325" i="1"/>
  <c r="HU237" i="1"/>
  <c r="HU18" i="1"/>
  <c r="HU38" i="1"/>
  <c r="HU236" i="1"/>
  <c r="HU354" i="1"/>
  <c r="HU101" i="1"/>
  <c r="HU353" i="1"/>
  <c r="HU100" i="1"/>
  <c r="HU352" i="1"/>
  <c r="HU99" i="1"/>
  <c r="HU351" i="1"/>
  <c r="HU98" i="1"/>
  <c r="HU350" i="1"/>
  <c r="HU97" i="1"/>
  <c r="HU82" i="1"/>
  <c r="HU323" i="1"/>
  <c r="HU81" i="1"/>
  <c r="HU322" i="1"/>
  <c r="HU80" i="1"/>
  <c r="HU321" i="1"/>
  <c r="HU79" i="1"/>
  <c r="HU320" i="1"/>
  <c r="HU78" i="1"/>
  <c r="HU319" i="1"/>
  <c r="HU77" i="1"/>
  <c r="HU318" i="1"/>
  <c r="HU76" i="1"/>
  <c r="HU317" i="1"/>
  <c r="HU75" i="1"/>
  <c r="HU316" i="1"/>
  <c r="HU74" i="1"/>
  <c r="HU315" i="1"/>
  <c r="HU73" i="1"/>
  <c r="HU314" i="1"/>
  <c r="IC153" i="1"/>
  <c r="IC154" i="1"/>
  <c r="IC155" i="1"/>
  <c r="IC156" i="1"/>
  <c r="IC157" i="1"/>
  <c r="IC158" i="1"/>
  <c r="IC168" i="1"/>
  <c r="IC169" i="1"/>
  <c r="IC170" i="1"/>
  <c r="IC171" i="1"/>
  <c r="IC172" i="1"/>
  <c r="IC173" i="1"/>
  <c r="IC174" i="1"/>
  <c r="IC176" i="1"/>
  <c r="IC177" i="1"/>
  <c r="IC178" i="1"/>
  <c r="IC179" i="1"/>
  <c r="IC180" i="1"/>
  <c r="IC181" i="1"/>
  <c r="IC182" i="1"/>
  <c r="IC183" i="1"/>
  <c r="IC184" i="1"/>
  <c r="IC185" i="1"/>
  <c r="IC186" i="1"/>
  <c r="IC188" i="1"/>
  <c r="IC189" i="1"/>
  <c r="IC215" i="1"/>
  <c r="IC190" i="1"/>
  <c r="IC191" i="1"/>
  <c r="IC192" i="1"/>
  <c r="IC29" i="1"/>
  <c r="IC23" i="1"/>
  <c r="IC232" i="1"/>
  <c r="IC22" i="1"/>
  <c r="IC231" i="1"/>
  <c r="IC21" i="1"/>
  <c r="IC166" i="1"/>
  <c r="IC20" i="1"/>
  <c r="IC164" i="1"/>
  <c r="IC251" i="1"/>
  <c r="IC371" i="1"/>
  <c r="IC250" i="1"/>
  <c r="IC372" i="1"/>
  <c r="IC373" i="1"/>
  <c r="IC374" i="1"/>
  <c r="IC14" i="1"/>
  <c r="IC335" i="1"/>
  <c r="IC336" i="1"/>
  <c r="IC243" i="1"/>
  <c r="IC244" i="1"/>
  <c r="IC152" i="1"/>
  <c r="IC149" i="1"/>
  <c r="IC151" i="1"/>
  <c r="IC150" i="1"/>
  <c r="IC148" i="1"/>
  <c r="IC147" i="1"/>
  <c r="IC146" i="1"/>
  <c r="IC145" i="1"/>
  <c r="IC144" i="1"/>
  <c r="IC143" i="1"/>
  <c r="IC142" i="1"/>
  <c r="IC141" i="1"/>
  <c r="IC140" i="1"/>
  <c r="IC139" i="1"/>
  <c r="IC138" i="1"/>
  <c r="IC137" i="1"/>
  <c r="IC136" i="1"/>
  <c r="IC135" i="1"/>
  <c r="IC134" i="1"/>
  <c r="IC133" i="1"/>
  <c r="IC132" i="1"/>
  <c r="IC131" i="1"/>
  <c r="IC130" i="1"/>
  <c r="IC129" i="1"/>
  <c r="IC187" i="1"/>
  <c r="IC128" i="1"/>
  <c r="IC167" i="1"/>
  <c r="IC312" i="1"/>
  <c r="IC163" i="1"/>
  <c r="IC19" i="1"/>
  <c r="IC193" i="1"/>
  <c r="IC112" i="1"/>
  <c r="IC111" i="1"/>
  <c r="IC110" i="1"/>
  <c r="IC109" i="1"/>
  <c r="IC108" i="1"/>
  <c r="IC107" i="1"/>
  <c r="IC106" i="1"/>
  <c r="IC105" i="1"/>
  <c r="IC104" i="1"/>
  <c r="IC103" i="1"/>
  <c r="IC102" i="1"/>
  <c r="IC101" i="1"/>
  <c r="IC98" i="1"/>
  <c r="IC96" i="1"/>
  <c r="IC75" i="1"/>
  <c r="IC100" i="1"/>
  <c r="IC76" i="1"/>
  <c r="IC77" i="1"/>
  <c r="IC78" i="1"/>
  <c r="IC79" i="1"/>
  <c r="IC80" i="1"/>
  <c r="IC81" i="1"/>
  <c r="IC82" i="1"/>
  <c r="IC83" i="1"/>
  <c r="IC97" i="1"/>
  <c r="IC84" i="1"/>
  <c r="IC85" i="1"/>
  <c r="IC370" i="1"/>
  <c r="IC95" i="1"/>
  <c r="IC99" i="1"/>
  <c r="IC125" i="1"/>
  <c r="IC124" i="1"/>
  <c r="IC122" i="1"/>
  <c r="IC121" i="1"/>
  <c r="IC120" i="1"/>
  <c r="IC119" i="1"/>
  <c r="IC118" i="1"/>
  <c r="IC117" i="1"/>
  <c r="IC307" i="1"/>
  <c r="IC86" i="1"/>
  <c r="IC306" i="1"/>
  <c r="IC165" i="1"/>
  <c r="IC126" i="1"/>
  <c r="IC123" i="1"/>
  <c r="IC94" i="1"/>
  <c r="IC369" i="1"/>
  <c r="IC368" i="1"/>
  <c r="IC315" i="1"/>
  <c r="IC301" i="1"/>
  <c r="IC93" i="1"/>
  <c r="IC314" i="1"/>
  <c r="IC92" i="1"/>
  <c r="IC313" i="1"/>
  <c r="IC91" i="1"/>
  <c r="IC311" i="1"/>
  <c r="IC90" i="1"/>
  <c r="IC310" i="1"/>
  <c r="IC89" i="1"/>
  <c r="IC309" i="1"/>
  <c r="IC88" i="1"/>
  <c r="IC308" i="1"/>
  <c r="IC87" i="1"/>
  <c r="IC116" i="1"/>
  <c r="IC115" i="1"/>
  <c r="IC114" i="1"/>
  <c r="IC113" i="1"/>
  <c r="IC74" i="1"/>
  <c r="IC73" i="1"/>
  <c r="IC71" i="1"/>
  <c r="IC69" i="1"/>
  <c r="IC67" i="1"/>
  <c r="IC65" i="1"/>
  <c r="IC63" i="1"/>
  <c r="IC201" i="1"/>
  <c r="IC202" i="1"/>
  <c r="IC203" i="1"/>
  <c r="IC204" i="1"/>
  <c r="IC205" i="1"/>
  <c r="IC206" i="1"/>
  <c r="IC207" i="1"/>
  <c r="IC211" i="1"/>
  <c r="IC212" i="1"/>
  <c r="IC318" i="1"/>
  <c r="IC213" i="1"/>
  <c r="IC214" i="1"/>
  <c r="IC30" i="1"/>
  <c r="IC15" i="1"/>
  <c r="IC291" i="1"/>
  <c r="IC16" i="1"/>
  <c r="IC161" i="1"/>
  <c r="IC17" i="1"/>
  <c r="IC162" i="1"/>
  <c r="IC18" i="1"/>
  <c r="IC281" i="1"/>
  <c r="IC283" i="1"/>
  <c r="IC284" i="1"/>
  <c r="IC302" i="1"/>
  <c r="IC322" i="1"/>
  <c r="IC323" i="1"/>
  <c r="IC285" i="1"/>
  <c r="IC320" i="1"/>
  <c r="IC321" i="1"/>
  <c r="IC54" i="1"/>
  <c r="IC52" i="1"/>
  <c r="IC47" i="1"/>
  <c r="IC319" i="1"/>
  <c r="IC218" i="1"/>
  <c r="IC50" i="1"/>
  <c r="IC49" i="1"/>
  <c r="IC268" i="1"/>
  <c r="IC267" i="1"/>
  <c r="IC266" i="1"/>
  <c r="IC265" i="1"/>
  <c r="IC264" i="1"/>
  <c r="IC263" i="1"/>
  <c r="IC262" i="1"/>
  <c r="IC261" i="1"/>
  <c r="IC260" i="1"/>
  <c r="IC259" i="1"/>
  <c r="IC258" i="1"/>
  <c r="IC257" i="1"/>
  <c r="IC220" i="1"/>
  <c r="IC277" i="1"/>
  <c r="IC219" i="1"/>
  <c r="IC276" i="1"/>
  <c r="IC45" i="1"/>
  <c r="IC42" i="1"/>
  <c r="IC248" i="1"/>
  <c r="IC247" i="1"/>
  <c r="IC246" i="1"/>
  <c r="IC245" i="1"/>
  <c r="DU50" i="1"/>
  <c r="M30" i="1"/>
  <c r="BC29" i="1" s="1"/>
  <c r="BD29" i="1" s="1"/>
  <c r="HL11" i="1"/>
  <c r="HY175" i="1"/>
  <c r="HY339" i="1"/>
  <c r="HY340" i="1"/>
  <c r="HY232" i="1"/>
  <c r="HY174" i="1"/>
  <c r="HY88" i="1"/>
  <c r="HY173" i="1"/>
  <c r="HY172" i="1"/>
  <c r="HY171" i="1"/>
  <c r="HY170" i="1"/>
  <c r="HY169" i="1"/>
  <c r="HY168" i="1"/>
  <c r="HY342" i="1"/>
  <c r="HY167" i="1"/>
  <c r="HY21" i="1"/>
  <c r="HY20" i="1"/>
  <c r="HY352" i="1"/>
  <c r="HY351" i="1"/>
  <c r="HY350" i="1"/>
  <c r="HY349" i="1"/>
  <c r="HY348" i="1"/>
  <c r="HY347" i="1"/>
  <c r="HY346" i="1"/>
  <c r="HY257" i="1"/>
  <c r="HY341" i="1"/>
  <c r="HY344" i="1"/>
  <c r="HY343" i="1"/>
  <c r="HY176" i="1"/>
  <c r="HY338" i="1"/>
  <c r="HY337" i="1"/>
  <c r="HY336" i="1"/>
  <c r="HY335" i="1"/>
  <c r="HY334" i="1"/>
  <c r="HY333" i="1"/>
  <c r="HY332" i="1"/>
  <c r="HY261" i="1"/>
  <c r="HY268" i="1"/>
  <c r="HY309" i="1"/>
  <c r="HY307" i="1"/>
  <c r="HY306" i="1"/>
  <c r="HY308" i="1"/>
  <c r="HY305" i="1"/>
  <c r="HY289" i="1"/>
  <c r="HY287" i="1"/>
  <c r="HY286" i="1"/>
  <c r="HY284" i="1"/>
  <c r="HY283" i="1"/>
  <c r="HY282" i="1"/>
  <c r="HY281" i="1"/>
  <c r="HY280" i="1"/>
  <c r="HY279" i="1"/>
  <c r="HX351" i="1"/>
  <c r="HX35" i="1"/>
  <c r="HX374" i="1"/>
  <c r="HX373" i="1"/>
  <c r="HX372" i="1"/>
  <c r="HX371" i="1"/>
  <c r="HX370" i="1"/>
  <c r="HX369" i="1"/>
  <c r="HX357" i="1"/>
  <c r="HX356" i="1"/>
  <c r="HX355" i="1"/>
  <c r="HX33" i="1"/>
  <c r="HX32" i="1"/>
  <c r="HX31" i="1"/>
  <c r="HX30" i="1"/>
  <c r="HX29" i="1"/>
  <c r="HX27" i="1"/>
  <c r="HX24" i="1"/>
  <c r="HX22" i="1"/>
  <c r="HX258" i="1"/>
  <c r="HX18" i="1"/>
  <c r="HX262" i="1"/>
  <c r="HX350" i="1"/>
  <c r="HX349" i="1"/>
  <c r="HQ245" i="1"/>
  <c r="HQ361" i="1"/>
  <c r="HQ265" i="1"/>
  <c r="HQ356" i="1"/>
  <c r="HQ351" i="1"/>
  <c r="HQ16" i="1"/>
  <c r="HQ290" i="1"/>
  <c r="HQ282" i="1"/>
  <c r="HQ373" i="1"/>
  <c r="HQ367" i="1"/>
  <c r="HQ128" i="1"/>
  <c r="HQ331" i="1"/>
  <c r="HQ325" i="1"/>
  <c r="HQ320" i="1"/>
  <c r="HQ313" i="1"/>
  <c r="HQ200" i="1"/>
  <c r="HQ257" i="1"/>
  <c r="HQ253" i="1"/>
  <c r="HQ247" i="1"/>
  <c r="IC209" i="1"/>
  <c r="IC208" i="1"/>
  <c r="IC210" i="1"/>
  <c r="JD98" i="1"/>
  <c r="JD99" i="1" s="1"/>
  <c r="JD97" i="1"/>
  <c r="JD95" i="1"/>
  <c r="JC100" i="1"/>
  <c r="JC97" i="1"/>
  <c r="JC95" i="1"/>
  <c r="JC96" i="1"/>
  <c r="JC98" i="1" s="1"/>
  <c r="JD90" i="1"/>
  <c r="JD91" i="1" s="1"/>
  <c r="JD92" i="1"/>
  <c r="JD87" i="1"/>
  <c r="JD89" i="1"/>
  <c r="J24" i="1"/>
  <c r="IZ44" i="1"/>
  <c r="M29" i="1"/>
  <c r="BC28" i="1" s="1"/>
  <c r="BD28" i="1" s="1"/>
  <c r="JA44" i="1"/>
  <c r="IZ142" i="1"/>
  <c r="JC154" i="1" s="1"/>
  <c r="JC155" i="1" s="1"/>
  <c r="IZ34" i="1"/>
  <c r="JA142" i="1"/>
  <c r="JA34" i="1"/>
  <c r="GH69" i="1"/>
  <c r="GH70" i="1"/>
  <c r="L27" i="1"/>
  <c r="BA26" i="1" s="1"/>
  <c r="JA24" i="1"/>
  <c r="M26" i="1"/>
  <c r="BC25" i="1" s="1"/>
  <c r="BD25" i="1" s="1"/>
  <c r="IZ14" i="1"/>
  <c r="L26" i="1"/>
  <c r="BA25" i="1" s="1"/>
  <c r="JA14" i="1"/>
  <c r="M27" i="1"/>
  <c r="BC26" i="1" s="1"/>
  <c r="BD26" i="1" s="1"/>
  <c r="IZ24" i="1"/>
  <c r="FV25" i="1"/>
  <c r="FV26" i="1" s="1"/>
  <c r="GB26" i="1"/>
  <c r="GB27" i="1" s="1"/>
  <c r="M24" i="1"/>
  <c r="FU26" i="1"/>
  <c r="FU27" i="1" s="1"/>
  <c r="FS24" i="1"/>
  <c r="FU24" i="1"/>
  <c r="FU25" i="1" s="1"/>
  <c r="GA25" i="1"/>
  <c r="GA26" i="1" s="1"/>
  <c r="GH68" i="1"/>
  <c r="FV24" i="1"/>
  <c r="FV27" i="1" s="1"/>
  <c r="FT25" i="1"/>
  <c r="FT24" i="1"/>
  <c r="GB25" i="1"/>
  <c r="GB28" i="1" s="1"/>
  <c r="IZ124" i="1"/>
  <c r="FS26" i="1"/>
  <c r="GH67" i="1"/>
  <c r="JA124" i="1"/>
  <c r="MX82" i="1"/>
  <c r="MX83" i="1" s="1"/>
  <c r="MX80" i="1"/>
  <c r="MD52" i="1"/>
  <c r="MD80" i="1"/>
  <c r="MC79" i="1"/>
  <c r="MD76" i="1"/>
  <c r="MC75" i="1"/>
  <c r="MC62" i="1"/>
  <c r="MD54" i="1"/>
  <c r="MC53" i="1"/>
  <c r="MC73" i="1"/>
  <c r="MC74" i="1" s="1"/>
  <c r="ME59" i="1" s="1"/>
  <c r="MD73" i="1"/>
  <c r="MD71" i="1"/>
  <c r="MC67" i="1"/>
  <c r="MC65" i="1"/>
  <c r="MD64" i="1"/>
  <c r="MD65" i="1" s="1"/>
  <c r="MC60" i="1"/>
  <c r="MC63" i="1"/>
  <c r="MD56" i="1"/>
  <c r="MC51" i="1"/>
  <c r="MD51" i="1"/>
  <c r="MD74" i="1"/>
  <c r="MD75" i="1" s="1"/>
  <c r="MD78" i="1" s="1"/>
  <c r="MD79" i="1" s="1"/>
  <c r="MF59" i="1" s="1"/>
  <c r="MF60" i="1" s="1"/>
  <c r="MD62" i="1"/>
  <c r="LV75" i="1"/>
  <c r="LW80" i="1"/>
  <c r="LW74" i="1"/>
  <c r="LW75" i="1" s="1"/>
  <c r="LW78" i="1" s="1"/>
  <c r="LW73" i="1"/>
  <c r="LV73" i="1"/>
  <c r="LV74" i="1" s="1"/>
  <c r="LW71" i="1"/>
  <c r="LW67" i="1"/>
  <c r="LV67" i="1"/>
  <c r="LV65" i="1"/>
  <c r="LW64" i="1"/>
  <c r="LW65" i="1" s="1"/>
  <c r="LW62" i="1"/>
  <c r="LW63" i="1" s="1"/>
  <c r="LV62" i="1"/>
  <c r="LV60" i="1"/>
  <c r="LW56" i="1"/>
  <c r="LW54" i="1"/>
  <c r="LV53" i="1"/>
  <c r="LW52" i="1"/>
  <c r="LW51" i="1"/>
  <c r="LV51" i="1"/>
  <c r="LV79" i="1"/>
  <c r="LW76" i="1"/>
  <c r="LV63" i="1"/>
  <c r="LO76" i="1"/>
  <c r="LO74" i="1"/>
  <c r="LP63" i="1"/>
  <c r="LO80" i="1"/>
  <c r="LP79" i="1"/>
  <c r="LP80" i="1" s="1"/>
  <c r="LP75" i="1"/>
  <c r="LP73" i="1"/>
  <c r="LP74" i="1" s="1"/>
  <c r="LO73" i="1"/>
  <c r="LO71" i="1"/>
  <c r="LP67" i="1"/>
  <c r="LP65" i="1"/>
  <c r="LO64" i="1"/>
  <c r="LP62" i="1"/>
  <c r="LO62" i="1"/>
  <c r="LP60" i="1"/>
  <c r="LO56" i="1"/>
  <c r="LO52" i="1"/>
  <c r="LO54" i="1"/>
  <c r="LP53" i="1"/>
  <c r="LP54" i="1" s="1"/>
  <c r="LO51" i="1"/>
  <c r="LP51" i="1"/>
  <c r="LH51" i="1"/>
  <c r="LI51" i="1"/>
  <c r="LI52" i="1" s="1"/>
  <c r="LI53" i="1"/>
  <c r="LI54" i="1" s="1"/>
  <c r="LH52" i="1"/>
  <c r="LH54" i="1"/>
  <c r="LH56" i="1"/>
  <c r="LI60" i="1"/>
  <c r="LH62" i="1"/>
  <c r="LH63" i="1" s="1"/>
  <c r="LI62" i="1"/>
  <c r="LH64" i="1"/>
  <c r="LH71" i="1"/>
  <c r="LH73" i="1"/>
  <c r="LI73" i="1"/>
  <c r="LI74" i="1" s="1"/>
  <c r="LH74" i="1"/>
  <c r="LH80" i="1"/>
  <c r="LI75" i="1"/>
  <c r="LI79" i="1"/>
  <c r="LI80" i="1" s="1"/>
  <c r="LH76" i="1"/>
  <c r="JC71" i="1"/>
  <c r="JC73" i="1"/>
  <c r="JC76" i="1"/>
  <c r="JC72" i="1"/>
  <c r="JC74" i="1" s="1"/>
  <c r="JD71" i="1"/>
  <c r="JD73" i="1"/>
  <c r="JD76" i="1"/>
  <c r="JD74" i="1"/>
  <c r="JD75" i="1" s="1"/>
  <c r="JC87" i="1"/>
  <c r="JC88" i="1"/>
  <c r="JC90" i="1" s="1"/>
  <c r="JC92" i="1"/>
  <c r="JC89" i="1"/>
  <c r="JC84" i="1"/>
  <c r="JC81" i="1"/>
  <c r="JC80" i="1"/>
  <c r="JC82" i="1" s="1"/>
  <c r="JC79" i="1"/>
  <c r="JD84" i="1"/>
  <c r="JD82" i="1"/>
  <c r="JD83" i="1" s="1"/>
  <c r="JD81" i="1"/>
  <c r="JD79" i="1"/>
  <c r="JD65" i="1"/>
  <c r="JD63" i="1"/>
  <c r="JD66" i="1"/>
  <c r="JD67" i="1" s="1"/>
  <c r="JD68" i="1"/>
  <c r="JC63" i="1"/>
  <c r="JC64" i="1"/>
  <c r="JC66" i="1" s="1"/>
  <c r="JC65" i="1"/>
  <c r="JC68" i="1"/>
  <c r="FZ28" i="1"/>
  <c r="FY30" i="1"/>
  <c r="FZ29" i="1"/>
  <c r="FY28" i="1"/>
  <c r="FZ26" i="1"/>
  <c r="FY29" i="1"/>
  <c r="FZ27" i="1"/>
  <c r="FZ30" i="1"/>
  <c r="FD42" i="1"/>
  <c r="FE41" i="1"/>
  <c r="FD41" i="1"/>
  <c r="FE42" i="1"/>
  <c r="FY24" i="1"/>
  <c r="FZ25" i="1"/>
  <c r="FY26" i="1"/>
  <c r="FY27" i="1"/>
  <c r="FZ24" i="1"/>
  <c r="FY25" i="1"/>
  <c r="CR38" i="1"/>
  <c r="DA11" i="1" s="1"/>
  <c r="CP38" i="1"/>
  <c r="CN46" i="1"/>
  <c r="CQ38" i="1"/>
  <c r="EK19" i="1"/>
  <c r="EJ19" i="1"/>
  <c r="DU84" i="1"/>
  <c r="DW82" i="1"/>
  <c r="DW91" i="1"/>
  <c r="DU102" i="1"/>
  <c r="DU103" i="1" s="1"/>
  <c r="DU106" i="1" s="1"/>
  <c r="DU107" i="1" s="1"/>
  <c r="EG18" i="1"/>
  <c r="EG14" i="1"/>
  <c r="H45" i="1" l="1"/>
  <c r="J45" i="1" s="1"/>
  <c r="H49" i="1"/>
  <c r="J49" i="1" s="1"/>
  <c r="JK177" i="1"/>
  <c r="JK192" i="1"/>
  <c r="JJ192" i="1"/>
  <c r="JJ185" i="1"/>
  <c r="JJ186" i="1" s="1"/>
  <c r="JJ187" i="1" s="1"/>
  <c r="JJ174" i="1"/>
  <c r="JJ167" i="1"/>
  <c r="JJ168" i="1" s="1"/>
  <c r="JJ169" i="1" s="1"/>
  <c r="JJ149" i="1"/>
  <c r="JJ150" i="1" s="1"/>
  <c r="JJ151" i="1" s="1"/>
  <c r="JJ156" i="1"/>
  <c r="JK156" i="1"/>
  <c r="JK141" i="1"/>
  <c r="JK123" i="1"/>
  <c r="JK138" i="1"/>
  <c r="JJ120" i="1"/>
  <c r="JJ113" i="1"/>
  <c r="JJ114" i="1" s="1"/>
  <c r="JJ115" i="1" s="1"/>
  <c r="JK105" i="1"/>
  <c r="JK120" i="1"/>
  <c r="JJ138" i="1"/>
  <c r="JJ131" i="1"/>
  <c r="JJ132" i="1" s="1"/>
  <c r="JJ133" i="1" s="1"/>
  <c r="JK162" i="1"/>
  <c r="JK171" i="1" s="1"/>
  <c r="JK160" i="1"/>
  <c r="JK173" i="1" s="1"/>
  <c r="JK161" i="1"/>
  <c r="JK172" i="1" s="1"/>
  <c r="JK164" i="1"/>
  <c r="JK169" i="1" s="1"/>
  <c r="JK166" i="1"/>
  <c r="JK167" i="1" s="1"/>
  <c r="JK168" i="1" s="1"/>
  <c r="JK165" i="1"/>
  <c r="JK158" i="1"/>
  <c r="JK163" i="1"/>
  <c r="JK170" i="1" s="1"/>
  <c r="JD166" i="1"/>
  <c r="JD167" i="1" s="1"/>
  <c r="JD168" i="1" s="1"/>
  <c r="JD165" i="1"/>
  <c r="JD164" i="1"/>
  <c r="JD169" i="1" s="1"/>
  <c r="JD163" i="1"/>
  <c r="JD170" i="1" s="1"/>
  <c r="JD162" i="1"/>
  <c r="JD171" i="1" s="1"/>
  <c r="JD161" i="1"/>
  <c r="JD172" i="1" s="1"/>
  <c r="JD160" i="1"/>
  <c r="JD173" i="1" s="1"/>
  <c r="JD158" i="1"/>
  <c r="NY40" i="1"/>
  <c r="NY39" i="1"/>
  <c r="NW50" i="1" s="1"/>
  <c r="JK24" i="1"/>
  <c r="JK22" i="1"/>
  <c r="JK26" i="1"/>
  <c r="JK27" i="1" s="1"/>
  <c r="JK29" i="1"/>
  <c r="JK25" i="1"/>
  <c r="JK28" i="1" s="1"/>
  <c r="JJ18" i="1"/>
  <c r="JJ19" i="1" s="1"/>
  <c r="JJ13" i="1"/>
  <c r="JJ16" i="1" s="1"/>
  <c r="JJ12" i="1"/>
  <c r="JJ14" i="1"/>
  <c r="JJ15" i="1" s="1"/>
  <c r="JK16" i="1"/>
  <c r="JK17" i="1" s="1"/>
  <c r="JK12" i="1"/>
  <c r="JK19" i="1"/>
  <c r="JK15" i="1"/>
  <c r="JK18" i="1" s="1"/>
  <c r="JK14" i="1"/>
  <c r="JJ24" i="1"/>
  <c r="JJ25" i="1" s="1"/>
  <c r="JJ22" i="1"/>
  <c r="JJ23" i="1"/>
  <c r="JJ26" i="1" s="1"/>
  <c r="JJ28" i="1"/>
  <c r="JJ29" i="1" s="1"/>
  <c r="OA39" i="1"/>
  <c r="NW47" i="1" s="1"/>
  <c r="OC39" i="1"/>
  <c r="NZ40" i="1"/>
  <c r="OD39" i="1"/>
  <c r="NX49" i="1" s="1"/>
  <c r="NX50" i="1" s="1"/>
  <c r="OB39" i="1"/>
  <c r="NX47" i="1" s="1"/>
  <c r="NX48" i="1" s="1"/>
  <c r="OE39" i="1"/>
  <c r="IF50" i="1"/>
  <c r="IF49" i="1"/>
  <c r="IF48" i="1"/>
  <c r="IF47" i="1"/>
  <c r="IF46" i="1"/>
  <c r="IF272" i="1"/>
  <c r="IF271" i="1"/>
  <c r="IF270" i="1"/>
  <c r="IF269" i="1"/>
  <c r="IF267" i="1"/>
  <c r="IF266" i="1"/>
  <c r="IF134" i="1"/>
  <c r="IF133" i="1"/>
  <c r="IF132" i="1"/>
  <c r="IF131" i="1"/>
  <c r="IF130" i="1"/>
  <c r="IF127" i="1"/>
  <c r="IF126" i="1"/>
  <c r="IF125" i="1"/>
  <c r="IF120" i="1"/>
  <c r="IF119" i="1"/>
  <c r="IF118" i="1"/>
  <c r="IF117" i="1"/>
  <c r="IF116" i="1"/>
  <c r="IF28" i="1"/>
  <c r="IF27" i="1"/>
  <c r="IF26" i="1"/>
  <c r="IF268" i="1"/>
  <c r="IF256" i="1"/>
  <c r="IF144" i="1"/>
  <c r="IF255" i="1"/>
  <c r="IF338" i="1"/>
  <c r="IF254" i="1"/>
  <c r="IF274" i="1"/>
  <c r="IF339" i="1"/>
  <c r="IF175" i="1"/>
  <c r="IF145" i="1"/>
  <c r="IF174" i="1"/>
  <c r="IF340" i="1"/>
  <c r="IF173" i="1"/>
  <c r="IF275" i="1"/>
  <c r="IF172" i="1"/>
  <c r="IF341" i="1"/>
  <c r="IF171" i="1"/>
  <c r="IF331" i="1"/>
  <c r="IF170" i="1"/>
  <c r="IF342" i="1"/>
  <c r="IF169" i="1"/>
  <c r="IF140" i="1"/>
  <c r="IF168" i="1"/>
  <c r="IF141" i="1"/>
  <c r="IF167" i="1"/>
  <c r="IF343" i="1"/>
  <c r="IF166" i="1"/>
  <c r="IF332" i="1"/>
  <c r="IF165" i="1"/>
  <c r="IF344" i="1"/>
  <c r="IF164" i="1"/>
  <c r="IF227" i="1"/>
  <c r="IF163" i="1"/>
  <c r="IF276" i="1"/>
  <c r="IF162" i="1"/>
  <c r="IF345" i="1"/>
  <c r="IF161" i="1"/>
  <c r="IF333" i="1"/>
  <c r="IF160" i="1"/>
  <c r="IF346" i="1"/>
  <c r="IF159" i="1"/>
  <c r="IF142" i="1"/>
  <c r="IF158" i="1"/>
  <c r="IF347" i="1"/>
  <c r="IF157" i="1"/>
  <c r="IF40" i="1"/>
  <c r="IF156" i="1"/>
  <c r="IF31" i="1"/>
  <c r="IF155" i="1"/>
  <c r="IF349" i="1"/>
  <c r="IF348" i="1"/>
  <c r="IF153" i="1"/>
  <c r="IF154" i="1"/>
  <c r="IF152" i="1"/>
  <c r="IF335" i="1"/>
  <c r="IF151" i="1"/>
  <c r="IF143" i="1"/>
  <c r="IF150" i="1"/>
  <c r="IF336" i="1"/>
  <c r="IF149" i="1"/>
  <c r="IF258" i="1"/>
  <c r="IF148" i="1"/>
  <c r="IF30" i="1"/>
  <c r="IF147" i="1"/>
  <c r="IF301" i="1"/>
  <c r="IF290" i="1"/>
  <c r="IF59" i="1"/>
  <c r="IF37" i="1"/>
  <c r="IF220" i="1"/>
  <c r="IF216" i="1"/>
  <c r="IF214" i="1"/>
  <c r="IF211" i="1"/>
  <c r="IF208" i="1"/>
  <c r="IF205" i="1"/>
  <c r="IF202" i="1"/>
  <c r="IF200" i="1"/>
  <c r="IF197" i="1"/>
  <c r="IF194" i="1"/>
  <c r="IF191" i="1"/>
  <c r="IF337" i="1"/>
  <c r="IF303" i="1"/>
  <c r="IF286" i="1"/>
  <c r="IF292" i="1"/>
  <c r="IF277" i="1"/>
  <c r="IF35" i="1"/>
  <c r="IF222" i="1"/>
  <c r="IF219" i="1"/>
  <c r="IF217" i="1"/>
  <c r="IF215" i="1"/>
  <c r="IF212" i="1"/>
  <c r="IF209" i="1"/>
  <c r="IF206" i="1"/>
  <c r="IF204" i="1"/>
  <c r="IF201" i="1"/>
  <c r="IF198" i="1"/>
  <c r="IF196" i="1"/>
  <c r="IF193" i="1"/>
  <c r="IF190" i="1"/>
  <c r="IF257" i="1"/>
  <c r="IF146" i="1"/>
  <c r="IF259" i="1"/>
  <c r="IF307" i="1"/>
  <c r="IF235" i="1"/>
  <c r="IF226" i="1"/>
  <c r="IF251" i="1"/>
  <c r="IF300" i="1"/>
  <c r="IF234" i="1"/>
  <c r="IF304" i="1"/>
  <c r="IF225" i="1"/>
  <c r="IF288" i="1"/>
  <c r="IF366" i="1"/>
  <c r="IF283" i="1"/>
  <c r="IF302" i="1"/>
  <c r="IF305" i="1"/>
  <c r="IF299" i="1"/>
  <c r="IF360" i="1"/>
  <c r="IF250" i="1"/>
  <c r="IF14" i="1"/>
  <c r="IJ87" i="1"/>
  <c r="IJ81" i="1"/>
  <c r="IJ301" i="1"/>
  <c r="IJ76" i="1"/>
  <c r="NY42" i="1"/>
  <c r="L29" i="1"/>
  <c r="BA28" i="1" s="1"/>
  <c r="H36" i="1"/>
  <c r="J36" i="1"/>
  <c r="I50" i="1" s="1"/>
  <c r="L50" i="1" s="1"/>
  <c r="GI68" i="1"/>
  <c r="GI67" i="1"/>
  <c r="GI70" i="1"/>
  <c r="IW147" i="1"/>
  <c r="IW181" i="1"/>
  <c r="IW311" i="1"/>
  <c r="IW35" i="1"/>
  <c r="IW28" i="1"/>
  <c r="IW21" i="1"/>
  <c r="IW365" i="1"/>
  <c r="IW97" i="1"/>
  <c r="IW153" i="1"/>
  <c r="IW146" i="1"/>
  <c r="IW285" i="1"/>
  <c r="IW303" i="1"/>
  <c r="IW313" i="1"/>
  <c r="IW43" i="1"/>
  <c r="IW36" i="1"/>
  <c r="IW30" i="1"/>
  <c r="IW26" i="1"/>
  <c r="IW22" i="1"/>
  <c r="IW19" i="1"/>
  <c r="IW160" i="1"/>
  <c r="IW366" i="1"/>
  <c r="IW371" i="1"/>
  <c r="IW154" i="1"/>
  <c r="IW151" i="1"/>
  <c r="IW114" i="1"/>
  <c r="IW342" i="1"/>
  <c r="IW180" i="1"/>
  <c r="IW214" i="1"/>
  <c r="IW38" i="1"/>
  <c r="IW34" i="1"/>
  <c r="IW32" i="1"/>
  <c r="IW27" i="1"/>
  <c r="IW23" i="1"/>
  <c r="IW18" i="1"/>
  <c r="IW363" i="1"/>
  <c r="IW368" i="1"/>
  <c r="IW370" i="1"/>
  <c r="IW42" i="1"/>
  <c r="IW150" i="1"/>
  <c r="IW192" i="1"/>
  <c r="IW304" i="1"/>
  <c r="IW312" i="1"/>
  <c r="IW39" i="1"/>
  <c r="IW33" i="1"/>
  <c r="IW29" i="1"/>
  <c r="IW25" i="1"/>
  <c r="IW20" i="1"/>
  <c r="IW261" i="1"/>
  <c r="IW367" i="1"/>
  <c r="IW369" i="1"/>
  <c r="IW44" i="1"/>
  <c r="IW152" i="1"/>
  <c r="IW113" i="1"/>
  <c r="IW111" i="1"/>
  <c r="IW272" i="1"/>
  <c r="IW269" i="1"/>
  <c r="IW125" i="1"/>
  <c r="IW131" i="1"/>
  <c r="IW129" i="1"/>
  <c r="IW373" i="1"/>
  <c r="IW288" i="1"/>
  <c r="IW346" i="1"/>
  <c r="IW190" i="1"/>
  <c r="IW291" i="1"/>
  <c r="IW117" i="1"/>
  <c r="IW292" i="1"/>
  <c r="IW116" i="1"/>
  <c r="IW293" i="1"/>
  <c r="IW115" i="1"/>
  <c r="IW294" i="1"/>
  <c r="IW189" i="1"/>
  <c r="IW188" i="1"/>
  <c r="IW187" i="1"/>
  <c r="IW186" i="1"/>
  <c r="IW185" i="1"/>
  <c r="IW184" i="1"/>
  <c r="IW183" i="1"/>
  <c r="IW182" i="1"/>
  <c r="IW343" i="1"/>
  <c r="IW287" i="1"/>
  <c r="IW306" i="1"/>
  <c r="IW80" i="1"/>
  <c r="IW307" i="1"/>
  <c r="IW79" i="1"/>
  <c r="IW78" i="1"/>
  <c r="IW77" i="1"/>
  <c r="IW302" i="1"/>
  <c r="IW15" i="1"/>
  <c r="IW76" i="1"/>
  <c r="IW16" i="1"/>
  <c r="IW75" i="1"/>
  <c r="IW17" i="1"/>
  <c r="IW74" i="1"/>
  <c r="IW118" i="1"/>
  <c r="IW73" i="1"/>
  <c r="IW119" i="1"/>
  <c r="IW324" i="1"/>
  <c r="IW72" i="1"/>
  <c r="IW323" i="1"/>
  <c r="IW71" i="1"/>
  <c r="IW322" i="1"/>
  <c r="IW70" i="1"/>
  <c r="IW321" i="1"/>
  <c r="IW69" i="1"/>
  <c r="IW320" i="1"/>
  <c r="IW68" i="1"/>
  <c r="IW319" i="1"/>
  <c r="IW67" i="1"/>
  <c r="IW140" i="1"/>
  <c r="IW66" i="1"/>
  <c r="IW318" i="1"/>
  <c r="IW64" i="1"/>
  <c r="IW317" i="1"/>
  <c r="IW63" i="1"/>
  <c r="IW215" i="1"/>
  <c r="IW332" i="1"/>
  <c r="IW360" i="1"/>
  <c r="IW333" i="1"/>
  <c r="IW325" i="1"/>
  <c r="IW327" i="1"/>
  <c r="IW110" i="1"/>
  <c r="IW336" i="1"/>
  <c r="IW193" i="1"/>
  <c r="IW281" i="1"/>
  <c r="IW284" i="1"/>
  <c r="IW339" i="1"/>
  <c r="IW212" i="1"/>
  <c r="IW268" i="1"/>
  <c r="IW37" i="1"/>
  <c r="IW31" i="1"/>
  <c r="IW24" i="1"/>
  <c r="IW364" i="1"/>
  <c r="IW133" i="1"/>
  <c r="IW50" i="1"/>
  <c r="IW41" i="1"/>
  <c r="IW40" i="1"/>
  <c r="IW178" i="1"/>
  <c r="IW177" i="1"/>
  <c r="IW176" i="1"/>
  <c r="IW175" i="1"/>
  <c r="IW174" i="1"/>
  <c r="IW173" i="1"/>
  <c r="IW172" i="1"/>
  <c r="IW171" i="1"/>
  <c r="IW169" i="1"/>
  <c r="IW167" i="1"/>
  <c r="IW164" i="1"/>
  <c r="IW163" i="1"/>
  <c r="IW162" i="1"/>
  <c r="IW161" i="1"/>
  <c r="IW374" i="1"/>
  <c r="IW329" i="1"/>
  <c r="IW254" i="1"/>
  <c r="IW252" i="1"/>
  <c r="IW249" i="1"/>
  <c r="IW246" i="1"/>
  <c r="IW242" i="1"/>
  <c r="IW239" i="1"/>
  <c r="IW237" i="1"/>
  <c r="IW234" i="1"/>
  <c r="IW230" i="1"/>
  <c r="IW228" i="1"/>
  <c r="IW227" i="1"/>
  <c r="IW226" i="1"/>
  <c r="IW195" i="1"/>
  <c r="IW196" i="1"/>
  <c r="IW197" i="1"/>
  <c r="IW198" i="1"/>
  <c r="IW170" i="1"/>
  <c r="IW199" i="1"/>
  <c r="IW200" i="1"/>
  <c r="IW168" i="1"/>
  <c r="IW96" i="1"/>
  <c r="IW95" i="1"/>
  <c r="IW94" i="1"/>
  <c r="IW93" i="1"/>
  <c r="IW92" i="1"/>
  <c r="IW91" i="1"/>
  <c r="IW90" i="1"/>
  <c r="IW89" i="1"/>
  <c r="IW88" i="1"/>
  <c r="IW87" i="1"/>
  <c r="IW86" i="1"/>
  <c r="IW85" i="1"/>
  <c r="IW84" i="1"/>
  <c r="IW83" i="1"/>
  <c r="IW82" i="1"/>
  <c r="IW194" i="1"/>
  <c r="IW112" i="1"/>
  <c r="IW271" i="1"/>
  <c r="IW126" i="1"/>
  <c r="IW270" i="1"/>
  <c r="IW372" i="1"/>
  <c r="IW201" i="1"/>
  <c r="IW202" i="1"/>
  <c r="IW166" i="1"/>
  <c r="IW165" i="1"/>
  <c r="IW257" i="1"/>
  <c r="IW256" i="1"/>
  <c r="IW255" i="1"/>
  <c r="IW253" i="1"/>
  <c r="IW251" i="1"/>
  <c r="IW250" i="1"/>
  <c r="IW248" i="1"/>
  <c r="IW247" i="1"/>
  <c r="IW245" i="1"/>
  <c r="IW244" i="1"/>
  <c r="IW243" i="1"/>
  <c r="IW241" i="1"/>
  <c r="IW240" i="1"/>
  <c r="IW238" i="1"/>
  <c r="IW236" i="1"/>
  <c r="IW235" i="1"/>
  <c r="IW203" i="1"/>
  <c r="IW231" i="1"/>
  <c r="IW229" i="1"/>
  <c r="IW225" i="1"/>
  <c r="IW224" i="1"/>
  <c r="IW109" i="1"/>
  <c r="IW204" i="1"/>
  <c r="IW108" i="1"/>
  <c r="IW205" i="1"/>
  <c r="IW107" i="1"/>
  <c r="IW206" i="1"/>
  <c r="IW262" i="1"/>
  <c r="IW295" i="1"/>
  <c r="IW308" i="1"/>
  <c r="IW309" i="1"/>
  <c r="IW266" i="1"/>
  <c r="IW264" i="1"/>
  <c r="IW310" i="1"/>
  <c r="IW14" i="1"/>
  <c r="IW265" i="1"/>
  <c r="IW263" i="1"/>
  <c r="IW296" i="1"/>
  <c r="IW106" i="1"/>
  <c r="IW207" i="1"/>
  <c r="IW105" i="1"/>
  <c r="IW208" i="1"/>
  <c r="IW104" i="1"/>
  <c r="IW209" i="1"/>
  <c r="IW103" i="1"/>
  <c r="IW210" i="1"/>
  <c r="IW102" i="1"/>
  <c r="IW211" i="1"/>
  <c r="IW101" i="1"/>
  <c r="IW213" i="1"/>
  <c r="IW100" i="1"/>
  <c r="IW267" i="1"/>
  <c r="IW99" i="1"/>
  <c r="IW159" i="1"/>
  <c r="IW98" i="1"/>
  <c r="IW158" i="1"/>
  <c r="IW157" i="1"/>
  <c r="IW179" i="1"/>
  <c r="IW305" i="1"/>
  <c r="IW81" i="1"/>
  <c r="IW191" i="1"/>
  <c r="IW156" i="1"/>
  <c r="IW155" i="1"/>
  <c r="IW299" i="1"/>
  <c r="IW362" i="1"/>
  <c r="IW300" i="1"/>
  <c r="IW298" i="1"/>
  <c r="IW297" i="1"/>
  <c r="IW330" i="1"/>
  <c r="IW348" i="1"/>
  <c r="IW340" i="1"/>
  <c r="IW331" i="1"/>
  <c r="IW148" i="1"/>
  <c r="IW128" i="1"/>
  <c r="IW138" i="1"/>
  <c r="IW62" i="1"/>
  <c r="IW216" i="1"/>
  <c r="IW353" i="1"/>
  <c r="IW219" i="1"/>
  <c r="IW280" i="1"/>
  <c r="IW279" i="1"/>
  <c r="IW278" i="1"/>
  <c r="IW259" i="1"/>
  <c r="IW132" i="1"/>
  <c r="IW232" i="1"/>
  <c r="IW121" i="1"/>
  <c r="IW45" i="1"/>
  <c r="IW316" i="1"/>
  <c r="IW359" i="1"/>
  <c r="IW217" i="1"/>
  <c r="IW341" i="1"/>
  <c r="IW335" i="1"/>
  <c r="IW326" i="1"/>
  <c r="IW149" i="1"/>
  <c r="IW139" i="1"/>
  <c r="IW274" i="1"/>
  <c r="IW127" i="1"/>
  <c r="IW122" i="1"/>
  <c r="IW315" i="1"/>
  <c r="IW356" i="1"/>
  <c r="IW351" i="1"/>
  <c r="IW345" i="1"/>
  <c r="IW221" i="1"/>
  <c r="IW260" i="1"/>
  <c r="IW275" i="1"/>
  <c r="IW233" i="1"/>
  <c r="IW130" i="1"/>
  <c r="IW46" i="1"/>
  <c r="IW290" i="1"/>
  <c r="IW289" i="1"/>
  <c r="IW47" i="1"/>
  <c r="IW286" i="1"/>
  <c r="IW48" i="1"/>
  <c r="IW49" i="1"/>
  <c r="IW283" i="1"/>
  <c r="IW282" i="1"/>
  <c r="IW51" i="1"/>
  <c r="IW328" i="1"/>
  <c r="IW52" i="1"/>
  <c r="IW65" i="1"/>
  <c r="IW361" i="1"/>
  <c r="IW53" i="1"/>
  <c r="IW358" i="1"/>
  <c r="IW145" i="1"/>
  <c r="IW54" i="1"/>
  <c r="IW357" i="1"/>
  <c r="IW55" i="1"/>
  <c r="IW144" i="1"/>
  <c r="IW352" i="1"/>
  <c r="IW56" i="1"/>
  <c r="IW349" i="1"/>
  <c r="IW143" i="1"/>
  <c r="IW57" i="1"/>
  <c r="IW58" i="1"/>
  <c r="IW314" i="1"/>
  <c r="IW142" i="1"/>
  <c r="IW59" i="1"/>
  <c r="IW258" i="1"/>
  <c r="IW220" i="1"/>
  <c r="IW223" i="1"/>
  <c r="IW135" i="1"/>
  <c r="IW60" i="1"/>
  <c r="IW354" i="1"/>
  <c r="IW344" i="1"/>
  <c r="IW222" i="1"/>
  <c r="IW301" i="1"/>
  <c r="IW273" i="1"/>
  <c r="IW123" i="1"/>
  <c r="IW218" i="1"/>
  <c r="IW347" i="1"/>
  <c r="IW338" i="1"/>
  <c r="IW334" i="1"/>
  <c r="IW277" i="1"/>
  <c r="IW120" i="1"/>
  <c r="IW136" i="1"/>
  <c r="IW124" i="1"/>
  <c r="IW134" i="1"/>
  <c r="IW61" i="1"/>
  <c r="IW355" i="1"/>
  <c r="IW350" i="1"/>
  <c r="IW337" i="1"/>
  <c r="IW276" i="1"/>
  <c r="IW137" i="1"/>
  <c r="IW141" i="1"/>
  <c r="IV166" i="1"/>
  <c r="IV78" i="1"/>
  <c r="IV63" i="1"/>
  <c r="IV116" i="1"/>
  <c r="IV335" i="1"/>
  <c r="IV160" i="1"/>
  <c r="IV252" i="1"/>
  <c r="IV277" i="1"/>
  <c r="IV231" i="1"/>
  <c r="IV267" i="1"/>
  <c r="IV248" i="1"/>
  <c r="IV298" i="1"/>
  <c r="IV327" i="1"/>
  <c r="IV163" i="1"/>
  <c r="IV195" i="1"/>
  <c r="IV371" i="1"/>
  <c r="IV140" i="1"/>
  <c r="IV127" i="1"/>
  <c r="IV124" i="1"/>
  <c r="IV46" i="1"/>
  <c r="IV47" i="1"/>
  <c r="IV345" i="1"/>
  <c r="IV338" i="1"/>
  <c r="IV216" i="1"/>
  <c r="IV37" i="1"/>
  <c r="IV34" i="1"/>
  <c r="IV256" i="1"/>
  <c r="IV253" i="1"/>
  <c r="IV222" i="1"/>
  <c r="IV225" i="1"/>
  <c r="IV276" i="1"/>
  <c r="IV229" i="1"/>
  <c r="IV251" i="1"/>
  <c r="IV309" i="1"/>
  <c r="IV265" i="1"/>
  <c r="IV292" i="1"/>
  <c r="IV161" i="1"/>
  <c r="IV363" i="1"/>
  <c r="IV374" i="1"/>
  <c r="IV165" i="1"/>
  <c r="IV175" i="1"/>
  <c r="IV176" i="1"/>
  <c r="IV372" i="1"/>
  <c r="IV128" i="1"/>
  <c r="IV118" i="1"/>
  <c r="IV64" i="1"/>
  <c r="IV137" i="1"/>
  <c r="IV117" i="1"/>
  <c r="IV193" i="1"/>
  <c r="IV214" i="1"/>
  <c r="IV217" i="1"/>
  <c r="IV36" i="1"/>
  <c r="IV255" i="1"/>
  <c r="IV221" i="1"/>
  <c r="IV279" i="1"/>
  <c r="IV226" i="1"/>
  <c r="IV230" i="1"/>
  <c r="IV234" i="1"/>
  <c r="IV14" i="1"/>
  <c r="IV263" i="1"/>
  <c r="IV249" i="1"/>
  <c r="IV20" i="1"/>
  <c r="IV300" i="1"/>
  <c r="IV326" i="1"/>
  <c r="IV164" i="1"/>
  <c r="IV196" i="1"/>
  <c r="IV182" i="1"/>
  <c r="IV130" i="1"/>
  <c r="IV186" i="1"/>
  <c r="IV79" i="1"/>
  <c r="IV183" i="1"/>
  <c r="IV348" i="1"/>
  <c r="IV341" i="1"/>
  <c r="IV215" i="1"/>
  <c r="IV208" i="1"/>
  <c r="IV218" i="1"/>
  <c r="IV219" i="1"/>
  <c r="IV280" i="1"/>
  <c r="IV223" i="1"/>
  <c r="IV227" i="1"/>
  <c r="IV228" i="1"/>
  <c r="IV273" i="1"/>
  <c r="IV310" i="1"/>
  <c r="IV266" i="1"/>
  <c r="IV297" i="1"/>
  <c r="IV38" i="1"/>
  <c r="IV159" i="1"/>
  <c r="IV299" i="1"/>
  <c r="IV237" i="1"/>
  <c r="IV247" i="1"/>
  <c r="IV238" i="1"/>
  <c r="IV246" i="1"/>
  <c r="IV239" i="1"/>
  <c r="IV245" i="1"/>
  <c r="IV240" i="1"/>
  <c r="IV244" i="1"/>
  <c r="IV295" i="1"/>
  <c r="IV243" i="1"/>
  <c r="IV66" i="1"/>
  <c r="IV242" i="1"/>
  <c r="IV294" i="1"/>
  <c r="IV241" i="1"/>
  <c r="IV80" i="1"/>
  <c r="IV146" i="1"/>
  <c r="IV293" i="1"/>
  <c r="IV288" i="1"/>
  <c r="IV145" i="1"/>
  <c r="IV48" i="1"/>
  <c r="IV291" i="1"/>
  <c r="IV144" i="1"/>
  <c r="IV290" i="1"/>
  <c r="IV314" i="1"/>
  <c r="IV143" i="1"/>
  <c r="IV315" i="1"/>
  <c r="IV142" i="1"/>
  <c r="IV316" i="1"/>
  <c r="IV141" i="1"/>
  <c r="IV317" i="1"/>
  <c r="IV318" i="1"/>
  <c r="IV319" i="1"/>
  <c r="IV289" i="1"/>
  <c r="IV320" i="1"/>
  <c r="IV321" i="1"/>
  <c r="IV322" i="1"/>
  <c r="IV323" i="1"/>
  <c r="IV324" i="1"/>
  <c r="IV119" i="1"/>
  <c r="IV15" i="1"/>
  <c r="IV17" i="1"/>
  <c r="IV16" i="1"/>
  <c r="IV67" i="1"/>
  <c r="IV188" i="1"/>
  <c r="IV287" i="1"/>
  <c r="IV307" i="1"/>
  <c r="IV306" i="1"/>
  <c r="IV305" i="1"/>
  <c r="IV304" i="1"/>
  <c r="IV303" i="1"/>
  <c r="IV235" i="1"/>
  <c r="IV286" i="1"/>
  <c r="IV31" i="1"/>
  <c r="IV152" i="1"/>
  <c r="IV151" i="1"/>
  <c r="IV30" i="1"/>
  <c r="IV148" i="1"/>
  <c r="IV29" i="1"/>
  <c r="IV115" i="1"/>
  <c r="IV114" i="1"/>
  <c r="IV28" i="1"/>
  <c r="IV113" i="1"/>
  <c r="IV153" i="1"/>
  <c r="IV112" i="1"/>
  <c r="IV27" i="1"/>
  <c r="IV271" i="1"/>
  <c r="IV26" i="1"/>
  <c r="IV197" i="1"/>
  <c r="IV232" i="1"/>
  <c r="IV258" i="1"/>
  <c r="IV259" i="1"/>
  <c r="IV260" i="1"/>
  <c r="IV261" i="1"/>
  <c r="IV162" i="1"/>
  <c r="IV174" i="1"/>
  <c r="IV311" i="1"/>
  <c r="IV177" i="1"/>
  <c r="IV111" i="1"/>
  <c r="IV272" i="1"/>
  <c r="IV25" i="1"/>
  <c r="IV178" i="1"/>
  <c r="IV270" i="1"/>
  <c r="IV269" i="1"/>
  <c r="IV24" i="1"/>
  <c r="IV262" i="1"/>
  <c r="IV198" i="1"/>
  <c r="IV22" i="1"/>
  <c r="IV199" i="1"/>
  <c r="IV200" i="1"/>
  <c r="IV44" i="1"/>
  <c r="IV201" i="1"/>
  <c r="IV202" i="1"/>
  <c r="IV42" i="1"/>
  <c r="IV43" i="1"/>
  <c r="IV203" i="1"/>
  <c r="IV41" i="1"/>
  <c r="IV204" i="1"/>
  <c r="IV40" i="1"/>
  <c r="IV205" i="1"/>
  <c r="IV21" i="1"/>
  <c r="IV206" i="1"/>
  <c r="IV39" i="1"/>
  <c r="IV268" i="1"/>
  <c r="IV207" i="1"/>
  <c r="IV209" i="1"/>
  <c r="IV210" i="1"/>
  <c r="IV211" i="1"/>
  <c r="IV18" i="1"/>
  <c r="IV156" i="1"/>
  <c r="IV33" i="1"/>
  <c r="IV155" i="1"/>
  <c r="IV154" i="1"/>
  <c r="IV313" i="1"/>
  <c r="IV23" i="1"/>
  <c r="IV312" i="1"/>
  <c r="IV32" i="1"/>
  <c r="IV173" i="1"/>
  <c r="IV172" i="1"/>
  <c r="IV171" i="1"/>
  <c r="IV170" i="1"/>
  <c r="IV169" i="1"/>
  <c r="IV168" i="1"/>
  <c r="IV167" i="1"/>
  <c r="IV233" i="1"/>
  <c r="IV109" i="1"/>
  <c r="IV108" i="1"/>
  <c r="IV107" i="1"/>
  <c r="IV106" i="1"/>
  <c r="IV105" i="1"/>
  <c r="IV104" i="1"/>
  <c r="IV103" i="1"/>
  <c r="IV102" i="1"/>
  <c r="IV101" i="1"/>
  <c r="IV100" i="1"/>
  <c r="IV99" i="1"/>
  <c r="IV98" i="1"/>
  <c r="IV97" i="1"/>
  <c r="IV96" i="1"/>
  <c r="IV95" i="1"/>
  <c r="IV94" i="1"/>
  <c r="IV93" i="1"/>
  <c r="IV92" i="1"/>
  <c r="IV91" i="1"/>
  <c r="IV90" i="1"/>
  <c r="IV89" i="1"/>
  <c r="IV88" i="1"/>
  <c r="IV87" i="1"/>
  <c r="IV86" i="1"/>
  <c r="IV85" i="1"/>
  <c r="IV84" i="1"/>
  <c r="IV83" i="1"/>
  <c r="IV126" i="1"/>
  <c r="IV125" i="1"/>
  <c r="IV122" i="1"/>
  <c r="IV135" i="1"/>
  <c r="IV373" i="1"/>
  <c r="IV19" i="1"/>
  <c r="IV45" i="1"/>
  <c r="IV35" i="1"/>
  <c r="IV157" i="1"/>
  <c r="IV192" i="1"/>
  <c r="IV49" i="1"/>
  <c r="IV284" i="1"/>
  <c r="IV283" i="1"/>
  <c r="IV282" i="1"/>
  <c r="IV285" i="1"/>
  <c r="IV68" i="1"/>
  <c r="IV134" i="1"/>
  <c r="IV330" i="1"/>
  <c r="IV81" i="1"/>
  <c r="IV50" i="1"/>
  <c r="IV65" i="1"/>
  <c r="IV361" i="1"/>
  <c r="IV69" i="1"/>
  <c r="IV51" i="1"/>
  <c r="IV359" i="1"/>
  <c r="IV358" i="1"/>
  <c r="IV357" i="1"/>
  <c r="IV281" i="1"/>
  <c r="IV184" i="1"/>
  <c r="IV355" i="1"/>
  <c r="IV362" i="1"/>
  <c r="IV52" i="1"/>
  <c r="IV353" i="1"/>
  <c r="IV352" i="1"/>
  <c r="IV70" i="1"/>
  <c r="IV82" i="1"/>
  <c r="IV350" i="1"/>
  <c r="IV349" i="1"/>
  <c r="IV71" i="1"/>
  <c r="IV53" i="1"/>
  <c r="IV347" i="1"/>
  <c r="IV346" i="1"/>
  <c r="IV179" i="1"/>
  <c r="IV72" i="1"/>
  <c r="IV344" i="1"/>
  <c r="IV343" i="1"/>
  <c r="IV342" i="1"/>
  <c r="IV360" i="1"/>
  <c r="IV54" i="1"/>
  <c r="IV340" i="1"/>
  <c r="IV339" i="1"/>
  <c r="IV187" i="1"/>
  <c r="IV73" i="1"/>
  <c r="IV337" i="1"/>
  <c r="IV332" i="1"/>
  <c r="IV356" i="1"/>
  <c r="IV74" i="1"/>
  <c r="IV354" i="1"/>
  <c r="IV56" i="1"/>
  <c r="IV257" i="1"/>
  <c r="IV302" i="1"/>
  <c r="IV185" i="1"/>
  <c r="IV150" i="1"/>
  <c r="IV75" i="1"/>
  <c r="IV149" i="1"/>
  <c r="IV351" i="1"/>
  <c r="IV147" i="1"/>
  <c r="IV57" i="1"/>
  <c r="IV181" i="1"/>
  <c r="IV76" i="1"/>
  <c r="IV58" i="1"/>
  <c r="IV120" i="1"/>
  <c r="IV189" i="1"/>
  <c r="IV59" i="1"/>
  <c r="IV77" i="1"/>
  <c r="IV123" i="1"/>
  <c r="IV121" i="1"/>
  <c r="IV139" i="1"/>
  <c r="IV60" i="1"/>
  <c r="IV136" i="1"/>
  <c r="IV133" i="1"/>
  <c r="IV132" i="1"/>
  <c r="IV131" i="1"/>
  <c r="IV365" i="1"/>
  <c r="IV366" i="1"/>
  <c r="IV364" i="1"/>
  <c r="IV328" i="1"/>
  <c r="IV367" i="1"/>
  <c r="IV368" i="1"/>
  <c r="IV138" i="1"/>
  <c r="IV369" i="1"/>
  <c r="IV370" i="1"/>
  <c r="IV110" i="1"/>
  <c r="IV190" i="1"/>
  <c r="IV194" i="1"/>
  <c r="IV329" i="1"/>
  <c r="IV325" i="1"/>
  <c r="IV254" i="1"/>
  <c r="IV278" i="1"/>
  <c r="IV275" i="1"/>
  <c r="IV250" i="1"/>
  <c r="IV264" i="1"/>
  <c r="IV236" i="1"/>
  <c r="IV301" i="1"/>
  <c r="IV61" i="1"/>
  <c r="IV62" i="1"/>
  <c r="IV129" i="1"/>
  <c r="IV191" i="1"/>
  <c r="IV331" i="1"/>
  <c r="IV158" i="1"/>
  <c r="IV220" i="1"/>
  <c r="IV224" i="1"/>
  <c r="IV274" i="1"/>
  <c r="IV308" i="1"/>
  <c r="IV296" i="1"/>
  <c r="IV212" i="1"/>
  <c r="IV333" i="1"/>
  <c r="IV336" i="1"/>
  <c r="IV55" i="1"/>
  <c r="IV213" i="1"/>
  <c r="IV334" i="1"/>
  <c r="IV180" i="1"/>
  <c r="DY70" i="1"/>
  <c r="DY71" i="1" s="1"/>
  <c r="DY69" i="1"/>
  <c r="IR334" i="1"/>
  <c r="IR127" i="1"/>
  <c r="IR218" i="1"/>
  <c r="IR26" i="1"/>
  <c r="IR124" i="1"/>
  <c r="IR133" i="1"/>
  <c r="IR24" i="1"/>
  <c r="IR126" i="1"/>
  <c r="IR123" i="1"/>
  <c r="IR285" i="1"/>
  <c r="IR364" i="1"/>
  <c r="IR365" i="1"/>
  <c r="IR366" i="1"/>
  <c r="IR367" i="1"/>
  <c r="IR368" i="1"/>
  <c r="IR369" i="1"/>
  <c r="IR370" i="1"/>
  <c r="IR371" i="1"/>
  <c r="IR372" i="1"/>
  <c r="IR373" i="1"/>
  <c r="IR374" i="1"/>
  <c r="IR14" i="1"/>
  <c r="IR31" i="1"/>
  <c r="IR358" i="1"/>
  <c r="IR336" i="1"/>
  <c r="IR337" i="1"/>
  <c r="IR338" i="1"/>
  <c r="IR339" i="1"/>
  <c r="IR340" i="1"/>
  <c r="IR341" i="1"/>
  <c r="IR342" i="1"/>
  <c r="IR327" i="1"/>
  <c r="IR268" i="1"/>
  <c r="IR269" i="1"/>
  <c r="IR270" i="1"/>
  <c r="IR271" i="1"/>
  <c r="IR272" i="1"/>
  <c r="IR273" i="1"/>
  <c r="IR274" i="1"/>
  <c r="IR275" i="1"/>
  <c r="IR276" i="1"/>
  <c r="IR277" i="1"/>
  <c r="IR278" i="1"/>
  <c r="IR279" i="1"/>
  <c r="IR280" i="1"/>
  <c r="IR281" i="1"/>
  <c r="IR282" i="1"/>
  <c r="IR301" i="1"/>
  <c r="IR284" i="1"/>
  <c r="IR40" i="1"/>
  <c r="IR43" i="1"/>
  <c r="IR46" i="1"/>
  <c r="IR172" i="1"/>
  <c r="IR171" i="1"/>
  <c r="IR170" i="1"/>
  <c r="IR169" i="1"/>
  <c r="IR168" i="1"/>
  <c r="IR167" i="1"/>
  <c r="IR190" i="1"/>
  <c r="IR187" i="1"/>
  <c r="IR184" i="1"/>
  <c r="IR309" i="1"/>
  <c r="IR307" i="1"/>
  <c r="IR160" i="1"/>
  <c r="IR159" i="1"/>
  <c r="IR158" i="1"/>
  <c r="IR157" i="1"/>
  <c r="IR156" i="1"/>
  <c r="IR155" i="1"/>
  <c r="IR154" i="1"/>
  <c r="IR153" i="1"/>
  <c r="IR152" i="1"/>
  <c r="IR151" i="1"/>
  <c r="IR150" i="1"/>
  <c r="IR149" i="1"/>
  <c r="IR148" i="1"/>
  <c r="IR147" i="1"/>
  <c r="IR146" i="1"/>
  <c r="IR145" i="1"/>
  <c r="IR144" i="1"/>
  <c r="IR191" i="1"/>
  <c r="IR189" i="1"/>
  <c r="IR188" i="1"/>
  <c r="IR331" i="1"/>
  <c r="IR330" i="1"/>
  <c r="IR329" i="1"/>
  <c r="IR328" i="1"/>
  <c r="IR308" i="1"/>
  <c r="IR306" i="1"/>
  <c r="IR305" i="1"/>
  <c r="IR304" i="1"/>
  <c r="IR303" i="1"/>
  <c r="IR302" i="1"/>
  <c r="IR283" i="1"/>
  <c r="IR300" i="1"/>
  <c r="IR299" i="1"/>
  <c r="IR298" i="1"/>
  <c r="IR297" i="1"/>
  <c r="IR296" i="1"/>
  <c r="IR333" i="1"/>
  <c r="IR122" i="1"/>
  <c r="IR121" i="1"/>
  <c r="IR332" i="1"/>
  <c r="IR101" i="1"/>
  <c r="IR100" i="1"/>
  <c r="IR120" i="1"/>
  <c r="IR99" i="1"/>
  <c r="IR119" i="1"/>
  <c r="IR98" i="1"/>
  <c r="IR97" i="1"/>
  <c r="IR96" i="1"/>
  <c r="IR95" i="1"/>
  <c r="IR94" i="1"/>
  <c r="IR295" i="1"/>
  <c r="IR92" i="1"/>
  <c r="IR30" i="1"/>
  <c r="IR29" i="1"/>
  <c r="IR140" i="1"/>
  <c r="IR139" i="1"/>
  <c r="IR138" i="1"/>
  <c r="IR137" i="1"/>
  <c r="IR28" i="1"/>
  <c r="IR136" i="1"/>
  <c r="IR135" i="1"/>
  <c r="IR134" i="1"/>
  <c r="IR116" i="1"/>
  <c r="IR131" i="1"/>
  <c r="IR115" i="1"/>
  <c r="IR130" i="1"/>
  <c r="IR335" i="1"/>
  <c r="IR129" i="1"/>
  <c r="IR128" i="1"/>
  <c r="IR23" i="1"/>
  <c r="IR22" i="1"/>
  <c r="IR21" i="1"/>
  <c r="IR20" i="1"/>
  <c r="IR19" i="1"/>
  <c r="IR63" i="1"/>
  <c r="IR62" i="1"/>
  <c r="IR61" i="1"/>
  <c r="IR60" i="1"/>
  <c r="IR59" i="1"/>
  <c r="IR58" i="1"/>
  <c r="IR217" i="1"/>
  <c r="IR216" i="1"/>
  <c r="IR215" i="1"/>
  <c r="IR214" i="1"/>
  <c r="IR213" i="1"/>
  <c r="IR212" i="1"/>
  <c r="IR211" i="1"/>
  <c r="IR210" i="1"/>
  <c r="IR209" i="1"/>
  <c r="IR208" i="1"/>
  <c r="IR207" i="1"/>
  <c r="IR186" i="1"/>
  <c r="IR183" i="1"/>
  <c r="IR185" i="1"/>
  <c r="IR118" i="1"/>
  <c r="IR117" i="1"/>
  <c r="IR132" i="1"/>
  <c r="IR294" i="1"/>
  <c r="IR293" i="1"/>
  <c r="IR292" i="1"/>
  <c r="IR291" i="1"/>
  <c r="IR290" i="1"/>
  <c r="IR93" i="1"/>
  <c r="IR289" i="1"/>
  <c r="IR288" i="1"/>
  <c r="IR287" i="1"/>
  <c r="IR286" i="1"/>
  <c r="IR45" i="1"/>
  <c r="IR41" i="1"/>
  <c r="IR37" i="1"/>
  <c r="IR36" i="1"/>
  <c r="IR35" i="1"/>
  <c r="IR359" i="1"/>
  <c r="IR80" i="1"/>
  <c r="IR81" i="1"/>
  <c r="IR33" i="1"/>
  <c r="IR32" i="1"/>
  <c r="IR34" i="1"/>
  <c r="IR15" i="1"/>
  <c r="IR16" i="1"/>
  <c r="IR17" i="1"/>
  <c r="IR18" i="1"/>
  <c r="IR141" i="1"/>
  <c r="IR142" i="1"/>
  <c r="IR143" i="1"/>
  <c r="IR267" i="1"/>
  <c r="IR67" i="1"/>
  <c r="IR66" i="1"/>
  <c r="IR65" i="1"/>
  <c r="IR64" i="1"/>
  <c r="IR114" i="1"/>
  <c r="IR44" i="1"/>
  <c r="IR39" i="1"/>
  <c r="IR360" i="1"/>
  <c r="IR361" i="1"/>
  <c r="IR362" i="1"/>
  <c r="IR363" i="1"/>
  <c r="IR113" i="1"/>
  <c r="IR112" i="1"/>
  <c r="IR111" i="1"/>
  <c r="IR109" i="1"/>
  <c r="IR69" i="1"/>
  <c r="IR108" i="1"/>
  <c r="IR70" i="1"/>
  <c r="IR68" i="1"/>
  <c r="IR71" i="1"/>
  <c r="IR72" i="1"/>
  <c r="IR106" i="1"/>
  <c r="IR73" i="1"/>
  <c r="IR74" i="1"/>
  <c r="IR75" i="1"/>
  <c r="IR76" i="1"/>
  <c r="IR77" i="1"/>
  <c r="IR345" i="1"/>
  <c r="IR107" i="1"/>
  <c r="IR110" i="1"/>
  <c r="IR105" i="1"/>
  <c r="IR104" i="1"/>
  <c r="IR103" i="1"/>
  <c r="IR102" i="1"/>
  <c r="IR78" i="1"/>
  <c r="IR79" i="1"/>
  <c r="IR344" i="1"/>
  <c r="IR343" i="1"/>
  <c r="IR47" i="1"/>
  <c r="IR42" i="1"/>
  <c r="IR38" i="1"/>
  <c r="IR25" i="1"/>
  <c r="IR125" i="1"/>
  <c r="IR27" i="1"/>
  <c r="IR323" i="1"/>
  <c r="IR318" i="1"/>
  <c r="IR310" i="1"/>
  <c r="IR235" i="1"/>
  <c r="IR229" i="1"/>
  <c r="IR222" i="1"/>
  <c r="IR86" i="1"/>
  <c r="IR350" i="1"/>
  <c r="IR205" i="1"/>
  <c r="IR202" i="1"/>
  <c r="IR354" i="1"/>
  <c r="IR196" i="1"/>
  <c r="IR357" i="1"/>
  <c r="IR180" i="1"/>
  <c r="IR57" i="1"/>
  <c r="IR49" i="1"/>
  <c r="IR325" i="1"/>
  <c r="IR321" i="1"/>
  <c r="IR317" i="1"/>
  <c r="IR313" i="1"/>
  <c r="IR165" i="1"/>
  <c r="IR162" i="1"/>
  <c r="IR231" i="1"/>
  <c r="IR225" i="1"/>
  <c r="IR90" i="1"/>
  <c r="IR347" i="1"/>
  <c r="IR348" i="1"/>
  <c r="IR83" i="1"/>
  <c r="IR221" i="1"/>
  <c r="IR351" i="1"/>
  <c r="IR201" i="1"/>
  <c r="IR199" i="1"/>
  <c r="IR197" i="1"/>
  <c r="IR195" i="1"/>
  <c r="IR193" i="1"/>
  <c r="IR91" i="1"/>
  <c r="IR178" i="1"/>
  <c r="IR181" i="1"/>
  <c r="IR206" i="1"/>
  <c r="IR56" i="1"/>
  <c r="IR54" i="1"/>
  <c r="IR50" i="1"/>
  <c r="IR174" i="1"/>
  <c r="IR320" i="1"/>
  <c r="IR315" i="1"/>
  <c r="IR311" i="1"/>
  <c r="IR163" i="1"/>
  <c r="IR234" i="1"/>
  <c r="IR230" i="1"/>
  <c r="IR226" i="1"/>
  <c r="IR223" i="1"/>
  <c r="IR88" i="1"/>
  <c r="IR87" i="1"/>
  <c r="IR84" i="1"/>
  <c r="IR82" i="1"/>
  <c r="IR219" i="1"/>
  <c r="IR352" i="1"/>
  <c r="IR353" i="1"/>
  <c r="IR198" i="1"/>
  <c r="IR355" i="1"/>
  <c r="IR194" i="1"/>
  <c r="IR177" i="1"/>
  <c r="IR179" i="1"/>
  <c r="IR182" i="1"/>
  <c r="IR55" i="1"/>
  <c r="IR53" i="1"/>
  <c r="IR51" i="1"/>
  <c r="IR48" i="1"/>
  <c r="IR175" i="1"/>
  <c r="IR176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0" i="1"/>
  <c r="IR261" i="1"/>
  <c r="IR262" i="1"/>
  <c r="IR263" i="1"/>
  <c r="IR264" i="1"/>
  <c r="IR265" i="1"/>
  <c r="IR266" i="1"/>
  <c r="IR316" i="1"/>
  <c r="IR236" i="1"/>
  <c r="IR237" i="1"/>
  <c r="IR238" i="1"/>
  <c r="IR326" i="1"/>
  <c r="IR322" i="1"/>
  <c r="IR312" i="1"/>
  <c r="IR161" i="1"/>
  <c r="IR227" i="1"/>
  <c r="IR89" i="1"/>
  <c r="IR85" i="1"/>
  <c r="IR220" i="1"/>
  <c r="IR200" i="1"/>
  <c r="IR356" i="1"/>
  <c r="IR52" i="1"/>
  <c r="IR324" i="1"/>
  <c r="IR319" i="1"/>
  <c r="IR166" i="1"/>
  <c r="IR233" i="1"/>
  <c r="IR228" i="1"/>
  <c r="IR224" i="1"/>
  <c r="IR203" i="1"/>
  <c r="IR173" i="1"/>
  <c r="IR314" i="1"/>
  <c r="IR164" i="1"/>
  <c r="IR232" i="1"/>
  <c r="IR346" i="1"/>
  <c r="IR349" i="1"/>
  <c r="IR204" i="1"/>
  <c r="IR192" i="1"/>
  <c r="BB78" i="1"/>
  <c r="IS11" i="1"/>
  <c r="NP31" i="1"/>
  <c r="QX27" i="1"/>
  <c r="RC24" i="1" s="1"/>
  <c r="DZ49" i="1"/>
  <c r="DY63" i="1"/>
  <c r="DY64" i="1"/>
  <c r="DY65" i="1" s="1"/>
  <c r="IN31" i="1"/>
  <c r="IN167" i="1"/>
  <c r="IN300" i="1"/>
  <c r="IN364" i="1"/>
  <c r="IN47" i="1"/>
  <c r="IN85" i="1"/>
  <c r="IN58" i="1"/>
  <c r="IN152" i="1"/>
  <c r="IN216" i="1"/>
  <c r="IN278" i="1"/>
  <c r="IN283" i="1"/>
  <c r="IN107" i="1"/>
  <c r="IN309" i="1"/>
  <c r="IN242" i="1"/>
  <c r="IN275" i="1"/>
  <c r="IN72" i="1"/>
  <c r="IN215" i="1"/>
  <c r="IN280" i="1"/>
  <c r="IN352" i="1"/>
  <c r="IN23" i="1"/>
  <c r="IN84" i="1"/>
  <c r="IN173" i="1"/>
  <c r="IN135" i="1"/>
  <c r="IN213" i="1"/>
  <c r="IN33" i="1"/>
  <c r="IN302" i="1"/>
  <c r="IN347" i="1"/>
  <c r="IN371" i="1"/>
  <c r="IN14" i="1"/>
  <c r="IN109" i="1"/>
  <c r="IN362" i="1"/>
  <c r="IN153" i="1"/>
  <c r="IN212" i="1"/>
  <c r="IN209" i="1"/>
  <c r="IN77" i="1"/>
  <c r="IN55" i="1"/>
  <c r="IN311" i="1"/>
  <c r="IN184" i="1"/>
  <c r="IN219" i="1"/>
  <c r="IN155" i="1"/>
  <c r="IN157" i="1"/>
  <c r="IN158" i="1"/>
  <c r="IN160" i="1"/>
  <c r="IN162" i="1"/>
  <c r="IN163" i="1"/>
  <c r="IN165" i="1"/>
  <c r="IN166" i="1"/>
  <c r="IN168" i="1"/>
  <c r="IN101" i="1"/>
  <c r="IN226" i="1"/>
  <c r="IN227" i="1"/>
  <c r="IN121" i="1"/>
  <c r="IN122" i="1"/>
  <c r="IN123" i="1"/>
  <c r="IN124" i="1"/>
  <c r="IN228" i="1"/>
  <c r="IN229" i="1"/>
  <c r="IN230" i="1"/>
  <c r="IN317" i="1"/>
  <c r="IN130" i="1"/>
  <c r="IN131" i="1"/>
  <c r="IN132" i="1"/>
  <c r="IN133" i="1"/>
  <c r="IN318" i="1"/>
  <c r="IN319" i="1"/>
  <c r="IN320" i="1"/>
  <c r="IN138" i="1"/>
  <c r="IN139" i="1"/>
  <c r="IN140" i="1"/>
  <c r="IN141" i="1"/>
  <c r="IN142" i="1"/>
  <c r="IN143" i="1"/>
  <c r="IN144" i="1"/>
  <c r="IN64" i="1"/>
  <c r="IN145" i="1"/>
  <c r="IN146" i="1"/>
  <c r="IN147" i="1"/>
  <c r="IN321" i="1"/>
  <c r="IN234" i="1"/>
  <c r="IN235" i="1"/>
  <c r="IN236" i="1"/>
  <c r="IN237" i="1"/>
  <c r="IN238" i="1"/>
  <c r="IN322" i="1"/>
  <c r="IN323" i="1"/>
  <c r="IN324" i="1"/>
  <c r="IN325" i="1"/>
  <c r="IN244" i="1"/>
  <c r="IN245" i="1"/>
  <c r="IN246" i="1"/>
  <c r="IN271" i="1"/>
  <c r="IN326" i="1"/>
  <c r="IN272" i="1"/>
  <c r="IN327" i="1"/>
  <c r="IN273" i="1"/>
  <c r="IN328" i="1"/>
  <c r="IN274" i="1"/>
  <c r="IN329" i="1"/>
  <c r="IN306" i="1"/>
  <c r="IN313" i="1"/>
  <c r="IN307" i="1"/>
  <c r="IN368" i="1"/>
  <c r="IN308" i="1"/>
  <c r="IN204" i="1"/>
  <c r="IN198" i="1"/>
  <c r="IN189" i="1"/>
  <c r="IN186" i="1"/>
  <c r="IN267" i="1"/>
  <c r="IN266" i="1"/>
  <c r="IN279" i="1"/>
  <c r="IN260" i="1"/>
  <c r="IN257" i="1"/>
  <c r="IN255" i="1"/>
  <c r="IN252" i="1"/>
  <c r="IN249" i="1"/>
  <c r="IN247" i="1"/>
  <c r="IN232" i="1"/>
  <c r="IN258" i="1"/>
  <c r="IN315" i="1"/>
  <c r="IN314" i="1"/>
  <c r="IN95" i="1"/>
  <c r="IN224" i="1"/>
  <c r="IN223" i="1"/>
  <c r="IN104" i="1"/>
  <c r="IN102" i="1"/>
  <c r="IN222" i="1"/>
  <c r="IN221" i="1"/>
  <c r="IN88" i="1"/>
  <c r="IN87" i="1"/>
  <c r="IN86" i="1"/>
  <c r="IN169" i="1"/>
  <c r="IN197" i="1"/>
  <c r="IN191" i="1"/>
  <c r="IN100" i="1"/>
  <c r="IN200" i="1"/>
  <c r="IN192" i="1"/>
  <c r="IN188" i="1"/>
  <c r="IN269" i="1"/>
  <c r="IN263" i="1"/>
  <c r="IN201" i="1"/>
  <c r="IN194" i="1"/>
  <c r="IN185" i="1"/>
  <c r="IN97" i="1"/>
  <c r="IN253" i="1"/>
  <c r="IN203" i="1"/>
  <c r="IN196" i="1"/>
  <c r="IN190" i="1"/>
  <c r="IN187" i="1"/>
  <c r="IN268" i="1"/>
  <c r="IN98" i="1"/>
  <c r="IN265" i="1"/>
  <c r="IN261" i="1"/>
  <c r="IN96" i="1"/>
  <c r="IN256" i="1"/>
  <c r="IN254" i="1"/>
  <c r="IN250" i="1"/>
  <c r="IN248" i="1"/>
  <c r="IN233" i="1"/>
  <c r="IN231" i="1"/>
  <c r="IN316" i="1"/>
  <c r="IN225" i="1"/>
  <c r="IN193" i="1"/>
  <c r="IN270" i="1"/>
  <c r="IN99" i="1"/>
  <c r="IN264" i="1"/>
  <c r="IN262" i="1"/>
  <c r="IN259" i="1"/>
  <c r="IN251" i="1"/>
  <c r="IN202" i="1"/>
  <c r="IN199" i="1"/>
  <c r="IN195" i="1"/>
  <c r="IN284" i="1"/>
  <c r="IN350" i="1"/>
  <c r="IN358" i="1"/>
  <c r="IN365" i="1"/>
  <c r="IN71" i="1"/>
  <c r="IN103" i="1"/>
  <c r="IN125" i="1"/>
  <c r="IN134" i="1"/>
  <c r="IN137" i="1"/>
  <c r="IN116" i="1"/>
  <c r="IN369" i="1"/>
  <c r="IN286" i="1"/>
  <c r="IN372" i="1"/>
  <c r="IN40" i="1"/>
  <c r="IN374" i="1"/>
  <c r="IN36" i="1"/>
  <c r="IN243" i="1"/>
  <c r="IN170" i="1"/>
  <c r="IN32" i="1"/>
  <c r="IN43" i="1"/>
  <c r="IN156" i="1"/>
  <c r="IN108" i="1"/>
  <c r="IN16" i="1"/>
  <c r="IN344" i="1"/>
  <c r="IN349" i="1"/>
  <c r="IN356" i="1"/>
  <c r="IN367" i="1"/>
  <c r="IN73" i="1"/>
  <c r="IN92" i="1"/>
  <c r="IN129" i="1"/>
  <c r="IN113" i="1"/>
  <c r="IN50" i="1"/>
  <c r="IN177" i="1"/>
  <c r="IN39" i="1"/>
  <c r="IN373" i="1"/>
  <c r="IN41" i="1"/>
  <c r="IN148" i="1"/>
  <c r="IN239" i="1"/>
  <c r="IN241" i="1"/>
  <c r="IN25" i="1"/>
  <c r="IN26" i="1"/>
  <c r="IN27" i="1"/>
  <c r="IN24" i="1"/>
  <c r="IN28" i="1"/>
  <c r="IN291" i="1"/>
  <c r="IN29" i="1"/>
  <c r="IN172" i="1"/>
  <c r="IN83" i="1"/>
  <c r="IN22" i="1"/>
  <c r="IN240" i="1"/>
  <c r="IN298" i="1"/>
  <c r="IN346" i="1"/>
  <c r="IN37" i="1"/>
  <c r="IN183" i="1"/>
  <c r="IN112" i="1"/>
  <c r="IN57" i="1"/>
  <c r="IN53" i="1"/>
  <c r="IN18" i="1"/>
  <c r="IN120" i="1"/>
  <c r="IN277" i="1"/>
  <c r="IN180" i="1"/>
  <c r="IN292" i="1"/>
  <c r="IN51" i="1"/>
  <c r="IN294" i="1"/>
  <c r="IN117" i="1"/>
  <c r="IN105" i="1"/>
  <c r="IN60" i="1"/>
  <c r="IN54" i="1"/>
  <c r="IN299" i="1"/>
  <c r="IN331" i="1"/>
  <c r="IN336" i="1"/>
  <c r="IN338" i="1"/>
  <c r="IN353" i="1"/>
  <c r="IN360" i="1"/>
  <c r="IN363" i="1"/>
  <c r="IN66" i="1"/>
  <c r="IN90" i="1"/>
  <c r="IN119" i="1"/>
  <c r="IN127" i="1"/>
  <c r="IN78" i="1"/>
  <c r="IN310" i="1"/>
  <c r="IN304" i="1"/>
  <c r="IN295" i="1"/>
  <c r="IN334" i="1"/>
  <c r="IN174" i="1"/>
  <c r="IN45" i="1"/>
  <c r="IN79" i="1"/>
  <c r="IN149" i="1"/>
  <c r="IN297" i="1"/>
  <c r="IN118" i="1"/>
  <c r="IN63" i="1"/>
  <c r="IN56" i="1"/>
  <c r="IN21" i="1"/>
  <c r="IN15" i="1"/>
  <c r="IN305" i="1"/>
  <c r="IN335" i="1"/>
  <c r="IN342" i="1"/>
  <c r="IN351" i="1"/>
  <c r="IN359" i="1"/>
  <c r="IN68" i="1"/>
  <c r="IN89" i="1"/>
  <c r="IN128" i="1"/>
  <c r="IN136" i="1"/>
  <c r="IN38" i="1"/>
  <c r="IN339" i="1"/>
  <c r="IN281" i="1"/>
  <c r="IN290" i="1"/>
  <c r="IN115" i="1"/>
  <c r="IN296" i="1"/>
  <c r="IN301" i="1"/>
  <c r="IN34" i="1"/>
  <c r="IN35" i="1"/>
  <c r="IN111" i="1"/>
  <c r="IN106" i="1"/>
  <c r="IN59" i="1"/>
  <c r="IN52" i="1"/>
  <c r="IN303" i="1"/>
  <c r="IN340" i="1"/>
  <c r="IN343" i="1"/>
  <c r="IN282" i="1"/>
  <c r="IN30" i="1"/>
  <c r="IN44" i="1"/>
  <c r="IN154" i="1"/>
  <c r="IN171" i="1"/>
  <c r="IN110" i="1"/>
  <c r="IN62" i="1"/>
  <c r="IN20" i="1"/>
  <c r="IN178" i="1"/>
  <c r="IN42" i="1"/>
  <c r="IN341" i="1"/>
  <c r="IN348" i="1"/>
  <c r="IN355" i="1"/>
  <c r="IN361" i="1"/>
  <c r="IN67" i="1"/>
  <c r="IN74" i="1"/>
  <c r="IN93" i="1"/>
  <c r="IN114" i="1"/>
  <c r="IN81" i="1"/>
  <c r="IN276" i="1"/>
  <c r="IN164" i="1"/>
  <c r="IN19" i="1"/>
  <c r="IN70" i="1"/>
  <c r="IN175" i="1"/>
  <c r="IN217" i="1"/>
  <c r="IN354" i="1"/>
  <c r="IN289" i="1"/>
  <c r="IN345" i="1"/>
  <c r="IN285" i="1"/>
  <c r="IN182" i="1"/>
  <c r="IN312" i="1"/>
  <c r="IN366" i="1"/>
  <c r="IN214" i="1"/>
  <c r="IN151" i="1"/>
  <c r="IN337" i="1"/>
  <c r="IN126" i="1"/>
  <c r="IN49" i="1"/>
  <c r="IN176" i="1"/>
  <c r="IN287" i="1"/>
  <c r="IN75" i="1"/>
  <c r="IN161" i="1"/>
  <c r="IN332" i="1"/>
  <c r="IN94" i="1"/>
  <c r="IN205" i="1"/>
  <c r="IN357" i="1"/>
  <c r="IN91" i="1"/>
  <c r="IN48" i="1"/>
  <c r="IN288" i="1"/>
  <c r="IN80" i="1"/>
  <c r="IN179" i="1"/>
  <c r="IN17" i="1"/>
  <c r="IN69" i="1"/>
  <c r="IN220" i="1"/>
  <c r="IN207" i="1"/>
  <c r="IN159" i="1"/>
  <c r="IN330" i="1"/>
  <c r="IN65" i="1"/>
  <c r="IN150" i="1"/>
  <c r="IN370" i="1"/>
  <c r="IN82" i="1"/>
  <c r="IN210" i="1"/>
  <c r="IN211" i="1"/>
  <c r="IN206" i="1"/>
  <c r="IN333" i="1"/>
  <c r="IN218" i="1"/>
  <c r="IN208" i="1"/>
  <c r="IN61" i="1"/>
  <c r="IN76" i="1"/>
  <c r="IN46" i="1"/>
  <c r="IN181" i="1"/>
  <c r="IN293" i="1"/>
  <c r="IO330" i="1"/>
  <c r="IO326" i="1"/>
  <c r="IO182" i="1"/>
  <c r="IO43" i="1"/>
  <c r="IO216" i="1"/>
  <c r="IO167" i="1"/>
  <c r="IO323" i="1"/>
  <c r="IO351" i="1"/>
  <c r="IO38" i="1"/>
  <c r="IO15" i="1"/>
  <c r="IO27" i="1"/>
  <c r="IO45" i="1"/>
  <c r="IO312" i="1"/>
  <c r="IO282" i="1"/>
  <c r="IO210" i="1"/>
  <c r="IO151" i="1"/>
  <c r="IO272" i="1"/>
  <c r="IO274" i="1"/>
  <c r="IO104" i="1"/>
  <c r="IO144" i="1"/>
  <c r="IO358" i="1"/>
  <c r="IO251" i="1"/>
  <c r="IO146" i="1"/>
  <c r="IO100" i="1"/>
  <c r="IO371" i="1"/>
  <c r="IO32" i="1"/>
  <c r="IO47" i="1"/>
  <c r="IO188" i="1"/>
  <c r="IO327" i="1"/>
  <c r="IO165" i="1"/>
  <c r="IO88" i="1"/>
  <c r="IO352" i="1"/>
  <c r="IO39" i="1"/>
  <c r="IO99" i="1"/>
  <c r="IO353" i="1"/>
  <c r="IO37" i="1"/>
  <c r="IO31" i="1"/>
  <c r="IO155" i="1"/>
  <c r="IO153" i="1"/>
  <c r="IO194" i="1"/>
  <c r="IO373" i="1"/>
  <c r="IO235" i="1"/>
  <c r="IO354" i="1"/>
  <c r="IO49" i="1"/>
  <c r="IO349" i="1"/>
  <c r="IO40" i="1"/>
  <c r="IO36" i="1"/>
  <c r="IO145" i="1"/>
  <c r="IO24" i="1"/>
  <c r="IO297" i="1"/>
  <c r="IO298" i="1"/>
  <c r="IO299" i="1"/>
  <c r="IO300" i="1"/>
  <c r="IO301" i="1"/>
  <c r="IO302" i="1"/>
  <c r="IO303" i="1"/>
  <c r="IO304" i="1"/>
  <c r="IO305" i="1"/>
  <c r="IO306" i="1"/>
  <c r="IO307" i="1"/>
  <c r="IO93" i="1"/>
  <c r="IO92" i="1"/>
  <c r="IO91" i="1"/>
  <c r="IO90" i="1"/>
  <c r="IO89" i="1"/>
  <c r="IO19" i="1"/>
  <c r="IO74" i="1"/>
  <c r="IO20" i="1"/>
  <c r="IO73" i="1"/>
  <c r="IO21" i="1"/>
  <c r="IO72" i="1"/>
  <c r="IO22" i="1"/>
  <c r="IO51" i="1"/>
  <c r="IO70" i="1"/>
  <c r="IO52" i="1"/>
  <c r="IO69" i="1"/>
  <c r="IO53" i="1"/>
  <c r="IO68" i="1"/>
  <c r="IO54" i="1"/>
  <c r="IO67" i="1"/>
  <c r="IO55" i="1"/>
  <c r="IO66" i="1"/>
  <c r="IO56" i="1"/>
  <c r="IO65" i="1"/>
  <c r="IO57" i="1"/>
  <c r="IO64" i="1"/>
  <c r="IO63" i="1"/>
  <c r="IO59" i="1"/>
  <c r="IO119" i="1"/>
  <c r="IO60" i="1"/>
  <c r="IO120" i="1"/>
  <c r="IO61" i="1"/>
  <c r="IO121" i="1"/>
  <c r="IO62" i="1"/>
  <c r="IO122" i="1"/>
  <c r="IO123" i="1"/>
  <c r="IO105" i="1"/>
  <c r="IO124" i="1"/>
  <c r="IO106" i="1"/>
  <c r="IO129" i="1"/>
  <c r="IO107" i="1"/>
  <c r="IO130" i="1"/>
  <c r="IO108" i="1"/>
  <c r="IO131" i="1"/>
  <c r="IO109" i="1"/>
  <c r="IO132" i="1"/>
  <c r="IO110" i="1"/>
  <c r="IO355" i="1"/>
  <c r="IO111" i="1"/>
  <c r="IO137" i="1"/>
  <c r="IO138" i="1"/>
  <c r="IO117" i="1"/>
  <c r="IO348" i="1"/>
  <c r="IO200" i="1"/>
  <c r="IO308" i="1"/>
  <c r="IO239" i="1"/>
  <c r="IO336" i="1"/>
  <c r="IO168" i="1"/>
  <c r="IO335" i="1"/>
  <c r="IO240" i="1"/>
  <c r="IO334" i="1"/>
  <c r="IO241" i="1"/>
  <c r="IO333" i="1"/>
  <c r="IO332" i="1"/>
  <c r="IO372" i="1"/>
  <c r="IO133" i="1"/>
  <c r="IO164" i="1"/>
  <c r="IO192" i="1"/>
  <c r="IO163" i="1"/>
  <c r="IO223" i="1"/>
  <c r="IO162" i="1"/>
  <c r="IO191" i="1"/>
  <c r="IO161" i="1"/>
  <c r="IO212" i="1"/>
  <c r="IO160" i="1"/>
  <c r="IO190" i="1"/>
  <c r="IO159" i="1"/>
  <c r="IO228" i="1"/>
  <c r="IO158" i="1"/>
  <c r="IO189" i="1"/>
  <c r="IO211" i="1"/>
  <c r="IO156" i="1"/>
  <c r="IO283" i="1"/>
  <c r="IO157" i="1"/>
  <c r="IO284" i="1"/>
  <c r="IO285" i="1"/>
  <c r="IO286" i="1"/>
  <c r="IO287" i="1"/>
  <c r="IO288" i="1"/>
  <c r="IO289" i="1"/>
  <c r="IO290" i="1"/>
  <c r="IO291" i="1"/>
  <c r="IO292" i="1"/>
  <c r="IO293" i="1"/>
  <c r="IO294" i="1"/>
  <c r="IO295" i="1"/>
  <c r="IO296" i="1"/>
  <c r="IO253" i="1"/>
  <c r="IO309" i="1"/>
  <c r="IO225" i="1"/>
  <c r="IO310" i="1"/>
  <c r="IO252" i="1"/>
  <c r="IO311" i="1"/>
  <c r="IO198" i="1"/>
  <c r="IO95" i="1"/>
  <c r="IO215" i="1"/>
  <c r="IO83" i="1"/>
  <c r="IO81" i="1"/>
  <c r="IO80" i="1"/>
  <c r="IO75" i="1"/>
  <c r="IO71" i="1"/>
  <c r="IO361" i="1"/>
  <c r="IO221" i="1"/>
  <c r="IO270" i="1"/>
  <c r="IO208" i="1"/>
  <c r="IO269" i="1"/>
  <c r="IO227" i="1"/>
  <c r="IO268" i="1"/>
  <c r="IO207" i="1"/>
  <c r="IO267" i="1"/>
  <c r="IO220" i="1"/>
  <c r="IO266" i="1"/>
  <c r="IO206" i="1"/>
  <c r="IO265" i="1"/>
  <c r="IO316" i="1"/>
  <c r="IO264" i="1"/>
  <c r="IO205" i="1"/>
  <c r="IO263" i="1"/>
  <c r="IO219" i="1"/>
  <c r="IO262" i="1"/>
  <c r="IO204" i="1"/>
  <c r="IO261" i="1"/>
  <c r="IO226" i="1"/>
  <c r="IO260" i="1"/>
  <c r="IO203" i="1"/>
  <c r="IO259" i="1"/>
  <c r="IO218" i="1"/>
  <c r="IO362" i="1"/>
  <c r="IO195" i="1"/>
  <c r="IO236" i="1"/>
  <c r="IO237" i="1"/>
  <c r="IO238" i="1"/>
  <c r="IO243" i="1"/>
  <c r="IO244" i="1"/>
  <c r="IO76" i="1"/>
  <c r="IO279" i="1"/>
  <c r="IO277" i="1"/>
  <c r="IO183" i="1"/>
  <c r="IO172" i="1"/>
  <c r="IO173" i="1"/>
  <c r="IO213" i="1"/>
  <c r="IO174" i="1"/>
  <c r="IO23" i="1"/>
  <c r="IO175" i="1"/>
  <c r="IO176" i="1"/>
  <c r="IO14" i="1"/>
  <c r="IO374" i="1"/>
  <c r="IO276" i="1"/>
  <c r="IO363" i="1"/>
  <c r="IO364" i="1"/>
  <c r="IO365" i="1"/>
  <c r="IO366" i="1"/>
  <c r="IO367" i="1"/>
  <c r="IO278" i="1"/>
  <c r="IO275" i="1"/>
  <c r="IO246" i="1"/>
  <c r="IO258" i="1"/>
  <c r="IO202" i="1"/>
  <c r="IO257" i="1"/>
  <c r="IO319" i="1"/>
  <c r="IO256" i="1"/>
  <c r="IO201" i="1"/>
  <c r="IO255" i="1"/>
  <c r="IO217" i="1"/>
  <c r="IO254" i="1"/>
  <c r="IO103" i="1"/>
  <c r="IO118" i="1"/>
  <c r="IO360" i="1"/>
  <c r="IO125" i="1"/>
  <c r="IO126" i="1"/>
  <c r="IO127" i="1"/>
  <c r="IO128" i="1"/>
  <c r="IO134" i="1"/>
  <c r="IO347" i="1"/>
  <c r="IO232" i="1"/>
  <c r="IO346" i="1"/>
  <c r="IO135" i="1"/>
  <c r="IO345" i="1"/>
  <c r="IO224" i="1"/>
  <c r="IO344" i="1"/>
  <c r="IO320" i="1"/>
  <c r="IO343" i="1"/>
  <c r="IO136" i="1"/>
  <c r="IO342" i="1"/>
  <c r="IO245" i="1"/>
  <c r="IO341" i="1"/>
  <c r="IO58" i="1"/>
  <c r="IO340" i="1"/>
  <c r="IO230" i="1"/>
  <c r="IO339" i="1"/>
  <c r="IO148" i="1"/>
  <c r="IO338" i="1"/>
  <c r="IO214" i="1"/>
  <c r="IO337" i="1"/>
  <c r="IO96" i="1"/>
  <c r="IO248" i="1"/>
  <c r="IO229" i="1"/>
  <c r="IO86" i="1"/>
  <c r="IO84" i="1"/>
  <c r="IO101" i="1"/>
  <c r="IO249" i="1"/>
  <c r="IO94" i="1"/>
  <c r="IO85" i="1"/>
  <c r="IO82" i="1"/>
  <c r="IO97" i="1"/>
  <c r="IO247" i="1"/>
  <c r="IO196" i="1"/>
  <c r="IO197" i="1"/>
  <c r="IO87" i="1"/>
  <c r="IO271" i="1"/>
  <c r="IO179" i="1"/>
  <c r="IO331" i="1"/>
  <c r="IO325" i="1"/>
  <c r="IO180" i="1"/>
  <c r="IO18" i="1"/>
  <c r="IO140" i="1"/>
  <c r="IO26" i="1"/>
  <c r="IO280" i="1"/>
  <c r="IO150" i="1"/>
  <c r="IO185" i="1"/>
  <c r="IO149" i="1"/>
  <c r="IO209" i="1"/>
  <c r="IO116" i="1"/>
  <c r="IO184" i="1"/>
  <c r="IO114" i="1"/>
  <c r="IO113" i="1"/>
  <c r="IO112" i="1"/>
  <c r="IO79" i="1"/>
  <c r="IO78" i="1"/>
  <c r="IO77" i="1"/>
  <c r="IO41" i="1"/>
  <c r="IO42" i="1"/>
  <c r="IO177" i="1"/>
  <c r="IO178" i="1"/>
  <c r="IO50" i="1"/>
  <c r="IO169" i="1"/>
  <c r="IO329" i="1"/>
  <c r="IO231" i="1"/>
  <c r="IO141" i="1"/>
  <c r="IO199" i="1"/>
  <c r="IO234" i="1"/>
  <c r="IO181" i="1"/>
  <c r="IO102" i="1"/>
  <c r="IO166" i="1"/>
  <c r="IO33" i="1"/>
  <c r="IO357" i="1"/>
  <c r="IO368" i="1"/>
  <c r="IO142" i="1"/>
  <c r="IO250" i="1"/>
  <c r="IO356" i="1"/>
  <c r="IO187" i="1"/>
  <c r="IO152" i="1"/>
  <c r="IO273" i="1"/>
  <c r="IO370" i="1"/>
  <c r="IO193" i="1"/>
  <c r="IO147" i="1"/>
  <c r="IO16" i="1"/>
  <c r="IO369" i="1"/>
  <c r="IO139" i="1"/>
  <c r="IO48" i="1"/>
  <c r="IO170" i="1"/>
  <c r="IO34" i="1"/>
  <c r="IO281" i="1"/>
  <c r="IO313" i="1"/>
  <c r="IO317" i="1"/>
  <c r="IO324" i="1"/>
  <c r="IO322" i="1"/>
  <c r="IO115" i="1"/>
  <c r="IO35" i="1"/>
  <c r="IO46" i="1"/>
  <c r="IO171" i="1"/>
  <c r="IO233" i="1"/>
  <c r="IO30" i="1"/>
  <c r="IO315" i="1"/>
  <c r="IO222" i="1"/>
  <c r="IO186" i="1"/>
  <c r="IO328" i="1"/>
  <c r="IO321" i="1"/>
  <c r="IO28" i="1"/>
  <c r="IO29" i="1"/>
  <c r="IO143" i="1"/>
  <c r="IO25" i="1"/>
  <c r="IO318" i="1"/>
  <c r="IO242" i="1"/>
  <c r="IO44" i="1"/>
  <c r="IO350" i="1"/>
  <c r="IO98" i="1"/>
  <c r="IO359" i="1"/>
  <c r="IO17" i="1"/>
  <c r="IO314" i="1"/>
  <c r="IO154" i="1"/>
  <c r="DZ63" i="1"/>
  <c r="DZ65" i="1"/>
  <c r="DZ66" i="1" s="1"/>
  <c r="IK270" i="1"/>
  <c r="IK277" i="1"/>
  <c r="IK103" i="1"/>
  <c r="IK105" i="1"/>
  <c r="IK106" i="1"/>
  <c r="IK280" i="1"/>
  <c r="IK107" i="1"/>
  <c r="IK49" i="1"/>
  <c r="IK48" i="1"/>
  <c r="IK47" i="1"/>
  <c r="IK46" i="1"/>
  <c r="IK205" i="1"/>
  <c r="IK206" i="1"/>
  <c r="IK207" i="1"/>
  <c r="IK43" i="1"/>
  <c r="IK42" i="1"/>
  <c r="IK209" i="1"/>
  <c r="IK210" i="1"/>
  <c r="IK70" i="1"/>
  <c r="IK67" i="1"/>
  <c r="IK64" i="1"/>
  <c r="IK213" i="1"/>
  <c r="IK214" i="1"/>
  <c r="IK324" i="1"/>
  <c r="IK239" i="1"/>
  <c r="IK216" i="1"/>
  <c r="IK217" i="1"/>
  <c r="IK95" i="1"/>
  <c r="IK98" i="1"/>
  <c r="IK327" i="1"/>
  <c r="IK220" i="1"/>
  <c r="IK221" i="1"/>
  <c r="IK368" i="1"/>
  <c r="IK41" i="1"/>
  <c r="IK223" i="1"/>
  <c r="IK224" i="1"/>
  <c r="IK374" i="1"/>
  <c r="IK14" i="1"/>
  <c r="IK226" i="1"/>
  <c r="IK227" i="1"/>
  <c r="IK228" i="1"/>
  <c r="IK229" i="1"/>
  <c r="IK60" i="1"/>
  <c r="IK58" i="1"/>
  <c r="IK56" i="1"/>
  <c r="IK232" i="1"/>
  <c r="IK233" i="1"/>
  <c r="IK51" i="1"/>
  <c r="IK234" i="1"/>
  <c r="IK235" i="1"/>
  <c r="IK68" i="1"/>
  <c r="IK65" i="1"/>
  <c r="IK99" i="1"/>
  <c r="IK291" i="1"/>
  <c r="IK289" i="1"/>
  <c r="IK240" i="1"/>
  <c r="IK241" i="1"/>
  <c r="IK242" i="1"/>
  <c r="IK243" i="1"/>
  <c r="IK271" i="1"/>
  <c r="IK269" i="1"/>
  <c r="IK267" i="1"/>
  <c r="IK338" i="1"/>
  <c r="IK261" i="1"/>
  <c r="IK341" i="1"/>
  <c r="IK259" i="1"/>
  <c r="IK343" i="1"/>
  <c r="IK372" i="1"/>
  <c r="IK258" i="1"/>
  <c r="IK347" i="1"/>
  <c r="IK266" i="1"/>
  <c r="IK350" i="1"/>
  <c r="IK351" i="1"/>
  <c r="IK273" i="1"/>
  <c r="IK353" i="1"/>
  <c r="IK278" i="1"/>
  <c r="IK281" i="1"/>
  <c r="IK357" i="1"/>
  <c r="IK285" i="1"/>
  <c r="IK359" i="1"/>
  <c r="IK286" i="1"/>
  <c r="IK40" i="1"/>
  <c r="IK363" i="1"/>
  <c r="IK93" i="1"/>
  <c r="IK365" i="1"/>
  <c r="IK366" i="1"/>
  <c r="IK94" i="1"/>
  <c r="IK370" i="1"/>
  <c r="IK373" i="1"/>
  <c r="IK247" i="1"/>
  <c r="IK248" i="1"/>
  <c r="IK249" i="1"/>
  <c r="IK250" i="1"/>
  <c r="IK36" i="1"/>
  <c r="IK37" i="1"/>
  <c r="IK257" i="1"/>
  <c r="IK38" i="1"/>
  <c r="IK39" i="1"/>
  <c r="IK262" i="1"/>
  <c r="IK100" i="1"/>
  <c r="IK101" i="1"/>
  <c r="IK283" i="1"/>
  <c r="IK108" i="1"/>
  <c r="IK287" i="1"/>
  <c r="IK92" i="1"/>
  <c r="IK117" i="1"/>
  <c r="IK50" i="1"/>
  <c r="IK201" i="1"/>
  <c r="IK202" i="1"/>
  <c r="IK203" i="1"/>
  <c r="IK204" i="1"/>
  <c r="IK45" i="1"/>
  <c r="IK44" i="1"/>
  <c r="IK208" i="1"/>
  <c r="IK274" i="1"/>
  <c r="IK102" i="1"/>
  <c r="IK104" i="1"/>
  <c r="IK276" i="1"/>
  <c r="IK61" i="1"/>
  <c r="IK211" i="1"/>
  <c r="IK212" i="1"/>
  <c r="IK63" i="1"/>
  <c r="IK215" i="1"/>
  <c r="IK325" i="1"/>
  <c r="IK218" i="1"/>
  <c r="IK219" i="1"/>
  <c r="IK328" i="1"/>
  <c r="IK222" i="1"/>
  <c r="IK371" i="1"/>
  <c r="IK225" i="1"/>
  <c r="IK15" i="1"/>
  <c r="IK53" i="1"/>
  <c r="IK52" i="1"/>
  <c r="IK230" i="1"/>
  <c r="IK231" i="1"/>
  <c r="IK55" i="1"/>
  <c r="IK71" i="1"/>
  <c r="IK236" i="1"/>
  <c r="IK237" i="1"/>
  <c r="IK238" i="1"/>
  <c r="IK97" i="1"/>
  <c r="IK279" i="1"/>
  <c r="IK96" i="1"/>
  <c r="IK275" i="1"/>
  <c r="IK244" i="1"/>
  <c r="IK245" i="1"/>
  <c r="IK337" i="1"/>
  <c r="IK264" i="1"/>
  <c r="IK340" i="1"/>
  <c r="IK369" i="1"/>
  <c r="IK344" i="1"/>
  <c r="IK263" i="1"/>
  <c r="IK348" i="1"/>
  <c r="IK268" i="1"/>
  <c r="IK272" i="1"/>
  <c r="IK354" i="1"/>
  <c r="IK356" i="1"/>
  <c r="IK282" i="1"/>
  <c r="IK360" i="1"/>
  <c r="IK362" i="1"/>
  <c r="IK292" i="1"/>
  <c r="IK367" i="1"/>
  <c r="IK255" i="1"/>
  <c r="IK246" i="1"/>
  <c r="IK254" i="1"/>
  <c r="IK35" i="1"/>
  <c r="IK251" i="1"/>
  <c r="IK252" i="1"/>
  <c r="IK253" i="1"/>
  <c r="IK256" i="1"/>
  <c r="IK260" i="1"/>
  <c r="IK265" i="1"/>
  <c r="IK284" i="1"/>
  <c r="IK288" i="1"/>
  <c r="IK115" i="1"/>
  <c r="IK176" i="1"/>
  <c r="IK59" i="1"/>
  <c r="IK175" i="1"/>
  <c r="IK114" i="1"/>
  <c r="IK174" i="1"/>
  <c r="IK62" i="1"/>
  <c r="IK173" i="1"/>
  <c r="IK113" i="1"/>
  <c r="IK172" i="1"/>
  <c r="IK66" i="1"/>
  <c r="IK171" i="1"/>
  <c r="IK112" i="1"/>
  <c r="IK170" i="1"/>
  <c r="IK69" i="1"/>
  <c r="IK169" i="1"/>
  <c r="IK111" i="1"/>
  <c r="IK168" i="1"/>
  <c r="IK326" i="1"/>
  <c r="IK167" i="1"/>
  <c r="IK110" i="1"/>
  <c r="IK166" i="1"/>
  <c r="IK290" i="1"/>
  <c r="IK165" i="1"/>
  <c r="IK109" i="1"/>
  <c r="IK164" i="1"/>
  <c r="IK163" i="1"/>
  <c r="IK162" i="1"/>
  <c r="IK161" i="1"/>
  <c r="IK160" i="1"/>
  <c r="IK159" i="1"/>
  <c r="IK158" i="1"/>
  <c r="IK157" i="1"/>
  <c r="IK155" i="1"/>
  <c r="IK154" i="1"/>
  <c r="IK153" i="1"/>
  <c r="IK152" i="1"/>
  <c r="IK151" i="1"/>
  <c r="IK150" i="1"/>
  <c r="IK149" i="1"/>
  <c r="IK148" i="1"/>
  <c r="IK147" i="1"/>
  <c r="IK146" i="1"/>
  <c r="IK145" i="1"/>
  <c r="IK144" i="1"/>
  <c r="IK143" i="1"/>
  <c r="IK142" i="1"/>
  <c r="IK141" i="1"/>
  <c r="IK140" i="1"/>
  <c r="IK349" i="1"/>
  <c r="IK346" i="1"/>
  <c r="IK345" i="1"/>
  <c r="IK342" i="1"/>
  <c r="IK339" i="1"/>
  <c r="IK156" i="1"/>
  <c r="IK336" i="1"/>
  <c r="IK335" i="1"/>
  <c r="IK334" i="1"/>
  <c r="IK333" i="1"/>
  <c r="IK332" i="1"/>
  <c r="IK331" i="1"/>
  <c r="IK330" i="1"/>
  <c r="IK329" i="1"/>
  <c r="IK200" i="1"/>
  <c r="IK199" i="1"/>
  <c r="IK198" i="1"/>
  <c r="IK197" i="1"/>
  <c r="IK193" i="1"/>
  <c r="IK188" i="1"/>
  <c r="IK185" i="1"/>
  <c r="IK184" i="1"/>
  <c r="IK183" i="1"/>
  <c r="IK182" i="1"/>
  <c r="IK181" i="1"/>
  <c r="IK180" i="1"/>
  <c r="IK137" i="1"/>
  <c r="IK136" i="1"/>
  <c r="IK135" i="1"/>
  <c r="IK134" i="1"/>
  <c r="IK133" i="1"/>
  <c r="IK132" i="1"/>
  <c r="IK131" i="1"/>
  <c r="IK130" i="1"/>
  <c r="IK129" i="1"/>
  <c r="IK128" i="1"/>
  <c r="IK127" i="1"/>
  <c r="IK126" i="1"/>
  <c r="IK125" i="1"/>
  <c r="IK124" i="1"/>
  <c r="IK123" i="1"/>
  <c r="IK122" i="1"/>
  <c r="IK121" i="1"/>
  <c r="IK120" i="1"/>
  <c r="IK119" i="1"/>
  <c r="IK118" i="1"/>
  <c r="IK364" i="1"/>
  <c r="IK361" i="1"/>
  <c r="IK358" i="1"/>
  <c r="IK355" i="1"/>
  <c r="IK352" i="1"/>
  <c r="IK139" i="1"/>
  <c r="IK138" i="1"/>
  <c r="IK91" i="1"/>
  <c r="IK87" i="1"/>
  <c r="IK20" i="1"/>
  <c r="IK86" i="1"/>
  <c r="IK19" i="1"/>
  <c r="IK85" i="1"/>
  <c r="IK18" i="1"/>
  <c r="IK28" i="1"/>
  <c r="IK82" i="1"/>
  <c r="IK72" i="1"/>
  <c r="IK81" i="1"/>
  <c r="IK73" i="1"/>
  <c r="IK80" i="1"/>
  <c r="IK75" i="1"/>
  <c r="IK79" i="1"/>
  <c r="IK76" i="1"/>
  <c r="IK78" i="1"/>
  <c r="IK77" i="1"/>
  <c r="IK74" i="1"/>
  <c r="IK83" i="1"/>
  <c r="IK90" i="1"/>
  <c r="IK84" i="1"/>
  <c r="IK89" i="1"/>
  <c r="IK88" i="1"/>
  <c r="IK303" i="1"/>
  <c r="IK304" i="1"/>
  <c r="IK305" i="1"/>
  <c r="IK306" i="1"/>
  <c r="IK307" i="1"/>
  <c r="IK309" i="1"/>
  <c r="IK310" i="1"/>
  <c r="IK311" i="1"/>
  <c r="IK312" i="1"/>
  <c r="IK313" i="1"/>
  <c r="IK314" i="1"/>
  <c r="IK315" i="1"/>
  <c r="IK316" i="1"/>
  <c r="IK317" i="1"/>
  <c r="IK318" i="1"/>
  <c r="IK302" i="1"/>
  <c r="IK301" i="1"/>
  <c r="IK300" i="1"/>
  <c r="IK17" i="1"/>
  <c r="IK299" i="1"/>
  <c r="IK319" i="1"/>
  <c r="IK298" i="1"/>
  <c r="IK297" i="1"/>
  <c r="IK296" i="1"/>
  <c r="IK295" i="1"/>
  <c r="IK294" i="1"/>
  <c r="IK293" i="1"/>
  <c r="IK34" i="1"/>
  <c r="IK33" i="1"/>
  <c r="IK32" i="1"/>
  <c r="IK31" i="1"/>
  <c r="IK30" i="1"/>
  <c r="IK29" i="1"/>
  <c r="IK27" i="1"/>
  <c r="IK26" i="1"/>
  <c r="IK25" i="1"/>
  <c r="IK24" i="1"/>
  <c r="IK23" i="1"/>
  <c r="IK22" i="1"/>
  <c r="IK16" i="1"/>
  <c r="IK320" i="1"/>
  <c r="IK321" i="1"/>
  <c r="IK322" i="1"/>
  <c r="IK323" i="1"/>
  <c r="IK21" i="1"/>
  <c r="IK177" i="1"/>
  <c r="IK57" i="1"/>
  <c r="IK178" i="1"/>
  <c r="IK116" i="1"/>
  <c r="IK179" i="1"/>
  <c r="IK54" i="1"/>
  <c r="IK308" i="1"/>
  <c r="IK192" i="1"/>
  <c r="IK189" i="1"/>
  <c r="IK196" i="1"/>
  <c r="IK195" i="1"/>
  <c r="IK191" i="1"/>
  <c r="IK186" i="1"/>
  <c r="IK194" i="1"/>
  <c r="IK190" i="1"/>
  <c r="IK187" i="1"/>
  <c r="IG183" i="1"/>
  <c r="IG192" i="1"/>
  <c r="IG193" i="1"/>
  <c r="IG179" i="1"/>
  <c r="IG212" i="1"/>
  <c r="IG328" i="1"/>
  <c r="IG351" i="1"/>
  <c r="IG352" i="1"/>
  <c r="IG361" i="1"/>
  <c r="IG366" i="1"/>
  <c r="IG370" i="1"/>
  <c r="IG371" i="1"/>
  <c r="IG34" i="1"/>
  <c r="IG91" i="1"/>
  <c r="IG92" i="1"/>
  <c r="IG93" i="1"/>
  <c r="IG104" i="1"/>
  <c r="IG108" i="1"/>
  <c r="IG109" i="1"/>
  <c r="IG87" i="1"/>
  <c r="IG88" i="1"/>
  <c r="IG89" i="1"/>
  <c r="IG94" i="1"/>
  <c r="IG96" i="1"/>
  <c r="IG100" i="1"/>
  <c r="IG101" i="1"/>
  <c r="IG105" i="1"/>
  <c r="IG110" i="1"/>
  <c r="IG21" i="1"/>
  <c r="IG22" i="1"/>
  <c r="IG23" i="1"/>
  <c r="IG24" i="1"/>
  <c r="IG25" i="1"/>
  <c r="IG184" i="1"/>
  <c r="IG191" i="1"/>
  <c r="IG195" i="1"/>
  <c r="IG196" i="1"/>
  <c r="IG270" i="1"/>
  <c r="IG198" i="1"/>
  <c r="IG199" i="1"/>
  <c r="IG197" i="1"/>
  <c r="IG200" i="1"/>
  <c r="IG204" i="1"/>
  <c r="IG205" i="1"/>
  <c r="IG69" i="1"/>
  <c r="IG181" i="1"/>
  <c r="IG237" i="1"/>
  <c r="IG350" i="1"/>
  <c r="IG119" i="1"/>
  <c r="IG206" i="1"/>
  <c r="IG207" i="1"/>
  <c r="IG180" i="1"/>
  <c r="IG208" i="1"/>
  <c r="IG106" i="1"/>
  <c r="IG224" i="1"/>
  <c r="IG99" i="1"/>
  <c r="IG243" i="1"/>
  <c r="IG98" i="1"/>
  <c r="IG223" i="1"/>
  <c r="IG97" i="1"/>
  <c r="IG368" i="1"/>
  <c r="IG90" i="1"/>
  <c r="IG222" i="1"/>
  <c r="IG214" i="1"/>
  <c r="IG235" i="1"/>
  <c r="IG218" i="1"/>
  <c r="IG221" i="1"/>
  <c r="IG219" i="1"/>
  <c r="IG130" i="1"/>
  <c r="IG220" i="1"/>
  <c r="IG217" i="1"/>
  <c r="IG229" i="1"/>
  <c r="IG228" i="1"/>
  <c r="IG230" i="1"/>
  <c r="IG213" i="1"/>
  <c r="IG231" i="1"/>
  <c r="IG362" i="1"/>
  <c r="IG232" i="1"/>
  <c r="IG209" i="1"/>
  <c r="IG233" i="1"/>
  <c r="IG234" i="1"/>
  <c r="IG118" i="1"/>
  <c r="IG241" i="1"/>
  <c r="IG227" i="1"/>
  <c r="IG242" i="1"/>
  <c r="IG202" i="1"/>
  <c r="IG244" i="1"/>
  <c r="IG14" i="1"/>
  <c r="IG248" i="1"/>
  <c r="IG187" i="1"/>
  <c r="IG249" i="1"/>
  <c r="IG226" i="1"/>
  <c r="IG354" i="1"/>
  <c r="IG186" i="1"/>
  <c r="IG355" i="1"/>
  <c r="IG353" i="1"/>
  <c r="IG356" i="1"/>
  <c r="IG182" i="1"/>
  <c r="IG357" i="1"/>
  <c r="IG225" i="1"/>
  <c r="IG358" i="1"/>
  <c r="IG359" i="1"/>
  <c r="IG363" i="1"/>
  <c r="IG364" i="1"/>
  <c r="IG365" i="1"/>
  <c r="IG369" i="1"/>
  <c r="IG373" i="1"/>
  <c r="IG374" i="1"/>
  <c r="IG131" i="1"/>
  <c r="IG269" i="1"/>
  <c r="IG268" i="1"/>
  <c r="IG266" i="1"/>
  <c r="IG265" i="1"/>
  <c r="IG264" i="1"/>
  <c r="IG262" i="1"/>
  <c r="IG261" i="1"/>
  <c r="IG260" i="1"/>
  <c r="IG325" i="1"/>
  <c r="IG329" i="1"/>
  <c r="IG139" i="1"/>
  <c r="IG137" i="1"/>
  <c r="IG135" i="1"/>
  <c r="IG276" i="1"/>
  <c r="IG30" i="1"/>
  <c r="IG31" i="1"/>
  <c r="IG33" i="1"/>
  <c r="IG35" i="1"/>
  <c r="IG37" i="1"/>
  <c r="IG102" i="1"/>
  <c r="IG39" i="1"/>
  <c r="IG125" i="1"/>
  <c r="IG113" i="1"/>
  <c r="IG177" i="1"/>
  <c r="IG185" i="1"/>
  <c r="IG194" i="1"/>
  <c r="IG210" i="1"/>
  <c r="IG215" i="1"/>
  <c r="IG236" i="1"/>
  <c r="IG239" i="1"/>
  <c r="IG246" i="1"/>
  <c r="IG250" i="1"/>
  <c r="IG360" i="1"/>
  <c r="IG372" i="1"/>
  <c r="IG273" i="1"/>
  <c r="IG16" i="1"/>
  <c r="IG18" i="1"/>
  <c r="IG20" i="1"/>
  <c r="IG334" i="1"/>
  <c r="IG336" i="1"/>
  <c r="IG337" i="1"/>
  <c r="IG338" i="1"/>
  <c r="IG339" i="1"/>
  <c r="IG340" i="1"/>
  <c r="IG341" i="1"/>
  <c r="IG342" i="1"/>
  <c r="IG343" i="1"/>
  <c r="IG344" i="1"/>
  <c r="IG345" i="1"/>
  <c r="IG346" i="1"/>
  <c r="IG347" i="1"/>
  <c r="IG348" i="1"/>
  <c r="IG259" i="1"/>
  <c r="IG163" i="1"/>
  <c r="IG258" i="1"/>
  <c r="IG257" i="1"/>
  <c r="IG256" i="1"/>
  <c r="IG255" i="1"/>
  <c r="IG254" i="1"/>
  <c r="IG253" i="1"/>
  <c r="IG175" i="1"/>
  <c r="IG174" i="1"/>
  <c r="IG173" i="1"/>
  <c r="IG172" i="1"/>
  <c r="IG171" i="1"/>
  <c r="IG170" i="1"/>
  <c r="IG272" i="1"/>
  <c r="IG169" i="1"/>
  <c r="IG167" i="1"/>
  <c r="IG166" i="1"/>
  <c r="IG165" i="1"/>
  <c r="IG71" i="1"/>
  <c r="IG164" i="1"/>
  <c r="IG162" i="1"/>
  <c r="IG161" i="1"/>
  <c r="IG160" i="1"/>
  <c r="IG159" i="1"/>
  <c r="IG158" i="1"/>
  <c r="IG157" i="1"/>
  <c r="IG129" i="1"/>
  <c r="IG128" i="1"/>
  <c r="IG127" i="1"/>
  <c r="IG156" i="1"/>
  <c r="IG155" i="1"/>
  <c r="IG154" i="1"/>
  <c r="IG124" i="1"/>
  <c r="IG123" i="1"/>
  <c r="IG122" i="1"/>
  <c r="IG121" i="1"/>
  <c r="IG120" i="1"/>
  <c r="IG153" i="1"/>
  <c r="IG152" i="1"/>
  <c r="IG151" i="1"/>
  <c r="IG150" i="1"/>
  <c r="IG203" i="1"/>
  <c r="IG324" i="1"/>
  <c r="IG326" i="1"/>
  <c r="IG349" i="1"/>
  <c r="IG138" i="1"/>
  <c r="IG136" i="1"/>
  <c r="IG277" i="1"/>
  <c r="IG134" i="1"/>
  <c r="IG32" i="1"/>
  <c r="IG263" i="1"/>
  <c r="IG36" i="1"/>
  <c r="IG38" i="1"/>
  <c r="IG95" i="1"/>
  <c r="IG103" i="1"/>
  <c r="IG107" i="1"/>
  <c r="IG40" i="1"/>
  <c r="IG117" i="1"/>
  <c r="IG111" i="1"/>
  <c r="IG112" i="1"/>
  <c r="IG114" i="1"/>
  <c r="IG176" i="1"/>
  <c r="IG178" i="1"/>
  <c r="IG189" i="1"/>
  <c r="IG190" i="1"/>
  <c r="IG201" i="1"/>
  <c r="IG211" i="1"/>
  <c r="IG216" i="1"/>
  <c r="IG238" i="1"/>
  <c r="IG240" i="1"/>
  <c r="IG245" i="1"/>
  <c r="IG247" i="1"/>
  <c r="IG251" i="1"/>
  <c r="IG252" i="1"/>
  <c r="IG367" i="1"/>
  <c r="IG29" i="1"/>
  <c r="IG41" i="1"/>
  <c r="IG15" i="1"/>
  <c r="IG17" i="1"/>
  <c r="IG57" i="1"/>
  <c r="IG19" i="1"/>
  <c r="IG116" i="1"/>
  <c r="IG333" i="1"/>
  <c r="IG335" i="1"/>
  <c r="IG149" i="1"/>
  <c r="IG115" i="1"/>
  <c r="IG28" i="1"/>
  <c r="IG148" i="1"/>
  <c r="IG27" i="1"/>
  <c r="IG147" i="1"/>
  <c r="IG26" i="1"/>
  <c r="IG146" i="1"/>
  <c r="IG42" i="1"/>
  <c r="IG43" i="1"/>
  <c r="IG44" i="1"/>
  <c r="IG45" i="1"/>
  <c r="IG46" i="1"/>
  <c r="IG145" i="1"/>
  <c r="IG133" i="1"/>
  <c r="IG47" i="1"/>
  <c r="IG48" i="1"/>
  <c r="IG49" i="1"/>
  <c r="IG50" i="1"/>
  <c r="IG51" i="1"/>
  <c r="IG52" i="1"/>
  <c r="IG126" i="1"/>
  <c r="IG132" i="1"/>
  <c r="IG53" i="1"/>
  <c r="IG321" i="1"/>
  <c r="IG320" i="1"/>
  <c r="IG319" i="1"/>
  <c r="IG318" i="1"/>
  <c r="IG317" i="1"/>
  <c r="IG316" i="1"/>
  <c r="IG315" i="1"/>
  <c r="IG314" i="1"/>
  <c r="IG313" i="1"/>
  <c r="IG312" i="1"/>
  <c r="IG311" i="1"/>
  <c r="IG310" i="1"/>
  <c r="IG309" i="1"/>
  <c r="IG308" i="1"/>
  <c r="IG307" i="1"/>
  <c r="IG306" i="1"/>
  <c r="IG305" i="1"/>
  <c r="IG304" i="1"/>
  <c r="IG303" i="1"/>
  <c r="IG302" i="1"/>
  <c r="IG301" i="1"/>
  <c r="IG300" i="1"/>
  <c r="IG299" i="1"/>
  <c r="IG298" i="1"/>
  <c r="IG297" i="1"/>
  <c r="IG296" i="1"/>
  <c r="IG295" i="1"/>
  <c r="IG294" i="1"/>
  <c r="IG293" i="1"/>
  <c r="IG292" i="1"/>
  <c r="IG291" i="1"/>
  <c r="IG290" i="1"/>
  <c r="IG289" i="1"/>
  <c r="IG288" i="1"/>
  <c r="IG287" i="1"/>
  <c r="IG286" i="1"/>
  <c r="IG285" i="1"/>
  <c r="IG284" i="1"/>
  <c r="IG283" i="1"/>
  <c r="IG282" i="1"/>
  <c r="IG281" i="1"/>
  <c r="IG280" i="1"/>
  <c r="IG279" i="1"/>
  <c r="IG278" i="1"/>
  <c r="IG275" i="1"/>
  <c r="IG274" i="1"/>
  <c r="IG271" i="1"/>
  <c r="IG54" i="1"/>
  <c r="IG55" i="1"/>
  <c r="IG56" i="1"/>
  <c r="IG58" i="1"/>
  <c r="IG59" i="1"/>
  <c r="IG60" i="1"/>
  <c r="IG61" i="1"/>
  <c r="IG62" i="1"/>
  <c r="IG63" i="1"/>
  <c r="IG64" i="1"/>
  <c r="IG65" i="1"/>
  <c r="IG66" i="1"/>
  <c r="IG67" i="1"/>
  <c r="IG68" i="1"/>
  <c r="IG70" i="1"/>
  <c r="IG168" i="1"/>
  <c r="IG72" i="1"/>
  <c r="IG73" i="1"/>
  <c r="IG74" i="1"/>
  <c r="IG75" i="1"/>
  <c r="IG76" i="1"/>
  <c r="IG77" i="1"/>
  <c r="IG78" i="1"/>
  <c r="IG79" i="1"/>
  <c r="IG80" i="1"/>
  <c r="IG81" i="1"/>
  <c r="IG82" i="1"/>
  <c r="IG83" i="1"/>
  <c r="IG84" i="1"/>
  <c r="IG85" i="1"/>
  <c r="IG86" i="1"/>
  <c r="IG322" i="1"/>
  <c r="IG267" i="1"/>
  <c r="IG140" i="1"/>
  <c r="IG141" i="1"/>
  <c r="IG142" i="1"/>
  <c r="IG143" i="1"/>
  <c r="IG144" i="1"/>
  <c r="IG330" i="1"/>
  <c r="IG331" i="1"/>
  <c r="IG332" i="1"/>
  <c r="IG188" i="1"/>
  <c r="IG323" i="1"/>
  <c r="IG327" i="1"/>
  <c r="DV31" i="1"/>
  <c r="H44" i="1"/>
  <c r="H48" i="1"/>
  <c r="J48" i="1" s="1"/>
  <c r="H47" i="1"/>
  <c r="J47" i="1" s="1"/>
  <c r="H46" i="1"/>
  <c r="J46" i="1" s="1"/>
  <c r="EO86" i="1"/>
  <c r="EO88" i="1"/>
  <c r="NY13" i="1"/>
  <c r="NX9" i="1"/>
  <c r="NV9" i="1"/>
  <c r="DZ57" i="1"/>
  <c r="DZ59" i="1"/>
  <c r="DZ60" i="1" s="1"/>
  <c r="EI14" i="1"/>
  <c r="EL14" i="1"/>
  <c r="BG100" i="1" s="1"/>
  <c r="EI13" i="1"/>
  <c r="EL13" i="1"/>
  <c r="BG101" i="1" s="1"/>
  <c r="EE10" i="1"/>
  <c r="DY52" i="1"/>
  <c r="DY53" i="1" s="1"/>
  <c r="EN105" i="1"/>
  <c r="EN106" i="1" s="1"/>
  <c r="EN109" i="1"/>
  <c r="EN110" i="1" s="1"/>
  <c r="DY51" i="1"/>
  <c r="EK12" i="1"/>
  <c r="EB67" i="1"/>
  <c r="EE14" i="1"/>
  <c r="EB64" i="1"/>
  <c r="GU51" i="1"/>
  <c r="GU54" i="1"/>
  <c r="CL21" i="1"/>
  <c r="CK22" i="1"/>
  <c r="CL22" i="1"/>
  <c r="CK21" i="1"/>
  <c r="CK24" i="1"/>
  <c r="CK25" i="1"/>
  <c r="CL24" i="1"/>
  <c r="CL25" i="1"/>
  <c r="NX10" i="1"/>
  <c r="NY10" i="1" s="1"/>
  <c r="NV10" i="1"/>
  <c r="DZ53" i="1"/>
  <c r="DZ54" i="1" s="1"/>
  <c r="EH11" i="1"/>
  <c r="EG11" i="1" s="1"/>
  <c r="DZ51" i="1"/>
  <c r="EH14" i="1"/>
  <c r="EH10" i="1"/>
  <c r="EK11" i="1"/>
  <c r="DY58" i="1"/>
  <c r="DY59" i="1" s="1"/>
  <c r="DY57" i="1"/>
  <c r="RC26" i="1"/>
  <c r="NY12" i="1"/>
  <c r="GI69" i="1"/>
  <c r="EO120" i="1"/>
  <c r="ER74" i="1"/>
  <c r="PU94" i="1"/>
  <c r="PU14" i="1"/>
  <c r="PU356" i="1"/>
  <c r="PT252" i="1"/>
  <c r="PT296" i="1"/>
  <c r="PT234" i="1"/>
  <c r="PU223" i="1"/>
  <c r="PU268" i="1"/>
  <c r="PT212" i="1"/>
  <c r="PU179" i="1"/>
  <c r="PT167" i="1"/>
  <c r="PT130" i="1"/>
  <c r="PT119" i="1"/>
  <c r="PT109" i="1"/>
  <c r="PU84" i="1"/>
  <c r="PU79" i="1"/>
  <c r="PU311" i="1"/>
  <c r="PT310" i="1"/>
  <c r="PU308" i="1"/>
  <c r="PT307" i="1"/>
  <c r="PT306" i="1"/>
  <c r="PU299" i="1"/>
  <c r="PT292" i="1"/>
  <c r="PT290" i="1"/>
  <c r="PT289" i="1"/>
  <c r="PU287" i="1"/>
  <c r="PT286" i="1"/>
  <c r="PU283" i="1"/>
  <c r="PT282" i="1"/>
  <c r="PU280" i="1"/>
  <c r="PU279" i="1"/>
  <c r="PT278" i="1"/>
  <c r="PU164" i="1"/>
  <c r="PT63" i="1"/>
  <c r="PU57" i="1"/>
  <c r="PT46" i="1"/>
  <c r="PU37" i="1"/>
  <c r="PU24" i="1"/>
  <c r="PU364" i="1"/>
  <c r="PT248" i="1"/>
  <c r="PT268" i="1"/>
  <c r="PU236" i="1"/>
  <c r="PU221" i="1"/>
  <c r="PU216" i="1"/>
  <c r="PU205" i="1"/>
  <c r="PT198" i="1"/>
  <c r="PU186" i="1"/>
  <c r="PU301" i="1"/>
  <c r="PU292" i="1"/>
  <c r="PT291" i="1"/>
  <c r="PU289" i="1"/>
  <c r="PT288" i="1"/>
  <c r="PU286" i="1"/>
  <c r="PT285" i="1"/>
  <c r="PU284" i="1"/>
  <c r="PT283" i="1"/>
  <c r="PU281" i="1"/>
  <c r="PT280" i="1"/>
  <c r="PU278" i="1"/>
  <c r="PT277" i="1"/>
  <c r="PT300" i="1"/>
  <c r="PT34" i="1"/>
  <c r="PU168" i="1"/>
  <c r="PU187" i="1"/>
  <c r="PT195" i="1"/>
  <c r="PU332" i="1"/>
  <c r="PU32" i="1"/>
  <c r="PT42" i="1"/>
  <c r="PT372" i="1"/>
  <c r="PU251" i="1"/>
  <c r="PT244" i="1"/>
  <c r="PU238" i="1"/>
  <c r="PT228" i="1"/>
  <c r="PU215" i="1"/>
  <c r="PU209" i="1"/>
  <c r="PT199" i="1"/>
  <c r="PT181" i="1"/>
  <c r="PU130" i="1"/>
  <c r="PU120" i="1"/>
  <c r="PT112" i="1"/>
  <c r="PT110" i="1"/>
  <c r="PU101" i="1"/>
  <c r="PU83" i="1"/>
  <c r="PT77" i="1"/>
  <c r="PU67" i="1"/>
  <c r="PU124" i="1"/>
  <c r="PT203" i="1"/>
  <c r="PT209" i="1"/>
  <c r="PT219" i="1"/>
  <c r="PT222" i="1"/>
  <c r="PT333" i="1"/>
  <c r="PU361" i="1"/>
  <c r="PU95" i="1"/>
  <c r="PU147" i="1"/>
  <c r="PU144" i="1"/>
  <c r="PT25" i="1"/>
  <c r="PT147" i="1"/>
  <c r="PT142" i="1"/>
  <c r="PT190" i="1"/>
  <c r="PT192" i="1"/>
  <c r="PT358" i="1"/>
  <c r="PT152" i="1"/>
  <c r="PU151" i="1"/>
  <c r="PT151" i="1"/>
  <c r="PT150" i="1"/>
  <c r="PT149" i="1"/>
  <c r="PT360" i="1"/>
  <c r="PT99" i="1"/>
  <c r="PU328" i="1"/>
  <c r="PU97" i="1"/>
  <c r="PU329" i="1"/>
  <c r="PT31" i="1"/>
  <c r="PU96" i="1"/>
  <c r="PT18" i="1"/>
  <c r="PU254" i="1"/>
  <c r="PU250" i="1"/>
  <c r="PU298" i="1"/>
  <c r="PU269" i="1"/>
  <c r="PT255" i="1"/>
  <c r="PU239" i="1"/>
  <c r="PU237" i="1"/>
  <c r="PT233" i="1"/>
  <c r="PU228" i="1"/>
  <c r="PU225" i="1"/>
  <c r="PT223" i="1"/>
  <c r="PU220" i="1"/>
  <c r="PT301" i="1"/>
  <c r="PT266" i="1"/>
  <c r="PT231" i="1"/>
  <c r="PT365" i="1"/>
  <c r="PU19" i="1"/>
  <c r="PU48" i="1"/>
  <c r="PU69" i="1"/>
  <c r="PU77" i="1"/>
  <c r="PT197" i="1"/>
  <c r="PT191" i="1"/>
  <c r="PU44" i="1"/>
  <c r="PU70" i="1"/>
  <c r="PU18" i="1"/>
  <c r="PU45" i="1"/>
  <c r="PU16" i="1"/>
  <c r="PU38" i="1"/>
  <c r="PU34" i="1"/>
  <c r="PU30" i="1"/>
  <c r="PU26" i="1"/>
  <c r="PU22" i="1"/>
  <c r="PU150" i="1"/>
  <c r="PU149" i="1"/>
  <c r="PU362" i="1"/>
  <c r="PU143" i="1"/>
  <c r="PT21" i="1"/>
  <c r="PT145" i="1"/>
  <c r="PU191" i="1"/>
  <c r="PU333" i="1"/>
  <c r="PU100" i="1"/>
  <c r="PU20" i="1"/>
  <c r="PT374" i="1"/>
  <c r="PU297" i="1"/>
  <c r="PU334" i="1"/>
  <c r="PU326" i="1"/>
  <c r="PT326" i="1"/>
  <c r="PT293" i="1"/>
  <c r="PU291" i="1"/>
  <c r="PU290" i="1"/>
  <c r="PU288" i="1"/>
  <c r="PT287" i="1"/>
  <c r="PU285" i="1"/>
  <c r="PT284" i="1"/>
  <c r="PU282" i="1"/>
  <c r="PT281" i="1"/>
  <c r="PT279" i="1"/>
  <c r="PU277" i="1"/>
  <c r="PT303" i="1"/>
  <c r="PT297" i="1"/>
  <c r="PU273" i="1"/>
  <c r="PU271" i="1"/>
  <c r="PU267" i="1"/>
  <c r="PU248" i="1"/>
  <c r="PU197" i="1"/>
  <c r="PT185" i="1"/>
  <c r="PU173" i="1"/>
  <c r="PT163" i="1"/>
  <c r="PU162" i="1"/>
  <c r="PT162" i="1"/>
  <c r="PU161" i="1"/>
  <c r="PT161" i="1"/>
  <c r="PU160" i="1"/>
  <c r="PT160" i="1"/>
  <c r="PT94" i="1"/>
  <c r="PU325" i="1"/>
  <c r="PT325" i="1"/>
  <c r="PU324" i="1"/>
  <c r="PT324" i="1"/>
  <c r="PU323" i="1"/>
  <c r="PT323" i="1"/>
  <c r="PU322" i="1"/>
  <c r="PT322" i="1"/>
  <c r="PU321" i="1"/>
  <c r="PT321" i="1"/>
  <c r="PU320" i="1"/>
  <c r="PT320" i="1"/>
  <c r="PU319" i="1"/>
  <c r="PT319" i="1"/>
  <c r="PU318" i="1"/>
  <c r="PT318" i="1"/>
  <c r="PU317" i="1"/>
  <c r="PT317" i="1"/>
  <c r="PU316" i="1"/>
  <c r="PT316" i="1"/>
  <c r="PU315" i="1"/>
  <c r="PT315" i="1"/>
  <c r="PU314" i="1"/>
  <c r="PT314" i="1"/>
  <c r="PU313" i="1"/>
  <c r="PT313" i="1"/>
  <c r="PT312" i="1"/>
  <c r="PU310" i="1"/>
  <c r="PT309" i="1"/>
  <c r="PU307" i="1"/>
  <c r="PU305" i="1"/>
  <c r="PT154" i="1"/>
  <c r="PU102" i="1"/>
  <c r="PU111" i="1"/>
  <c r="PU117" i="1"/>
  <c r="PT133" i="1"/>
  <c r="PU243" i="1"/>
  <c r="PU259" i="1"/>
  <c r="PT138" i="1"/>
  <c r="PU171" i="1"/>
  <c r="PT193" i="1"/>
  <c r="PT196" i="1"/>
  <c r="PU198" i="1"/>
  <c r="PU203" i="1"/>
  <c r="PU206" i="1"/>
  <c r="PU212" i="1"/>
  <c r="PT217" i="1"/>
  <c r="PT229" i="1"/>
  <c r="PT236" i="1"/>
  <c r="PT249" i="1"/>
  <c r="PU31" i="1"/>
  <c r="PT327" i="1"/>
  <c r="PU63" i="1"/>
  <c r="PU73" i="1"/>
  <c r="PU81" i="1"/>
  <c r="PT107" i="1"/>
  <c r="PT123" i="1"/>
  <c r="PU138" i="1"/>
  <c r="PT141" i="1"/>
  <c r="PU169" i="1"/>
  <c r="PT182" i="1"/>
  <c r="PU193" i="1"/>
  <c r="PT98" i="1"/>
  <c r="PU99" i="1"/>
  <c r="PT30" i="1"/>
  <c r="PT373" i="1"/>
  <c r="PU256" i="1"/>
  <c r="PU252" i="1"/>
  <c r="PU246" i="1"/>
  <c r="PT238" i="1"/>
  <c r="PT221" i="1"/>
  <c r="PT299" i="1"/>
  <c r="PT180" i="1"/>
  <c r="PU165" i="1"/>
  <c r="PU363" i="1"/>
  <c r="PT363" i="1"/>
  <c r="PU148" i="1"/>
  <c r="PU145" i="1"/>
  <c r="PU142" i="1"/>
  <c r="PT148" i="1"/>
  <c r="PT143" i="1"/>
  <c r="PU188" i="1"/>
  <c r="PU350" i="1"/>
  <c r="PT189" i="1"/>
  <c r="PU359" i="1"/>
  <c r="PU92" i="1"/>
  <c r="PT14" i="1"/>
  <c r="PT364" i="1"/>
  <c r="PT254" i="1"/>
  <c r="PU276" i="1"/>
  <c r="PT302" i="1"/>
  <c r="PT274" i="1"/>
  <c r="PU270" i="1"/>
  <c r="PT267" i="1"/>
  <c r="PU242" i="1"/>
  <c r="PU232" i="1"/>
  <c r="PU224" i="1"/>
  <c r="PU201" i="1"/>
  <c r="PT57" i="1"/>
  <c r="PU52" i="1"/>
  <c r="PT41" i="1"/>
  <c r="PU357" i="1"/>
  <c r="PU21" i="1"/>
  <c r="PT370" i="1"/>
  <c r="PU253" i="1"/>
  <c r="PU300" i="1"/>
  <c r="PU257" i="1"/>
  <c r="PT246" i="1"/>
  <c r="PT226" i="1"/>
  <c r="PU302" i="1"/>
  <c r="PT263" i="1"/>
  <c r="PT216" i="1"/>
  <c r="PT200" i="1"/>
  <c r="PU175" i="1"/>
  <c r="PU136" i="1"/>
  <c r="PU134" i="1"/>
  <c r="PU122" i="1"/>
  <c r="JD184" i="1"/>
  <c r="JD185" i="1" s="1"/>
  <c r="JD186" i="1" s="1"/>
  <c r="JD183" i="1"/>
  <c r="JD182" i="1"/>
  <c r="JD187" i="1" s="1"/>
  <c r="JD181" i="1"/>
  <c r="JD188" i="1" s="1"/>
  <c r="JD180" i="1"/>
  <c r="JD189" i="1" s="1"/>
  <c r="JD179" i="1"/>
  <c r="JD190" i="1" s="1"/>
  <c r="JD178" i="1"/>
  <c r="JD191" i="1" s="1"/>
  <c r="JD176" i="1"/>
  <c r="JD54" i="1"/>
  <c r="JD55" i="1"/>
  <c r="JD58" i="1" s="1"/>
  <c r="JD52" i="1"/>
  <c r="JD59" i="1"/>
  <c r="JD56" i="1"/>
  <c r="JD57" i="1" s="1"/>
  <c r="JC190" i="1"/>
  <c r="JC191" i="1" s="1"/>
  <c r="JC188" i="1"/>
  <c r="JC189" i="1" s="1"/>
  <c r="JC180" i="1"/>
  <c r="JC181" i="1" s="1"/>
  <c r="JC178" i="1"/>
  <c r="JC179" i="1" s="1"/>
  <c r="JC182" i="1" s="1"/>
  <c r="JC183" i="1" s="1"/>
  <c r="JC177" i="1"/>
  <c r="JC184" i="1" s="1"/>
  <c r="JC176" i="1"/>
  <c r="JC52" i="1"/>
  <c r="JC53" i="1"/>
  <c r="JC56" i="1" s="1"/>
  <c r="JC58" i="1"/>
  <c r="JC59" i="1" s="1"/>
  <c r="JC54" i="1"/>
  <c r="JC55" i="1" s="1"/>
  <c r="MV67" i="1"/>
  <c r="MV69" i="1"/>
  <c r="JC172" i="1"/>
  <c r="JC173" i="1" s="1"/>
  <c r="JC170" i="1"/>
  <c r="JC171" i="1" s="1"/>
  <c r="JC162" i="1"/>
  <c r="JC163" i="1" s="1"/>
  <c r="JC160" i="1"/>
  <c r="JC161" i="1" s="1"/>
  <c r="JC164" i="1" s="1"/>
  <c r="JC165" i="1" s="1"/>
  <c r="JC159" i="1"/>
  <c r="JC166" i="1" s="1"/>
  <c r="JC158" i="1"/>
  <c r="PG41" i="1"/>
  <c r="PF42" i="1"/>
  <c r="QA32" i="1"/>
  <c r="QH31" i="1" s="1"/>
  <c r="QA25" i="1"/>
  <c r="QA29" i="1"/>
  <c r="QH28" i="1" s="1"/>
  <c r="QA22" i="1"/>
  <c r="QB39" i="1"/>
  <c r="RE25" i="1"/>
  <c r="RB15" i="1"/>
  <c r="RD13" i="1" s="1"/>
  <c r="QN39" i="1"/>
  <c r="RE24" i="1"/>
  <c r="QB38" i="1"/>
  <c r="QN38" i="1"/>
  <c r="RB13" i="1"/>
  <c r="RE13" i="1" s="1"/>
  <c r="RB16" i="1"/>
  <c r="RF13" i="1"/>
  <c r="RH24" i="1"/>
  <c r="RH25" i="1" s="1"/>
  <c r="RE27" i="1"/>
  <c r="QB41" i="1"/>
  <c r="QE38" i="1"/>
  <c r="QE39" i="1" s="1"/>
  <c r="RA14" i="1"/>
  <c r="QN41" i="1"/>
  <c r="RE26" i="1"/>
  <c r="QB40" i="1"/>
  <c r="QN40" i="1"/>
  <c r="RA15" i="1"/>
  <c r="RA16" i="1"/>
  <c r="QM29" i="1"/>
  <c r="QT28" i="1" s="1"/>
  <c r="QN22" i="1"/>
  <c r="QN25" i="1"/>
  <c r="QM32" i="1"/>
  <c r="QT31" i="1" s="1"/>
  <c r="SB83" i="1"/>
  <c r="SB82" i="1"/>
  <c r="JC116" i="1"/>
  <c r="JC117" i="1" s="1"/>
  <c r="JC106" i="1"/>
  <c r="JC107" i="1" s="1"/>
  <c r="JC110" i="1" s="1"/>
  <c r="JC111" i="1" s="1"/>
  <c r="JC104" i="1"/>
  <c r="JC118" i="1"/>
  <c r="JC119" i="1" s="1"/>
  <c r="JC108" i="1"/>
  <c r="JC109" i="1" s="1"/>
  <c r="JC105" i="1"/>
  <c r="JC112" i="1" s="1"/>
  <c r="HM173" i="1"/>
  <c r="HM214" i="1"/>
  <c r="HM264" i="1"/>
  <c r="HM260" i="1"/>
  <c r="HM258" i="1"/>
  <c r="HM255" i="1"/>
  <c r="HM251" i="1"/>
  <c r="HM248" i="1"/>
  <c r="HM220" i="1"/>
  <c r="HM230" i="1"/>
  <c r="HM56" i="1"/>
  <c r="HM237" i="1"/>
  <c r="HM228" i="1"/>
  <c r="HM164" i="1"/>
  <c r="HM203" i="1"/>
  <c r="HM202" i="1"/>
  <c r="HM198" i="1"/>
  <c r="HM171" i="1"/>
  <c r="HM183" i="1"/>
  <c r="HM58" i="1"/>
  <c r="HM131" i="1"/>
  <c r="HM116" i="1"/>
  <c r="HM326" i="1"/>
  <c r="HM206" i="1"/>
  <c r="HM14" i="1"/>
  <c r="HM337" i="1"/>
  <c r="HM289" i="1"/>
  <c r="HM208" i="1"/>
  <c r="HM373" i="1"/>
  <c r="HM369" i="1"/>
  <c r="HM359" i="1"/>
  <c r="HM351" i="1"/>
  <c r="HM348" i="1"/>
  <c r="HM216" i="1"/>
  <c r="HM309" i="1"/>
  <c r="HM285" i="1"/>
  <c r="HM210" i="1"/>
  <c r="HM172" i="1"/>
  <c r="HM63" i="1"/>
  <c r="HM269" i="1"/>
  <c r="HM313" i="1"/>
  <c r="HM174" i="1"/>
  <c r="HM370" i="1"/>
  <c r="HM364" i="1"/>
  <c r="HM360" i="1"/>
  <c r="HM272" i="1"/>
  <c r="HM55" i="1"/>
  <c r="HM343" i="1"/>
  <c r="HM325" i="1"/>
  <c r="HM302" i="1"/>
  <c r="HM162" i="1"/>
  <c r="HM57" i="1"/>
  <c r="HM32" i="1"/>
  <c r="HM125" i="1"/>
  <c r="HM120" i="1"/>
  <c r="HM113" i="1"/>
  <c r="HM317" i="1"/>
  <c r="HM39" i="1"/>
  <c r="HM35" i="1"/>
  <c r="HM49" i="1"/>
  <c r="HM25" i="1"/>
  <c r="HM22" i="1"/>
  <c r="HM18" i="1"/>
  <c r="HM15" i="1"/>
  <c r="HM243" i="1"/>
  <c r="HM338" i="1"/>
  <c r="HM329" i="1"/>
  <c r="HM319" i="1"/>
  <c r="HM301" i="1"/>
  <c r="HM46" i="1"/>
  <c r="HM170" i="1"/>
  <c r="HM67" i="1"/>
  <c r="HM69" i="1"/>
  <c r="HM71" i="1"/>
  <c r="HM73" i="1"/>
  <c r="HM75" i="1"/>
  <c r="HM76" i="1"/>
  <c r="HM77" i="1"/>
  <c r="HM78" i="1"/>
  <c r="HM84" i="1"/>
  <c r="HM141" i="1"/>
  <c r="HM146" i="1"/>
  <c r="HM147" i="1"/>
  <c r="HM151" i="1"/>
  <c r="HM155" i="1"/>
  <c r="HM157" i="1"/>
  <c r="HM97" i="1"/>
  <c r="HM180" i="1"/>
  <c r="HM280" i="1"/>
  <c r="HM33" i="1"/>
  <c r="HM80" i="1"/>
  <c r="HM95" i="1"/>
  <c r="HM103" i="1"/>
  <c r="HM36" i="1"/>
  <c r="HM177" i="1"/>
  <c r="HM241" i="1"/>
  <c r="HM270" i="1"/>
  <c r="HM282" i="1"/>
  <c r="HM291" i="1"/>
  <c r="HM96" i="1"/>
  <c r="HM176" i="1"/>
  <c r="HM226" i="1"/>
  <c r="HM295" i="1"/>
  <c r="HM27" i="1"/>
  <c r="HM64" i="1"/>
  <c r="HM353" i="1"/>
  <c r="HM323" i="1"/>
  <c r="HM307" i="1"/>
  <c r="HM191" i="1"/>
  <c r="HM184" i="1"/>
  <c r="HM65" i="1"/>
  <c r="HM130" i="1"/>
  <c r="HM126" i="1"/>
  <c r="HM121" i="1"/>
  <c r="HM115" i="1"/>
  <c r="HM293" i="1"/>
  <c r="HM175" i="1"/>
  <c r="HM50" i="1"/>
  <c r="HM45" i="1"/>
  <c r="HM23" i="1"/>
  <c r="HM19" i="1"/>
  <c r="HM274" i="1"/>
  <c r="HM340" i="1"/>
  <c r="HM273" i="1"/>
  <c r="HM61" i="1"/>
  <c r="HM246" i="1"/>
  <c r="HM229" i="1"/>
  <c r="HM83" i="1"/>
  <c r="HM223" i="1"/>
  <c r="HM81" i="1"/>
  <c r="HM263" i="1"/>
  <c r="HM261" i="1"/>
  <c r="HM257" i="1"/>
  <c r="HM254" i="1"/>
  <c r="HM252" i="1"/>
  <c r="HM249" i="1"/>
  <c r="HM244" i="1"/>
  <c r="HM232" i="1"/>
  <c r="HM187" i="1"/>
  <c r="HM238" i="1"/>
  <c r="HM235" i="1"/>
  <c r="HM227" i="1"/>
  <c r="HM60" i="1"/>
  <c r="HM59" i="1"/>
  <c r="HM200" i="1"/>
  <c r="HM197" i="1"/>
  <c r="HM186" i="1"/>
  <c r="HM106" i="1"/>
  <c r="HM132" i="1"/>
  <c r="HM119" i="1"/>
  <c r="HM345" i="1"/>
  <c r="HM318" i="1"/>
  <c r="HM54" i="1"/>
  <c r="HM240" i="1"/>
  <c r="HM324" i="1"/>
  <c r="HM304" i="1"/>
  <c r="HM192" i="1"/>
  <c r="HM372" i="1"/>
  <c r="HM362" i="1"/>
  <c r="HM355" i="1"/>
  <c r="HM330" i="1"/>
  <c r="HM342" i="1"/>
  <c r="HM322" i="1"/>
  <c r="HM299" i="1"/>
  <c r="HM213" i="1"/>
  <c r="HM207" i="1"/>
  <c r="HM194" i="1"/>
  <c r="HM168" i="1"/>
  <c r="HM349" i="1"/>
  <c r="HM339" i="1"/>
  <c r="HM205" i="1"/>
  <c r="HM371" i="1"/>
  <c r="HM366" i="1"/>
  <c r="HM363" i="1"/>
  <c r="HM358" i="1"/>
  <c r="HM331" i="1"/>
  <c r="HM160" i="1"/>
  <c r="HM42" i="1"/>
  <c r="HM346" i="1"/>
  <c r="HM334" i="1"/>
  <c r="HM315" i="1"/>
  <c r="HM297" i="1"/>
  <c r="HM182" i="1"/>
  <c r="HM374" i="1"/>
  <c r="HM48" i="1"/>
  <c r="HM129" i="1"/>
  <c r="HM127" i="1"/>
  <c r="HM123" i="1"/>
  <c r="HM118" i="1"/>
  <c r="HM344" i="1"/>
  <c r="HM303" i="1"/>
  <c r="HM211" i="1"/>
  <c r="HM28" i="1"/>
  <c r="HM37" i="1"/>
  <c r="HM21" i="1"/>
  <c r="HM17" i="1"/>
  <c r="HM296" i="1"/>
  <c r="HM38" i="1"/>
  <c r="HM332" i="1"/>
  <c r="HM321" i="1"/>
  <c r="HM316" i="1"/>
  <c r="HM312" i="1"/>
  <c r="HM287" i="1"/>
  <c r="HM26" i="1"/>
  <c r="HM166" i="1"/>
  <c r="HM68" i="1"/>
  <c r="HM70" i="1"/>
  <c r="HM72" i="1"/>
  <c r="HM74" i="1"/>
  <c r="HM91" i="1"/>
  <c r="HM92" i="1"/>
  <c r="HM93" i="1"/>
  <c r="HM111" i="1"/>
  <c r="HM101" i="1"/>
  <c r="HM107" i="1"/>
  <c r="HM110" i="1"/>
  <c r="HM135" i="1"/>
  <c r="HM137" i="1"/>
  <c r="HM140" i="1"/>
  <c r="HM142" i="1"/>
  <c r="HM144" i="1"/>
  <c r="HM149" i="1"/>
  <c r="HM152" i="1"/>
  <c r="HM154" i="1"/>
  <c r="HM158" i="1"/>
  <c r="HM159" i="1"/>
  <c r="HM43" i="1"/>
  <c r="HM179" i="1"/>
  <c r="HM181" i="1"/>
  <c r="HM278" i="1"/>
  <c r="HM284" i="1"/>
  <c r="HM44" i="1"/>
  <c r="HM66" i="1"/>
  <c r="HM99" i="1"/>
  <c r="HM62" i="1"/>
  <c r="HM218" i="1"/>
  <c r="HM267" i="1"/>
  <c r="HM279" i="1"/>
  <c r="HM290" i="1"/>
  <c r="HM98" i="1"/>
  <c r="HM53" i="1"/>
  <c r="HM215" i="1"/>
  <c r="HM268" i="1"/>
  <c r="HM30" i="1"/>
  <c r="HM271" i="1"/>
  <c r="HM217" i="1"/>
  <c r="HM266" i="1"/>
  <c r="HM233" i="1"/>
  <c r="HM221" i="1"/>
  <c r="HM193" i="1"/>
  <c r="HM275" i="1"/>
  <c r="HM242" i="1"/>
  <c r="HM161" i="1"/>
  <c r="HM265" i="1"/>
  <c r="HM222" i="1"/>
  <c r="HM231" i="1"/>
  <c r="HM204" i="1"/>
  <c r="HM190" i="1"/>
  <c r="HM219" i="1"/>
  <c r="HM47" i="1"/>
  <c r="HM262" i="1"/>
  <c r="HM259" i="1"/>
  <c r="HM256" i="1"/>
  <c r="HM253" i="1"/>
  <c r="HM250" i="1"/>
  <c r="HM247" i="1"/>
  <c r="HM224" i="1"/>
  <c r="HM185" i="1"/>
  <c r="HM239" i="1"/>
  <c r="HM236" i="1"/>
  <c r="HM234" i="1"/>
  <c r="HM225" i="1"/>
  <c r="HM29" i="1"/>
  <c r="HM195" i="1"/>
  <c r="HM169" i="1"/>
  <c r="HM201" i="1"/>
  <c r="HM199" i="1"/>
  <c r="HM196" i="1"/>
  <c r="HM82" i="1"/>
  <c r="HM133" i="1"/>
  <c r="HM41" i="1"/>
  <c r="HM122" i="1"/>
  <c r="HM114" i="1"/>
  <c r="HM333" i="1"/>
  <c r="HM308" i="1"/>
  <c r="HM167" i="1"/>
  <c r="HM298" i="1"/>
  <c r="HM314" i="1"/>
  <c r="HM310" i="1"/>
  <c r="HM281" i="1"/>
  <c r="HM165" i="1"/>
  <c r="HM368" i="1"/>
  <c r="HM356" i="1"/>
  <c r="HM350" i="1"/>
  <c r="HM320" i="1"/>
  <c r="HM328" i="1"/>
  <c r="HM306" i="1"/>
  <c r="HM288" i="1"/>
  <c r="HM209" i="1"/>
  <c r="HM189" i="1"/>
  <c r="HM354" i="1"/>
  <c r="HM277" i="1"/>
  <c r="HM40" i="1"/>
  <c r="HM305" i="1"/>
  <c r="HM188" i="1"/>
  <c r="HM367" i="1"/>
  <c r="HM365" i="1"/>
  <c r="HM361" i="1"/>
  <c r="HM357" i="1"/>
  <c r="HM352" i="1"/>
  <c r="HM245" i="1"/>
  <c r="HM347" i="1"/>
  <c r="HM341" i="1"/>
  <c r="HM311" i="1"/>
  <c r="HM212" i="1"/>
  <c r="HM102" i="1"/>
  <c r="HM34" i="1"/>
  <c r="HM128" i="1"/>
  <c r="HM124" i="1"/>
  <c r="HM117" i="1"/>
  <c r="HM336" i="1"/>
  <c r="HM327" i="1"/>
  <c r="HM286" i="1"/>
  <c r="HM79" i="1"/>
  <c r="HM51" i="1"/>
  <c r="HM24" i="1"/>
  <c r="HM20" i="1"/>
  <c r="HM16" i="1"/>
  <c r="HM163" i="1"/>
  <c r="HM335" i="1"/>
  <c r="HM85" i="1"/>
  <c r="HM86" i="1"/>
  <c r="HM87" i="1"/>
  <c r="HM88" i="1"/>
  <c r="HM89" i="1"/>
  <c r="HM90" i="1"/>
  <c r="HM94" i="1"/>
  <c r="HM108" i="1"/>
  <c r="HM104" i="1"/>
  <c r="HM109" i="1"/>
  <c r="HM112" i="1"/>
  <c r="HM134" i="1"/>
  <c r="HM136" i="1"/>
  <c r="HM138" i="1"/>
  <c r="HM139" i="1"/>
  <c r="HM143" i="1"/>
  <c r="HM145" i="1"/>
  <c r="HM148" i="1"/>
  <c r="HM150" i="1"/>
  <c r="HM153" i="1"/>
  <c r="HM156" i="1"/>
  <c r="HM31" i="1"/>
  <c r="HM105" i="1"/>
  <c r="HM276" i="1"/>
  <c r="HM283" i="1"/>
  <c r="HM292" i="1"/>
  <c r="HM100" i="1"/>
  <c r="HM178" i="1"/>
  <c r="HM294" i="1"/>
  <c r="HM300" i="1"/>
  <c r="HM52" i="1"/>
  <c r="CW29" i="1"/>
  <c r="DG56" i="1"/>
  <c r="DG57" i="1" s="1"/>
  <c r="DH57" i="1"/>
  <c r="JD109" i="1"/>
  <c r="JD116" i="1" s="1"/>
  <c r="JD104" i="1"/>
  <c r="JD107" i="1"/>
  <c r="JD118" i="1" s="1"/>
  <c r="JD108" i="1"/>
  <c r="JD117" i="1" s="1"/>
  <c r="JD106" i="1"/>
  <c r="JD119" i="1" s="1"/>
  <c r="JD110" i="1"/>
  <c r="JD115" i="1" s="1"/>
  <c r="JD112" i="1"/>
  <c r="JD113" i="1" s="1"/>
  <c r="JD114" i="1" s="1"/>
  <c r="JD111" i="1"/>
  <c r="MC52" i="1"/>
  <c r="MG51" i="1" s="1"/>
  <c r="HL212" i="1"/>
  <c r="HL23" i="1"/>
  <c r="HL22" i="1"/>
  <c r="HL21" i="1"/>
  <c r="HL20" i="1"/>
  <c r="HL18" i="1"/>
  <c r="HL17" i="1"/>
  <c r="HL359" i="1"/>
  <c r="HL356" i="1"/>
  <c r="HL355" i="1"/>
  <c r="HL351" i="1"/>
  <c r="HL350" i="1"/>
  <c r="HL349" i="1"/>
  <c r="HL329" i="1"/>
  <c r="HL327" i="1"/>
  <c r="HL324" i="1"/>
  <c r="HL322" i="1"/>
  <c r="HL316" i="1"/>
  <c r="HL314" i="1"/>
  <c r="HL311" i="1"/>
  <c r="HL307" i="1"/>
  <c r="HL300" i="1"/>
  <c r="HL278" i="1"/>
  <c r="HL221" i="1"/>
  <c r="HL34" i="1"/>
  <c r="HL348" i="1"/>
  <c r="HL338" i="1"/>
  <c r="HL336" i="1"/>
  <c r="HL333" i="1"/>
  <c r="HL331" i="1"/>
  <c r="HL291" i="1"/>
  <c r="HL279" i="1"/>
  <c r="HL33" i="1"/>
  <c r="HL205" i="1"/>
  <c r="HL204" i="1"/>
  <c r="HL190" i="1"/>
  <c r="HL189" i="1"/>
  <c r="HL177" i="1"/>
  <c r="HL128" i="1"/>
  <c r="HL127" i="1"/>
  <c r="HL126" i="1"/>
  <c r="HL125" i="1"/>
  <c r="HL124" i="1"/>
  <c r="HL123" i="1"/>
  <c r="HL122" i="1"/>
  <c r="HL120" i="1"/>
  <c r="HL119" i="1"/>
  <c r="HL117" i="1"/>
  <c r="HL116" i="1"/>
  <c r="HL115" i="1"/>
  <c r="HL114" i="1"/>
  <c r="HL113" i="1"/>
  <c r="HL36" i="1"/>
  <c r="HL340" i="1"/>
  <c r="HL320" i="1"/>
  <c r="HL277" i="1"/>
  <c r="HL213" i="1"/>
  <c r="HL47" i="1"/>
  <c r="HL52" i="1"/>
  <c r="HL51" i="1"/>
  <c r="HL50" i="1"/>
  <c r="HL49" i="1"/>
  <c r="HL25" i="1"/>
  <c r="HL24" i="1"/>
  <c r="HL102" i="1"/>
  <c r="HL105" i="1"/>
  <c r="HL173" i="1"/>
  <c r="HL220" i="1"/>
  <c r="HL224" i="1"/>
  <c r="HL243" i="1"/>
  <c r="HL273" i="1"/>
  <c r="HL297" i="1"/>
  <c r="HL298" i="1"/>
  <c r="HL302" i="1"/>
  <c r="HL321" i="1"/>
  <c r="HL38" i="1"/>
  <c r="HL42" i="1"/>
  <c r="HL58" i="1"/>
  <c r="HL80" i="1"/>
  <c r="HL164" i="1"/>
  <c r="HL215" i="1"/>
  <c r="HL219" i="1"/>
  <c r="HL225" i="1"/>
  <c r="HL270" i="1"/>
  <c r="HL192" i="1"/>
  <c r="HL60" i="1"/>
  <c r="HL54" i="1"/>
  <c r="HL45" i="1"/>
  <c r="HL27" i="1"/>
  <c r="HL240" i="1"/>
  <c r="HL239" i="1"/>
  <c r="HL238" i="1"/>
  <c r="HL237" i="1"/>
  <c r="HL236" i="1"/>
  <c r="HL235" i="1"/>
  <c r="HL233" i="1"/>
  <c r="HL232" i="1"/>
  <c r="HL231" i="1"/>
  <c r="HL230" i="1"/>
  <c r="HL211" i="1"/>
  <c r="HL209" i="1"/>
  <c r="HL206" i="1"/>
  <c r="HL184" i="1"/>
  <c r="HL202" i="1"/>
  <c r="HL201" i="1"/>
  <c r="HL200" i="1"/>
  <c r="HL199" i="1"/>
  <c r="HL198" i="1"/>
  <c r="HL197" i="1"/>
  <c r="HL194" i="1"/>
  <c r="HL35" i="1"/>
  <c r="HL121" i="1"/>
  <c r="HL118" i="1"/>
  <c r="HL341" i="1"/>
  <c r="HL292" i="1"/>
  <c r="HL284" i="1"/>
  <c r="HL191" i="1"/>
  <c r="HL187" i="1"/>
  <c r="HL133" i="1"/>
  <c r="HL84" i="1"/>
  <c r="HL64" i="1"/>
  <c r="HL30" i="1"/>
  <c r="HL132" i="1"/>
  <c r="HL131" i="1"/>
  <c r="HL130" i="1"/>
  <c r="HL129" i="1"/>
  <c r="HL61" i="1"/>
  <c r="HL67" i="1"/>
  <c r="HL68" i="1"/>
  <c r="HL69" i="1"/>
  <c r="HL70" i="1"/>
  <c r="HL71" i="1"/>
  <c r="HL72" i="1"/>
  <c r="HL73" i="1"/>
  <c r="HL74" i="1"/>
  <c r="HL75" i="1"/>
  <c r="HL76" i="1"/>
  <c r="HL180" i="1"/>
  <c r="HL181" i="1"/>
  <c r="HL282" i="1"/>
  <c r="HL286" i="1"/>
  <c r="HL294" i="1"/>
  <c r="HL26" i="1"/>
  <c r="HL48" i="1"/>
  <c r="HL57" i="1"/>
  <c r="HL161" i="1"/>
  <c r="HL97" i="1"/>
  <c r="HL174" i="1"/>
  <c r="HL179" i="1"/>
  <c r="HL222" i="1"/>
  <c r="HL245" i="1"/>
  <c r="HL275" i="1"/>
  <c r="HL281" i="1"/>
  <c r="HL285" i="1"/>
  <c r="HL287" i="1"/>
  <c r="HL288" i="1"/>
  <c r="HL289" i="1"/>
  <c r="HL290" i="1"/>
  <c r="HL269" i="1"/>
  <c r="HL246" i="1"/>
  <c r="HL66" i="1"/>
  <c r="HL44" i="1"/>
  <c r="HL265" i="1"/>
  <c r="HL264" i="1"/>
  <c r="HL263" i="1"/>
  <c r="HL262" i="1"/>
  <c r="HL261" i="1"/>
  <c r="HL260" i="1"/>
  <c r="HL259" i="1"/>
  <c r="HL258" i="1"/>
  <c r="HL257" i="1"/>
  <c r="HL256" i="1"/>
  <c r="HL255" i="1"/>
  <c r="HL254" i="1"/>
  <c r="HL244" i="1"/>
  <c r="HL241" i="1"/>
  <c r="HL218" i="1"/>
  <c r="HL214" i="1"/>
  <c r="HL62" i="1"/>
  <c r="HL228" i="1"/>
  <c r="HL226" i="1"/>
  <c r="HL267" i="1"/>
  <c r="HL266" i="1"/>
  <c r="HL253" i="1"/>
  <c r="HL252" i="1"/>
  <c r="HL251" i="1"/>
  <c r="HL250" i="1"/>
  <c r="HL249" i="1"/>
  <c r="HL248" i="1"/>
  <c r="HL247" i="1"/>
  <c r="HL242" i="1"/>
  <c r="HL216" i="1"/>
  <c r="HL163" i="1"/>
  <c r="HL83" i="1"/>
  <c r="HL234" i="1"/>
  <c r="HL229" i="1"/>
  <c r="HL227" i="1"/>
  <c r="HL217" i="1"/>
  <c r="HL82" i="1"/>
  <c r="HL16" i="1"/>
  <c r="HL15" i="1"/>
  <c r="HL14" i="1"/>
  <c r="HL306" i="1"/>
  <c r="HL343" i="1"/>
  <c r="HL296" i="1"/>
  <c r="HL280" i="1"/>
  <c r="HL272" i="1"/>
  <c r="HL210" i="1"/>
  <c r="HL208" i="1"/>
  <c r="HL207" i="1"/>
  <c r="HL203" i="1"/>
  <c r="HL195" i="1"/>
  <c r="HL160" i="1"/>
  <c r="HL39" i="1"/>
  <c r="HL32" i="1"/>
  <c r="HL185" i="1"/>
  <c r="HL19" i="1"/>
  <c r="HL309" i="1"/>
  <c r="HL304" i="1"/>
  <c r="HL293" i="1"/>
  <c r="HL276" i="1"/>
  <c r="HL271" i="1"/>
  <c r="HL63" i="1"/>
  <c r="HL53" i="1"/>
  <c r="HL31" i="1"/>
  <c r="HL344" i="1"/>
  <c r="HL342" i="1"/>
  <c r="HL334" i="1"/>
  <c r="HL318" i="1"/>
  <c r="HL299" i="1"/>
  <c r="HL56" i="1"/>
  <c r="HL188" i="1"/>
  <c r="HL176" i="1"/>
  <c r="HL371" i="1"/>
  <c r="HL367" i="1"/>
  <c r="HL365" i="1"/>
  <c r="HL364" i="1"/>
  <c r="HL361" i="1"/>
  <c r="HL358" i="1"/>
  <c r="HL354" i="1"/>
  <c r="HL353" i="1"/>
  <c r="HL328" i="1"/>
  <c r="HL326" i="1"/>
  <c r="HL323" i="1"/>
  <c r="HL360" i="1"/>
  <c r="HL357" i="1"/>
  <c r="HL352" i="1"/>
  <c r="HL330" i="1"/>
  <c r="HL325" i="1"/>
  <c r="HL317" i="1"/>
  <c r="HL313" i="1"/>
  <c r="HL308" i="1"/>
  <c r="HL301" i="1"/>
  <c r="HL223" i="1"/>
  <c r="HL346" i="1"/>
  <c r="HL335" i="1"/>
  <c r="HL332" i="1"/>
  <c r="HL283" i="1"/>
  <c r="HL193" i="1"/>
  <c r="HL373" i="1"/>
  <c r="HL372" i="1"/>
  <c r="HL369" i="1"/>
  <c r="HL362" i="1"/>
  <c r="HL77" i="1"/>
  <c r="HL78" i="1"/>
  <c r="HL79" i="1"/>
  <c r="HL46" i="1"/>
  <c r="HL65" i="1"/>
  <c r="HL81" i="1"/>
  <c r="HL85" i="1"/>
  <c r="HL86" i="1"/>
  <c r="HL87" i="1"/>
  <c r="HL88" i="1"/>
  <c r="HL89" i="1"/>
  <c r="HL90" i="1"/>
  <c r="HL91" i="1"/>
  <c r="HL92" i="1"/>
  <c r="HL93" i="1"/>
  <c r="HL94" i="1"/>
  <c r="HL95" i="1"/>
  <c r="HL99" i="1"/>
  <c r="HL104" i="1"/>
  <c r="HL41" i="1"/>
  <c r="HL107" i="1"/>
  <c r="HL98" i="1"/>
  <c r="HL186" i="1"/>
  <c r="HL109" i="1"/>
  <c r="HL110" i="1"/>
  <c r="HL111" i="1"/>
  <c r="HL112" i="1"/>
  <c r="HL136" i="1"/>
  <c r="HL134" i="1"/>
  <c r="HL135" i="1"/>
  <c r="HL137" i="1"/>
  <c r="HL138" i="1"/>
  <c r="HL139" i="1"/>
  <c r="HL140" i="1"/>
  <c r="HL141" i="1"/>
  <c r="HL142" i="1"/>
  <c r="HL143" i="1"/>
  <c r="HL144" i="1"/>
  <c r="HL145" i="1"/>
  <c r="HL146" i="1"/>
  <c r="HL147" i="1"/>
  <c r="HL148" i="1"/>
  <c r="HL149" i="1"/>
  <c r="HL150" i="1"/>
  <c r="HL151" i="1"/>
  <c r="HL152" i="1"/>
  <c r="HL153" i="1"/>
  <c r="HL154" i="1"/>
  <c r="HL155" i="1"/>
  <c r="HL108" i="1"/>
  <c r="HL157" i="1"/>
  <c r="HL158" i="1"/>
  <c r="HL159" i="1"/>
  <c r="HL28" i="1"/>
  <c r="HL37" i="1"/>
  <c r="HL40" i="1"/>
  <c r="HL55" i="1"/>
  <c r="HL59" i="1"/>
  <c r="HL162" i="1"/>
  <c r="HL165" i="1"/>
  <c r="HL166" i="1"/>
  <c r="HL167" i="1"/>
  <c r="HL168" i="1"/>
  <c r="HL169" i="1"/>
  <c r="HL170" i="1"/>
  <c r="HL171" i="1"/>
  <c r="HL172" i="1"/>
  <c r="HL96" i="1"/>
  <c r="HL100" i="1"/>
  <c r="HL101" i="1"/>
  <c r="HL103" i="1"/>
  <c r="HL106" i="1"/>
  <c r="HL175" i="1"/>
  <c r="HL178" i="1"/>
  <c r="HL156" i="1"/>
  <c r="JD101" i="1"/>
  <c r="JD96" i="1"/>
  <c r="HL315" i="1"/>
  <c r="HL312" i="1"/>
  <c r="HL310" i="1"/>
  <c r="HL305" i="1"/>
  <c r="HL303" i="1"/>
  <c r="HL295" i="1"/>
  <c r="HL268" i="1"/>
  <c r="HL347" i="1"/>
  <c r="HL345" i="1"/>
  <c r="HL339" i="1"/>
  <c r="HL337" i="1"/>
  <c r="HL319" i="1"/>
  <c r="HL274" i="1"/>
  <c r="HL196" i="1"/>
  <c r="HL43" i="1"/>
  <c r="HL29" i="1"/>
  <c r="HL183" i="1"/>
  <c r="HL182" i="1"/>
  <c r="HL374" i="1"/>
  <c r="HL370" i="1"/>
  <c r="HL368" i="1"/>
  <c r="HL366" i="1"/>
  <c r="HL363" i="1"/>
  <c r="JC101" i="1"/>
  <c r="JC99" i="1"/>
  <c r="JD88" i="1"/>
  <c r="JD93" i="1"/>
  <c r="JC44" i="1"/>
  <c r="JC45" i="1" s="1"/>
  <c r="JC43" i="1"/>
  <c r="JC46" i="1" s="1"/>
  <c r="JC42" i="1"/>
  <c r="JC48" i="1"/>
  <c r="JC49" i="1" s="1"/>
  <c r="JC152" i="1"/>
  <c r="JC153" i="1" s="1"/>
  <c r="JC144" i="1"/>
  <c r="JC145" i="1" s="1"/>
  <c r="JC142" i="1"/>
  <c r="JC143" i="1" s="1"/>
  <c r="JC146" i="1" s="1"/>
  <c r="JC147" i="1" s="1"/>
  <c r="JD46" i="1"/>
  <c r="JD47" i="1" s="1"/>
  <c r="JD45" i="1"/>
  <c r="JD48" i="1" s="1"/>
  <c r="JD44" i="1"/>
  <c r="JD42" i="1"/>
  <c r="JD49" i="1"/>
  <c r="JC33" i="1"/>
  <c r="JC36" i="1" s="1"/>
  <c r="JC38" i="1"/>
  <c r="JC39" i="1" s="1"/>
  <c r="JC32" i="1"/>
  <c r="JC34" i="1"/>
  <c r="JC35" i="1" s="1"/>
  <c r="JD32" i="1"/>
  <c r="JD34" i="1"/>
  <c r="JD39" i="1"/>
  <c r="EB61" i="1"/>
  <c r="JD36" i="1"/>
  <c r="JD37" i="1" s="1"/>
  <c r="JD35" i="1"/>
  <c r="JD38" i="1" s="1"/>
  <c r="JC141" i="1"/>
  <c r="JC148" i="1" s="1"/>
  <c r="JC140" i="1"/>
  <c r="JD148" i="1"/>
  <c r="JD149" i="1" s="1"/>
  <c r="JD150" i="1" s="1"/>
  <c r="JD147" i="1"/>
  <c r="JD146" i="1"/>
  <c r="JD151" i="1" s="1"/>
  <c r="JD145" i="1"/>
  <c r="JD152" i="1" s="1"/>
  <c r="JD144" i="1"/>
  <c r="JD153" i="1" s="1"/>
  <c r="JD143" i="1"/>
  <c r="JD154" i="1" s="1"/>
  <c r="JD142" i="1"/>
  <c r="JD155" i="1" s="1"/>
  <c r="JD140" i="1"/>
  <c r="JD29" i="1"/>
  <c r="JD26" i="1"/>
  <c r="JD27" i="1" s="1"/>
  <c r="JD25" i="1"/>
  <c r="JD28" i="1" s="1"/>
  <c r="JD24" i="1"/>
  <c r="JD22" i="1"/>
  <c r="JC14" i="1"/>
  <c r="JC15" i="1" s="1"/>
  <c r="JC13" i="1"/>
  <c r="JC16" i="1" s="1"/>
  <c r="JC18" i="1"/>
  <c r="JC19" i="1" s="1"/>
  <c r="JC12" i="1"/>
  <c r="JD16" i="1"/>
  <c r="JD17" i="1" s="1"/>
  <c r="JD15" i="1"/>
  <c r="JD18" i="1" s="1"/>
  <c r="JD14" i="1"/>
  <c r="JD12" i="1"/>
  <c r="JD19" i="1"/>
  <c r="JC23" i="1"/>
  <c r="JC26" i="1" s="1"/>
  <c r="JC22" i="1"/>
  <c r="JC28" i="1"/>
  <c r="JC29" i="1" s="1"/>
  <c r="JC24" i="1"/>
  <c r="JC25" i="1" s="1"/>
  <c r="FS25" i="1"/>
  <c r="FW25" i="1" s="1"/>
  <c r="FW24" i="1"/>
  <c r="FT26" i="1"/>
  <c r="FX26" i="1" s="1"/>
  <c r="FX25" i="1"/>
  <c r="FT27" i="1"/>
  <c r="FX27" i="1" s="1"/>
  <c r="FX24" i="1"/>
  <c r="JC136" i="1"/>
  <c r="JC137" i="1" s="1"/>
  <c r="JC134" i="1"/>
  <c r="JC135" i="1" s="1"/>
  <c r="JC126" i="1"/>
  <c r="JC127" i="1" s="1"/>
  <c r="JC124" i="1"/>
  <c r="JC125" i="1" s="1"/>
  <c r="JC128" i="1" s="1"/>
  <c r="JC129" i="1" s="1"/>
  <c r="JC123" i="1"/>
  <c r="JC130" i="1" s="1"/>
  <c r="JC122" i="1"/>
  <c r="FS27" i="1"/>
  <c r="FW27" i="1" s="1"/>
  <c r="FW26" i="1"/>
  <c r="LX59" i="1"/>
  <c r="JD130" i="1"/>
  <c r="JD131" i="1" s="1"/>
  <c r="JD132" i="1" s="1"/>
  <c r="JD129" i="1"/>
  <c r="JD128" i="1"/>
  <c r="JD133" i="1" s="1"/>
  <c r="JD127" i="1"/>
  <c r="JD134" i="1" s="1"/>
  <c r="JD126" i="1"/>
  <c r="JD135" i="1" s="1"/>
  <c r="JD125" i="1"/>
  <c r="JD136" i="1" s="1"/>
  <c r="JD124" i="1"/>
  <c r="JD137" i="1" s="1"/>
  <c r="JD122" i="1"/>
  <c r="MD53" i="1"/>
  <c r="MF51" i="1"/>
  <c r="MC80" i="1"/>
  <c r="MC76" i="1"/>
  <c r="MC78" i="1"/>
  <c r="MG59" i="1"/>
  <c r="MC54" i="1"/>
  <c r="MF57" i="1"/>
  <c r="MG57" i="1"/>
  <c r="MC68" i="1"/>
  <c r="MC70" i="1" s="1"/>
  <c r="MC71" i="1" s="1"/>
  <c r="ME56" i="1"/>
  <c r="ME57" i="1" s="1"/>
  <c r="ME53" i="1"/>
  <c r="MG53" i="1"/>
  <c r="MC64" i="1"/>
  <c r="ME55" i="1"/>
  <c r="MF52" i="1"/>
  <c r="MF53" i="1" s="1"/>
  <c r="MD57" i="1"/>
  <c r="MD67" i="1"/>
  <c r="MD63" i="1"/>
  <c r="LV76" i="1"/>
  <c r="LZ59" i="1"/>
  <c r="LV78" i="1"/>
  <c r="LY59" i="1"/>
  <c r="LY60" i="1" s="1"/>
  <c r="LW79" i="1"/>
  <c r="LY57" i="1"/>
  <c r="LZ57" i="1"/>
  <c r="LY56" i="1"/>
  <c r="LZ56" i="1"/>
  <c r="LV68" i="1"/>
  <c r="LV70" i="1" s="1"/>
  <c r="LV71" i="1" s="1"/>
  <c r="LX56" i="1"/>
  <c r="LX57" i="1" s="1"/>
  <c r="LY55" i="1"/>
  <c r="LZ55" i="1"/>
  <c r="LX53" i="1"/>
  <c r="LZ53" i="1"/>
  <c r="LW57" i="1"/>
  <c r="LW59" i="1" s="1"/>
  <c r="LW60" i="1" s="1"/>
  <c r="LY52" i="1"/>
  <c r="LY53" i="1" s="1"/>
  <c r="LV54" i="1"/>
  <c r="LW53" i="1"/>
  <c r="LY51" i="1"/>
  <c r="LV56" i="1"/>
  <c r="LV52" i="1"/>
  <c r="LV80" i="1"/>
  <c r="LV64" i="1"/>
  <c r="LX55" i="1"/>
  <c r="LQ59" i="1"/>
  <c r="LQ60" i="1" s="1"/>
  <c r="LO75" i="1"/>
  <c r="LO78" i="1" s="1"/>
  <c r="LO79" i="1" s="1"/>
  <c r="LP64" i="1"/>
  <c r="LR55" i="1"/>
  <c r="LP76" i="1"/>
  <c r="LP78" i="1"/>
  <c r="LR59" i="1"/>
  <c r="LS59" i="1"/>
  <c r="LQ57" i="1"/>
  <c r="LS57" i="1"/>
  <c r="LP68" i="1"/>
  <c r="LP70" i="1" s="1"/>
  <c r="LP71" i="1" s="1"/>
  <c r="LR56" i="1"/>
  <c r="LR57" i="1" s="1"/>
  <c r="LO65" i="1"/>
  <c r="LO63" i="1"/>
  <c r="LO67" i="1"/>
  <c r="LR53" i="1"/>
  <c r="LS53" i="1"/>
  <c r="LO57" i="1"/>
  <c r="LO59" i="1" s="1"/>
  <c r="LO60" i="1" s="1"/>
  <c r="LQ52" i="1"/>
  <c r="LQ53" i="1" s="1"/>
  <c r="LQ51" i="1"/>
  <c r="LO53" i="1"/>
  <c r="LP52" i="1"/>
  <c r="LP56" i="1"/>
  <c r="LI56" i="1"/>
  <c r="LK51" i="1"/>
  <c r="LL51" i="1"/>
  <c r="LJ51" i="1"/>
  <c r="LH53" i="1"/>
  <c r="LH57" i="1"/>
  <c r="LH59" i="1" s="1"/>
  <c r="LH60" i="1" s="1"/>
  <c r="LJ52" i="1"/>
  <c r="LJ53" i="1" s="1"/>
  <c r="LK53" i="1"/>
  <c r="LL53" i="1"/>
  <c r="LH67" i="1"/>
  <c r="LJ55" i="1"/>
  <c r="LI63" i="1"/>
  <c r="LI65" i="1"/>
  <c r="LI67" i="1"/>
  <c r="LL55" i="1"/>
  <c r="LH65" i="1"/>
  <c r="LJ57" i="1"/>
  <c r="LL57" i="1"/>
  <c r="LK59" i="1"/>
  <c r="LL59" i="1"/>
  <c r="LH75" i="1"/>
  <c r="LH78" i="1" s="1"/>
  <c r="LH79" i="1" s="1"/>
  <c r="LJ59" i="1"/>
  <c r="LJ60" i="1" s="1"/>
  <c r="LI76" i="1"/>
  <c r="LI78" i="1"/>
  <c r="JC75" i="1"/>
  <c r="JC77" i="1"/>
  <c r="JD77" i="1"/>
  <c r="JD72" i="1"/>
  <c r="JC93" i="1"/>
  <c r="JC91" i="1"/>
  <c r="JD159" i="1"/>
  <c r="JD174" i="1"/>
  <c r="JC83" i="1"/>
  <c r="JC85" i="1"/>
  <c r="JD80" i="1"/>
  <c r="JD85" i="1"/>
  <c r="JD64" i="1"/>
  <c r="JD69" i="1"/>
  <c r="JC67" i="1"/>
  <c r="JC69" i="1"/>
  <c r="BB29" i="1"/>
  <c r="BE29" i="1"/>
  <c r="BB26" i="1"/>
  <c r="BE26" i="1"/>
  <c r="BB27" i="1"/>
  <c r="BE27" i="1"/>
  <c r="BB25" i="1"/>
  <c r="BE25" i="1"/>
  <c r="FD43" i="1"/>
  <c r="FE43" i="1"/>
  <c r="EG17" i="1"/>
  <c r="EI11" i="1"/>
  <c r="I48" i="1" l="1"/>
  <c r="L48" i="1" s="1"/>
  <c r="I46" i="1"/>
  <c r="L46" i="1" s="1"/>
  <c r="I49" i="1"/>
  <c r="L49" i="1" s="1"/>
  <c r="JK174" i="1"/>
  <c r="JK159" i="1"/>
  <c r="AS68" i="1" a="1"/>
  <c r="I47" i="1"/>
  <c r="L47" i="1" s="1"/>
  <c r="BB28" i="1"/>
  <c r="BE28" i="1"/>
  <c r="BF28" i="1" s="1"/>
  <c r="NX51" i="1"/>
  <c r="NY51" i="1"/>
  <c r="JK30" i="1"/>
  <c r="JK23" i="1"/>
  <c r="JJ17" i="1"/>
  <c r="JJ20" i="1"/>
  <c r="JK13" i="1"/>
  <c r="JK20" i="1"/>
  <c r="JJ30" i="1"/>
  <c r="JJ27" i="1"/>
  <c r="DF21" i="1"/>
  <c r="DF22" i="1" s="1"/>
  <c r="DF23" i="1"/>
  <c r="DF24" i="1" s="1"/>
  <c r="CK31" i="1"/>
  <c r="CK33" i="1"/>
  <c r="CK34" i="1" s="1"/>
  <c r="CN54" i="1"/>
  <c r="CJ38" i="1"/>
  <c r="CJ39" i="1" s="1"/>
  <c r="CJ37" i="1"/>
  <c r="DF26" i="1"/>
  <c r="DF27" i="1" s="1"/>
  <c r="DF28" i="1"/>
  <c r="DF29" i="1" s="1"/>
  <c r="CK37" i="1"/>
  <c r="CK39" i="1"/>
  <c r="CK40" i="1" s="1"/>
  <c r="CJ32" i="1"/>
  <c r="CJ33" i="1" s="1"/>
  <c r="CJ31" i="1"/>
  <c r="CJ44" i="1"/>
  <c r="CJ45" i="1" s="1"/>
  <c r="CJ43" i="1"/>
  <c r="CJ50" i="1"/>
  <c r="CJ51" i="1" s="1"/>
  <c r="CJ49" i="1"/>
  <c r="CK45" i="1"/>
  <c r="CK46" i="1" s="1"/>
  <c r="CK43" i="1"/>
  <c r="CK51" i="1"/>
  <c r="CK52" i="1" s="1"/>
  <c r="CK49" i="1"/>
  <c r="BD109" i="1"/>
  <c r="BD110" i="1" s="1"/>
  <c r="AV10" i="1"/>
  <c r="AW10" i="1" s="1"/>
  <c r="NL12" i="1"/>
  <c r="O40" i="1"/>
  <c r="CO49" i="1"/>
  <c r="OC42" i="1"/>
  <c r="OB42" i="1"/>
  <c r="NT47" i="1" s="1"/>
  <c r="OA42" i="1"/>
  <c r="NS47" i="1" s="1"/>
  <c r="NS48" i="1" s="1"/>
  <c r="NW43" i="1"/>
  <c r="NW42" i="1"/>
  <c r="NZ43" i="1"/>
  <c r="OD42" i="1"/>
  <c r="NT50" i="1" s="1"/>
  <c r="I45" i="1"/>
  <c r="L45" i="1" s="1"/>
  <c r="I44" i="1"/>
  <c r="DU31" i="1"/>
  <c r="SB80" i="1"/>
  <c r="SB79" i="1" s="1"/>
  <c r="SB81" i="1"/>
  <c r="CT50" i="1"/>
  <c r="CT49" i="1"/>
  <c r="DA8" i="1"/>
  <c r="DA9" i="1"/>
  <c r="CT54" i="1"/>
  <c r="CT53" i="1"/>
  <c r="CK56" i="1"/>
  <c r="CU50" i="1"/>
  <c r="CK57" i="1"/>
  <c r="CU54" i="1"/>
  <c r="RE35" i="1"/>
  <c r="DY73" i="1"/>
  <c r="DY72" i="1"/>
  <c r="IS136" i="1"/>
  <c r="IS148" i="1"/>
  <c r="IS171" i="1"/>
  <c r="IS215" i="1"/>
  <c r="IS134" i="1"/>
  <c r="IS141" i="1"/>
  <c r="IS150" i="1"/>
  <c r="IS155" i="1"/>
  <c r="IS308" i="1"/>
  <c r="IS172" i="1"/>
  <c r="IS241" i="1"/>
  <c r="IS214" i="1"/>
  <c r="IS218" i="1"/>
  <c r="IS58" i="1"/>
  <c r="IS135" i="1"/>
  <c r="IS140" i="1"/>
  <c r="IS146" i="1"/>
  <c r="IS158" i="1"/>
  <c r="IS175" i="1"/>
  <c r="IS243" i="1"/>
  <c r="IS186" i="1"/>
  <c r="IS59" i="1"/>
  <c r="IS139" i="1"/>
  <c r="IS152" i="1"/>
  <c r="IS169" i="1"/>
  <c r="IS173" i="1"/>
  <c r="IS238" i="1"/>
  <c r="IS242" i="1"/>
  <c r="IS216" i="1"/>
  <c r="IS57" i="1"/>
  <c r="IS191" i="1"/>
  <c r="IS177" i="1"/>
  <c r="IS17" i="1"/>
  <c r="IS178" i="1"/>
  <c r="IS18" i="1"/>
  <c r="IS179" i="1"/>
  <c r="IS19" i="1"/>
  <c r="IS180" i="1"/>
  <c r="IS20" i="1"/>
  <c r="IS181" i="1"/>
  <c r="IS21" i="1"/>
  <c r="IS205" i="1"/>
  <c r="IS22" i="1"/>
  <c r="IS23" i="1"/>
  <c r="IS24" i="1"/>
  <c r="IS25" i="1"/>
  <c r="IS26" i="1"/>
  <c r="IS27" i="1"/>
  <c r="IS28" i="1"/>
  <c r="IS29" i="1"/>
  <c r="IS30" i="1"/>
  <c r="IS91" i="1"/>
  <c r="IS92" i="1"/>
  <c r="IS93" i="1"/>
  <c r="IS94" i="1"/>
  <c r="IS95" i="1"/>
  <c r="IS96" i="1"/>
  <c r="IS97" i="1"/>
  <c r="IS98" i="1"/>
  <c r="IS99" i="1"/>
  <c r="IS100" i="1"/>
  <c r="IS120" i="1"/>
  <c r="IS121" i="1"/>
  <c r="IS122" i="1"/>
  <c r="IS123" i="1"/>
  <c r="IS124" i="1"/>
  <c r="IS125" i="1"/>
  <c r="IS126" i="1"/>
  <c r="IS127" i="1"/>
  <c r="IS128" i="1"/>
  <c r="IS129" i="1"/>
  <c r="IS130" i="1"/>
  <c r="IS132" i="1"/>
  <c r="IS142" i="1"/>
  <c r="IS151" i="1"/>
  <c r="IS167" i="1"/>
  <c r="IS239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56" i="1"/>
  <c r="IS268" i="1"/>
  <c r="IS55" i="1"/>
  <c r="IS269" i="1"/>
  <c r="IS54" i="1"/>
  <c r="IS270" i="1"/>
  <c r="IS53" i="1"/>
  <c r="IS271" i="1"/>
  <c r="IS52" i="1"/>
  <c r="IS272" i="1"/>
  <c r="IS51" i="1"/>
  <c r="IS273" i="1"/>
  <c r="IS50" i="1"/>
  <c r="IS274" i="1"/>
  <c r="IS49" i="1"/>
  <c r="IS275" i="1"/>
  <c r="IS48" i="1"/>
  <c r="IS276" i="1"/>
  <c r="IS47" i="1"/>
  <c r="IS277" i="1"/>
  <c r="IS46" i="1"/>
  <c r="IS278" i="1"/>
  <c r="IS45" i="1"/>
  <c r="IS279" i="1"/>
  <c r="IS44" i="1"/>
  <c r="IS280" i="1"/>
  <c r="IS43" i="1"/>
  <c r="IS281" i="1"/>
  <c r="IS42" i="1"/>
  <c r="IS282" i="1"/>
  <c r="IS41" i="1"/>
  <c r="IS116" i="1"/>
  <c r="IS283" i="1"/>
  <c r="IS40" i="1"/>
  <c r="IS284" i="1"/>
  <c r="IS39" i="1"/>
  <c r="IS117" i="1"/>
  <c r="IS118" i="1"/>
  <c r="IS182" i="1"/>
  <c r="IS331" i="1"/>
  <c r="IS119" i="1"/>
  <c r="IS329" i="1"/>
  <c r="IS328" i="1"/>
  <c r="IS332" i="1"/>
  <c r="IS187" i="1"/>
  <c r="IS340" i="1"/>
  <c r="IS114" i="1"/>
  <c r="IS305" i="1"/>
  <c r="IS334" i="1"/>
  <c r="IS185" i="1"/>
  <c r="IS183" i="1"/>
  <c r="IS184" i="1"/>
  <c r="IS333" i="1"/>
  <c r="IS115" i="1"/>
  <c r="IS202" i="1"/>
  <c r="IS201" i="1"/>
  <c r="IS200" i="1"/>
  <c r="IS199" i="1"/>
  <c r="IS198" i="1"/>
  <c r="IS197" i="1"/>
  <c r="IS196" i="1"/>
  <c r="IS195" i="1"/>
  <c r="IS194" i="1"/>
  <c r="IS193" i="1"/>
  <c r="IS192" i="1"/>
  <c r="IS285" i="1"/>
  <c r="IS346" i="1"/>
  <c r="IS347" i="1"/>
  <c r="IS348" i="1"/>
  <c r="IS349" i="1"/>
  <c r="IS350" i="1"/>
  <c r="IS351" i="1"/>
  <c r="IS352" i="1"/>
  <c r="IS353" i="1"/>
  <c r="IS354" i="1"/>
  <c r="IS355" i="1"/>
  <c r="IS356" i="1"/>
  <c r="IS357" i="1"/>
  <c r="IS358" i="1"/>
  <c r="IS359" i="1"/>
  <c r="IS360" i="1"/>
  <c r="IS361" i="1"/>
  <c r="IS362" i="1"/>
  <c r="IS363" i="1"/>
  <c r="IS364" i="1"/>
  <c r="IS365" i="1"/>
  <c r="IS366" i="1"/>
  <c r="IS367" i="1"/>
  <c r="IS368" i="1"/>
  <c r="IS369" i="1"/>
  <c r="IS370" i="1"/>
  <c r="IS371" i="1"/>
  <c r="IS372" i="1"/>
  <c r="IS373" i="1"/>
  <c r="IS374" i="1"/>
  <c r="IS14" i="1"/>
  <c r="IS33" i="1"/>
  <c r="IS32" i="1"/>
  <c r="IS336" i="1"/>
  <c r="IS337" i="1"/>
  <c r="IS338" i="1"/>
  <c r="IS339" i="1"/>
  <c r="IS341" i="1"/>
  <c r="IS342" i="1"/>
  <c r="IS101" i="1"/>
  <c r="IS190" i="1"/>
  <c r="IS188" i="1"/>
  <c r="IS206" i="1"/>
  <c r="IS207" i="1"/>
  <c r="IS208" i="1"/>
  <c r="IS209" i="1"/>
  <c r="IS210" i="1"/>
  <c r="IS211" i="1"/>
  <c r="IS212" i="1"/>
  <c r="IS137" i="1"/>
  <c r="IS149" i="1"/>
  <c r="IS60" i="1"/>
  <c r="IS61" i="1"/>
  <c r="IS62" i="1"/>
  <c r="IS63" i="1"/>
  <c r="IS64" i="1"/>
  <c r="IS65" i="1"/>
  <c r="IS66" i="1"/>
  <c r="IS67" i="1"/>
  <c r="IS68" i="1"/>
  <c r="IS69" i="1"/>
  <c r="IS70" i="1"/>
  <c r="IS71" i="1"/>
  <c r="IS72" i="1"/>
  <c r="IS73" i="1"/>
  <c r="IS74" i="1"/>
  <c r="IS75" i="1"/>
  <c r="IS76" i="1"/>
  <c r="IS77" i="1"/>
  <c r="IS78" i="1"/>
  <c r="IS79" i="1"/>
  <c r="IS80" i="1"/>
  <c r="IS81" i="1"/>
  <c r="IS31" i="1"/>
  <c r="IS90" i="1"/>
  <c r="IS15" i="1"/>
  <c r="IS176" i="1"/>
  <c r="IS16" i="1"/>
  <c r="IS306" i="1"/>
  <c r="IS108" i="1"/>
  <c r="IS109" i="1"/>
  <c r="IS112" i="1"/>
  <c r="IS110" i="1"/>
  <c r="IS304" i="1"/>
  <c r="IS111" i="1"/>
  <c r="IS107" i="1"/>
  <c r="IS343" i="1"/>
  <c r="IS106" i="1"/>
  <c r="IS105" i="1"/>
  <c r="IS104" i="1"/>
  <c r="IS103" i="1"/>
  <c r="IS102" i="1"/>
  <c r="IS335" i="1"/>
  <c r="IS345" i="1"/>
  <c r="IS344" i="1"/>
  <c r="IS307" i="1"/>
  <c r="IS113" i="1"/>
  <c r="IS327" i="1"/>
  <c r="IS330" i="1"/>
  <c r="IS131" i="1"/>
  <c r="IS138" i="1"/>
  <c r="IS143" i="1"/>
  <c r="IS147" i="1"/>
  <c r="IS159" i="1"/>
  <c r="IS213" i="1"/>
  <c r="IS217" i="1"/>
  <c r="IS145" i="1"/>
  <c r="IS153" i="1"/>
  <c r="IS157" i="1"/>
  <c r="IS168" i="1"/>
  <c r="IS133" i="1"/>
  <c r="IS144" i="1"/>
  <c r="IS154" i="1"/>
  <c r="IS170" i="1"/>
  <c r="IS240" i="1"/>
  <c r="IS156" i="1"/>
  <c r="IS174" i="1"/>
  <c r="IS189" i="1"/>
  <c r="IS287" i="1"/>
  <c r="IS289" i="1"/>
  <c r="IS292" i="1"/>
  <c r="IS297" i="1"/>
  <c r="IS301" i="1"/>
  <c r="IS324" i="1"/>
  <c r="IS321" i="1"/>
  <c r="IS315" i="1"/>
  <c r="IS312" i="1"/>
  <c r="IS166" i="1"/>
  <c r="IS235" i="1"/>
  <c r="IS229" i="1"/>
  <c r="IS89" i="1"/>
  <c r="IS83" i="1"/>
  <c r="IS203" i="1"/>
  <c r="IS296" i="1"/>
  <c r="IS326" i="1"/>
  <c r="IS316" i="1"/>
  <c r="IS163" i="1"/>
  <c r="IS228" i="1"/>
  <c r="IS87" i="1"/>
  <c r="IS36" i="1"/>
  <c r="IS291" i="1"/>
  <c r="IS298" i="1"/>
  <c r="IS303" i="1"/>
  <c r="IS320" i="1"/>
  <c r="IS310" i="1"/>
  <c r="IS162" i="1"/>
  <c r="IS231" i="1"/>
  <c r="IS223" i="1"/>
  <c r="IS221" i="1"/>
  <c r="IS37" i="1"/>
  <c r="IS35" i="1"/>
  <c r="IS295" i="1"/>
  <c r="IS325" i="1"/>
  <c r="IS319" i="1"/>
  <c r="IS309" i="1"/>
  <c r="IS164" i="1"/>
  <c r="IS234" i="1"/>
  <c r="IS230" i="1"/>
  <c r="IS225" i="1"/>
  <c r="IS88" i="1"/>
  <c r="IS84" i="1"/>
  <c r="IS204" i="1"/>
  <c r="IS286" i="1"/>
  <c r="IS34" i="1"/>
  <c r="IS294" i="1"/>
  <c r="IS300" i="1"/>
  <c r="IS302" i="1"/>
  <c r="IS237" i="1"/>
  <c r="IS323" i="1"/>
  <c r="IS318" i="1"/>
  <c r="IS219" i="1"/>
  <c r="IS313" i="1"/>
  <c r="IS165" i="1"/>
  <c r="IS232" i="1"/>
  <c r="IS227" i="1"/>
  <c r="IS222" i="1"/>
  <c r="IS86" i="1"/>
  <c r="IS220" i="1"/>
  <c r="IS288" i="1"/>
  <c r="IS293" i="1"/>
  <c r="IS160" i="1"/>
  <c r="IS322" i="1"/>
  <c r="IS314" i="1"/>
  <c r="IS233" i="1"/>
  <c r="IS224" i="1"/>
  <c r="IS85" i="1"/>
  <c r="IS38" i="1"/>
  <c r="IS290" i="1"/>
  <c r="IS299" i="1"/>
  <c r="IS236" i="1"/>
  <c r="IS317" i="1"/>
  <c r="IS311" i="1"/>
  <c r="IS161" i="1"/>
  <c r="IS226" i="1"/>
  <c r="IS82" i="1"/>
  <c r="DZ69" i="1"/>
  <c r="DZ71" i="1"/>
  <c r="DZ72" i="1" s="1"/>
  <c r="DY67" i="1"/>
  <c r="DY66" i="1"/>
  <c r="DZ67" i="1"/>
  <c r="DZ64" i="1"/>
  <c r="GU48" i="1"/>
  <c r="GU45" i="1"/>
  <c r="J44" i="1"/>
  <c r="J52" i="1" s="1"/>
  <c r="CW52" i="1"/>
  <c r="CJ56" i="1"/>
  <c r="CW53" i="1"/>
  <c r="CJ57" i="1"/>
  <c r="EO89" i="1"/>
  <c r="EO91" i="1"/>
  <c r="DZ61" i="1"/>
  <c r="DZ58" i="1"/>
  <c r="EE11" i="1"/>
  <c r="EF11" i="1" s="1"/>
  <c r="EE13" i="1"/>
  <c r="DY54" i="1"/>
  <c r="DY55" i="1"/>
  <c r="EG61" i="1"/>
  <c r="EG62" i="1" s="1"/>
  <c r="EB68" i="1"/>
  <c r="EG63" i="1"/>
  <c r="EG64" i="1" s="1"/>
  <c r="EE17" i="1"/>
  <c r="EE15" i="1"/>
  <c r="EF15" i="1" s="1"/>
  <c r="EG68" i="1"/>
  <c r="EG66" i="1"/>
  <c r="EG67" i="1" s="1"/>
  <c r="EB65" i="1"/>
  <c r="CO54" i="1"/>
  <c r="CO53" i="1"/>
  <c r="CQ52" i="1"/>
  <c r="CQ51" i="1"/>
  <c r="CN50" i="1"/>
  <c r="CW50" i="1"/>
  <c r="CW51" i="1"/>
  <c r="DZ55" i="1"/>
  <c r="DZ52" i="1"/>
  <c r="EH15" i="1"/>
  <c r="EG15" i="1" s="1"/>
  <c r="EH17" i="1"/>
  <c r="EJ15" i="1"/>
  <c r="EL15" i="1"/>
  <c r="BG98" i="1" s="1"/>
  <c r="EH13" i="1"/>
  <c r="DY60" i="1"/>
  <c r="DY61" i="1"/>
  <c r="OA12" i="1"/>
  <c r="NS23" i="1" s="1"/>
  <c r="NS24" i="1" s="1"/>
  <c r="OD12" i="1"/>
  <c r="NT26" i="1" s="1"/>
  <c r="OB12" i="1"/>
  <c r="NT23" i="1" s="1"/>
  <c r="OC12" i="1"/>
  <c r="NY9" i="1"/>
  <c r="BD62" i="1"/>
  <c r="BD61" i="1"/>
  <c r="BF63" i="1"/>
  <c r="BF62" i="1"/>
  <c r="BF61" i="1"/>
  <c r="JD192" i="1"/>
  <c r="JD177" i="1"/>
  <c r="JD60" i="1"/>
  <c r="JD53" i="1"/>
  <c r="JC185" i="1"/>
  <c r="JC186" i="1" s="1"/>
  <c r="JC187" i="1" s="1"/>
  <c r="JC192" i="1"/>
  <c r="JC60" i="1"/>
  <c r="JC57" i="1"/>
  <c r="PG42" i="1"/>
  <c r="PF44" i="1"/>
  <c r="MV70" i="1"/>
  <c r="MV72" i="1"/>
  <c r="JC174" i="1"/>
  <c r="JC167" i="1"/>
  <c r="JC168" i="1" s="1"/>
  <c r="JC169" i="1" s="1"/>
  <c r="RG13" i="1"/>
  <c r="RH13" i="1" s="1"/>
  <c r="RH26" i="1"/>
  <c r="RH27" i="1" s="1"/>
  <c r="QQ40" i="1"/>
  <c r="QQ41" i="1" s="1"/>
  <c r="BC93" i="1"/>
  <c r="SF80" i="1"/>
  <c r="SE80" i="1"/>
  <c r="SD80" i="1"/>
  <c r="SD81" i="1"/>
  <c r="SE81" i="1"/>
  <c r="SF81" i="1"/>
  <c r="SD83" i="1"/>
  <c r="SF83" i="1"/>
  <c r="SE83" i="1"/>
  <c r="SE82" i="1"/>
  <c r="SF82" i="1"/>
  <c r="SD82" i="1"/>
  <c r="JC120" i="1"/>
  <c r="JC113" i="1"/>
  <c r="JC114" i="1" s="1"/>
  <c r="JC115" i="1" s="1"/>
  <c r="BB38" i="1"/>
  <c r="JD105" i="1"/>
  <c r="JD120" i="1"/>
  <c r="MC56" i="1"/>
  <c r="ME51" i="1"/>
  <c r="O38" i="1"/>
  <c r="JC47" i="1"/>
  <c r="JC50" i="1"/>
  <c r="JD50" i="1"/>
  <c r="JD43" i="1"/>
  <c r="JC40" i="1"/>
  <c r="JC37" i="1"/>
  <c r="JD40" i="1"/>
  <c r="JD33" i="1"/>
  <c r="JC156" i="1"/>
  <c r="JC149" i="1"/>
  <c r="JC150" i="1" s="1"/>
  <c r="JC151" i="1" s="1"/>
  <c r="JD156" i="1"/>
  <c r="JD141" i="1"/>
  <c r="EB62" i="1"/>
  <c r="EE63" i="1"/>
  <c r="EE61" i="1"/>
  <c r="EE67" i="1"/>
  <c r="EE71" i="1"/>
  <c r="JD30" i="1"/>
  <c r="JD23" i="1"/>
  <c r="JC17" i="1"/>
  <c r="JC20" i="1"/>
  <c r="JD20" i="1"/>
  <c r="JD13" i="1"/>
  <c r="JC30" i="1"/>
  <c r="JC27" i="1"/>
  <c r="GC25" i="1" a="1"/>
  <c r="JC138" i="1"/>
  <c r="JC131" i="1"/>
  <c r="JC132" i="1" s="1"/>
  <c r="JC133" i="1" s="1"/>
  <c r="JD123" i="1"/>
  <c r="JD138" i="1"/>
  <c r="LX60" i="1"/>
  <c r="LZ60" i="1"/>
  <c r="MD60" i="1"/>
  <c r="MD59" i="1"/>
  <c r="MF56" i="1"/>
  <c r="MG56" i="1"/>
  <c r="MG55" i="1"/>
  <c r="MF55" i="1"/>
  <c r="ME60" i="1"/>
  <c r="MG60" i="1"/>
  <c r="LQ55" i="1"/>
  <c r="LS55" i="1"/>
  <c r="LX52" i="1"/>
  <c r="LZ52" i="1"/>
  <c r="LX51" i="1"/>
  <c r="LZ51" i="1"/>
  <c r="LR60" i="1"/>
  <c r="LS60" i="1"/>
  <c r="LQ56" i="1"/>
  <c r="LS56" i="1"/>
  <c r="LR51" i="1"/>
  <c r="LS51" i="1"/>
  <c r="LR52" i="1"/>
  <c r="LS52" i="1"/>
  <c r="LK52" i="1"/>
  <c r="LL52" i="1"/>
  <c r="LJ56" i="1"/>
  <c r="LL56" i="1"/>
  <c r="LK55" i="1"/>
  <c r="LI64" i="1"/>
  <c r="LK56" i="1"/>
  <c r="LK57" i="1" s="1"/>
  <c r="LI68" i="1"/>
  <c r="LI70" i="1" s="1"/>
  <c r="LI71" i="1" s="1"/>
  <c r="LK60" i="1"/>
  <c r="LL60" i="1"/>
  <c r="KI12" i="1"/>
  <c r="M51" i="1"/>
  <c r="LD37" i="1" s="1"/>
  <c r="BF29" i="1"/>
  <c r="BF26" i="1"/>
  <c r="BF27" i="1"/>
  <c r="BF25" i="1"/>
  <c r="FD44" i="1"/>
  <c r="BX15" i="1" s="1"/>
  <c r="BD66" i="1" l="1"/>
  <c r="BD67" i="1"/>
  <c r="AS74" i="1"/>
  <c r="AS78" i="1" s="1" a="1"/>
  <c r="CK32" i="1"/>
  <c r="CK35" i="1"/>
  <c r="CJ40" i="1"/>
  <c r="CJ41" i="1"/>
  <c r="CK38" i="1"/>
  <c r="CK41" i="1"/>
  <c r="CJ35" i="1"/>
  <c r="CJ34" i="1"/>
  <c r="CJ47" i="1"/>
  <c r="CJ46" i="1"/>
  <c r="CJ52" i="1"/>
  <c r="CJ53" i="1"/>
  <c r="CK47" i="1"/>
  <c r="CK44" i="1"/>
  <c r="CK50" i="1"/>
  <c r="CK53" i="1"/>
  <c r="CQ50" i="1"/>
  <c r="CO52" i="1"/>
  <c r="CQ39" i="1"/>
  <c r="CO50" i="1"/>
  <c r="OE42" i="1"/>
  <c r="NS49" i="1"/>
  <c r="AS65" i="1"/>
  <c r="L44" i="1"/>
  <c r="L52" i="1" s="1"/>
  <c r="NL11" i="1"/>
  <c r="AV9" i="1"/>
  <c r="AW9" i="1" s="1"/>
  <c r="BE109" i="1"/>
  <c r="BE110" i="1" s="1"/>
  <c r="BB40" i="1"/>
  <c r="O41" i="1"/>
  <c r="O36" i="1"/>
  <c r="DC23" i="1"/>
  <c r="DC24" i="1" s="1"/>
  <c r="DC21" i="1"/>
  <c r="DC22" i="1" s="1"/>
  <c r="DF75" i="1" s="1"/>
  <c r="DF76" i="1" s="1"/>
  <c r="DF77" i="1" s="1"/>
  <c r="DH65" i="1" s="1"/>
  <c r="DC26" i="1"/>
  <c r="DC27" i="1" s="1"/>
  <c r="DC28" i="1"/>
  <c r="DC29" i="1" s="1"/>
  <c r="CS45" i="1"/>
  <c r="CX46" i="1"/>
  <c r="CV39" i="1"/>
  <c r="CT52" i="1"/>
  <c r="CT56" i="1"/>
  <c r="CV41" i="1" s="1"/>
  <c r="DZ70" i="1"/>
  <c r="DZ73" i="1"/>
  <c r="CX52" i="1"/>
  <c r="BD101" i="1"/>
  <c r="CX53" i="1"/>
  <c r="BD100" i="1"/>
  <c r="EO94" i="1"/>
  <c r="EO95" i="1" s="1"/>
  <c r="EO92" i="1"/>
  <c r="EG69" i="1"/>
  <c r="EN107" i="1"/>
  <c r="EQ73" i="1" s="1"/>
  <c r="CO56" i="1"/>
  <c r="CR52" i="1"/>
  <c r="BE100" i="1"/>
  <c r="CR51" i="1"/>
  <c r="BE101" i="1"/>
  <c r="CX50" i="1"/>
  <c r="BD98" i="1"/>
  <c r="BD99" i="1"/>
  <c r="CX51" i="1"/>
  <c r="EJ16" i="1"/>
  <c r="EL16" i="1"/>
  <c r="BG99" i="1" s="1"/>
  <c r="OE12" i="1"/>
  <c r="NS25" i="1"/>
  <c r="OD9" i="1"/>
  <c r="OA9" i="1"/>
  <c r="NS18" i="1" s="1"/>
  <c r="OC9" i="1"/>
  <c r="OB9" i="1"/>
  <c r="NT18" i="1" s="1"/>
  <c r="NT19" i="1" s="1"/>
  <c r="BG64" i="1"/>
  <c r="BG62" i="1"/>
  <c r="BG61" i="1"/>
  <c r="PF45" i="1"/>
  <c r="PG44" i="1"/>
  <c r="MV75" i="1"/>
  <c r="MV73" i="1"/>
  <c r="BC94" i="1"/>
  <c r="GK27" i="1"/>
  <c r="GJ27" i="1"/>
  <c r="GK28" i="1"/>
  <c r="GJ28" i="1"/>
  <c r="ME52" i="1"/>
  <c r="MG52" i="1"/>
  <c r="GJ25" i="1"/>
  <c r="GK26" i="1"/>
  <c r="GJ26" i="1"/>
  <c r="GK25" i="1"/>
  <c r="EE68" i="1"/>
  <c r="EN72" i="1"/>
  <c r="EN73" i="1"/>
  <c r="EN77" i="1"/>
  <c r="EE72" i="1"/>
  <c r="EN76" i="1"/>
  <c r="EN100" i="1"/>
  <c r="EJ63" i="1"/>
  <c r="EJ64" i="1" s="1"/>
  <c r="EE64" i="1"/>
  <c r="EE70" i="1" s="1"/>
  <c r="EJ61" i="1"/>
  <c r="EJ62" i="1" s="1"/>
  <c r="EE62" i="1"/>
  <c r="EE66" i="1"/>
  <c r="EM64" i="1" s="1"/>
  <c r="EM65" i="1" s="1"/>
  <c r="EM66" i="1" s="1"/>
  <c r="GM26" i="1"/>
  <c r="GM25" i="1"/>
  <c r="GN28" i="1"/>
  <c r="GN25" i="1"/>
  <c r="GN26" i="1"/>
  <c r="GN30" i="1"/>
  <c r="GM28" i="1"/>
  <c r="GM27" i="1"/>
  <c r="GM30" i="1"/>
  <c r="GN29" i="1"/>
  <c r="GM29" i="1"/>
  <c r="GN27" i="1"/>
  <c r="GQ30" i="1"/>
  <c r="GQ29" i="1"/>
  <c r="GQ25" i="1"/>
  <c r="GP26" i="1"/>
  <c r="GP27" i="1"/>
  <c r="GP28" i="1"/>
  <c r="GP29" i="1"/>
  <c r="GP30" i="1"/>
  <c r="GP25" i="1"/>
  <c r="FS45" i="1"/>
  <c r="FS55" i="1" s="1"/>
  <c r="FW58" i="1"/>
  <c r="FW60" i="1" s="1"/>
  <c r="FV58" i="1"/>
  <c r="FV60" i="1" s="1"/>
  <c r="GA52" i="1"/>
  <c r="GA54" i="1" s="1"/>
  <c r="GQ26" i="1"/>
  <c r="GQ28" i="1"/>
  <c r="NT48" i="1" s="1"/>
  <c r="FZ52" i="1"/>
  <c r="FZ54" i="1" s="1"/>
  <c r="GQ27" i="1"/>
  <c r="BG29" i="1"/>
  <c r="O30" i="1"/>
  <c r="O51" i="1"/>
  <c r="BG82" i="1"/>
  <c r="BD82" i="1"/>
  <c r="BG25" i="1"/>
  <c r="O26" i="1"/>
  <c r="BG27" i="1"/>
  <c r="O28" i="1"/>
  <c r="BG28" i="1"/>
  <c r="O29" i="1"/>
  <c r="BG26" i="1"/>
  <c r="O27" i="1"/>
  <c r="CA18" i="1"/>
  <c r="CC14" i="1" s="1"/>
  <c r="BZ15" i="1"/>
  <c r="BZ14" i="1"/>
  <c r="DQ14" i="1" s="1"/>
  <c r="CA17" i="1"/>
  <c r="BH67" i="1" l="1"/>
  <c r="BH61" i="1"/>
  <c r="BH66" i="1"/>
  <c r="BH65" i="1"/>
  <c r="BH63" i="1"/>
  <c r="BF67" i="1"/>
  <c r="BG67" i="1"/>
  <c r="BE66" i="1"/>
  <c r="BE67" i="1"/>
  <c r="BG66" i="1"/>
  <c r="BF66" i="1"/>
  <c r="BI66" i="1" a="1"/>
  <c r="DF79" i="1"/>
  <c r="DF80" i="1" s="1"/>
  <c r="CR40" i="1"/>
  <c r="CQ40" i="1"/>
  <c r="CR50" i="1"/>
  <c r="BE99" i="1"/>
  <c r="BE62" i="1"/>
  <c r="BE61" i="1"/>
  <c r="CV40" i="1"/>
  <c r="CX40" i="1"/>
  <c r="NS51" i="1"/>
  <c r="NS50" i="1"/>
  <c r="NU51" i="1"/>
  <c r="AU65" i="1"/>
  <c r="AU69" i="1" s="1" a="1"/>
  <c r="AT65" i="1"/>
  <c r="AT69" i="1" s="1" a="1"/>
  <c r="AS69" i="1" a="1"/>
  <c r="J61" i="1" s="1"/>
  <c r="CQ49" i="1"/>
  <c r="CQ41" i="1"/>
  <c r="NT20" i="1"/>
  <c r="NT21" i="1"/>
  <c r="NS21" i="1"/>
  <c r="OE9" i="1"/>
  <c r="NS26" i="1"/>
  <c r="NU19" i="1"/>
  <c r="NZ13" i="1"/>
  <c r="NW19" i="1"/>
  <c r="PF47" i="1"/>
  <c r="PG45" i="1"/>
  <c r="MV78" i="1"/>
  <c r="MV79" i="1" s="1"/>
  <c r="MV76" i="1"/>
  <c r="MJ51" i="1" a="1"/>
  <c r="GR61" i="1"/>
  <c r="HA61" i="1" s="1"/>
  <c r="GR57" i="1"/>
  <c r="HA57" i="1" s="1"/>
  <c r="GR58" i="1"/>
  <c r="HA58" i="1" s="1"/>
  <c r="GQ60" i="1"/>
  <c r="GZ60" i="1" s="1"/>
  <c r="GQ57" i="1"/>
  <c r="GZ57" i="1" s="1"/>
  <c r="GQ58" i="1"/>
  <c r="GZ58" i="1" s="1"/>
  <c r="GQ61" i="1"/>
  <c r="GZ61" i="1" s="1"/>
  <c r="GR60" i="1"/>
  <c r="HA60" i="1" s="1"/>
  <c r="GR52" i="1"/>
  <c r="EN82" i="1"/>
  <c r="EN74" i="1"/>
  <c r="EN78" i="1"/>
  <c r="EN83" i="1"/>
  <c r="EN103" i="1"/>
  <c r="EN101" i="1"/>
  <c r="GR49" i="1"/>
  <c r="NB23" i="1"/>
  <c r="NB25" i="1"/>
  <c r="GR54" i="1"/>
  <c r="GR45" i="1"/>
  <c r="CZ17" i="1" s="1"/>
  <c r="MZ24" i="1"/>
  <c r="MZ22" i="1"/>
  <c r="FY55" i="1"/>
  <c r="FW55" i="1"/>
  <c r="FW57" i="1" s="1"/>
  <c r="GQ45" i="1"/>
  <c r="CZ15" i="1" s="1"/>
  <c r="DC8" i="1" s="1"/>
  <c r="GQ54" i="1"/>
  <c r="NB22" i="1"/>
  <c r="GR51" i="1"/>
  <c r="GR46" i="1"/>
  <c r="FX49" i="1"/>
  <c r="FX51" i="1" s="1"/>
  <c r="GQ46" i="1"/>
  <c r="CZ16" i="1" s="1"/>
  <c r="DC10" i="1" s="1"/>
  <c r="FY49" i="1"/>
  <c r="FY51" i="1" s="1"/>
  <c r="NB24" i="1"/>
  <c r="FS49" i="1"/>
  <c r="FS51" i="1" s="1"/>
  <c r="GA49" i="1"/>
  <c r="GA51" i="1" s="1"/>
  <c r="GR55" i="1"/>
  <c r="GR48" i="1"/>
  <c r="FS52" i="1"/>
  <c r="FS54" i="1" s="1"/>
  <c r="NT49" i="1"/>
  <c r="NT51" i="1" s="1"/>
  <c r="FY52" i="1"/>
  <c r="FY54" i="1" s="1"/>
  <c r="FU52" i="1"/>
  <c r="FU54" i="1" s="1"/>
  <c r="FW52" i="1"/>
  <c r="FW54" i="1" s="1"/>
  <c r="FU46" i="1"/>
  <c r="FU48" i="1" s="1"/>
  <c r="FW46" i="1"/>
  <c r="FW48" i="1" s="1"/>
  <c r="FU49" i="1"/>
  <c r="FU51" i="1" s="1"/>
  <c r="FW49" i="1"/>
  <c r="FW51" i="1" s="1"/>
  <c r="FS46" i="1"/>
  <c r="FS48" i="1" s="1"/>
  <c r="FY46" i="1"/>
  <c r="FY48" i="1" s="1"/>
  <c r="GA46" i="1"/>
  <c r="GA48" i="1" s="1"/>
  <c r="MZ23" i="1"/>
  <c r="MZ25" i="1"/>
  <c r="GA45" i="1"/>
  <c r="GA55" i="1" s="1"/>
  <c r="FW45" i="1"/>
  <c r="FW61" i="1" s="1"/>
  <c r="FU45" i="1"/>
  <c r="FU55" i="1" s="1"/>
  <c r="FY45" i="1"/>
  <c r="FT46" i="1"/>
  <c r="FT48" i="1" s="1"/>
  <c r="FX46" i="1"/>
  <c r="FX48" i="1" s="1"/>
  <c r="FR46" i="1"/>
  <c r="FR48" i="1" s="1"/>
  <c r="FZ46" i="1"/>
  <c r="FZ48" i="1" s="1"/>
  <c r="FV46" i="1"/>
  <c r="FV48" i="1" s="1"/>
  <c r="NA24" i="1"/>
  <c r="NA22" i="1"/>
  <c r="FZ49" i="1"/>
  <c r="FZ51" i="1" s="1"/>
  <c r="GQ51" i="1"/>
  <c r="FR49" i="1"/>
  <c r="FR51" i="1" s="1"/>
  <c r="FT49" i="1"/>
  <c r="FT51" i="1" s="1"/>
  <c r="FV49" i="1"/>
  <c r="FV51" i="1" s="1"/>
  <c r="NA25" i="1"/>
  <c r="NA23" i="1"/>
  <c r="FX52" i="1"/>
  <c r="FX54" i="1" s="1"/>
  <c r="GQ49" i="1"/>
  <c r="GQ52" i="1"/>
  <c r="FT52" i="1"/>
  <c r="FT54" i="1" s="1"/>
  <c r="FV52" i="1"/>
  <c r="FV54" i="1" s="1"/>
  <c r="FR52" i="1"/>
  <c r="FR54" i="1" s="1"/>
  <c r="FV55" i="1"/>
  <c r="FX55" i="1"/>
  <c r="MY22" i="1"/>
  <c r="MY24" i="1"/>
  <c r="GQ55" i="1"/>
  <c r="GQ48" i="1"/>
  <c r="FX45" i="1"/>
  <c r="ON49" i="1" a="1"/>
  <c r="MY25" i="1"/>
  <c r="FT45" i="1"/>
  <c r="FT55" i="1" s="1"/>
  <c r="FV45" i="1"/>
  <c r="FV61" i="1" s="1"/>
  <c r="FZ45" i="1"/>
  <c r="FZ55" i="1" s="1"/>
  <c r="MY23" i="1"/>
  <c r="FR45" i="1"/>
  <c r="FR55" i="1" s="1"/>
  <c r="BI82" i="1"/>
  <c r="BH82" i="1"/>
  <c r="BE82" i="1"/>
  <c r="BF82" i="1"/>
  <c r="DR15" i="1"/>
  <c r="ED21" i="1"/>
  <c r="EK67" i="1"/>
  <c r="EK66" i="1"/>
  <c r="BI61" i="1" l="1" a="1"/>
  <c r="NZ10" i="1"/>
  <c r="NW18" i="1"/>
  <c r="NV18" i="1"/>
  <c r="L61" i="1"/>
  <c r="N61" i="1"/>
  <c r="CR49" i="1"/>
  <c r="BE98" i="1"/>
  <c r="BI98" i="1" s="1" a="1"/>
  <c r="PF48" i="1"/>
  <c r="PG48" i="1" s="1"/>
  <c r="PG47" i="1"/>
  <c r="KT28" i="1"/>
  <c r="KT24" i="1"/>
  <c r="KT23" i="1"/>
  <c r="KT26" i="1" s="1"/>
  <c r="KN23" i="1"/>
  <c r="KN26" i="1" s="1"/>
  <c r="KN28" i="1"/>
  <c r="KN24" i="1"/>
  <c r="KS17" i="1"/>
  <c r="DC33" i="1"/>
  <c r="DC34" i="1" s="1"/>
  <c r="DC13" i="1"/>
  <c r="DL83" i="1" s="1"/>
  <c r="DC9" i="1"/>
  <c r="DC11" i="1"/>
  <c r="DC35" i="1"/>
  <c r="DC36" i="1" s="1"/>
  <c r="DC17" i="1"/>
  <c r="PF50" i="1"/>
  <c r="M50" i="1"/>
  <c r="LD36" i="1" s="1"/>
  <c r="KI10" i="1"/>
  <c r="M49" i="1"/>
  <c r="LD35" i="1" s="1"/>
  <c r="KI11" i="1"/>
  <c r="EN94" i="1"/>
  <c r="EN88" i="1"/>
  <c r="EN85" i="1"/>
  <c r="EN91" i="1"/>
  <c r="EN86" i="1"/>
  <c r="EN95" i="1"/>
  <c r="EN92" i="1"/>
  <c r="EN89" i="1"/>
  <c r="EN102" i="1"/>
  <c r="EQ72" i="1"/>
  <c r="MY26" i="1" a="1"/>
  <c r="GS45" i="1"/>
  <c r="GV45" i="1" s="1"/>
  <c r="HG45" i="1" s="1"/>
  <c r="KS32" i="1"/>
  <c r="KT21" i="1"/>
  <c r="KS25" i="1"/>
  <c r="KS26" i="1" s="1"/>
  <c r="KS23" i="1"/>
  <c r="KT12" i="1"/>
  <c r="KT14" i="1"/>
  <c r="KT15" i="1" s="1"/>
  <c r="KS13" i="1"/>
  <c r="KS12" i="1"/>
  <c r="KS15" i="1" s="1"/>
  <c r="KN40" i="1"/>
  <c r="KN41" i="1" s="1"/>
  <c r="KN47" i="1"/>
  <c r="KO51" i="1"/>
  <c r="KO52" i="1" s="1"/>
  <c r="OU16" i="1"/>
  <c r="PA24" i="1" s="1"/>
  <c r="PA25" i="1" s="1"/>
  <c r="QV10" i="1" a="1"/>
  <c r="KO43" i="1"/>
  <c r="KN38" i="1"/>
  <c r="KO38" i="1"/>
  <c r="KO41" i="1" s="1"/>
  <c r="KO58" i="1"/>
  <c r="KN54" i="1"/>
  <c r="KO49" i="1"/>
  <c r="KN50" i="1"/>
  <c r="KO39" i="1"/>
  <c r="KN49" i="1"/>
  <c r="KN52" i="1" s="1"/>
  <c r="OU21" i="1"/>
  <c r="GS54" i="1"/>
  <c r="GV54" i="1" s="1"/>
  <c r="HG54" i="1" s="1"/>
  <c r="KU54" i="1"/>
  <c r="KU51" i="1"/>
  <c r="KU52" i="1" s="1"/>
  <c r="KU38" i="1"/>
  <c r="KU41" i="1" s="1"/>
  <c r="KT54" i="1"/>
  <c r="KU58" i="1"/>
  <c r="KT50" i="1"/>
  <c r="KU49" i="1"/>
  <c r="KU50" i="1" s="1"/>
  <c r="KT49" i="1"/>
  <c r="KT52" i="1" s="1"/>
  <c r="KT40" i="1"/>
  <c r="KU43" i="1"/>
  <c r="KU39" i="1"/>
  <c r="KT38" i="1"/>
  <c r="GS48" i="1"/>
  <c r="GV48" i="1" s="1"/>
  <c r="HG48" i="1" s="1"/>
  <c r="LE9" i="1" a="1"/>
  <c r="LO14" i="1"/>
  <c r="LO22" i="1"/>
  <c r="GS51" i="1"/>
  <c r="GV51" i="1" s="1"/>
  <c r="HG51" i="1" s="1"/>
  <c r="LD9" i="1" a="1"/>
  <c r="PO13" i="1" a="1"/>
  <c r="LP21" i="1"/>
  <c r="LP11" i="1"/>
  <c r="LO12" i="1"/>
  <c r="LP18" i="1"/>
  <c r="NP24" i="1"/>
  <c r="NP25" i="1"/>
  <c r="NO24" i="1"/>
  <c r="NP21" i="1"/>
  <c r="NP22" i="1"/>
  <c r="NT24" i="1" s="1"/>
  <c r="NT25" i="1" s="1"/>
  <c r="NV19" i="1" s="1"/>
  <c r="NO22" i="1"/>
  <c r="NO21" i="1"/>
  <c r="NW48" i="1" s="1"/>
  <c r="LH45" i="1"/>
  <c r="LI11" i="1"/>
  <c r="LH12" i="1"/>
  <c r="LI9" i="1"/>
  <c r="LI10" i="1" s="1"/>
  <c r="LI44" i="1"/>
  <c r="LI45" i="1" s="1"/>
  <c r="LP9" i="1"/>
  <c r="LP10" i="1" s="1"/>
  <c r="LI25" i="1"/>
  <c r="LI14" i="1"/>
  <c r="LP20" i="1"/>
  <c r="LV38" i="1"/>
  <c r="LV39" i="1" s="1"/>
  <c r="LV18" i="1"/>
  <c r="LW29" i="1"/>
  <c r="LW30" i="1" s="1"/>
  <c r="LV27" i="1"/>
  <c r="LV30" i="1" s="1"/>
  <c r="MC40" i="1"/>
  <c r="MD36" i="1"/>
  <c r="MC27" i="1"/>
  <c r="MC21" i="1"/>
  <c r="MC18" i="1"/>
  <c r="MC44" i="1"/>
  <c r="MC45" i="1" s="1"/>
  <c r="MC25" i="1"/>
  <c r="LP44" i="1"/>
  <c r="LP45" i="1" s="1"/>
  <c r="LP40" i="1"/>
  <c r="LP38" i="1"/>
  <c r="LP39" i="1" s="1"/>
  <c r="LI18" i="1"/>
  <c r="LH27" i="1"/>
  <c r="LH28" i="1" s="1"/>
  <c r="LI28" i="1"/>
  <c r="LI29" i="1" s="1"/>
  <c r="LK15" i="1" s="1"/>
  <c r="LH36" i="1"/>
  <c r="KO32" i="1"/>
  <c r="KO13" i="1"/>
  <c r="KO17" i="1"/>
  <c r="KO23" i="1"/>
  <c r="KO24" i="1" s="1"/>
  <c r="KN14" i="1"/>
  <c r="KN21" i="1"/>
  <c r="KO25" i="1"/>
  <c r="LW45" i="1"/>
  <c r="LV44" i="1"/>
  <c r="LV45" i="1" s="1"/>
  <c r="LW41" i="1"/>
  <c r="LV11" i="1"/>
  <c r="LV12" i="1" s="1"/>
  <c r="LW9" i="1"/>
  <c r="LV40" i="1"/>
  <c r="LW39" i="1"/>
  <c r="LW40" i="1" s="1"/>
  <c r="LW43" i="1" s="1"/>
  <c r="LW44" i="1" s="1"/>
  <c r="LY19" i="1" s="1"/>
  <c r="LY20" i="1" s="1"/>
  <c r="LW38" i="1"/>
  <c r="LW36" i="1"/>
  <c r="LV32" i="1"/>
  <c r="LW14" i="1"/>
  <c r="LW12" i="1"/>
  <c r="LV28" i="1"/>
  <c r="LW27" i="1"/>
  <c r="LW28" i="1" s="1"/>
  <c r="LW10" i="1"/>
  <c r="MD38" i="1"/>
  <c r="MD27" i="1"/>
  <c r="MD28" i="1" s="1"/>
  <c r="MD22" i="1"/>
  <c r="MD39" i="1"/>
  <c r="MD40" i="1" s="1"/>
  <c r="MD43" i="1" s="1"/>
  <c r="MD44" i="1" s="1"/>
  <c r="MF19" i="1" s="1"/>
  <c r="MF20" i="1" s="1"/>
  <c r="MD9" i="1"/>
  <c r="MD12" i="1"/>
  <c r="LV25" i="1"/>
  <c r="LW22" i="1"/>
  <c r="LV21" i="1"/>
  <c r="LW20" i="1"/>
  <c r="LV9" i="1"/>
  <c r="MC38" i="1"/>
  <c r="MC39" i="1" s="1"/>
  <c r="MD29" i="1"/>
  <c r="MC11" i="1"/>
  <c r="MC12" i="1" s="1"/>
  <c r="MD45" i="1"/>
  <c r="MD41" i="1"/>
  <c r="MC9" i="1"/>
  <c r="LO45" i="1"/>
  <c r="LO41" i="1"/>
  <c r="LO36" i="1"/>
  <c r="LO39" i="1"/>
  <c r="LO40" i="1" s="1"/>
  <c r="LO43" i="1" s="1"/>
  <c r="LO44" i="1" s="1"/>
  <c r="LQ19" i="1" s="1"/>
  <c r="LQ20" i="1" s="1"/>
  <c r="LO38" i="1"/>
  <c r="LP32" i="1"/>
  <c r="LH9" i="1"/>
  <c r="LH10" i="1" s="1"/>
  <c r="LH29" i="1"/>
  <c r="LH30" i="1" s="1"/>
  <c r="LI27" i="1"/>
  <c r="LI30" i="1" s="1"/>
  <c r="LH32" i="1"/>
  <c r="LH22" i="1"/>
  <c r="LP25" i="1"/>
  <c r="LO9" i="1"/>
  <c r="LP12" i="1"/>
  <c r="LO10" i="1"/>
  <c r="LP14" i="1"/>
  <c r="LO20" i="1"/>
  <c r="LO27" i="1"/>
  <c r="LP27" i="1"/>
  <c r="LP28" i="1"/>
  <c r="LO29" i="1"/>
  <c r="LP30" i="1"/>
  <c r="LI32" i="1"/>
  <c r="LH14" i="1"/>
  <c r="LI21" i="1"/>
  <c r="LI22" i="1" s="1"/>
  <c r="LI24" i="1" s="1"/>
  <c r="LH20" i="1"/>
  <c r="LH38" i="1"/>
  <c r="LI38" i="1"/>
  <c r="LI39" i="1" s="1"/>
  <c r="LH39" i="1"/>
  <c r="LI40" i="1"/>
  <c r="LH41" i="1"/>
  <c r="NO25" i="1"/>
  <c r="KO12" i="1"/>
  <c r="KO15" i="1" s="1"/>
  <c r="KN12" i="1"/>
  <c r="KN13" i="1" s="1"/>
  <c r="KN17" i="1" s="1"/>
  <c r="FV57" i="1"/>
  <c r="GB45" i="1" s="1" a="1"/>
  <c r="CZ18" i="1" s="1"/>
  <c r="EN124" i="1"/>
  <c r="EN127" i="1" s="1"/>
  <c r="EK72" i="1"/>
  <c r="EK69" i="1"/>
  <c r="EN125" i="1"/>
  <c r="EN128" i="1" s="1"/>
  <c r="M47" i="1" l="1"/>
  <c r="M45" i="1"/>
  <c r="M46" i="1"/>
  <c r="M48" i="1"/>
  <c r="M44" i="1"/>
  <c r="AT73" i="1"/>
  <c r="AU73" i="1" s="1"/>
  <c r="BM43" i="1"/>
  <c r="BS68" i="1"/>
  <c r="M61" i="1"/>
  <c r="AT74" i="1"/>
  <c r="AU74" i="1" s="1"/>
  <c r="BS69" i="1"/>
  <c r="BN43" i="1"/>
  <c r="O61" i="1"/>
  <c r="D40" i="1"/>
  <c r="F40" i="1" s="1"/>
  <c r="D42" i="1"/>
  <c r="F42" i="1" s="1"/>
  <c r="BJ98" i="1"/>
  <c r="BK98" i="1" s="1"/>
  <c r="BJ100" i="1"/>
  <c r="BK100" i="1" s="1"/>
  <c r="BJ101" i="1"/>
  <c r="BK101" i="1" s="1"/>
  <c r="BJ99" i="1"/>
  <c r="BK99" i="1" s="1"/>
  <c r="D43" i="1"/>
  <c r="F43" i="1" s="1"/>
  <c r="D41" i="1"/>
  <c r="F41" i="1" s="1"/>
  <c r="LD33" i="1"/>
  <c r="KU13" i="1"/>
  <c r="KU14" i="1" s="1"/>
  <c r="KS18" i="1"/>
  <c r="KS20" i="1" s="1"/>
  <c r="KS21" i="1" s="1"/>
  <c r="QM21" i="1"/>
  <c r="QM24" i="1" s="1"/>
  <c r="QM22" i="1"/>
  <c r="DL86" i="1"/>
  <c r="DL84" i="1"/>
  <c r="QB28" i="1"/>
  <c r="OF39" i="1"/>
  <c r="OG39" i="1" s="1"/>
  <c r="BI94" i="1" s="1"/>
  <c r="QB31" i="1"/>
  <c r="PF51" i="1"/>
  <c r="PG51" i="1" s="1"/>
  <c r="PG50" i="1"/>
  <c r="O50" i="1"/>
  <c r="BD81" i="1"/>
  <c r="O49" i="1"/>
  <c r="BD80" i="1"/>
  <c r="OF42" i="1"/>
  <c r="OG42" i="1" s="1"/>
  <c r="BF93" i="1" s="1"/>
  <c r="RD33" i="1"/>
  <c r="RD24" i="1"/>
  <c r="RF24" i="1" s="1"/>
  <c r="OF9" i="1"/>
  <c r="OG9" i="1" s="1"/>
  <c r="BK94" i="1" s="1"/>
  <c r="OF12" i="1"/>
  <c r="OG12" i="1" s="1"/>
  <c r="BK93" i="1" s="1"/>
  <c r="QN28" i="1"/>
  <c r="QN31" i="1"/>
  <c r="MZ27" i="1"/>
  <c r="MT31" i="1" s="1"/>
  <c r="NB27" i="1"/>
  <c r="GY45" i="1"/>
  <c r="KT25" i="1"/>
  <c r="KV16" i="1"/>
  <c r="KT29" i="1"/>
  <c r="KT31" i="1" s="1"/>
  <c r="KT32" i="1" s="1"/>
  <c r="KV17" i="1"/>
  <c r="KV18" i="1" s="1"/>
  <c r="C42" i="1"/>
  <c r="HE51" i="1"/>
  <c r="KW18" i="1"/>
  <c r="KU18" i="1"/>
  <c r="KW14" i="1"/>
  <c r="KV14" i="1"/>
  <c r="KS24" i="1"/>
  <c r="KS28" i="1"/>
  <c r="KT13" i="1"/>
  <c r="KT17" i="1"/>
  <c r="KS14" i="1"/>
  <c r="KU12" i="1"/>
  <c r="KR40" i="1"/>
  <c r="KP40" i="1"/>
  <c r="OX23" i="1"/>
  <c r="OX38" i="1"/>
  <c r="OU24" i="1"/>
  <c r="OU17" i="1"/>
  <c r="OU44" i="1"/>
  <c r="OX25" i="1"/>
  <c r="OX26" i="1" s="1"/>
  <c r="OX31" i="1" s="1"/>
  <c r="LK9" i="1"/>
  <c r="RD26" i="1"/>
  <c r="RF26" i="1" s="1"/>
  <c r="RI26" i="1" s="1"/>
  <c r="RD27" i="1"/>
  <c r="RF27" i="1" s="1"/>
  <c r="RI27" i="1" s="1"/>
  <c r="RD25" i="1"/>
  <c r="KQ39" i="1"/>
  <c r="KQ40" i="1" s="1"/>
  <c r="KO44" i="1"/>
  <c r="KO46" i="1" s="1"/>
  <c r="KO47" i="1" s="1"/>
  <c r="KN39" i="1"/>
  <c r="KN43" i="1"/>
  <c r="KQ44" i="1"/>
  <c r="KR44" i="1"/>
  <c r="KP43" i="1"/>
  <c r="KP44" i="1" s="1"/>
  <c r="KN55" i="1"/>
  <c r="KN57" i="1" s="1"/>
  <c r="KN58" i="1" s="1"/>
  <c r="KO54" i="1"/>
  <c r="KO50" i="1"/>
  <c r="KP42" i="1"/>
  <c r="KN51" i="1"/>
  <c r="KO40" i="1"/>
  <c r="KQ38" i="1"/>
  <c r="PA26" i="1"/>
  <c r="OX42" i="1"/>
  <c r="OU47" i="1"/>
  <c r="OU48" i="1" s="1"/>
  <c r="OP36" i="1" s="1"/>
  <c r="OU34" i="1"/>
  <c r="OU28" i="1"/>
  <c r="OU22" i="1"/>
  <c r="KX43" i="1"/>
  <c r="KW43" i="1"/>
  <c r="KV43" i="1"/>
  <c r="KV44" i="1" s="1"/>
  <c r="KT55" i="1"/>
  <c r="KT57" i="1" s="1"/>
  <c r="KT58" i="1" s="1"/>
  <c r="KX44" i="1"/>
  <c r="KW44" i="1"/>
  <c r="KV42" i="1"/>
  <c r="KT51" i="1"/>
  <c r="GY54" i="1"/>
  <c r="KX42" i="1"/>
  <c r="KW42" i="1"/>
  <c r="KT47" i="1"/>
  <c r="KT41" i="1"/>
  <c r="KW39" i="1"/>
  <c r="KW40" i="1" s="1"/>
  <c r="KU44" i="1"/>
  <c r="KU46" i="1" s="1"/>
  <c r="KU47" i="1" s="1"/>
  <c r="KU40" i="1"/>
  <c r="KW38" i="1"/>
  <c r="KT43" i="1"/>
  <c r="KT39" i="1"/>
  <c r="NW49" i="1"/>
  <c r="NW51" i="1" s="1"/>
  <c r="NS19" i="1"/>
  <c r="GY48" i="1"/>
  <c r="MF15" i="1"/>
  <c r="LO15" i="1"/>
  <c r="LO17" i="1" s="1"/>
  <c r="LO18" i="1" s="1"/>
  <c r="LQ10" i="1"/>
  <c r="LQ11" i="1" s="1"/>
  <c r="MD30" i="1"/>
  <c r="MD32" i="1"/>
  <c r="MG15" i="1"/>
  <c r="GY51" i="1"/>
  <c r="GW51" i="1"/>
  <c r="QA38" i="1"/>
  <c r="QM41" i="1"/>
  <c r="QM38" i="1"/>
  <c r="QO38" i="1" s="1"/>
  <c r="QB21" i="1"/>
  <c r="QA40" i="1"/>
  <c r="QC40" i="1" s="1"/>
  <c r="QM40" i="1"/>
  <c r="QO40" i="1" s="1"/>
  <c r="QR40" i="1" s="1"/>
  <c r="QA41" i="1"/>
  <c r="QC41" i="1" s="1"/>
  <c r="QM39" i="1"/>
  <c r="QO39" i="1" s="1"/>
  <c r="QA39" i="1"/>
  <c r="QC39" i="1" s="1"/>
  <c r="QF39" i="1" s="1"/>
  <c r="QB22" i="1"/>
  <c r="QB25" i="1" s="1"/>
  <c r="LV22" i="1"/>
  <c r="LV24" i="1"/>
  <c r="LV10" i="1"/>
  <c r="LV20" i="1"/>
  <c r="LV14" i="1"/>
  <c r="LP22" i="1"/>
  <c r="LP24" i="1"/>
  <c r="LR11" i="1"/>
  <c r="LS11" i="1"/>
  <c r="MD10" i="1"/>
  <c r="MD14" i="1"/>
  <c r="MD20" i="1"/>
  <c r="MC10" i="1"/>
  <c r="MC20" i="1"/>
  <c r="MC14" i="1"/>
  <c r="LS17" i="1"/>
  <c r="LQ17" i="1"/>
  <c r="LL16" i="1"/>
  <c r="LJ16" i="1"/>
  <c r="LI41" i="1"/>
  <c r="LI43" i="1"/>
  <c r="ME19" i="1"/>
  <c r="LL9" i="1"/>
  <c r="LI12" i="1"/>
  <c r="LS9" i="1"/>
  <c r="LR9" i="1"/>
  <c r="LL10" i="1"/>
  <c r="LI20" i="1"/>
  <c r="LK10" i="1"/>
  <c r="LR12" i="1"/>
  <c r="LS12" i="1"/>
  <c r="LW21" i="1"/>
  <c r="LW24" i="1" s="1"/>
  <c r="LW25" i="1" s="1"/>
  <c r="LY12" i="1"/>
  <c r="LY13" i="1" s="1"/>
  <c r="LJ19" i="1"/>
  <c r="LJ20" i="1" s="1"/>
  <c r="LH40" i="1"/>
  <c r="LH43" i="1" s="1"/>
  <c r="LH44" i="1" s="1"/>
  <c r="LX19" i="1"/>
  <c r="LZ19" i="1"/>
  <c r="LX11" i="1"/>
  <c r="LZ11" i="1"/>
  <c r="MC43" i="1"/>
  <c r="MC41" i="1"/>
  <c r="MG19" i="1"/>
  <c r="MF17" i="1"/>
  <c r="MG17" i="1"/>
  <c r="MC28" i="1"/>
  <c r="MC32" i="1"/>
  <c r="MC30" i="1"/>
  <c r="MC24" i="1"/>
  <c r="MC22" i="1"/>
  <c r="ME11" i="1"/>
  <c r="MG11" i="1"/>
  <c r="LP43" i="1"/>
  <c r="LP41" i="1"/>
  <c r="LS19" i="1"/>
  <c r="LR19" i="1"/>
  <c r="LL11" i="1"/>
  <c r="LK11" i="1"/>
  <c r="LL15" i="1"/>
  <c r="LJ15" i="1"/>
  <c r="LJ17" i="1"/>
  <c r="LL17" i="1"/>
  <c r="KQ18" i="1"/>
  <c r="KR18" i="1"/>
  <c r="KP17" i="1"/>
  <c r="KN29" i="1"/>
  <c r="KN31" i="1" s="1"/>
  <c r="KN32" i="1" s="1"/>
  <c r="KP18" i="1"/>
  <c r="KN25" i="1"/>
  <c r="KP16" i="1"/>
  <c r="KQ12" i="1"/>
  <c r="KO14" i="1"/>
  <c r="KQ13" i="1"/>
  <c r="KQ14" i="1" s="1"/>
  <c r="KO18" i="1"/>
  <c r="KO20" i="1" s="1"/>
  <c r="KO21" i="1" s="1"/>
  <c r="KQ16" i="1"/>
  <c r="KO28" i="1"/>
  <c r="KR12" i="1"/>
  <c r="KN15" i="1"/>
  <c r="KP12" i="1"/>
  <c r="KR14" i="1"/>
  <c r="KP14" i="1"/>
  <c r="KO26" i="1"/>
  <c r="KR16" i="1"/>
  <c r="LV41" i="1"/>
  <c r="LV43" i="1"/>
  <c r="LZ17" i="1"/>
  <c r="LY17" i="1"/>
  <c r="LX16" i="1"/>
  <c r="LV33" i="1"/>
  <c r="LV35" i="1" s="1"/>
  <c r="LY10" i="1"/>
  <c r="LY11" i="1" s="1"/>
  <c r="LW15" i="1"/>
  <c r="LW17" i="1" s="1"/>
  <c r="LW18" i="1" s="1"/>
  <c r="LV29" i="1"/>
  <c r="LX15" i="1"/>
  <c r="LY15" i="1"/>
  <c r="LW32" i="1"/>
  <c r="LZ15" i="1"/>
  <c r="LW11" i="1"/>
  <c r="LY9" i="1"/>
  <c r="LR16" i="1"/>
  <c r="LR17" i="1" s="1"/>
  <c r="LP33" i="1"/>
  <c r="LP35" i="1" s="1"/>
  <c r="LP36" i="1" s="1"/>
  <c r="LO11" i="1"/>
  <c r="LQ9" i="1"/>
  <c r="LS10" i="1"/>
  <c r="LR10" i="1"/>
  <c r="LO21" i="1"/>
  <c r="LO24" i="1" s="1"/>
  <c r="LQ12" i="1"/>
  <c r="LO32" i="1"/>
  <c r="LO28" i="1"/>
  <c r="LQ15" i="1"/>
  <c r="LP29" i="1"/>
  <c r="LR15" i="1"/>
  <c r="LO30" i="1"/>
  <c r="LS15" i="1"/>
  <c r="LK16" i="1"/>
  <c r="LK17" i="1" s="1"/>
  <c r="LI33" i="1"/>
  <c r="LI35" i="1" s="1"/>
  <c r="LI36" i="1" s="1"/>
  <c r="LJ10" i="1"/>
  <c r="LH15" i="1"/>
  <c r="LH17" i="1" s="1"/>
  <c r="LK12" i="1"/>
  <c r="LL12" i="1"/>
  <c r="LH21" i="1"/>
  <c r="LH24" i="1" s="1"/>
  <c r="LJ13" i="1"/>
  <c r="LH25" i="1"/>
  <c r="LJ12" i="1"/>
  <c r="LK19" i="1"/>
  <c r="LL19" i="1"/>
  <c r="LJ9" i="1"/>
  <c r="LH11" i="1"/>
  <c r="KP13" i="1"/>
  <c r="KR13" i="1"/>
  <c r="EK73" i="1"/>
  <c r="O45" i="1" l="1"/>
  <c r="EB47" i="1"/>
  <c r="O44" i="1"/>
  <c r="BH94" i="1"/>
  <c r="BE93" i="1"/>
  <c r="EB49" i="1"/>
  <c r="BC46" i="1"/>
  <c r="BD46" i="1" s="1"/>
  <c r="BE46" i="1" s="1"/>
  <c r="BC45" i="1"/>
  <c r="BD45" i="1" s="1"/>
  <c r="BE45" i="1" s="1"/>
  <c r="O46" i="1"/>
  <c r="CI57" i="1"/>
  <c r="CK59" i="1" s="1"/>
  <c r="LD32" i="1"/>
  <c r="BD76" i="1"/>
  <c r="BC44" i="1"/>
  <c r="BD44" i="1" s="1"/>
  <c r="BE44" i="1" s="1"/>
  <c r="O47" i="1"/>
  <c r="BD78" i="1"/>
  <c r="M52" i="1"/>
  <c r="BC43" i="1"/>
  <c r="EB46" i="1"/>
  <c r="RW13" i="1"/>
  <c r="BJ75" i="1" a="1"/>
  <c r="BD77" i="1"/>
  <c r="EB48" i="1"/>
  <c r="QF43" i="1"/>
  <c r="RO13" i="1" s="1"/>
  <c r="QR43" i="1"/>
  <c r="RP13" i="1" s="1"/>
  <c r="CI56" i="1"/>
  <c r="CL58" i="1" s="1"/>
  <c r="BD75" i="1"/>
  <c r="BE75" i="1" s="1"/>
  <c r="LD31" i="1"/>
  <c r="LD38" i="1" s="1"/>
  <c r="O48" i="1"/>
  <c r="BD79" i="1"/>
  <c r="BE79" i="1" s="1"/>
  <c r="BO45" i="1"/>
  <c r="BM44" i="1"/>
  <c r="A68" i="1" s="1"/>
  <c r="B68" i="1"/>
  <c r="BG80" i="1"/>
  <c r="BE80" i="1"/>
  <c r="BF80" i="1"/>
  <c r="BG81" i="1"/>
  <c r="BF81" i="1"/>
  <c r="BE81" i="1"/>
  <c r="RF25" i="1"/>
  <c r="RI25" i="1" s="1"/>
  <c r="RI24" i="1"/>
  <c r="EE47" i="1"/>
  <c r="EC47" i="1"/>
  <c r="ED47" i="1"/>
  <c r="EF47" i="1"/>
  <c r="BD93" i="1"/>
  <c r="BG94" i="1"/>
  <c r="MT33" i="1"/>
  <c r="NH35" i="1"/>
  <c r="NH40" i="1" s="1"/>
  <c r="NH41" i="1" s="1"/>
  <c r="NJ36" i="1" s="1"/>
  <c r="MT32" i="1"/>
  <c r="MT36" i="1"/>
  <c r="BT15" i="1"/>
  <c r="HA51" i="1"/>
  <c r="GZ52" i="1"/>
  <c r="GZ51" i="1"/>
  <c r="HA52" i="1"/>
  <c r="HE45" i="1"/>
  <c r="C40" i="1"/>
  <c r="QP28" i="1"/>
  <c r="QR28" i="1" s="1"/>
  <c r="QM25" i="1"/>
  <c r="QP31" i="1"/>
  <c r="QR31" i="1" s="1"/>
  <c r="KW12" i="1"/>
  <c r="KV12" i="1"/>
  <c r="KV13" i="1"/>
  <c r="KW13" i="1"/>
  <c r="C43" i="1"/>
  <c r="HE54" i="1"/>
  <c r="C41" i="1"/>
  <c r="HE48" i="1"/>
  <c r="KW16" i="1"/>
  <c r="KU16" i="1"/>
  <c r="KU17" i="1"/>
  <c r="KW17" i="1"/>
  <c r="OX28" i="1"/>
  <c r="OX29" i="1" s="1"/>
  <c r="OX24" i="1"/>
  <c r="PF12" i="1" s="1"/>
  <c r="PF13" i="1" s="1"/>
  <c r="KR43" i="1"/>
  <c r="KQ43" i="1"/>
  <c r="KQ42" i="1"/>
  <c r="KR42" i="1"/>
  <c r="KP38" i="1"/>
  <c r="KR38" i="1"/>
  <c r="KP39" i="1"/>
  <c r="KR39" i="1"/>
  <c r="OU55" i="1"/>
  <c r="PA27" i="1"/>
  <c r="OU37" i="1"/>
  <c r="OU35" i="1"/>
  <c r="OU53" i="1" s="1"/>
  <c r="OU54" i="1" s="1"/>
  <c r="OP40" i="1" s="1"/>
  <c r="KV40" i="1"/>
  <c r="KX40" i="1"/>
  <c r="KX39" i="1"/>
  <c r="KV39" i="1"/>
  <c r="KV38" i="1"/>
  <c r="KX38" i="1"/>
  <c r="NU18" i="1"/>
  <c r="NS20" i="1"/>
  <c r="LY16" i="1"/>
  <c r="LZ16" i="1"/>
  <c r="MG20" i="1"/>
  <c r="ME20" i="1"/>
  <c r="LZ20" i="1"/>
  <c r="LX20" i="1"/>
  <c r="LX17" i="1"/>
  <c r="LV36" i="1"/>
  <c r="GX51" i="1"/>
  <c r="LK20" i="1"/>
  <c r="LL20" i="1"/>
  <c r="LK13" i="1"/>
  <c r="LL13" i="1"/>
  <c r="LO25" i="1"/>
  <c r="LQ13" i="1"/>
  <c r="LJ11" i="1"/>
  <c r="LH18" i="1"/>
  <c r="QC38" i="1"/>
  <c r="QF38" i="1" s="1"/>
  <c r="QE40" i="1"/>
  <c r="QQ38" i="1"/>
  <c r="QO41" i="1"/>
  <c r="QR41" i="1" s="1"/>
  <c r="QB24" i="1"/>
  <c r="QD31" i="1" s="1"/>
  <c r="QF31" i="1" s="1"/>
  <c r="QD28" i="1"/>
  <c r="QF28" i="1" s="1"/>
  <c r="LZ13" i="1"/>
  <c r="LX13" i="1"/>
  <c r="LX12" i="1"/>
  <c r="LZ12" i="1"/>
  <c r="LX10" i="1"/>
  <c r="LZ10" i="1"/>
  <c r="LR13" i="1"/>
  <c r="LS13" i="1"/>
  <c r="MF16" i="1"/>
  <c r="MG16" i="1"/>
  <c r="LX9" i="1"/>
  <c r="LZ9" i="1"/>
  <c r="MF9" i="1"/>
  <c r="MD11" i="1"/>
  <c r="MD15" i="1"/>
  <c r="MD17" i="1" s="1"/>
  <c r="MD18" i="1" s="1"/>
  <c r="MF10" i="1"/>
  <c r="MF11" i="1" s="1"/>
  <c r="MD21" i="1"/>
  <c r="MD24" i="1" s="1"/>
  <c r="MD25" i="1" s="1"/>
  <c r="MF12" i="1"/>
  <c r="MF13" i="1" s="1"/>
  <c r="MG9" i="1"/>
  <c r="ME9" i="1"/>
  <c r="ME12" i="1"/>
  <c r="MG12" i="1"/>
  <c r="ME10" i="1"/>
  <c r="MG10" i="1"/>
  <c r="ME15" i="1"/>
  <c r="MC29" i="1"/>
  <c r="MC33" i="1"/>
  <c r="MC35" i="1" s="1"/>
  <c r="MC36" i="1" s="1"/>
  <c r="ME16" i="1"/>
  <c r="ME17" i="1"/>
  <c r="MG13" i="1"/>
  <c r="ME13" i="1"/>
  <c r="LR20" i="1"/>
  <c r="LS20" i="1"/>
  <c r="HF51" i="1"/>
  <c r="KQ17" i="1"/>
  <c r="KR17" i="1"/>
  <c r="LQ16" i="1"/>
  <c r="LS16" i="1"/>
  <c r="OX32" i="1"/>
  <c r="EK74" i="1"/>
  <c r="EK75" i="1" s="1"/>
  <c r="EK76" i="1" s="1"/>
  <c r="EK77" i="1" s="1"/>
  <c r="EK78" i="1" s="1"/>
  <c r="EK79" i="1" s="1"/>
  <c r="EK80" i="1" s="1"/>
  <c r="EK81" i="1" s="1"/>
  <c r="EK82" i="1" s="1"/>
  <c r="EK83" i="1" s="1"/>
  <c r="EC49" i="1" l="1"/>
  <c r="EF49" i="1"/>
  <c r="ED49" i="1"/>
  <c r="EE49" i="1"/>
  <c r="CJ62" i="1"/>
  <c r="CL59" i="1"/>
  <c r="CK62" i="1"/>
  <c r="CJ59" i="1"/>
  <c r="CL62" i="1"/>
  <c r="BG76" i="1"/>
  <c r="BE76" i="1"/>
  <c r="BF76" i="1"/>
  <c r="BG78" i="1"/>
  <c r="BE78" i="1"/>
  <c r="BF78" i="1"/>
  <c r="BD43" i="1"/>
  <c r="BC49" i="1"/>
  <c r="ED46" i="1"/>
  <c r="EE46" i="1"/>
  <c r="EC46" i="1"/>
  <c r="EF46" i="1"/>
  <c r="O52" i="1"/>
  <c r="AQ48" i="1"/>
  <c r="AR48" i="1" s="1"/>
  <c r="BG77" i="1"/>
  <c r="BF77" i="1"/>
  <c r="BE77" i="1"/>
  <c r="ED48" i="1"/>
  <c r="EF48" i="1"/>
  <c r="EC48" i="1"/>
  <c r="EE48" i="1"/>
  <c r="CJ58" i="1"/>
  <c r="CL61" i="1"/>
  <c r="CK61" i="1"/>
  <c r="CK58" i="1"/>
  <c r="CJ61" i="1"/>
  <c r="BG79" i="1"/>
  <c r="BF79" i="1"/>
  <c r="BG75" i="1"/>
  <c r="BF75" i="1"/>
  <c r="BJ94" i="1"/>
  <c r="BJ93" i="1"/>
  <c r="QF34" i="1"/>
  <c r="BI80" i="1"/>
  <c r="BH80" i="1"/>
  <c r="BI81" i="1"/>
  <c r="BH81" i="1"/>
  <c r="MU50" i="1"/>
  <c r="MT34" i="1"/>
  <c r="MT40" i="1" s="1"/>
  <c r="QR34" i="1"/>
  <c r="RI28" i="1"/>
  <c r="RW14" i="1" s="1"/>
  <c r="ED52" i="1"/>
  <c r="EE52" i="1"/>
  <c r="EF52" i="1"/>
  <c r="MU48" i="1"/>
  <c r="NB34" i="1" s="1"/>
  <c r="NA31" i="1"/>
  <c r="NA32" i="1" s="1"/>
  <c r="NH36" i="1"/>
  <c r="NH38" i="1"/>
  <c r="MJ9" i="1" a="1"/>
  <c r="ML9" i="1" a="1"/>
  <c r="GZ45" i="1"/>
  <c r="HA45" i="1"/>
  <c r="GZ46" i="1"/>
  <c r="HA46" i="1"/>
  <c r="GW48" i="1"/>
  <c r="GX48" i="1" s="1"/>
  <c r="HA49" i="1"/>
  <c r="HA48" i="1"/>
  <c r="GZ48" i="1"/>
  <c r="GZ49" i="1"/>
  <c r="HA54" i="1"/>
  <c r="GZ55" i="1"/>
  <c r="GZ54" i="1"/>
  <c r="HA55" i="1"/>
  <c r="HH51" i="1"/>
  <c r="HB52" i="1"/>
  <c r="HC51" i="1"/>
  <c r="DI8" i="1" s="1"/>
  <c r="DF10" i="1" s="1"/>
  <c r="HB51" i="1"/>
  <c r="HC52" i="1"/>
  <c r="DI7" i="1" s="1"/>
  <c r="DF8" i="1" s="1"/>
  <c r="DF13" i="1" s="1"/>
  <c r="GW45" i="1"/>
  <c r="HF45" i="1"/>
  <c r="HF54" i="1"/>
  <c r="GW54" i="1"/>
  <c r="HE57" i="1"/>
  <c r="HF57" i="1" s="1"/>
  <c r="HF48" i="1"/>
  <c r="OU36" i="1"/>
  <c r="OP39" i="1"/>
  <c r="OU42" i="1"/>
  <c r="QQ39" i="1"/>
  <c r="QR39" i="1" s="1"/>
  <c r="QR38" i="1"/>
  <c r="QF40" i="1"/>
  <c r="QE41" i="1"/>
  <c r="QF41" i="1" s="1"/>
  <c r="PG13" i="1"/>
  <c r="PH13" i="1" s="1"/>
  <c r="PG15" i="1" s="1"/>
  <c r="OU51" i="1"/>
  <c r="EN114" i="1" a="1"/>
  <c r="ED54" i="1" l="1"/>
  <c r="EE54" i="1"/>
  <c r="EF54" i="1"/>
  <c r="BH76" i="1"/>
  <c r="BI76" i="1"/>
  <c r="BI78" i="1"/>
  <c r="BH78" i="1"/>
  <c r="DV33" i="1"/>
  <c r="DV34" i="1"/>
  <c r="BC48" i="1"/>
  <c r="BE43" i="1"/>
  <c r="BE48" i="1" s="1"/>
  <c r="ED51" i="1"/>
  <c r="EF51" i="1"/>
  <c r="EE51" i="1"/>
  <c r="BI77" i="1"/>
  <c r="BH77" i="1"/>
  <c r="ED53" i="1"/>
  <c r="EE53" i="1"/>
  <c r="EF53" i="1"/>
  <c r="BH79" i="1"/>
  <c r="BI79" i="1"/>
  <c r="BH75" i="1"/>
  <c r="BI75" i="1"/>
  <c r="RW19" i="1"/>
  <c r="RW16" i="1"/>
  <c r="DL80" i="1"/>
  <c r="DL81" i="1" s="1"/>
  <c r="DL85" i="1" s="1"/>
  <c r="DF9" i="1"/>
  <c r="DF33" i="1"/>
  <c r="MW56" i="1"/>
  <c r="MW59" i="1" s="1"/>
  <c r="MW62" i="1" s="1"/>
  <c r="MW65" i="1" s="1"/>
  <c r="MW68" i="1" s="1"/>
  <c r="MW71" i="1" s="1"/>
  <c r="MW74" i="1" s="1"/>
  <c r="MW77" i="1" s="1"/>
  <c r="MW80" i="1" s="1"/>
  <c r="MW83" i="1" s="1"/>
  <c r="NH42" i="1"/>
  <c r="MU51" i="1"/>
  <c r="RW20" i="1"/>
  <c r="RW21" i="1" s="1"/>
  <c r="MU49" i="1"/>
  <c r="MW55" i="1"/>
  <c r="MW58" i="1" s="1"/>
  <c r="MW61" i="1" s="1"/>
  <c r="MW64" i="1" s="1"/>
  <c r="MW67" i="1" s="1"/>
  <c r="MW70" i="1" s="1"/>
  <c r="MW73" i="1" s="1"/>
  <c r="MW76" i="1" s="1"/>
  <c r="MW79" i="1" s="1"/>
  <c r="MW82" i="1" s="1"/>
  <c r="NH37" i="1"/>
  <c r="NJ35" i="1"/>
  <c r="NB35" i="1"/>
  <c r="ND34" i="1"/>
  <c r="HH45" i="1"/>
  <c r="HC45" i="1"/>
  <c r="HC46" i="1"/>
  <c r="HB45" i="1"/>
  <c r="HB46" i="1"/>
  <c r="HH48" i="1"/>
  <c r="HC49" i="1"/>
  <c r="HC48" i="1"/>
  <c r="HB49" i="1"/>
  <c r="HB48" i="1"/>
  <c r="HH54" i="1"/>
  <c r="HC55" i="1"/>
  <c r="HC54" i="1"/>
  <c r="HB55" i="1"/>
  <c r="HB54" i="1"/>
  <c r="GX45" i="1"/>
  <c r="GX54" i="1"/>
  <c r="OP38" i="1"/>
  <c r="OU43" i="1"/>
  <c r="QR42" i="1"/>
  <c r="QF42" i="1"/>
  <c r="RO14" i="1" s="1"/>
  <c r="RO16" i="1" s="1"/>
  <c r="PG16" i="1"/>
  <c r="EN118" i="1"/>
  <c r="EN115" i="1"/>
  <c r="DV35" i="1" l="1"/>
  <c r="A65" i="1"/>
  <c r="B65" i="1"/>
  <c r="DF70" i="1"/>
  <c r="DF11" i="1"/>
  <c r="DF17" i="1" s="1"/>
  <c r="DF35" i="1" s="1"/>
  <c r="DF34" i="1"/>
  <c r="DL9" i="1"/>
  <c r="DC52" i="1"/>
  <c r="DC55" i="1" s="1"/>
  <c r="G58" i="1"/>
  <c r="I57" i="1" s="1"/>
  <c r="L57" i="1" s="1"/>
  <c r="G56" i="1"/>
  <c r="I55" i="1" s="1"/>
  <c r="L55" i="1" s="1"/>
  <c r="NB36" i="1"/>
  <c r="ND35" i="1"/>
  <c r="HG60" i="1"/>
  <c r="B66" i="1" s="1"/>
  <c r="QR44" i="1"/>
  <c r="RP14" i="1"/>
  <c r="RP16" i="1" s="1"/>
  <c r="PG17" i="1"/>
  <c r="PG18" i="1" s="1"/>
  <c r="PG19" i="1" s="1"/>
  <c r="PG20" i="1" s="1"/>
  <c r="QF44" i="1"/>
  <c r="EN119" i="1"/>
  <c r="EN116" i="1"/>
  <c r="DF36" i="1" l="1"/>
  <c r="DC53" i="1"/>
  <c r="DC56" i="1" s="1"/>
  <c r="DF73" i="1"/>
  <c r="DF71" i="1"/>
  <c r="NB37" i="1"/>
  <c r="ND36" i="1"/>
  <c r="RQ13" i="1" a="1"/>
  <c r="RX13" i="1" s="1" a="1"/>
  <c r="J63" i="1" s="1"/>
  <c r="PG21" i="1"/>
  <c r="PG22" i="1" s="1"/>
  <c r="DM6" i="1"/>
  <c r="BI44" i="1"/>
  <c r="BI43" i="1"/>
  <c r="DJ63" i="1"/>
  <c r="BG44" i="1"/>
  <c r="DJ62" i="1"/>
  <c r="AW58" i="1"/>
  <c r="AX58" i="1" s="1"/>
  <c r="EQ74" i="1"/>
  <c r="EN120" i="1"/>
  <c r="N63" i="1" l="1"/>
  <c r="O63" i="1" s="1"/>
  <c r="DH64" i="1"/>
  <c r="DF72" i="1"/>
  <c r="RX18" i="1"/>
  <c r="NB38" i="1"/>
  <c r="ND37" i="1"/>
  <c r="PG23" i="1"/>
  <c r="DM24" i="1"/>
  <c r="DM27" i="1"/>
  <c r="DM28" i="1"/>
  <c r="DM29" i="1"/>
  <c r="DM30" i="1"/>
  <c r="DM31" i="1"/>
  <c r="DM32" i="1"/>
  <c r="DM33" i="1"/>
  <c r="DM34" i="1"/>
  <c r="DM35" i="1"/>
  <c r="DM36" i="1"/>
  <c r="DM37" i="1"/>
  <c r="DM38" i="1"/>
  <c r="DM39" i="1"/>
  <c r="DM40" i="1"/>
  <c r="DM41" i="1"/>
  <c r="DM42" i="1"/>
  <c r="DM43" i="1"/>
  <c r="DM44" i="1"/>
  <c r="DM45" i="1"/>
  <c r="DM46" i="1"/>
  <c r="DM47" i="1"/>
  <c r="DM48" i="1"/>
  <c r="DM49" i="1"/>
  <c r="DM50" i="1"/>
  <c r="DM51" i="1"/>
  <c r="DM52" i="1"/>
  <c r="DM53" i="1"/>
  <c r="DM54" i="1"/>
  <c r="DM55" i="1"/>
  <c r="DM56" i="1"/>
  <c r="DM57" i="1"/>
  <c r="DM58" i="1"/>
  <c r="DM9" i="1"/>
  <c r="DM25" i="1"/>
  <c r="DM26" i="1"/>
  <c r="DM7" i="1"/>
  <c r="DL10" i="1" s="1"/>
  <c r="AW57" i="1"/>
  <c r="AX57" i="1" s="1"/>
  <c r="BG43" i="1"/>
  <c r="DA37" i="1"/>
  <c r="DL56" i="1"/>
  <c r="DL39" i="1"/>
  <c r="DL49" i="1"/>
  <c r="DL36" i="1"/>
  <c r="DL34" i="1"/>
  <c r="DL50" i="1"/>
  <c r="DL51" i="1"/>
  <c r="DL54" i="1"/>
  <c r="DL57" i="1"/>
  <c r="DL41" i="1"/>
  <c r="DL48" i="1"/>
  <c r="DL24" i="1"/>
  <c r="DL40" i="1"/>
  <c r="DL31" i="1"/>
  <c r="DL32" i="1"/>
  <c r="DL25" i="1"/>
  <c r="DL52" i="1"/>
  <c r="DL46" i="1"/>
  <c r="DL29" i="1"/>
  <c r="DL42" i="1"/>
  <c r="DL55" i="1"/>
  <c r="DL37" i="1"/>
  <c r="DL47" i="1"/>
  <c r="DL35" i="1"/>
  <c r="DL53" i="1"/>
  <c r="DL43" i="1"/>
  <c r="DL33" i="1"/>
  <c r="DL44" i="1"/>
  <c r="DL28" i="1"/>
  <c r="DL26" i="1"/>
  <c r="DL27" i="1"/>
  <c r="DL30" i="1"/>
  <c r="DL45" i="1"/>
  <c r="DL38" i="1"/>
  <c r="DL58" i="1"/>
  <c r="BS70" i="1" l="1"/>
  <c r="AT75" i="1"/>
  <c r="AU75" i="1" s="1"/>
  <c r="L63" i="1"/>
  <c r="NB39" i="1"/>
  <c r="ND38" i="1"/>
  <c r="BM48" i="1"/>
  <c r="PG24" i="1"/>
  <c r="PG25" i="1" s="1"/>
  <c r="DM10" i="1"/>
  <c r="DM11" i="1" s="1"/>
  <c r="DM12" i="1" s="1"/>
  <c r="DM13" i="1" s="1"/>
  <c r="DM14" i="1" s="1"/>
  <c r="DM15" i="1" s="1"/>
  <c r="DM16" i="1" s="1"/>
  <c r="DM17" i="1" s="1"/>
  <c r="DM18" i="1" s="1"/>
  <c r="DM19" i="1" s="1"/>
  <c r="DM20" i="1" s="1"/>
  <c r="DM21" i="1" s="1"/>
  <c r="DM22" i="1" s="1"/>
  <c r="DM23" i="1" s="1"/>
  <c r="DG62" i="1"/>
  <c r="DG66" i="1" s="1"/>
  <c r="BG46" i="1"/>
  <c r="A67" i="1" s="1"/>
  <c r="BG45" i="1"/>
  <c r="DL11" i="1"/>
  <c r="DL12" i="1" s="1"/>
  <c r="DL13" i="1" s="1"/>
  <c r="DL14" i="1" s="1"/>
  <c r="DL15" i="1" s="1"/>
  <c r="DL16" i="1" s="1"/>
  <c r="DL17" i="1" s="1"/>
  <c r="DL18" i="1" s="1"/>
  <c r="DL19" i="1" s="1"/>
  <c r="DL20" i="1" s="1"/>
  <c r="DL21" i="1" s="1"/>
  <c r="DL22" i="1" s="1"/>
  <c r="DL23" i="1" s="1"/>
  <c r="B69" i="1" l="1"/>
  <c r="A69" i="1"/>
  <c r="NB40" i="1"/>
  <c r="ND39" i="1"/>
  <c r="PG26" i="1"/>
  <c r="OU46" i="1" s="1" a="1"/>
  <c r="OU50" i="1" s="1"/>
  <c r="BI45" i="1"/>
  <c r="B67" i="1" s="1"/>
  <c r="DF62" i="1" a="1"/>
  <c r="NB41" i="1" l="1"/>
  <c r="ND40" i="1"/>
  <c r="DF63" i="1"/>
  <c r="DF66" i="1"/>
  <c r="NB42" i="1" l="1"/>
  <c r="ND41" i="1"/>
  <c r="NB44" i="1"/>
  <c r="ND44" i="1" s="1"/>
  <c r="DF64" i="1"/>
  <c r="DH62" i="1" s="1"/>
  <c r="DF67" i="1"/>
  <c r="DF68" i="1" s="1"/>
  <c r="DH63" i="1" s="1"/>
  <c r="ND42" i="1" l="1"/>
  <c r="NB43" i="1"/>
  <c r="ND43" i="1" s="1"/>
  <c r="NB45" i="1"/>
  <c r="ND45" i="1" s="1"/>
  <c r="NG38" i="1" l="1"/>
  <c r="NH44" i="1" s="1" a="1"/>
  <c r="NH45" i="1" l="1"/>
  <c r="NH48" i="1"/>
  <c r="NH49" i="1" l="1"/>
  <c r="NH46" i="1"/>
  <c r="NJ3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<sst xmlns="http://schemas.openxmlformats.org/spreadsheetml/2006/main" count="2291" uniqueCount="639">
  <si>
    <t>Project :</t>
  </si>
  <si>
    <t>Engineering Design :</t>
  </si>
  <si>
    <t>Owner :</t>
  </si>
  <si>
    <t>Description :</t>
  </si>
  <si>
    <t>Location :</t>
  </si>
  <si>
    <t>Date :</t>
  </si>
  <si>
    <t>1.  FOOTING DATA INPUT</t>
  </si>
  <si>
    <t>PILE TYPE</t>
  </si>
  <si>
    <t>PILE SAFE LOAD CAPACITY</t>
  </si>
  <si>
    <t>FOOTING TYPE</t>
  </si>
  <si>
    <t>Pile SIZE</t>
  </si>
  <si>
    <t>Tons/Pile</t>
  </si>
  <si>
    <t>PILE DIVEATION</t>
  </si>
  <si>
    <t>F1</t>
  </si>
  <si>
    <t>I-Pile 18 x 18</t>
  </si>
  <si>
    <t>สถานะตรงข้าม</t>
  </si>
  <si>
    <t>GRID LINE INPUT</t>
  </si>
  <si>
    <t>PIER COORDINATE IN PUT</t>
  </si>
  <si>
    <t>DIMENSION</t>
  </si>
  <si>
    <t>F2</t>
  </si>
  <si>
    <t>I-Pile 22 x 22</t>
  </si>
  <si>
    <t>1D</t>
  </si>
  <si>
    <t>VERTICAL GRID LINE &gt;&gt;</t>
  </si>
  <si>
    <t>NOTHING : N  &gt;&gt;</t>
  </si>
  <si>
    <t>F3</t>
  </si>
  <si>
    <t>I-Pile 26 x 26</t>
  </si>
  <si>
    <t>3D</t>
  </si>
  <si>
    <t>HORIZONTAL GRID LINE &gt;&gt;</t>
  </si>
  <si>
    <t>EARTHING : E  &gt;&gt;</t>
  </si>
  <si>
    <t>F4</t>
  </si>
  <si>
    <t>I-Pile 30 x 30</t>
  </si>
  <si>
    <t>FOOTING DIRECTION  &gt;&gt;</t>
  </si>
  <si>
    <t>PIER SECTION (M.)</t>
  </si>
  <si>
    <t>WITH : H</t>
  </si>
  <si>
    <t>F5</t>
  </si>
  <si>
    <t>I-Pile 35 x 35</t>
  </si>
  <si>
    <t>ü</t>
  </si>
  <si>
    <t>CHOOSE DIRECTION &gt;&gt;</t>
  </si>
  <si>
    <t>DEPTH : D</t>
  </si>
  <si>
    <t>I-Pile 40 x 40</t>
  </si>
  <si>
    <t>û</t>
  </si>
  <si>
    <t>PILE SPACING RE-CHECK</t>
  </si>
  <si>
    <t>AXIAL LOAD DESIGN (TONS)</t>
  </si>
  <si>
    <t>เข็มเดียว</t>
  </si>
  <si>
    <t>เข็มกลุ่ม</t>
  </si>
  <si>
    <t>I-Pile 45 x 45</t>
  </si>
  <si>
    <t>เสาตอม่อ</t>
  </si>
  <si>
    <t>Grid-Line</t>
  </si>
  <si>
    <t>X</t>
  </si>
  <si>
    <t>Y</t>
  </si>
  <si>
    <t>Label</t>
  </si>
  <si>
    <t>CENTER TO CENTER  &gt;&gt;</t>
  </si>
  <si>
    <t>F1,F2</t>
  </si>
  <si>
    <t>FOOTING DIRECTION</t>
  </si>
  <si>
    <t>L-Max</t>
  </si>
  <si>
    <t>X-Axis</t>
  </si>
  <si>
    <t>CL. TO PILECAP EDGE. &gt;&gt;</t>
  </si>
  <si>
    <t>F3,F4,F5</t>
  </si>
  <si>
    <t xml:space="preserve">X-AXIS </t>
  </si>
  <si>
    <t xml:space="preserve">   2.  PILE COORDINATE  DRAWING DESIGN</t>
  </si>
  <si>
    <t>POSITION</t>
  </si>
  <si>
    <t>ระยะที่ใช้ตรวจสอบ</t>
  </si>
  <si>
    <t xml:space="preserve">Y- AXIS </t>
  </si>
  <si>
    <t>Ofset Grid</t>
  </si>
  <si>
    <t>CG. OF PIER  &gt;&gt;</t>
  </si>
  <si>
    <t>Y-Axis</t>
  </si>
  <si>
    <t>CASE  F1</t>
  </si>
  <si>
    <t>CASE  F2</t>
  </si>
  <si>
    <t>CASE  F3</t>
  </si>
  <si>
    <t>CASE  F5</t>
  </si>
  <si>
    <t>E,X</t>
  </si>
  <si>
    <t>Hex Pile A = 15 cm</t>
  </si>
  <si>
    <t>CG.</t>
  </si>
  <si>
    <t>N,Y</t>
  </si>
  <si>
    <t>Hex Pile A = 18 cm</t>
  </si>
  <si>
    <t>CG. OF PILE GROUP &gt;&gt;</t>
  </si>
  <si>
    <t>Pile Result</t>
  </si>
  <si>
    <t>Hex Pile A = 22 cm</t>
  </si>
  <si>
    <t>PILE NO.</t>
  </si>
  <si>
    <t>PILE COORDINATE</t>
  </si>
  <si>
    <t>DEVIATION</t>
  </si>
  <si>
    <t>RESULT</t>
  </si>
  <si>
    <t>N</t>
  </si>
  <si>
    <t>ตรงข้าม N</t>
  </si>
  <si>
    <t>E</t>
  </si>
  <si>
    <t>ตรงข้าม E</t>
  </si>
  <si>
    <t>Hex Pile A = 26 cm</t>
  </si>
  <si>
    <t>เส้นขยาย Pile Cap</t>
  </si>
  <si>
    <t>X-Axia Top</t>
  </si>
  <si>
    <t>Hex Pile A = 30 cm</t>
  </si>
  <si>
    <t>PILE CAP LINE</t>
  </si>
  <si>
    <t>Hex Pile A = 35 cm</t>
  </si>
  <si>
    <t>L-MAX</t>
  </si>
  <si>
    <t>X-Axia Bottom</t>
  </si>
  <si>
    <t>Hex Pile A = 40 cm</t>
  </si>
  <si>
    <t>Y-Axis Left</t>
  </si>
  <si>
    <t>Y-Axis Lright</t>
  </si>
  <si>
    <t>MAX&gt;&gt;</t>
  </si>
  <si>
    <t xml:space="preserve">   3.  PILE GROUP CENTER OF GRAVITY CALCULATION</t>
  </si>
  <si>
    <t>Dimension Pile Cap ที่ขยายแล้ว</t>
  </si>
  <si>
    <r>
      <t>N</t>
    </r>
    <r>
      <rPr>
        <b/>
        <vertAlign val="subscript"/>
        <sz val="11"/>
        <color theme="1"/>
        <rFont val="TH SarabunPSK"/>
        <family val="2"/>
      </rPr>
      <t>CG.</t>
    </r>
    <r>
      <rPr>
        <b/>
        <sz val="11"/>
        <color theme="1"/>
        <rFont val="TH SarabunPSK"/>
        <family val="2"/>
      </rPr>
      <t xml:space="preserve"> =</t>
    </r>
  </si>
  <si>
    <t>New CG.</t>
  </si>
  <si>
    <t>=</t>
  </si>
  <si>
    <r>
      <t>DEVIATION :e</t>
    </r>
    <r>
      <rPr>
        <b/>
        <vertAlign val="subscript"/>
        <sz val="11"/>
        <color theme="1"/>
        <rFont val="TH SarabunPSK"/>
        <family val="2"/>
      </rPr>
      <t xml:space="preserve">y </t>
    </r>
    <r>
      <rPr>
        <b/>
        <sz val="11"/>
        <color theme="1"/>
        <rFont val="TH SarabunPSK"/>
        <family val="2"/>
      </rPr>
      <t>=</t>
    </r>
  </si>
  <si>
    <t>Mmax</t>
  </si>
  <si>
    <r>
      <t>E</t>
    </r>
    <r>
      <rPr>
        <b/>
        <vertAlign val="subscript"/>
        <sz val="12.65"/>
        <color theme="1"/>
        <rFont val="TH SarabunPSK"/>
        <family val="2"/>
      </rPr>
      <t>CG.</t>
    </r>
    <r>
      <rPr>
        <b/>
        <sz val="11"/>
        <color theme="1"/>
        <rFont val="TH SarabunPSK"/>
        <family val="2"/>
      </rPr>
      <t xml:space="preserve"> =</t>
    </r>
  </si>
  <si>
    <t>P1</t>
  </si>
  <si>
    <t>X-AXIS</t>
  </si>
  <si>
    <r>
      <t>DEVIATION :e</t>
    </r>
    <r>
      <rPr>
        <b/>
        <vertAlign val="subscript"/>
        <sz val="11"/>
        <color theme="1"/>
        <rFont val="TH SarabunPSK"/>
        <family val="2"/>
      </rPr>
      <t>x</t>
    </r>
    <r>
      <rPr>
        <b/>
        <sz val="11"/>
        <color theme="1"/>
        <rFont val="TH SarabunPSK"/>
        <family val="2"/>
      </rPr>
      <t xml:space="preserve"> =</t>
    </r>
  </si>
  <si>
    <t>P1 Line</t>
  </si>
  <si>
    <t>L</t>
  </si>
  <si>
    <t>PILE CAP ENLARGEMENT DIRECTION</t>
  </si>
  <si>
    <t>ENLARGEMENT (m)</t>
  </si>
  <si>
    <t>RE-CHECK</t>
  </si>
  <si>
    <t xml:space="preserve">   4.  PILE REACTION FORCE CALCULATION</t>
  </si>
  <si>
    <t>Eccentric Moment</t>
  </si>
  <si>
    <t>R</t>
  </si>
  <si>
    <t>T</t>
  </si>
  <si>
    <t>P1,P2</t>
  </si>
  <si>
    <t>B</t>
  </si>
  <si>
    <t>PILE REACTION FORCE CALCULATION TABLE</t>
  </si>
  <si>
    <t>PILE ID.</t>
  </si>
  <si>
    <t>Xi</t>
  </si>
  <si>
    <t>Yi</t>
  </si>
  <si>
    <t>Xi²</t>
  </si>
  <si>
    <t>Yi²</t>
  </si>
  <si>
    <t>Ri (Tons)</t>
  </si>
  <si>
    <t>DESIGN PARAMITER</t>
  </si>
  <si>
    <t xml:space="preserve"> ALLOWABLE STRESS: fs =</t>
  </si>
  <si>
    <t>EC =</t>
  </si>
  <si>
    <t>Drawing</t>
  </si>
  <si>
    <t>Deviation</t>
  </si>
  <si>
    <t>-  YEILD STRESS : fy =</t>
  </si>
  <si>
    <t>n = Es / Ec =</t>
  </si>
  <si>
    <t>DIMENSION F2X</t>
  </si>
  <si>
    <t>Ri Status</t>
  </si>
  <si>
    <t>ตรงข้าม</t>
  </si>
  <si>
    <t xml:space="preserve"> CONCRETE DENSITY =</t>
  </si>
  <si>
    <t>k = 1/(1+fs/(n x fc) =</t>
  </si>
  <si>
    <t>LABEL</t>
  </si>
  <si>
    <t>-  CONCRETE : fc' =</t>
  </si>
  <si>
    <t>j = 1- k/3 =</t>
  </si>
  <si>
    <t>ขนาด รัศมี r</t>
  </si>
  <si>
    <t>พื้นที่หน้าตัด</t>
  </si>
  <si>
    <t>P2</t>
  </si>
  <si>
    <t>R = 0.5 x fc x k x j =</t>
  </si>
  <si>
    <t>Σ =</t>
  </si>
  <si>
    <t>ΣRi = P</t>
  </si>
  <si>
    <t>mm.</t>
  </si>
  <si>
    <t>P3</t>
  </si>
  <si>
    <t xml:space="preserve"> ES  =</t>
  </si>
  <si>
    <t xml:space="preserve"> COVERING    =</t>
  </si>
  <si>
    <t>P4</t>
  </si>
  <si>
    <t>PILE CAP TKC. :T &gt; &gt;</t>
  </si>
  <si>
    <t>PROVIDED</t>
  </si>
  <si>
    <t>REINFORCEMENY CELECTION</t>
  </si>
  <si>
    <t>NO. &gt;&gt;</t>
  </si>
  <si>
    <t>เส้น</t>
  </si>
  <si>
    <t>Y-AXIS</t>
  </si>
  <si>
    <t>ระยะ D &gt;&gt;</t>
  </si>
  <si>
    <t>ตรวจเหล็ก</t>
  </si>
  <si>
    <t>6.  RE-CHECK  BEAM SHEAR AND PUNCHING SHEAR</t>
  </si>
  <si>
    <t>X-AXIS  &gt;&gt;</t>
  </si>
  <si>
    <t>Allowable Beam shear: Vcb</t>
  </si>
  <si>
    <t>Beam Shear 1: v =V/bd</t>
  </si>
  <si>
    <t>Beam Shear 2: v =V/bd</t>
  </si>
  <si>
    <t>Y-AXIS  &gt;&gt;</t>
  </si>
  <si>
    <t>P5</t>
  </si>
  <si>
    <t>ภาพ Section</t>
  </si>
  <si>
    <t>PERIMETER REINFORCEMENT  &gt;&gt;</t>
  </si>
  <si>
    <t>เส้น Center Line</t>
  </si>
  <si>
    <t>Pile Cap Line</t>
  </si>
  <si>
    <t>เสาเข็ม</t>
  </si>
  <si>
    <t>เหล็กเสริม</t>
  </si>
  <si>
    <t>Punching shear</t>
  </si>
  <si>
    <t xml:space="preserve">RE-CHECK  BEAM SHEAR </t>
  </si>
  <si>
    <t>ระยะ X</t>
  </si>
  <si>
    <t>ระยะ bx</t>
  </si>
  <si>
    <t>ระยะ by</t>
  </si>
  <si>
    <t>ระยะ D</t>
  </si>
  <si>
    <t>MAX &gt;&gt;</t>
  </si>
  <si>
    <t>MIN &gt;&gt;</t>
  </si>
  <si>
    <t>MUN &gt;&gt;</t>
  </si>
  <si>
    <t>SIGNAL :</t>
  </si>
  <si>
    <t>DATE :</t>
  </si>
  <si>
    <t>INDEX &gt;&gt;</t>
  </si>
  <si>
    <t>DIMENSION F2Y</t>
  </si>
  <si>
    <t>ระยะแอเหล็ก</t>
  </si>
  <si>
    <t>จำนวน</t>
  </si>
  <si>
    <t>เหล็กเสาตอม่อ</t>
  </si>
  <si>
    <t>n =</t>
  </si>
  <si>
    <t>เหล็กปลอกเสา</t>
  </si>
  <si>
    <t>Dimension</t>
  </si>
  <si>
    <t>Call Out เหล็กเสริม</t>
  </si>
  <si>
    <t>เหล็กรัดรอบฐาน</t>
  </si>
  <si>
    <t>PILE NO</t>
  </si>
  <si>
    <t>DESIGN CONCLUSION :</t>
  </si>
  <si>
    <t>þ</t>
  </si>
  <si>
    <t>PILE CAPACITY : PASS</t>
  </si>
  <si>
    <t>PILE CAP REINFORCEMENT : PASS</t>
  </si>
  <si>
    <t>BEAM SHEAR : PASS</t>
  </si>
  <si>
    <t>PUNCHING SHEAR : PASS</t>
  </si>
  <si>
    <t xml:space="preserve">NOTE FROM DESIGNER : </t>
  </si>
  <si>
    <t>PILE CAP ENLARGEMENT HAS BEEN PROVIDED.</t>
  </si>
  <si>
    <t>ý</t>
  </si>
  <si>
    <t>Text EDGE</t>
  </si>
  <si>
    <t>OR</t>
  </si>
  <si>
    <t>TEXT &gt;&gt;</t>
  </si>
  <si>
    <t>PILE CAP EDGE DISTANCE  : PASS</t>
  </si>
  <si>
    <t>NO FOUNDATION MODIFICATION IS REQUIRED</t>
  </si>
  <si>
    <t>DESIGN :</t>
  </si>
  <si>
    <t>MODIFY :</t>
  </si>
  <si>
    <t>ป้อนพิกัด CENTER  FOOTING</t>
  </si>
  <si>
    <t>ป้อนหมายเลขเสาเข็ม</t>
  </si>
  <si>
    <t>ป้อนพิกัด เสาเข็มจริง</t>
  </si>
  <si>
    <t>เข็มเยื้อง F2 ทาง Y</t>
  </si>
  <si>
    <t>P1 CL.</t>
  </si>
  <si>
    <t>P2 CL.</t>
  </si>
  <si>
    <t>เข็มเหลี่ยม &gt;&gt;</t>
  </si>
  <si>
    <t>SQ-Pile 18 x 18</t>
  </si>
  <si>
    <t xml:space="preserve">SQ-Pile 22 x 22 </t>
  </si>
  <si>
    <t xml:space="preserve">SQ-Pile 26 x 26 </t>
  </si>
  <si>
    <t xml:space="preserve">SQ-Pile 30 x 30 </t>
  </si>
  <si>
    <t>SQ-Pile 35 x 35</t>
  </si>
  <si>
    <t>SQ-Pile 40 x 40</t>
  </si>
  <si>
    <t>SQ-Pile 45 x 45</t>
  </si>
  <si>
    <t>เส้นเสาเข็ม P1x</t>
  </si>
  <si>
    <t>เส้นเสาเข็มเหลี่ยม</t>
  </si>
  <si>
    <t>LABEL แรงในเสาเข็ม</t>
  </si>
  <si>
    <t>P1,P2 &gt;&gt;PASS</t>
  </si>
  <si>
    <t>P1,P2 &gt;&gt;FALSE</t>
  </si>
  <si>
    <t>สมการคำนวณแรง</t>
  </si>
  <si>
    <t xml:space="preserve">       Ri = P/n + (Mx·Yi / ΣYi²) + (My·Xi / ΣXi²)  -------------------④</t>
  </si>
  <si>
    <t xml:space="preserve">       Ri = P  -------------------①</t>
  </si>
  <si>
    <t>F2x</t>
  </si>
  <si>
    <t>F2y</t>
  </si>
  <si>
    <t xml:space="preserve">       Rxi = P/2 ± (My/Lx)  -------------------②</t>
  </si>
  <si>
    <t xml:space="preserve">       Ryi = P/2 ± (Mx/Ly)  -------------------③</t>
  </si>
  <si>
    <t>CHOOSE</t>
  </si>
  <si>
    <t>R1</t>
  </si>
  <si>
    <t>R2</t>
  </si>
  <si>
    <t>R3</t>
  </si>
  <si>
    <t>R4</t>
  </si>
  <si>
    <t>R5</t>
  </si>
  <si>
    <t>REACTION TABLE</t>
  </si>
  <si>
    <t>MOMENT TABLE</t>
  </si>
  <si>
    <t>Mmax Long</t>
  </si>
  <si>
    <t>Mmax Short</t>
  </si>
  <si>
    <t>DIRECTION</t>
  </si>
  <si>
    <t xml:space="preserve">RE-CHECK  PUNCHING SHEAR </t>
  </si>
  <si>
    <t>สีสถานะ</t>
  </si>
  <si>
    <t>สะถานะ</t>
  </si>
  <si>
    <t>TEXT</t>
  </si>
  <si>
    <t>การขยาย PILE CAP F2</t>
  </si>
  <si>
    <t>X ซ้าย &gt;&gt;</t>
  </si>
  <si>
    <t>X ขวา &gt;&gt;</t>
  </si>
  <si>
    <t>&lt;&lt; Y บน</t>
  </si>
  <si>
    <t>&lt;&lt; Y ล่าง</t>
  </si>
  <si>
    <t>Y-Axia Top</t>
  </si>
  <si>
    <t>Y-Axia Bottom</t>
  </si>
  <si>
    <t>X-Axis Left</t>
  </si>
  <si>
    <t>X-Axis Right</t>
  </si>
  <si>
    <t>Dimension Y</t>
  </si>
  <si>
    <t>ค่าคงที่</t>
  </si>
  <si>
    <t>NEW CG. PILE GROUP</t>
  </si>
  <si>
    <t>การขยายฐาน</t>
  </si>
  <si>
    <t>T =</t>
  </si>
  <si>
    <t>B =</t>
  </si>
  <si>
    <t>L =</t>
  </si>
  <si>
    <t>R =</t>
  </si>
  <si>
    <t>ระยะ</t>
  </si>
  <si>
    <t>สถานะ</t>
  </si>
  <si>
    <t>การวาดรูป Section</t>
  </si>
  <si>
    <t>Dimension X</t>
  </si>
  <si>
    <t>)-AXIS</t>
  </si>
  <si>
    <t>ระยะ T =</t>
  </si>
  <si>
    <t>ระยะความยาวท่องฐานราก L =</t>
  </si>
  <si>
    <t>พิกัดเช็มทางซ้าย  : L  =</t>
  </si>
  <si>
    <t>พิกัดเช็มทางขวา  : R  =</t>
  </si>
  <si>
    <t>เส้นขอบฐานราก L =</t>
  </si>
  <si>
    <t>เส้นขอบฐานราก R =</t>
  </si>
  <si>
    <t>เว้นเสาเข็ม</t>
  </si>
  <si>
    <t>Coverring =</t>
  </si>
  <si>
    <t>เส้นเหล็กเสริม</t>
  </si>
  <si>
    <t>Pile Cap Line X</t>
  </si>
  <si>
    <t>Pile Cap Line Y</t>
  </si>
  <si>
    <t>จำนวน :</t>
  </si>
  <si>
    <t>ระยะ @ :</t>
  </si>
  <si>
    <t>เส้นเหล็กตอม่อ</t>
  </si>
  <si>
    <t>เส้นเหล็กปลอก</t>
  </si>
  <si>
    <t>y</t>
  </si>
  <si>
    <t>5. RE-CHECK PILE CAP REINFORCEMENT</t>
  </si>
  <si>
    <t>ระยะ B</t>
  </si>
  <si>
    <t>Bx</t>
  </si>
  <si>
    <t>By</t>
  </si>
  <si>
    <t>สถานะเหล็กเสริม</t>
  </si>
  <si>
    <t>BEAM SHEAR</t>
  </si>
  <si>
    <t>BEAM SHEAR CAPACITY IS INSUFFICIENT. INCREASE PILE CAP DEPTH OR PROVIDE SHEAR REINFORCEMENT.</t>
  </si>
  <si>
    <t>PUNCHING SHEAR CAPACITY IS INSUFFICIENT. INCREASE PILE CAP DEPTH OR ENLARGE PIER / COLUMN SECTION.</t>
  </si>
  <si>
    <t>ระยะเยื้องศูนย์</t>
  </si>
  <si>
    <t>สเตตัส</t>
  </si>
  <si>
    <t>ARMS</t>
  </si>
  <si>
    <t>FORCE</t>
  </si>
  <si>
    <t>Moment</t>
  </si>
  <si>
    <t>CASE  F4&amp;F5</t>
  </si>
  <si>
    <t>FOOTING DIRECTION : CASE F3</t>
  </si>
  <si>
    <t>DIRECTION &gt;&gt;</t>
  </si>
  <si>
    <t>REVIEW CALCULATION DETAILS</t>
  </si>
  <si>
    <t>DETAIL  PILE REACTION</t>
  </si>
  <si>
    <t>PILE CAP MOMENT DETAILS</t>
  </si>
  <si>
    <t>CURSOR : C1</t>
  </si>
  <si>
    <t>CURSOR : C2</t>
  </si>
  <si>
    <t>CURSOR : C3</t>
  </si>
  <si>
    <t>CURSOR : C4</t>
  </si>
  <si>
    <t>CURSOR : C5</t>
  </si>
  <si>
    <t>CURSOR : C6</t>
  </si>
  <si>
    <t>ขนาดเสาเข็ม =  D1</t>
  </si>
  <si>
    <t>&gt;3D = D2</t>
  </si>
  <si>
    <t>D2/sqrt(3) =</t>
  </si>
  <si>
    <t>D2/2sqrt(3) =</t>
  </si>
  <si>
    <t>Y-AXIS-T</t>
  </si>
  <si>
    <t>Y-AXIS-B</t>
  </si>
  <si>
    <t>X-AXIS-L</t>
  </si>
  <si>
    <t>X-AXIS-R</t>
  </si>
  <si>
    <t>PILE CENTER</t>
  </si>
  <si>
    <t>P6</t>
  </si>
  <si>
    <t>P7</t>
  </si>
  <si>
    <t>PILE CAP F3</t>
  </si>
  <si>
    <t>MAX</t>
  </si>
  <si>
    <t>MIN</t>
  </si>
  <si>
    <t>DIF.</t>
  </si>
  <si>
    <t>Cursor Line</t>
  </si>
  <si>
    <t>C1</t>
  </si>
  <si>
    <t>C2</t>
  </si>
  <si>
    <t>C3</t>
  </si>
  <si>
    <t>C4</t>
  </si>
  <si>
    <t>C5</t>
  </si>
  <si>
    <t>C6</t>
  </si>
  <si>
    <t>F4&amp;F5</t>
  </si>
  <si>
    <t>1D =</t>
  </si>
  <si>
    <t>3D =</t>
  </si>
  <si>
    <t>Combo</t>
  </si>
  <si>
    <t>เดี่ยว</t>
  </si>
  <si>
    <t>COMBO&amp;เดี่ยว</t>
  </si>
  <si>
    <t>Cursor Mode</t>
  </si>
  <si>
    <t>PILE CAP CURSOR CONTROL</t>
  </si>
  <si>
    <t>HOOK CEL</t>
  </si>
  <si>
    <t>Cursor ON</t>
  </si>
  <si>
    <t>Cursor OFF</t>
  </si>
  <si>
    <t>X-AXIS &gt;&gt;</t>
  </si>
  <si>
    <t>Y-AXIS &gt;&gt;</t>
  </si>
  <si>
    <t>SET MOVE STEP</t>
  </si>
  <si>
    <t>b</t>
  </si>
  <si>
    <t>Pile Type</t>
  </si>
  <si>
    <t>Circle P1</t>
  </si>
  <si>
    <t>Center</t>
  </si>
  <si>
    <t>Radius R=</t>
  </si>
  <si>
    <t>m.</t>
  </si>
  <si>
    <t>t</t>
  </si>
  <si>
    <t>PI</t>
  </si>
  <si>
    <t>Circle P2</t>
  </si>
  <si>
    <t>Circle P3</t>
  </si>
  <si>
    <t>Circle P4</t>
  </si>
  <si>
    <t>เข็มกลม ตามแบบ</t>
  </si>
  <si>
    <t>DCircle P1</t>
  </si>
  <si>
    <t>DCircle P2</t>
  </si>
  <si>
    <t>DCircle P3</t>
  </si>
  <si>
    <t>DCircle P4</t>
  </si>
  <si>
    <t>DCircle P5</t>
  </si>
  <si>
    <t>f =</t>
  </si>
  <si>
    <t>H =</t>
  </si>
  <si>
    <t>SQ P1</t>
  </si>
  <si>
    <t>P8</t>
  </si>
  <si>
    <t>P9</t>
  </si>
  <si>
    <t>SQ P2</t>
  </si>
  <si>
    <t>SQ P3</t>
  </si>
  <si>
    <t>SQ P4</t>
  </si>
  <si>
    <t>SQ P5</t>
  </si>
  <si>
    <t>เข็มเหลี่ยมตามแบบ</t>
  </si>
  <si>
    <t>ระบบ Cursor</t>
  </si>
  <si>
    <t>HEX P1</t>
  </si>
  <si>
    <t>H=</t>
  </si>
  <si>
    <t>d =</t>
  </si>
  <si>
    <t>HEX P2</t>
  </si>
  <si>
    <t>HEX P3</t>
  </si>
  <si>
    <t>HEX P4</t>
  </si>
  <si>
    <t>HEX P5</t>
  </si>
  <si>
    <t>I-PILE 1</t>
  </si>
  <si>
    <t>K</t>
  </si>
  <si>
    <t>O</t>
  </si>
  <si>
    <t>U</t>
  </si>
  <si>
    <t>V</t>
  </si>
  <si>
    <t>r =</t>
  </si>
  <si>
    <t>P10</t>
  </si>
  <si>
    <t>P11</t>
  </si>
  <si>
    <t>P12</t>
  </si>
  <si>
    <t>P13</t>
  </si>
  <si>
    <t>P14</t>
  </si>
  <si>
    <t>P15</t>
  </si>
  <si>
    <t>P16</t>
  </si>
  <si>
    <t>P17</t>
  </si>
  <si>
    <t>I-PILE 2</t>
  </si>
  <si>
    <t>I-PILE 3</t>
  </si>
  <si>
    <t>I-PILE 4</t>
  </si>
  <si>
    <t>I-PILE 5</t>
  </si>
  <si>
    <t>เข็มเยื้อง</t>
  </si>
  <si>
    <t>ΣE / n =</t>
  </si>
  <si>
    <t>ΣN / n =</t>
  </si>
  <si>
    <t>ต้นที่ตอกแซม</t>
  </si>
  <si>
    <t>F1x</t>
  </si>
  <si>
    <t>เข็มตอกแซม</t>
  </si>
  <si>
    <t>ตอกแซม 1</t>
  </si>
  <si>
    <t>ตอกแซม 2</t>
  </si>
  <si>
    <t>LABEL 1</t>
  </si>
  <si>
    <t>LABEL 2</t>
  </si>
  <si>
    <t>ABS</t>
  </si>
  <si>
    <t>Y-AXIS :  TOP</t>
  </si>
  <si>
    <t>Y-AXIS : BOTTOM</t>
  </si>
  <si>
    <t>X-AXIS : RIGHT</t>
  </si>
  <si>
    <t>X-AXIS : LEFT</t>
  </si>
  <si>
    <t>เส้น Pile Capt ผ่าน</t>
  </si>
  <si>
    <t>เส้น Pile Capt ไม่ผ่านผ่าน</t>
  </si>
  <si>
    <t>DIMENSION F2 ฐานเข็มเยื้อง</t>
  </si>
  <si>
    <t>DIMENSION เข็มเยื้อง F3</t>
  </si>
  <si>
    <t>EFFECTIVE DEPTH : D  =</t>
  </si>
  <si>
    <t>DIMENSION F1 ฐานเข็มเยื้อง</t>
  </si>
  <si>
    <t>DIMENSION F4&amp;F5 ฐานเข็มเยื้อง</t>
  </si>
  <si>
    <t>CRITICAL SECTION LINE</t>
  </si>
  <si>
    <t>หน้าตัดวิกฤต F4&amp;5</t>
  </si>
  <si>
    <t>CRITICAL SECTION LINE DIMENSION</t>
  </si>
  <si>
    <t>PIER</t>
  </si>
  <si>
    <t>PILE</t>
  </si>
  <si>
    <t>Ri</t>
  </si>
  <si>
    <t>Ly</t>
  </si>
  <si>
    <t>Lx</t>
  </si>
  <si>
    <t>kg-m</t>
  </si>
  <si>
    <t>PCO. EL. =</t>
  </si>
  <si>
    <t>หน้าตัดวิกฤต F2</t>
  </si>
  <si>
    <t>EFFECTIVE DEPTH  F2</t>
  </si>
  <si>
    <t>Top =</t>
  </si>
  <si>
    <t>PCO. =</t>
  </si>
  <si>
    <t>Covero =</t>
  </si>
  <si>
    <t>D =</t>
  </si>
  <si>
    <t>Bottom Bar =</t>
  </si>
  <si>
    <t>DIMENSION =</t>
  </si>
  <si>
    <t>AND =</t>
  </si>
  <si>
    <t>≥  1D</t>
  </si>
  <si>
    <t>REINFORCEMENT TYPE FOOTING F1</t>
  </si>
  <si>
    <t>RE-BAR TYPE &gt;&gt;</t>
  </si>
  <si>
    <t>UPWARD CAGE</t>
  </si>
  <si>
    <t>DOWNWARD CAGE</t>
  </si>
  <si>
    <t>&lt;&lt;INDEX</t>
  </si>
  <si>
    <t>PILE CAP LINE DOWNWARD CAGE</t>
  </si>
  <si>
    <t>เหล็กเมน</t>
  </si>
  <si>
    <t>เหล็กเมน CASE 1</t>
  </si>
  <si>
    <t>Text เสาเข็ม</t>
  </si>
  <si>
    <t>ความหนาฐาน</t>
  </si>
  <si>
    <t>@ =</t>
  </si>
  <si>
    <t>&lt;  1D</t>
  </si>
  <si>
    <t>เหล็ก</t>
  </si>
  <si>
    <t>เหล็กเมน CASE 2</t>
  </si>
  <si>
    <t>Y2</t>
  </si>
  <si>
    <t>D1 =</t>
  </si>
  <si>
    <t>D2</t>
  </si>
  <si>
    <t>DIMENSION  F3 ตามแบบ</t>
  </si>
  <si>
    <t>CENTER</t>
  </si>
  <si>
    <t>Mmax (Kg-m)</t>
  </si>
  <si>
    <t>Max</t>
  </si>
  <si>
    <t>Arms</t>
  </si>
  <si>
    <t>Mmax =</t>
  </si>
  <si>
    <t>Mmax  :  X-AXIS</t>
  </si>
  <si>
    <t>Mmax  :  Y-AXIS</t>
  </si>
  <si>
    <t>REQ.</t>
  </si>
  <si>
    <t>แถบเครื่องมือสำหรับป้อนค่า</t>
  </si>
  <si>
    <t>วาด Section F3</t>
  </si>
  <si>
    <t>T=</t>
  </si>
  <si>
    <t>m</t>
  </si>
  <si>
    <t>CL &gt;&gt;</t>
  </si>
  <si>
    <t>&gt;&gt;</t>
  </si>
  <si>
    <t>min &gt;&gt;</t>
  </si>
  <si>
    <t>PILE LINE</t>
  </si>
  <si>
    <t>Cov. =</t>
  </si>
  <si>
    <t>เหล็ก =</t>
  </si>
  <si>
    <t>Cover Pile</t>
  </si>
  <si>
    <t>เหล็กตอม่อ</t>
  </si>
  <si>
    <t>เหล็กรัดรอบ</t>
  </si>
  <si>
    <t>DIMENSION F3</t>
  </si>
  <si>
    <t>ความหนา t</t>
  </si>
  <si>
    <t>ตำแหน่งเส้นวิกฤติของหน้าตักรับหน่วยแรงเฉือน</t>
  </si>
  <si>
    <t>PUNCHING SHEAR LINE</t>
  </si>
  <si>
    <t>BEAM SHEAR LINE X-AXIS</t>
  </si>
  <si>
    <t>RE-CHECk L</t>
  </si>
  <si>
    <t>PILE NE &gt;&gt;</t>
  </si>
  <si>
    <t>BEAM SHEAR LINE L &gt;&gt;</t>
  </si>
  <si>
    <t>RE-CHECk R</t>
  </si>
  <si>
    <t>หน่วยแรงเฉือน : V</t>
  </si>
  <si>
    <t>b*100</t>
  </si>
  <si>
    <t>d*100</t>
  </si>
  <si>
    <t>BEAM SHEAR 1</t>
  </si>
  <si>
    <t>MAX CASE</t>
  </si>
  <si>
    <t>BEAM SHEAR LINE T &gt;&gt;</t>
  </si>
  <si>
    <t>BEAM SHEAR LINE B &gt;&gt;</t>
  </si>
  <si>
    <t>BEAM SHEAR LINEY-AXIS</t>
  </si>
  <si>
    <t>BEAM SHEAR 2</t>
  </si>
  <si>
    <t>PUNCHING SHEAR</t>
  </si>
  <si>
    <t>PILE CAP</t>
  </si>
  <si>
    <t>V-LINE</t>
  </si>
  <si>
    <t>STATUS</t>
  </si>
  <si>
    <t>PUNCHING SHEAR LINE (M.)</t>
  </si>
  <si>
    <t>PV. LINE</t>
  </si>
  <si>
    <t>FOOTING TYPE  &gt;&gt;</t>
  </si>
  <si>
    <t>USE</t>
  </si>
  <si>
    <t>by =</t>
  </si>
  <si>
    <t>bx =</t>
  </si>
  <si>
    <t>XL</t>
  </si>
  <si>
    <t>XR</t>
  </si>
  <si>
    <t>HT</t>
  </si>
  <si>
    <t>HB</t>
  </si>
  <si>
    <t>LENG OF PUNCHING SHEAR LINE (m.)</t>
  </si>
  <si>
    <t>SUM</t>
  </si>
  <si>
    <t>V =</t>
  </si>
  <si>
    <t>Vu =</t>
  </si>
  <si>
    <t>D/2  =</t>
  </si>
  <si>
    <t>F4,F5</t>
  </si>
  <si>
    <t>เส้น PILE CAP ฐานเยื้องศูนย์</t>
  </si>
  <si>
    <t>b =</t>
  </si>
  <si>
    <t>ตารางสรุป PUNCHING SHEAR</t>
  </si>
  <si>
    <t>V(kg)</t>
  </si>
  <si>
    <t>b (cm.)</t>
  </si>
  <si>
    <t>d (cm.)</t>
  </si>
  <si>
    <t>V(ksc)</t>
  </si>
  <si>
    <t>NOT REQUIRED</t>
  </si>
  <si>
    <t>V =∑ (Ri)</t>
  </si>
  <si>
    <t>bo​=∑Li​</t>
  </si>
  <si>
    <t>Allowable Punching Shear, vc</t>
  </si>
  <si>
    <t>NEW CG</t>
  </si>
  <si>
    <t>INITIAL CONDITION (BEFORE MODIFICATION)</t>
  </si>
  <si>
    <t>AFTER MODIFICATION</t>
  </si>
  <si>
    <t>TITLE 1</t>
  </si>
  <si>
    <t>TITLE 2</t>
  </si>
  <si>
    <t>LABEL F1111</t>
  </si>
  <si>
    <t>Beam Shear 1</t>
  </si>
  <si>
    <t>Beam Shear 2</t>
  </si>
  <si>
    <t>PILE CAP REINFORCEMENT DESIGN</t>
  </si>
  <si>
    <t>TITLE 3</t>
  </si>
  <si>
    <t>Pile No</t>
  </si>
  <si>
    <t>คำแนะนำสำหรับการใช้โปรแกรม ADT-PILEFiX</t>
  </si>
  <si>
    <t>เกณฑ์การคลาดเคลื่อนและแนวทางการแก้ไขฐานรากเสาเข็ม</t>
  </si>
  <si>
    <t xml:space="preserve">สมการคำนวณแรงปฏิกิริยาเสาเข็ม </t>
  </si>
  <si>
    <t>คำแนะนำการป้อนค่าพิกัดเสาเข็ม</t>
  </si>
  <si>
    <t>การตรวจสอบโมเมนต์แตกร้าวของเสาเข็ม</t>
  </si>
  <si>
    <t>frmHelp01_PileTolerance</t>
  </si>
  <si>
    <t>frmHelp02_ReactionEquation</t>
  </si>
  <si>
    <t>frmHelp03_CoordinateInput</t>
  </si>
  <si>
    <t>frmHelp04_CrackingMoment</t>
  </si>
  <si>
    <t>ADT-PILEFiX Engineering Help : Pile Foundation Tolerance</t>
  </si>
  <si>
    <t>ADT-PILEFiX Engineering Help : Pile Reaction Equation</t>
  </si>
  <si>
    <t>ADT-PILEFiX Engineering Help : Pile Coordinate Input Guide</t>
  </si>
  <si>
    <t>ADT-PILEFiX Engineering Help : Pile Cracking Moment Check</t>
  </si>
  <si>
    <t>F3,F4,F5 =</t>
  </si>
  <si>
    <t>มีค่าพิกัด</t>
  </si>
  <si>
    <t>Admin</t>
  </si>
  <si>
    <t>jnc-3683813</t>
  </si>
  <si>
    <r>
      <t>Mx = P × e</t>
    </r>
    <r>
      <rPr>
        <b/>
        <vertAlign val="subscript"/>
        <sz val="11"/>
        <rFont val="TH SarabunPSK"/>
        <family val="2"/>
      </rPr>
      <t xml:space="preserve">y </t>
    </r>
    <r>
      <rPr>
        <b/>
        <sz val="11"/>
        <rFont val="TH SarabunPSK"/>
        <family val="2"/>
      </rPr>
      <t>=</t>
    </r>
  </si>
  <si>
    <r>
      <t>My = P × e</t>
    </r>
    <r>
      <rPr>
        <b/>
        <vertAlign val="subscript"/>
        <sz val="11"/>
        <rFont val="TH SarabunPSK"/>
        <family val="2"/>
      </rPr>
      <t xml:space="preserve">x </t>
    </r>
    <r>
      <rPr>
        <b/>
        <sz val="11"/>
        <rFont val="TH SarabunPSK"/>
        <family val="2"/>
      </rPr>
      <t>=</t>
    </r>
  </si>
  <si>
    <t>↶</t>
  </si>
  <si>
    <t>↷</t>
  </si>
  <si>
    <t>My &gt; 0 , Mx &gt; 0</t>
  </si>
  <si>
    <t>ขวา , บน</t>
  </si>
  <si>
    <t>My &lt; 0 , Mx &lt; 0</t>
  </si>
  <si>
    <t>ซ้าย , ล่าง</t>
  </si>
  <si>
    <t>My &gt; 0 , Mx &lt; 0</t>
  </si>
  <si>
    <t>ขวา , ล่าง</t>
  </si>
  <si>
    <t>My &lt; 0 , Mx &gt; 0</t>
  </si>
  <si>
    <t>ซ้าย ,บน</t>
  </si>
  <si>
    <t>→</t>
  </si>
  <si>
    <t>←</t>
  </si>
  <si>
    <t>↑</t>
  </si>
  <si>
    <t>↓</t>
  </si>
  <si>
    <r>
      <t>As (cm</t>
    </r>
    <r>
      <rPr>
        <vertAlign val="superscript"/>
        <sz val="10"/>
        <rFont val="TH SarabunPSK"/>
        <family val="2"/>
      </rPr>
      <t>2</t>
    </r>
    <r>
      <rPr>
        <sz val="10"/>
        <rFont val="TH SarabunPSK"/>
        <family val="2"/>
      </rPr>
      <t>)</t>
    </r>
  </si>
  <si>
    <t>เลือกสถานะของเสาเข็ม</t>
  </si>
  <si>
    <t>Countif True</t>
  </si>
  <si>
    <t>เข็มกลม เยื้อง</t>
  </si>
  <si>
    <t>B3 = Booking No.</t>
  </si>
  <si>
    <t>B4 = Username</t>
  </si>
  <si>
    <t>B5 = Password</t>
  </si>
  <si>
    <t>B6 = Machine ID</t>
  </si>
  <si>
    <t>B7 = Account Created At</t>
  </si>
  <si>
    <t>B8 = License Version</t>
  </si>
  <si>
    <t>B9 = Account Status</t>
  </si>
  <si>
    <t>Usernam Admin =</t>
  </si>
  <si>
    <t>ข้อมูลActivate</t>
  </si>
  <si>
    <t xml:space="preserve">ข้อมูล Login  </t>
  </si>
  <si>
    <t>Password Admin =</t>
  </si>
  <si>
    <t xml:space="preserve">Activate STATUS  </t>
  </si>
  <si>
    <t>Cell Fact &gt;&gt;</t>
  </si>
  <si>
    <t xml:space="preserve">Login STATUS  </t>
  </si>
  <si>
    <t>ADT-PILEFiX Professional</t>
  </si>
  <si>
    <t>ADT Spreadsheet</t>
  </si>
  <si>
    <t>Copyright © 2026 ADT Spreadsheet. All Rights Reserved.</t>
  </si>
  <si>
    <t>Cell</t>
  </si>
  <si>
    <t>ค่า</t>
  </si>
  <si>
    <t>B20</t>
  </si>
  <si>
    <t>B21</t>
  </si>
  <si>
    <t>B22</t>
  </si>
  <si>
    <t>B23</t>
  </si>
  <si>
    <t>Civil Engineer License No. : ภย.93938</t>
  </si>
  <si>
    <t>B24</t>
  </si>
  <si>
    <t>Minimum Excel : Microsoft Excel 2021 or Microsoft 365</t>
  </si>
  <si>
    <t>B25</t>
  </si>
  <si>
    <t>Supported Operating System : Windows 10 or Windows 11</t>
  </si>
  <si>
    <t>B26</t>
  </si>
  <si>
    <t>Official Website : www.adtspreadsheet.com</t>
  </si>
  <si>
    <t>B27</t>
  </si>
  <si>
    <t>Facebook : https://www.facebook.com/kaengdrawing</t>
  </si>
  <si>
    <t>B28</t>
  </si>
  <si>
    <t>YouTube : https://www.youtube.com/@ADTSpreadsheet</t>
  </si>
  <si>
    <t>B29</t>
  </si>
  <si>
    <t>LINE Official : @410itafr</t>
  </si>
  <si>
    <t>B30</t>
  </si>
  <si>
    <t>Program Designer : อ.เก่ง (อานนท์  แซ้นสีดา)</t>
  </si>
  <si>
    <t>Label เข็ม</t>
  </si>
  <si>
    <t>Label เข็ม F3</t>
  </si>
  <si>
    <t>STATUS 1</t>
  </si>
  <si>
    <t>STATUS 2</t>
  </si>
  <si>
    <t>Label เข็ม False</t>
  </si>
  <si>
    <t>STATUS 3</t>
  </si>
  <si>
    <t>F2-F5</t>
  </si>
  <si>
    <t>Mode 1 — COORDINATE MODE</t>
  </si>
  <si>
    <t>Mode 2 — PILE DEVIATION MODE</t>
  </si>
  <si>
    <t>115kV/22kV INDOOR GIS SUBSTATION</t>
  </si>
  <si>
    <t>GEDC01 Substation</t>
  </si>
  <si>
    <t>นิคมอุตสาหกรรม ซีพีจีซี  อ.นิคมพัฒนา  จ.ระยะอง</t>
  </si>
  <si>
    <t>นายพเชษฐ  พลอยงาม    สย.12313</t>
  </si>
  <si>
    <t>FOUNDATION FIRE WALL ZONE : F2  (I,10)</t>
  </si>
  <si>
    <t>พิกัด</t>
  </si>
  <si>
    <t>เข็มหลัก</t>
  </si>
  <si>
    <t>เข็มแซม</t>
  </si>
  <si>
    <t>Averate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</si>
</sst>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43" formatCode="_(* #,##0.00_);_(* \(#,##0.00\);_(* &quot;-&quot;??_);_(@_)"/>
    <numFmt numFmtId="164" formatCode="[$-107041E]d\ mmmm\ yyyy;@"/>
    <numFmt numFmtId="165" formatCode="#,##0.000&quot;  N&quot;"/>
    <numFmt numFmtId="166" formatCode="#,##0.000&quot;  E&quot;"/>
    <numFmt numFmtId="167" formatCode="#,##0.00\ &quot;m.&quot;"/>
    <numFmt numFmtId="168" formatCode="0.0&quot;D   &gt;&gt;&quot;"/>
    <numFmt numFmtId="169" formatCode="#,##0.0"/>
    <numFmt numFmtId="170" formatCode="#,##0.000"/>
    <numFmt numFmtId="171" formatCode="#,##0.000\ &quot;m.&quot;"/>
    <numFmt numFmtId="172" formatCode="#,##0.00&quot; Ton-m&quot;"/>
    <numFmt numFmtId="173" formatCode="#,##0.000_);[Red]\(#,##0.000\)"/>
    <numFmt numFmtId="174" formatCode="#,##0.00&quot; ksc.&quot;"/>
    <numFmt numFmtId="175" formatCode="#,##0.00&quot; ksm&quot;"/>
    <numFmt numFmtId="176" formatCode="#,##0.00&quot;T&quot;"/>
    <numFmt numFmtId="177" formatCode="&quot;fc = &quot;#,##0.000&quot;  x f'c  =&quot;"/>
    <numFmt numFmtId="178" formatCode="#,##0.00&quot; cm.&quot;"/>
    <numFmt numFmtId="179" formatCode="0.000"/>
    <numFmt numFmtId="180" formatCode="&quot;T = &quot;#,##0.000&quot; m.&quot;"/>
    <numFmt numFmtId="181" formatCode="&quot;B = &quot;#,##0.000&quot; m.&quot;"/>
    <numFmt numFmtId="182" formatCode="&quot;R = &quot;#,##0.000&quot; m.&quot;"/>
    <numFmt numFmtId="183" formatCode="&quot;L = &quot;#,##0.000&quot; m.&quot;"/>
    <numFmt numFmtId="184" formatCode="#,##0.00&quot;m.&quot;"/>
    <numFmt numFmtId="185" formatCode="#,##0.00000_);[Red]\(#,##0.00000\)"/>
    <numFmt numFmtId="186" formatCode="0.0000_);[Red]\(0.0000\)"/>
    <numFmt numFmtId="187" formatCode="#,##0.000&quot; ksc.&quot;"/>
    <numFmt numFmtId="188" formatCode="#,##0.0000"/>
    <numFmt numFmtId="189" formatCode="#,##0.0000000000"/>
    <numFmt numFmtId="190" formatCode="#,##0.00000000000"/>
    <numFmt numFmtId="191" formatCode="0.00&quot; cm.&quot;"/>
    <numFmt numFmtId="192" formatCode="#,##0.000000000000000"/>
    <numFmt numFmtId="193" formatCode="_(* #,##0.000_);_(* \(#,##0.000\);_(* &quot;-&quot;??_);_(@_)"/>
    <numFmt numFmtId="194" formatCode="&quot;EL.+&quot;0.00&quot; cm.&quot;"/>
    <numFmt numFmtId="195" formatCode="0.00;[Red]0.00"/>
    <numFmt numFmtId="196" formatCode="#,##0.00&quot;kg&quot;"/>
    <numFmt numFmtId="197" formatCode="0.00_);[Red]\(0.00\)"/>
    <numFmt numFmtId="198" formatCode="dd/mm/yyyy\ hh:mm:ss"/>
    <numFmt numFmtId="199" formatCode="#,##0.0000&quot;  N&quot;"/>
    <numFmt numFmtId="200" formatCode="#,##0.0000&quot;  E&quot;"/>
    <numFmt numFmtId="201" formatCode="0.0000"/>
  </numFmts>
  <fonts count="64" x14ac:knownFonts="1">
    <font>
      <sz val="16"/>
      <color theme="1"/>
      <name val="AngsanaUPC"/>
      <family val="2"/>
    </font>
    <font>
      <sz val="16"/>
      <color theme="1"/>
      <name val="AngsanaUPC"/>
      <family val="2"/>
    </font>
    <font>
      <sz val="8"/>
      <color rgb="FF000000"/>
      <name val="Leelawadee"/>
      <family val="2"/>
    </font>
    <font>
      <sz val="12"/>
      <color theme="1"/>
      <name val="TH SarabunPSK"/>
      <family val="2"/>
    </font>
    <font>
      <sz val="11"/>
      <color theme="1"/>
      <name val="Aptos Narrow"/>
      <family val="2"/>
      <scheme val="minor"/>
    </font>
    <font>
      <sz val="14"/>
      <color theme="1"/>
      <name val="TH SarabunPSK"/>
      <family val="2"/>
    </font>
    <font>
      <b/>
      <sz val="12"/>
      <color theme="1"/>
      <name val="TH SarabunPSK"/>
      <family val="2"/>
    </font>
    <font>
      <b/>
      <sz val="10"/>
      <color theme="1"/>
      <name val="TH SarabunPSK"/>
      <family val="2"/>
    </font>
    <font>
      <b/>
      <u/>
      <sz val="14"/>
      <color theme="1"/>
      <name val="TH SarabunPSK"/>
      <family val="2"/>
    </font>
    <font>
      <sz val="11"/>
      <color theme="1"/>
      <name val="TH SarabunPSK"/>
      <family val="2"/>
    </font>
    <font>
      <b/>
      <sz val="11"/>
      <color rgb="FF0000FF"/>
      <name val="TH SarabunPSK"/>
      <family val="2"/>
    </font>
    <font>
      <sz val="14"/>
      <color theme="1"/>
      <name val="Wingdings"/>
      <charset val="2"/>
    </font>
    <font>
      <sz val="10"/>
      <color theme="1"/>
      <name val="TH SarabunPSK"/>
      <family val="2"/>
    </font>
    <font>
      <b/>
      <sz val="14"/>
      <color theme="1"/>
      <name val="TH SarabunPSK"/>
      <family val="2"/>
    </font>
    <font>
      <b/>
      <sz val="14"/>
      <color rgb="FF0000FF"/>
      <name val="TH SarabunPSK"/>
      <family val="2"/>
    </font>
    <font>
      <b/>
      <sz val="11"/>
      <name val="TH SarabunPSK"/>
      <family val="2"/>
    </font>
    <font>
      <b/>
      <sz val="12"/>
      <color rgb="FF0000FF"/>
      <name val="TH SarabunPSK"/>
      <family val="2"/>
    </font>
    <font>
      <b/>
      <sz val="11"/>
      <color theme="1"/>
      <name val="TH SarabunPSK"/>
      <family val="2"/>
    </font>
    <font>
      <b/>
      <vertAlign val="subscript"/>
      <sz val="11"/>
      <color theme="1"/>
      <name val="TH SarabunPSK"/>
      <family val="2"/>
    </font>
    <font>
      <b/>
      <vertAlign val="subscript"/>
      <sz val="12.65"/>
      <color theme="1"/>
      <name val="TH SarabunPSK"/>
      <family val="2"/>
    </font>
    <font>
      <b/>
      <vertAlign val="subscript"/>
      <sz val="11"/>
      <name val="TH SarabunPSK"/>
      <family val="2"/>
    </font>
    <font>
      <b/>
      <u/>
      <sz val="11"/>
      <color theme="1"/>
      <name val="TH SarabunPSK"/>
      <family val="2"/>
    </font>
    <font>
      <sz val="11"/>
      <name val="TH SarabunPSK"/>
      <family val="2"/>
    </font>
    <font>
      <sz val="18"/>
      <color theme="1"/>
      <name val="TH SarabunPSK"/>
      <family val="2"/>
    </font>
    <font>
      <sz val="18"/>
      <color theme="1"/>
      <name val="Wingdings"/>
      <charset val="2"/>
    </font>
    <font>
      <sz val="11"/>
      <color theme="1"/>
      <name val="Wingdings"/>
      <charset val="2"/>
    </font>
    <font>
      <sz val="11"/>
      <color rgb="FF0000FF"/>
      <name val="Wingdings"/>
      <charset val="2"/>
    </font>
    <font>
      <b/>
      <u/>
      <sz val="12"/>
      <color theme="1"/>
      <name val="TH SarabunPSK"/>
      <family val="2"/>
    </font>
    <font>
      <b/>
      <sz val="12"/>
      <color rgb="FFFFC000"/>
      <name val="TH SarabunPSK"/>
      <family val="2"/>
    </font>
    <font>
      <b/>
      <sz val="12"/>
      <color rgb="FFFFC000"/>
      <name val="Wingdings"/>
      <charset val="2"/>
    </font>
    <font>
      <b/>
      <sz val="14"/>
      <color rgb="FFFFC000"/>
      <name val="TH SarabunPSK"/>
      <family val="2"/>
    </font>
    <font>
      <sz val="8"/>
      <name val="AngsanaUPC"/>
      <family val="2"/>
    </font>
    <font>
      <sz val="10"/>
      <name val="TH SarabunPSK"/>
      <family val="2"/>
    </font>
    <font>
      <b/>
      <sz val="12"/>
      <name val="TH SarabunPSK"/>
      <family val="2"/>
    </font>
    <font>
      <b/>
      <sz val="11"/>
      <color rgb="FF0000FF"/>
      <name val="Wingdings"/>
      <charset val="2"/>
    </font>
    <font>
      <b/>
      <sz val="20"/>
      <color rgb="FFFF9900"/>
      <name val="TH SarabunPSK"/>
      <family val="2"/>
    </font>
    <font>
      <b/>
      <sz val="14"/>
      <name val="TH SarabunPSK"/>
      <family val="2"/>
    </font>
    <font>
      <sz val="12"/>
      <color rgb="FF0000FF"/>
      <name val="TH SarabunPSK"/>
      <family val="2"/>
    </font>
    <font>
      <b/>
      <sz val="22"/>
      <color rgb="FFFFC000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b/>
      <sz val="12"/>
      <color rgb="FFFF0000"/>
      <name val="TH SarabunPSK"/>
      <family val="2"/>
    </font>
    <font>
      <b/>
      <sz val="16"/>
      <name val="TH SarabunPSK"/>
      <family val="2"/>
    </font>
    <font>
      <b/>
      <sz val="16"/>
      <color theme="1"/>
      <name val="AngsanaUPC"/>
      <family val="2"/>
    </font>
    <font>
      <b/>
      <sz val="11"/>
      <color rgb="FF9C0006"/>
      <name val="TH SarabunPSK"/>
      <family val="2"/>
    </font>
    <font>
      <b/>
      <sz val="20"/>
      <color rgb="FF000000"/>
      <name val="AngsanaUPC"/>
      <family val="1"/>
    </font>
    <font>
      <sz val="12"/>
      <name val="TH SarabunPSK"/>
      <family val="2"/>
    </font>
    <font>
      <sz val="14"/>
      <name val="TH SarabunPSK"/>
      <family val="2"/>
    </font>
    <font>
      <sz val="12"/>
      <name val="Cordia New"/>
      <family val="2"/>
    </font>
    <font>
      <sz val="11"/>
      <name val="Cordia New"/>
      <family val="2"/>
    </font>
    <font>
      <sz val="14"/>
      <name val="Wingdings"/>
      <charset val="2"/>
    </font>
    <font>
      <vertAlign val="superscript"/>
      <sz val="10"/>
      <name val="TH SarabunPSK"/>
      <family val="2"/>
    </font>
    <font>
      <sz val="11"/>
      <name val="Wingdings"/>
      <charset val="2"/>
    </font>
    <font>
      <b/>
      <sz val="18"/>
      <name val="TH SarabunPSK"/>
      <family val="2"/>
    </font>
    <font>
      <b/>
      <sz val="24"/>
      <name val="Wingdings"/>
      <charset val="2"/>
    </font>
    <font>
      <b/>
      <sz val="11"/>
      <name val="Cordia New"/>
      <family val="2"/>
    </font>
    <font>
      <sz val="11"/>
      <color rgb="FF000000"/>
      <name val="TH SarabunPSK"/>
      <family val="2"/>
    </font>
    <font>
      <b/>
      <sz val="11"/>
      <color rgb="FF000000"/>
      <name val="TH SarabunPSK"/>
      <family val="2"/>
    </font>
    <font>
      <sz val="11"/>
      <color rgb="FF0000FF"/>
      <name val="TH SarabunPSK"/>
      <family val="2"/>
    </font>
    <font>
      <b/>
      <sz val="14"/>
      <color rgb="FF000000"/>
      <name val="TH SarabunPSK"/>
      <family val="2"/>
    </font>
    <font>
      <sz val="14"/>
      <color rgb="FF000000"/>
      <name val="TH SarabunPSK"/>
      <family val="2"/>
    </font>
    <font>
      <u/>
      <sz val="16"/>
      <color theme="10"/>
      <name val="AngsanaUPC"/>
      <family val="2"/>
    </font>
    <font>
      <b/>
      <sz val="16"/>
      <color rgb="FF0000FF"/>
      <name val="AngsanaUPC"/>
      <family val="1"/>
    </font>
    <font>
      <sz val="16"/>
      <color rgb="FF000000"/>
      <name val="AngsanaUPC"/>
      <family val="1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3" tint="0.89999084444715716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theme="0" tint="-0.499984740745262"/>
      </bottom>
      <diagonal/>
    </border>
    <border>
      <left/>
      <right/>
      <top style="thin">
        <color indexed="64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thin">
        <color indexed="64"/>
      </top>
      <bottom style="dotted">
        <color theme="0" tint="-0.499984740745262"/>
      </bottom>
      <diagonal/>
    </border>
    <border>
      <left style="dotted">
        <color theme="0" tint="-0.499984740745262"/>
      </left>
      <right style="thin">
        <color indexed="64"/>
      </right>
      <top style="thin">
        <color indexed="64"/>
      </top>
      <bottom style="dotted">
        <color theme="0" tint="-0.499984740745262"/>
      </bottom>
      <diagonal/>
    </border>
    <border>
      <left style="thin">
        <color indexed="64"/>
      </left>
      <right style="dotted">
        <color theme="0" tint="-0.499984740745262"/>
      </right>
      <top style="thin">
        <color indexed="64"/>
      </top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thin">
        <color indexed="64"/>
      </top>
      <bottom style="dotted">
        <color theme="0" tint="-0.499984740745262"/>
      </bottom>
      <diagonal/>
    </border>
    <border>
      <left style="thin">
        <color indexed="64"/>
      </left>
      <right/>
      <top style="dotted">
        <color theme="0" tint="-0.499984740745262"/>
      </top>
      <bottom style="thin">
        <color indexed="64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 style="thin">
        <color indexed="64"/>
      </right>
      <top style="dotted">
        <color theme="0" tint="-0.499984740745262"/>
      </top>
      <bottom style="thin">
        <color indexed="64"/>
      </bottom>
      <diagonal/>
    </border>
    <border>
      <left style="thin">
        <color indexed="64"/>
      </left>
      <right style="dotted">
        <color theme="0" tint="-0.499984740745262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theme="0" tint="-0.499984740745262"/>
      </top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 style="dotted">
        <color theme="0" tint="-0.499984740745262"/>
      </left>
      <right style="thin">
        <color indexed="64"/>
      </right>
      <top/>
      <bottom style="dotted">
        <color theme="0" tint="-0.499984740745262"/>
      </bottom>
      <diagonal/>
    </border>
    <border>
      <left style="thin">
        <color indexed="64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thin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indexed="64"/>
      </left>
      <right style="thin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 style="thin">
        <color indexed="64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dotted">
        <color theme="0" tint="-0.499984740745262"/>
      </bottom>
      <diagonal/>
    </border>
    <border>
      <left/>
      <right style="thin">
        <color indexed="64"/>
      </right>
      <top style="dotted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theme="0" tint="-0.499984740745262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 style="thin">
        <color indexed="64"/>
      </right>
      <top style="dotted">
        <color theme="0" tint="-0.499984740745262"/>
      </top>
      <bottom/>
      <diagonal/>
    </border>
    <border>
      <left/>
      <right style="thin">
        <color indexed="64"/>
      </right>
      <top style="dotted">
        <color theme="0" tint="-0.499984740745262"/>
      </top>
      <bottom/>
      <diagonal/>
    </border>
    <border>
      <left/>
      <right/>
      <top style="dotted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dotted">
        <color theme="0" tint="-0.499984740745262"/>
      </top>
      <bottom/>
      <diagonal/>
    </border>
    <border>
      <left style="thin">
        <color indexed="64"/>
      </left>
      <right/>
      <top style="dotted">
        <color theme="0" tint="-0.499984740745262"/>
      </top>
      <bottom/>
      <diagonal/>
    </border>
    <border>
      <left style="thin">
        <color indexed="64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</borders>
  <cellStyleXfs count="6">
    <xf numFmtId="0" fontId="0" fillId="0" borderId="0"/>
    <xf numFmtId="0" fontId="1" fillId="0" borderId="0"/>
    <xf numFmtId="0" fontId="4" fillId="0" borderId="0"/>
    <xf numFmtId="0" fontId="4" fillId="0" borderId="0"/>
    <xf numFmtId="43" fontId="1" fillId="0" borderId="0" applyFont="0" applyFill="0" applyBorder="0" applyAlignment="0" applyProtection="0"/>
    <xf numFmtId="0" fontId="61" fillId="0" borderId="0" applyNumberFormat="0" applyFill="0" applyBorder="0" applyAlignment="0" applyProtection="0"/>
  </cellStyleXfs>
  <cellXfs count="763">
    <xf numFmtId="0" fontId="0" fillId="0" borderId="0" xfId="0"/>
    <xf numFmtId="0" fontId="3" fillId="0" borderId="0" xfId="2" applyFont="1" applyAlignment="1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9" fillId="0" borderId="0" xfId="2" applyFont="1" applyAlignment="1">
      <alignment vertical="center"/>
    </xf>
    <xf numFmtId="0" fontId="6" fillId="2" borderId="0" xfId="1" applyFont="1" applyFill="1" applyAlignment="1">
      <alignment vertical="center"/>
    </xf>
    <xf numFmtId="0" fontId="3" fillId="2" borderId="0" xfId="2" applyFont="1" applyFill="1" applyAlignment="1">
      <alignment vertical="center"/>
    </xf>
    <xf numFmtId="0" fontId="33" fillId="2" borderId="0" xfId="1" applyFont="1" applyFill="1" applyAlignment="1">
      <alignment horizontal="right" vertical="center"/>
    </xf>
    <xf numFmtId="0" fontId="3" fillId="13" borderId="0" xfId="2" applyFont="1" applyFill="1" applyAlignment="1">
      <alignment vertical="center"/>
    </xf>
    <xf numFmtId="0" fontId="3" fillId="14" borderId="0" xfId="2" applyFont="1" applyFill="1" applyAlignment="1">
      <alignment vertical="center"/>
    </xf>
    <xf numFmtId="0" fontId="5" fillId="2" borderId="2" xfId="1" applyFont="1" applyFill="1" applyBorder="1" applyAlignment="1">
      <alignment horizontal="center" vertical="center"/>
    </xf>
    <xf numFmtId="0" fontId="5" fillId="13" borderId="0" xfId="2" applyFont="1" applyFill="1" applyAlignment="1">
      <alignment vertical="center"/>
    </xf>
    <xf numFmtId="0" fontId="5" fillId="14" borderId="0" xfId="2" applyFont="1" applyFill="1" applyAlignment="1">
      <alignment vertical="center"/>
    </xf>
    <xf numFmtId="0" fontId="5" fillId="15" borderId="0" xfId="2" applyFont="1" applyFill="1" applyAlignment="1">
      <alignment vertical="center"/>
    </xf>
    <xf numFmtId="0" fontId="8" fillId="0" borderId="0" xfId="2" applyFont="1" applyAlignment="1">
      <alignment horizontal="left" vertical="center"/>
    </xf>
    <xf numFmtId="0" fontId="9" fillId="2" borderId="6" xfId="2" applyFont="1" applyFill="1" applyBorder="1" applyAlignment="1">
      <alignment vertical="center"/>
    </xf>
    <xf numFmtId="0" fontId="9" fillId="2" borderId="0" xfId="2" applyFont="1" applyFill="1" applyAlignment="1">
      <alignment vertical="center"/>
    </xf>
    <xf numFmtId="0" fontId="17" fillId="0" borderId="7" xfId="2" applyFont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4" fontId="5" fillId="0" borderId="0" xfId="2" quotePrefix="1" applyNumberFormat="1" applyFont="1" applyAlignment="1">
      <alignment horizontal="center" vertical="center"/>
    </xf>
    <xf numFmtId="4" fontId="5" fillId="0" borderId="0" xfId="2" applyNumberFormat="1" applyFont="1" applyAlignment="1">
      <alignment vertical="center"/>
    </xf>
    <xf numFmtId="0" fontId="6" fillId="3" borderId="5" xfId="2" applyFont="1" applyFill="1" applyBorder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13" fillId="9" borderId="3" xfId="2" applyFont="1" applyFill="1" applyBorder="1" applyAlignment="1">
      <alignment horizontal="center" vertical="center"/>
    </xf>
    <xf numFmtId="4" fontId="5" fillId="0" borderId="0" xfId="2" applyNumberFormat="1" applyFont="1" applyAlignment="1">
      <alignment horizontal="center" vertical="center"/>
    </xf>
    <xf numFmtId="4" fontId="3" fillId="0" borderId="13" xfId="2" applyNumberFormat="1" applyFont="1" applyBorder="1" applyAlignment="1">
      <alignment horizontal="right" vertical="center"/>
    </xf>
    <xf numFmtId="165" fontId="15" fillId="4" borderId="14" xfId="2" applyNumberFormat="1" applyFont="1" applyFill="1" applyBorder="1" applyAlignment="1">
      <alignment horizontal="center" vertical="center"/>
    </xf>
    <xf numFmtId="0" fontId="5" fillId="0" borderId="0" xfId="2" applyFont="1" applyAlignment="1">
      <alignment vertical="center" wrapText="1"/>
    </xf>
    <xf numFmtId="4" fontId="3" fillId="0" borderId="20" xfId="2" applyNumberFormat="1" applyFont="1" applyBorder="1" applyAlignment="1">
      <alignment horizontal="right" vertical="center"/>
    </xf>
    <xf numFmtId="0" fontId="6" fillId="3" borderId="26" xfId="2" applyFont="1" applyFill="1" applyBorder="1" applyAlignment="1">
      <alignment horizontal="center" vertical="center"/>
    </xf>
    <xf numFmtId="4" fontId="5" fillId="0" borderId="0" xfId="2" applyNumberFormat="1" applyFont="1" applyAlignment="1">
      <alignment vertical="center" wrapText="1"/>
    </xf>
    <xf numFmtId="4" fontId="5" fillId="0" borderId="0" xfId="2" applyNumberFormat="1" applyFont="1" applyAlignment="1">
      <alignment horizontal="right" vertical="center"/>
    </xf>
    <xf numFmtId="0" fontId="5" fillId="5" borderId="5" xfId="2" applyFont="1" applyFill="1" applyBorder="1" applyAlignment="1">
      <alignment vertical="center"/>
    </xf>
    <xf numFmtId="0" fontId="5" fillId="5" borderId="6" xfId="2" applyFont="1" applyFill="1" applyBorder="1" applyAlignment="1">
      <alignment vertical="center"/>
    </xf>
    <xf numFmtId="0" fontId="6" fillId="9" borderId="3" xfId="2" applyFont="1" applyFill="1" applyBorder="1" applyAlignment="1">
      <alignment horizontal="center" vertical="center"/>
    </xf>
    <xf numFmtId="167" fontId="5" fillId="0" borderId="0" xfId="2" applyNumberFormat="1" applyFont="1" applyAlignment="1">
      <alignment horizontal="left" vertical="center"/>
    </xf>
    <xf numFmtId="168" fontId="5" fillId="0" borderId="0" xfId="2" applyNumberFormat="1" applyFont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4" fontId="6" fillId="3" borderId="4" xfId="2" applyNumberFormat="1" applyFont="1" applyFill="1" applyBorder="1" applyAlignment="1">
      <alignment vertical="center"/>
    </xf>
    <xf numFmtId="4" fontId="13" fillId="3" borderId="5" xfId="2" applyNumberFormat="1" applyFont="1" applyFill="1" applyBorder="1" applyAlignment="1">
      <alignment vertical="center"/>
    </xf>
    <xf numFmtId="167" fontId="36" fillId="4" borderId="3" xfId="2" applyNumberFormat="1" applyFont="1" applyFill="1" applyBorder="1" applyAlignment="1">
      <alignment horizontal="center" vertical="center"/>
    </xf>
    <xf numFmtId="14" fontId="3" fillId="0" borderId="60" xfId="2" applyNumberFormat="1" applyFont="1" applyBorder="1" applyAlignment="1">
      <alignment horizontal="center" vertical="center"/>
    </xf>
    <xf numFmtId="0" fontId="9" fillId="13" borderId="0" xfId="2" applyFont="1" applyFill="1" applyAlignment="1">
      <alignment vertical="center"/>
    </xf>
    <xf numFmtId="0" fontId="9" fillId="14" borderId="0" xfId="2" applyFont="1" applyFill="1" applyAlignment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2" applyFont="1" applyAlignment="1">
      <alignment vertical="center"/>
    </xf>
    <xf numFmtId="14" fontId="3" fillId="0" borderId="34" xfId="2" applyNumberFormat="1" applyFont="1" applyBorder="1" applyAlignment="1">
      <alignment horizontal="center" vertical="center"/>
    </xf>
    <xf numFmtId="165" fontId="15" fillId="4" borderId="37" xfId="2" applyNumberFormat="1" applyFont="1" applyFill="1" applyBorder="1" applyAlignment="1">
      <alignment horizontal="center" vertical="center"/>
    </xf>
    <xf numFmtId="0" fontId="9" fillId="15" borderId="0" xfId="2" applyFont="1" applyFill="1" applyAlignment="1">
      <alignment vertical="center"/>
    </xf>
    <xf numFmtId="0" fontId="9" fillId="0" borderId="0" xfId="2" applyFont="1" applyAlignment="1">
      <alignment horizontal="center" vertical="center"/>
    </xf>
    <xf numFmtId="4" fontId="9" fillId="0" borderId="0" xfId="2" applyNumberFormat="1" applyFont="1" applyAlignment="1">
      <alignment horizontal="center" vertical="center"/>
    </xf>
    <xf numFmtId="14" fontId="3" fillId="0" borderId="51" xfId="2" applyNumberFormat="1" applyFont="1" applyBorder="1" applyAlignment="1">
      <alignment horizontal="center" vertical="center"/>
    </xf>
    <xf numFmtId="4" fontId="6" fillId="3" borderId="3" xfId="2" applyNumberFormat="1" applyFont="1" applyFill="1" applyBorder="1" applyAlignment="1">
      <alignment horizontal="center" vertical="center"/>
    </xf>
    <xf numFmtId="4" fontId="6" fillId="3" borderId="5" xfId="2" applyNumberFormat="1" applyFont="1" applyFill="1" applyBorder="1" applyAlignment="1">
      <alignment horizontal="center" vertical="center"/>
    </xf>
    <xf numFmtId="0" fontId="13" fillId="12" borderId="3" xfId="2" applyFont="1" applyFill="1" applyBorder="1" applyAlignment="1">
      <alignment horizontal="center" vertical="center"/>
    </xf>
    <xf numFmtId="14" fontId="3" fillId="0" borderId="13" xfId="2" applyNumberFormat="1" applyFont="1" applyBorder="1" applyAlignment="1">
      <alignment horizontal="center" vertical="center"/>
    </xf>
    <xf numFmtId="0" fontId="9" fillId="0" borderId="12" xfId="2" applyFont="1" applyBorder="1" applyAlignment="1">
      <alignment horizontal="center" vertical="center"/>
    </xf>
    <xf numFmtId="0" fontId="9" fillId="0" borderId="38" xfId="2" applyFont="1" applyBorder="1" applyAlignment="1">
      <alignment horizontal="center" vertical="center"/>
    </xf>
    <xf numFmtId="14" fontId="3" fillId="0" borderId="20" xfId="2" applyNumberFormat="1" applyFont="1" applyBorder="1" applyAlignment="1">
      <alignment horizontal="center" vertical="center"/>
    </xf>
    <xf numFmtId="165" fontId="15" fillId="4" borderId="21" xfId="2" applyNumberFormat="1" applyFont="1" applyFill="1" applyBorder="1" applyAlignment="1">
      <alignment horizontal="center" vertical="center"/>
    </xf>
    <xf numFmtId="0" fontId="9" fillId="0" borderId="19" xfId="2" applyFont="1" applyBorder="1" applyAlignment="1">
      <alignment horizontal="center" vertical="center"/>
    </xf>
    <xf numFmtId="4" fontId="13" fillId="3" borderId="8" xfId="2" applyNumberFormat="1" applyFont="1" applyFill="1" applyBorder="1" applyAlignment="1">
      <alignment vertical="center"/>
    </xf>
    <xf numFmtId="0" fontId="17" fillId="2" borderId="25" xfId="2" applyFont="1" applyFill="1" applyBorder="1" applyAlignment="1">
      <alignment horizontal="right" vertical="center"/>
    </xf>
    <xf numFmtId="0" fontId="17" fillId="2" borderId="0" xfId="2" applyFont="1" applyFill="1" applyAlignment="1">
      <alignment vertical="center"/>
    </xf>
    <xf numFmtId="0" fontId="9" fillId="2" borderId="40" xfId="2" applyFont="1" applyFill="1" applyBorder="1" applyAlignment="1">
      <alignment vertical="center"/>
    </xf>
    <xf numFmtId="4" fontId="3" fillId="2" borderId="39" xfId="2" applyNumberFormat="1" applyFont="1" applyFill="1" applyBorder="1" applyAlignment="1">
      <alignment horizontal="right" vertical="center"/>
    </xf>
    <xf numFmtId="4" fontId="17" fillId="2" borderId="0" xfId="2" applyNumberFormat="1" applyFont="1" applyFill="1" applyAlignment="1">
      <alignment horizontal="right" vertical="center"/>
    </xf>
    <xf numFmtId="4" fontId="5" fillId="2" borderId="40" xfId="2" applyNumberFormat="1" applyFont="1" applyFill="1" applyBorder="1" applyAlignment="1">
      <alignment horizontal="center" vertical="center"/>
    </xf>
    <xf numFmtId="0" fontId="17" fillId="2" borderId="39" xfId="2" applyFont="1" applyFill="1" applyBorder="1" applyAlignment="1">
      <alignment horizontal="right" vertical="center"/>
    </xf>
    <xf numFmtId="4" fontId="15" fillId="2" borderId="0" xfId="2" applyNumberFormat="1" applyFont="1" applyFill="1" applyAlignment="1">
      <alignment horizontal="left" vertical="center"/>
    </xf>
    <xf numFmtId="0" fontId="9" fillId="15" borderId="39" xfId="2" applyFont="1" applyFill="1" applyBorder="1" applyAlignment="1">
      <alignment vertical="center"/>
    </xf>
    <xf numFmtId="4" fontId="3" fillId="2" borderId="29" xfId="2" applyNumberFormat="1" applyFont="1" applyFill="1" applyBorder="1" applyAlignment="1">
      <alignment horizontal="right" vertical="center"/>
    </xf>
    <xf numFmtId="4" fontId="17" fillId="2" borderId="6" xfId="2" applyNumberFormat="1" applyFont="1" applyFill="1" applyBorder="1" applyAlignment="1">
      <alignment horizontal="right" vertical="center"/>
    </xf>
    <xf numFmtId="0" fontId="5" fillId="2" borderId="7" xfId="2" applyFont="1" applyFill="1" applyBorder="1" applyAlignment="1">
      <alignment horizontal="center" vertical="center"/>
    </xf>
    <xf numFmtId="0" fontId="17" fillId="6" borderId="3" xfId="2" applyFont="1" applyFill="1" applyBorder="1" applyAlignment="1">
      <alignment vertical="center"/>
    </xf>
    <xf numFmtId="4" fontId="17" fillId="6" borderId="3" xfId="2" applyNumberFormat="1" applyFont="1" applyFill="1" applyBorder="1" applyAlignment="1">
      <alignment horizontal="center" vertical="center"/>
    </xf>
    <xf numFmtId="4" fontId="6" fillId="6" borderId="4" xfId="2" applyNumberFormat="1" applyFont="1" applyFill="1" applyBorder="1" applyAlignment="1">
      <alignment vertical="center"/>
    </xf>
    <xf numFmtId="4" fontId="13" fillId="6" borderId="5" xfId="2" applyNumberFormat="1" applyFont="1" applyFill="1" applyBorder="1" applyAlignment="1">
      <alignment vertical="center"/>
    </xf>
    <xf numFmtId="0" fontId="30" fillId="17" borderId="25" xfId="2" applyFont="1" applyFill="1" applyBorder="1" applyAlignment="1">
      <alignment vertical="center"/>
    </xf>
    <xf numFmtId="0" fontId="30" fillId="17" borderId="26" xfId="2" applyFont="1" applyFill="1" applyBorder="1" applyAlignment="1">
      <alignment vertical="center"/>
    </xf>
    <xf numFmtId="0" fontId="30" fillId="17" borderId="27" xfId="2" applyFont="1" applyFill="1" applyBorder="1" applyAlignment="1">
      <alignment vertical="center"/>
    </xf>
    <xf numFmtId="0" fontId="17" fillId="2" borderId="9" xfId="2" applyFont="1" applyFill="1" applyBorder="1" applyAlignment="1">
      <alignment horizontal="left" vertical="center"/>
    </xf>
    <xf numFmtId="0" fontId="9" fillId="2" borderId="10" xfId="2" applyFont="1" applyFill="1" applyBorder="1" applyAlignment="1">
      <alignment horizontal="center" vertical="center"/>
    </xf>
    <xf numFmtId="171" fontId="16" fillId="5" borderId="14" xfId="2" applyNumberFormat="1" applyFont="1" applyFill="1" applyBorder="1" applyAlignment="1">
      <alignment horizontal="center" vertical="center"/>
    </xf>
    <xf numFmtId="4" fontId="11" fillId="2" borderId="12" xfId="2" applyNumberFormat="1" applyFont="1" applyFill="1" applyBorder="1" applyAlignment="1">
      <alignment horizontal="center" vertical="center"/>
    </xf>
    <xf numFmtId="172" fontId="15" fillId="5" borderId="12" xfId="2" applyNumberFormat="1" applyFont="1" applyFill="1" applyBorder="1" applyAlignment="1">
      <alignment vertical="center"/>
    </xf>
    <xf numFmtId="0" fontId="5" fillId="15" borderId="39" xfId="2" applyFont="1" applyFill="1" applyBorder="1" applyAlignment="1">
      <alignment vertical="center"/>
    </xf>
    <xf numFmtId="0" fontId="5" fillId="15" borderId="40" xfId="2" applyFont="1" applyFill="1" applyBorder="1" applyAlignment="1">
      <alignment vertical="center"/>
    </xf>
    <xf numFmtId="0" fontId="17" fillId="2" borderId="41" xfId="2" applyFont="1" applyFill="1" applyBorder="1" applyAlignment="1">
      <alignment horizontal="left" vertical="center"/>
    </xf>
    <xf numFmtId="0" fontId="9" fillId="2" borderId="42" xfId="2" applyFont="1" applyFill="1" applyBorder="1" applyAlignment="1">
      <alignment horizontal="center" vertical="center"/>
    </xf>
    <xf numFmtId="171" fontId="16" fillId="5" borderId="37" xfId="2" applyNumberFormat="1" applyFont="1" applyFill="1" applyBorder="1" applyAlignment="1">
      <alignment horizontal="center" vertical="center"/>
    </xf>
    <xf numFmtId="4" fontId="11" fillId="2" borderId="38" xfId="2" applyNumberFormat="1" applyFont="1" applyFill="1" applyBorder="1" applyAlignment="1">
      <alignment horizontal="center" vertical="center"/>
    </xf>
    <xf numFmtId="172" fontId="15" fillId="5" borderId="19" xfId="2" applyNumberFormat="1" applyFont="1" applyFill="1" applyBorder="1" applyAlignment="1">
      <alignment vertical="center"/>
    </xf>
    <xf numFmtId="0" fontId="5" fillId="15" borderId="0" xfId="2" applyFont="1" applyFill="1" applyAlignment="1">
      <alignment horizontal="left"/>
    </xf>
    <xf numFmtId="0" fontId="21" fillId="0" borderId="39" xfId="2" applyFont="1" applyBorder="1" applyAlignment="1">
      <alignment vertical="center"/>
    </xf>
    <xf numFmtId="0" fontId="15" fillId="0" borderId="0" xfId="2" applyFont="1" applyAlignment="1">
      <alignment horizontal="right" vertical="center"/>
    </xf>
    <xf numFmtId="4" fontId="10" fillId="0" borderId="0" xfId="2" applyNumberFormat="1" applyFont="1" applyAlignment="1">
      <alignment horizontal="center" vertical="center"/>
    </xf>
    <xf numFmtId="0" fontId="15" fillId="0" borderId="40" xfId="2" applyFont="1" applyBorder="1" applyAlignment="1">
      <alignment vertical="center"/>
    </xf>
    <xf numFmtId="0" fontId="5" fillId="11" borderId="3" xfId="2" applyFont="1" applyFill="1" applyBorder="1" applyAlignment="1">
      <alignment vertical="center"/>
    </xf>
    <xf numFmtId="0" fontId="17" fillId="2" borderId="16" xfId="2" applyFont="1" applyFill="1" applyBorder="1" applyAlignment="1">
      <alignment horizontal="left" vertical="center"/>
    </xf>
    <xf numFmtId="0" fontId="9" fillId="2" borderId="17" xfId="2" applyFont="1" applyFill="1" applyBorder="1" applyAlignment="1">
      <alignment horizontal="center" vertical="center"/>
    </xf>
    <xf numFmtId="171" fontId="16" fillId="5" borderId="21" xfId="2" applyNumberFormat="1" applyFont="1" applyFill="1" applyBorder="1" applyAlignment="1">
      <alignment horizontal="center" vertical="center"/>
    </xf>
    <xf numFmtId="4" fontId="11" fillId="2" borderId="19" xfId="2" applyNumberFormat="1" applyFont="1" applyFill="1" applyBorder="1" applyAlignment="1">
      <alignment horizontal="center" vertical="center"/>
    </xf>
    <xf numFmtId="0" fontId="17" fillId="6" borderId="23" xfId="2" applyFont="1" applyFill="1" applyBorder="1" applyAlignment="1">
      <alignment horizontal="center" vertical="center"/>
    </xf>
    <xf numFmtId="0" fontId="15" fillId="6" borderId="23" xfId="2" applyFont="1" applyFill="1" applyBorder="1" applyAlignment="1">
      <alignment horizontal="center" vertical="center"/>
    </xf>
    <xf numFmtId="0" fontId="21" fillId="6" borderId="25" xfId="2" applyFont="1" applyFill="1" applyBorder="1" applyAlignment="1">
      <alignment vertical="center"/>
    </xf>
    <xf numFmtId="0" fontId="9" fillId="6" borderId="26" xfId="2" applyFont="1" applyFill="1" applyBorder="1" applyAlignment="1">
      <alignment vertical="center"/>
    </xf>
    <xf numFmtId="4" fontId="9" fillId="6" borderId="26" xfId="2" applyNumberFormat="1" applyFont="1" applyFill="1" applyBorder="1" applyAlignment="1">
      <alignment horizontal="center" vertical="center"/>
    </xf>
    <xf numFmtId="4" fontId="9" fillId="6" borderId="27" xfId="2" applyNumberFormat="1" applyFont="1" applyFill="1" applyBorder="1" applyAlignment="1">
      <alignment horizontal="center" vertical="center"/>
    </xf>
    <xf numFmtId="0" fontId="9" fillId="2" borderId="28" xfId="2" applyFont="1" applyFill="1" applyBorder="1" applyAlignment="1">
      <alignment horizontal="center" vertical="center"/>
    </xf>
    <xf numFmtId="170" fontId="9" fillId="2" borderId="10" xfId="2" applyNumberFormat="1" applyFont="1" applyFill="1" applyBorder="1" applyAlignment="1">
      <alignment horizontal="center" vertical="center"/>
    </xf>
    <xf numFmtId="170" fontId="9" fillId="2" borderId="28" xfId="2" applyNumberFormat="1" applyFont="1" applyFill="1" applyBorder="1" applyAlignment="1">
      <alignment horizontal="center" vertical="center"/>
    </xf>
    <xf numFmtId="170" fontId="22" fillId="2" borderId="28" xfId="2" applyNumberFormat="1" applyFont="1" applyFill="1" applyBorder="1" applyAlignment="1">
      <alignment horizontal="center" vertical="center"/>
    </xf>
    <xf numFmtId="0" fontId="22" fillId="2" borderId="28" xfId="2" applyFont="1" applyFill="1" applyBorder="1" applyAlignment="1">
      <alignment horizontal="center" vertical="center"/>
    </xf>
    <xf numFmtId="0" fontId="9" fillId="2" borderId="25" xfId="3" applyFont="1" applyFill="1" applyBorder="1" applyAlignment="1">
      <alignment horizontal="center" vertical="center"/>
    </xf>
    <xf numFmtId="0" fontId="12" fillId="2" borderId="26" xfId="3" applyFont="1" applyFill="1" applyBorder="1" applyAlignment="1">
      <alignment horizontal="right" vertical="center"/>
    </xf>
    <xf numFmtId="4" fontId="9" fillId="2" borderId="26" xfId="2" applyNumberFormat="1" applyFont="1" applyFill="1" applyBorder="1" applyAlignment="1">
      <alignment horizontal="center" vertical="center"/>
    </xf>
    <xf numFmtId="4" fontId="9" fillId="2" borderId="26" xfId="2" applyNumberFormat="1" applyFont="1" applyFill="1" applyBorder="1" applyAlignment="1">
      <alignment horizontal="right" vertical="center"/>
    </xf>
    <xf numFmtId="174" fontId="32" fillId="2" borderId="27" xfId="2" applyNumberFormat="1" applyFont="1" applyFill="1" applyBorder="1" applyAlignment="1">
      <alignment horizontal="center" vertical="center"/>
    </xf>
    <xf numFmtId="0" fontId="9" fillId="2" borderId="43" xfId="2" applyFont="1" applyFill="1" applyBorder="1" applyAlignment="1">
      <alignment horizontal="center" vertical="center"/>
    </xf>
    <xf numFmtId="170" fontId="9" fillId="2" borderId="42" xfId="2" applyNumberFormat="1" applyFont="1" applyFill="1" applyBorder="1" applyAlignment="1">
      <alignment horizontal="center" vertical="center"/>
    </xf>
    <xf numFmtId="170" fontId="9" fillId="2" borderId="43" xfId="2" applyNumberFormat="1" applyFont="1" applyFill="1" applyBorder="1" applyAlignment="1">
      <alignment horizontal="center" vertical="center"/>
    </xf>
    <xf numFmtId="170" fontId="22" fillId="2" borderId="43" xfId="2" applyNumberFormat="1" applyFont="1" applyFill="1" applyBorder="1" applyAlignment="1">
      <alignment horizontal="center" vertical="center"/>
    </xf>
    <xf numFmtId="0" fontId="22" fillId="2" borderId="43" xfId="2" applyFont="1" applyFill="1" applyBorder="1" applyAlignment="1">
      <alignment horizontal="center" vertical="center"/>
    </xf>
    <xf numFmtId="0" fontId="9" fillId="2" borderId="39" xfId="3" applyFont="1" applyFill="1" applyBorder="1" applyAlignment="1">
      <alignment horizontal="center" vertical="center"/>
    </xf>
    <xf numFmtId="0" fontId="9" fillId="2" borderId="0" xfId="3" quotePrefix="1" applyFont="1" applyFill="1" applyAlignment="1">
      <alignment horizontal="right" vertical="center"/>
    </xf>
    <xf numFmtId="4" fontId="9" fillId="2" borderId="0" xfId="2" applyNumberFormat="1" applyFont="1" applyFill="1" applyAlignment="1">
      <alignment horizontal="center" vertical="center"/>
    </xf>
    <xf numFmtId="4" fontId="9" fillId="2" borderId="0" xfId="2" applyNumberFormat="1" applyFont="1" applyFill="1" applyAlignment="1">
      <alignment horizontal="right" vertical="center"/>
    </xf>
    <xf numFmtId="170" fontId="9" fillId="2" borderId="40" xfId="2" applyNumberFormat="1" applyFont="1" applyFill="1" applyBorder="1" applyAlignment="1">
      <alignment horizontal="center" vertical="center"/>
    </xf>
    <xf numFmtId="0" fontId="9" fillId="2" borderId="0" xfId="3" applyFont="1" applyFill="1" applyAlignment="1">
      <alignment horizontal="right" vertical="center"/>
    </xf>
    <xf numFmtId="175" fontId="22" fillId="2" borderId="0" xfId="2" applyNumberFormat="1" applyFont="1" applyFill="1" applyAlignment="1">
      <alignment horizontal="center" vertical="center"/>
    </xf>
    <xf numFmtId="4" fontId="12" fillId="2" borderId="0" xfId="2" applyNumberFormat="1" applyFont="1" applyFill="1" applyAlignment="1">
      <alignment horizontal="right" vertical="center"/>
    </xf>
    <xf numFmtId="0" fontId="9" fillId="2" borderId="39" xfId="3" quotePrefix="1" applyFont="1" applyFill="1" applyBorder="1" applyAlignment="1">
      <alignment vertical="center"/>
    </xf>
    <xf numFmtId="0" fontId="9" fillId="2" borderId="58" xfId="2" applyFont="1" applyFill="1" applyBorder="1" applyAlignment="1">
      <alignment horizontal="center" vertical="center"/>
    </xf>
    <xf numFmtId="170" fontId="9" fillId="2" borderId="57" xfId="2" applyNumberFormat="1" applyFont="1" applyFill="1" applyBorder="1" applyAlignment="1">
      <alignment horizontal="center" vertical="center"/>
    </xf>
    <xf numFmtId="170" fontId="9" fillId="2" borderId="58" xfId="2" applyNumberFormat="1" applyFont="1" applyFill="1" applyBorder="1" applyAlignment="1">
      <alignment horizontal="center" vertical="center"/>
    </xf>
    <xf numFmtId="0" fontId="15" fillId="2" borderId="58" xfId="2" applyFont="1" applyFill="1" applyBorder="1" applyAlignment="1">
      <alignment horizontal="center" vertical="center"/>
    </xf>
    <xf numFmtId="174" fontId="22" fillId="2" borderId="0" xfId="2" applyNumberFormat="1" applyFont="1" applyFill="1" applyAlignment="1">
      <alignment horizontal="center" vertical="center"/>
    </xf>
    <xf numFmtId="0" fontId="10" fillId="0" borderId="28" xfId="2" applyFont="1" applyBorder="1" applyAlignment="1">
      <alignment horizontal="center" vertical="center"/>
    </xf>
    <xf numFmtId="170" fontId="9" fillId="0" borderId="28" xfId="2" applyNumberFormat="1" applyFont="1" applyBorder="1" applyAlignment="1">
      <alignment horizontal="center" vertical="center"/>
    </xf>
    <xf numFmtId="0" fontId="9" fillId="0" borderId="28" xfId="2" applyFont="1" applyBorder="1" applyAlignment="1">
      <alignment horizontal="center" vertical="center"/>
    </xf>
    <xf numFmtId="0" fontId="5" fillId="15" borderId="6" xfId="2" applyFont="1" applyFill="1" applyBorder="1" applyAlignment="1">
      <alignment vertical="center"/>
    </xf>
    <xf numFmtId="0" fontId="10" fillId="0" borderId="43" xfId="2" applyFont="1" applyBorder="1" applyAlignment="1">
      <alignment horizontal="center" vertical="center"/>
    </xf>
    <xf numFmtId="170" fontId="9" fillId="0" borderId="43" xfId="2" applyNumberFormat="1" applyFont="1" applyBorder="1" applyAlignment="1">
      <alignment horizontal="center" vertical="center"/>
    </xf>
    <xf numFmtId="0" fontId="9" fillId="0" borderId="43" xfId="2" applyFont="1" applyBorder="1" applyAlignment="1">
      <alignment horizontal="center" vertical="center"/>
    </xf>
    <xf numFmtId="0" fontId="5" fillId="15" borderId="25" xfId="2" applyFont="1" applyFill="1" applyBorder="1" applyAlignment="1">
      <alignment vertical="center"/>
    </xf>
    <xf numFmtId="0" fontId="9" fillId="2" borderId="29" xfId="2" applyFont="1" applyFill="1" applyBorder="1" applyAlignment="1">
      <alignment horizontal="center" vertical="center"/>
    </xf>
    <xf numFmtId="0" fontId="9" fillId="2" borderId="6" xfId="2" applyFont="1" applyFill="1" applyBorder="1" applyAlignment="1">
      <alignment horizontal="right" vertical="center"/>
    </xf>
    <xf numFmtId="178" fontId="10" fillId="5" borderId="6" xfId="2" applyNumberFormat="1" applyFont="1" applyFill="1" applyBorder="1" applyAlignment="1">
      <alignment horizontal="center" vertical="center"/>
    </xf>
    <xf numFmtId="4" fontId="12" fillId="2" borderId="6" xfId="2" applyNumberFormat="1" applyFont="1" applyFill="1" applyBorder="1" applyAlignment="1">
      <alignment horizontal="center" vertical="center"/>
    </xf>
    <xf numFmtId="4" fontId="12" fillId="2" borderId="6" xfId="2" applyNumberFormat="1" applyFont="1" applyFill="1" applyBorder="1" applyAlignment="1">
      <alignment horizontal="right" vertical="center"/>
    </xf>
    <xf numFmtId="0" fontId="10" fillId="0" borderId="30" xfId="2" applyFont="1" applyBorder="1" applyAlignment="1">
      <alignment horizontal="center" vertical="center"/>
    </xf>
    <xf numFmtId="170" fontId="9" fillId="0" borderId="30" xfId="2" applyNumberFormat="1" applyFont="1" applyBorder="1" applyAlignment="1">
      <alignment horizontal="center" vertical="center"/>
    </xf>
    <xf numFmtId="0" fontId="9" fillId="0" borderId="30" xfId="2" applyFont="1" applyBorder="1" applyAlignment="1">
      <alignment horizontal="center" vertical="center"/>
    </xf>
    <xf numFmtId="0" fontId="17" fillId="2" borderId="29" xfId="2" applyFont="1" applyFill="1" applyBorder="1" applyAlignment="1">
      <alignment horizontal="center" vertical="center"/>
    </xf>
    <xf numFmtId="0" fontId="9" fillId="15" borderId="7" xfId="2" applyFont="1" applyFill="1" applyBorder="1" applyAlignment="1">
      <alignment vertical="center"/>
    </xf>
    <xf numFmtId="0" fontId="9" fillId="2" borderId="39" xfId="2" applyFont="1" applyFill="1" applyBorder="1" applyAlignment="1">
      <alignment horizontal="center" vertical="center"/>
    </xf>
    <xf numFmtId="0" fontId="9" fillId="2" borderId="0" xfId="2" applyFont="1" applyFill="1" applyAlignment="1">
      <alignment horizontal="center" vertical="center"/>
    </xf>
    <xf numFmtId="0" fontId="6" fillId="2" borderId="4" xfId="2" applyFont="1" applyFill="1" applyBorder="1" applyAlignment="1">
      <alignment horizontal="center" vertical="center"/>
    </xf>
    <xf numFmtId="0" fontId="9" fillId="2" borderId="24" xfId="2" applyFont="1" applyFill="1" applyBorder="1" applyAlignment="1">
      <alignment horizontal="center" vertical="center"/>
    </xf>
    <xf numFmtId="185" fontId="9" fillId="2" borderId="24" xfId="2" applyNumberFormat="1" applyFont="1" applyFill="1" applyBorder="1" applyAlignment="1">
      <alignment horizontal="center" vertical="center"/>
    </xf>
    <xf numFmtId="2" fontId="15" fillId="2" borderId="24" xfId="2" applyNumberFormat="1" applyFont="1" applyFill="1" applyBorder="1" applyAlignment="1">
      <alignment horizontal="center" vertical="center"/>
    </xf>
    <xf numFmtId="0" fontId="6" fillId="6" borderId="4" xfId="3" applyFont="1" applyFill="1" applyBorder="1"/>
    <xf numFmtId="0" fontId="6" fillId="6" borderId="5" xfId="3" applyFont="1" applyFill="1" applyBorder="1"/>
    <xf numFmtId="0" fontId="6" fillId="6" borderId="8" xfId="3" applyFont="1" applyFill="1" applyBorder="1"/>
    <xf numFmtId="0" fontId="9" fillId="15" borderId="40" xfId="2" applyFont="1" applyFill="1" applyBorder="1" applyAlignment="1">
      <alignment vertical="center"/>
    </xf>
    <xf numFmtId="0" fontId="9" fillId="2" borderId="39" xfId="2" applyFont="1" applyFill="1" applyBorder="1" applyAlignment="1">
      <alignment vertical="center"/>
    </xf>
    <xf numFmtId="0" fontId="17" fillId="5" borderId="3" xfId="3" applyFont="1" applyFill="1" applyBorder="1" applyAlignment="1">
      <alignment horizontal="center" vertical="center"/>
    </xf>
    <xf numFmtId="0" fontId="9" fillId="0" borderId="13" xfId="2" applyFont="1" applyBorder="1" applyAlignment="1">
      <alignment horizontal="center" vertical="center"/>
    </xf>
    <xf numFmtId="0" fontId="17" fillId="6" borderId="39" xfId="2" applyFont="1" applyFill="1" applyBorder="1" applyAlignment="1">
      <alignment vertical="center"/>
    </xf>
    <xf numFmtId="0" fontId="9" fillId="6" borderId="0" xfId="2" applyFont="1" applyFill="1" applyAlignment="1">
      <alignment vertical="center"/>
    </xf>
    <xf numFmtId="0" fontId="9" fillId="6" borderId="40" xfId="2" applyFont="1" applyFill="1" applyBorder="1" applyAlignment="1">
      <alignment vertical="center"/>
    </xf>
    <xf numFmtId="170" fontId="17" fillId="2" borderId="8" xfId="2" applyNumberFormat="1" applyFont="1" applyFill="1" applyBorder="1" applyAlignment="1">
      <alignment horizontal="center" vertical="center"/>
    </xf>
    <xf numFmtId="187" fontId="17" fillId="2" borderId="4" xfId="2" applyNumberFormat="1" applyFont="1" applyFill="1" applyBorder="1" applyAlignment="1">
      <alignment horizontal="center" vertical="center"/>
    </xf>
    <xf numFmtId="0" fontId="25" fillId="2" borderId="8" xfId="2" applyFont="1" applyFill="1" applyBorder="1" applyAlignment="1">
      <alignment horizontal="center" vertical="center"/>
    </xf>
    <xf numFmtId="0" fontId="9" fillId="15" borderId="29" xfId="2" applyFont="1" applyFill="1" applyBorder="1" applyAlignment="1">
      <alignment vertical="center"/>
    </xf>
    <xf numFmtId="0" fontId="9" fillId="15" borderId="6" xfId="2" applyFont="1" applyFill="1" applyBorder="1" applyAlignment="1">
      <alignment vertical="center"/>
    </xf>
    <xf numFmtId="0" fontId="9" fillId="2" borderId="29" xfId="2" applyFont="1" applyFill="1" applyBorder="1" applyAlignment="1">
      <alignment vertical="center"/>
    </xf>
    <xf numFmtId="0" fontId="9" fillId="6" borderId="5" xfId="2" applyFont="1" applyFill="1" applyBorder="1" applyAlignment="1">
      <alignment vertical="center"/>
    </xf>
    <xf numFmtId="187" fontId="17" fillId="2" borderId="4" xfId="2" applyNumberFormat="1" applyFont="1" applyFill="1" applyBorder="1" applyAlignment="1">
      <alignment vertical="center"/>
    </xf>
    <xf numFmtId="0" fontId="9" fillId="11" borderId="0" xfId="2" applyFont="1" applyFill="1" applyAlignment="1">
      <alignment vertical="center"/>
    </xf>
    <xf numFmtId="0" fontId="21" fillId="2" borderId="0" xfId="2" applyFont="1" applyFill="1" applyAlignment="1">
      <alignment vertical="center"/>
    </xf>
    <xf numFmtId="0" fontId="9" fillId="2" borderId="49" xfId="2" applyFont="1" applyFill="1" applyBorder="1" applyAlignment="1">
      <alignment horizontal="left" vertical="center"/>
    </xf>
    <xf numFmtId="0" fontId="39" fillId="11" borderId="0" xfId="2" applyFont="1" applyFill="1" applyAlignment="1">
      <alignment vertical="center"/>
    </xf>
    <xf numFmtId="0" fontId="34" fillId="2" borderId="49" xfId="2" applyFont="1" applyFill="1" applyBorder="1" applyAlignment="1">
      <alignment horizontal="center" vertical="center"/>
    </xf>
    <xf numFmtId="0" fontId="16" fillId="2" borderId="49" xfId="2" applyFont="1" applyFill="1" applyBorder="1" applyAlignment="1">
      <alignment vertical="center"/>
    </xf>
    <xf numFmtId="0" fontId="29" fillId="2" borderId="49" xfId="2" applyFont="1" applyFill="1" applyBorder="1" applyAlignment="1">
      <alignment horizontal="center" vertical="center"/>
    </xf>
    <xf numFmtId="0" fontId="28" fillId="2" borderId="49" xfId="2" applyFont="1" applyFill="1" applyBorder="1" applyAlignment="1">
      <alignment vertical="center"/>
    </xf>
    <xf numFmtId="0" fontId="9" fillId="2" borderId="49" xfId="2" applyFont="1" applyFill="1" applyBorder="1" applyAlignment="1">
      <alignment vertical="center"/>
    </xf>
    <xf numFmtId="0" fontId="26" fillId="2" borderId="49" xfId="2" applyFont="1" applyFill="1" applyBorder="1" applyAlignment="1">
      <alignment horizontal="center" vertical="center"/>
    </xf>
    <xf numFmtId="0" fontId="17" fillId="2" borderId="49" xfId="2" applyFont="1" applyFill="1" applyBorder="1" applyAlignment="1">
      <alignment horizontal="center" vertical="center"/>
    </xf>
    <xf numFmtId="0" fontId="27" fillId="2" borderId="0" xfId="2" applyFont="1" applyFill="1" applyAlignment="1">
      <alignment vertical="center"/>
    </xf>
    <xf numFmtId="22" fontId="17" fillId="2" borderId="50" xfId="2" applyNumberFormat="1" applyFont="1" applyFill="1" applyBorder="1" applyAlignment="1">
      <alignment horizontal="center" vertical="center"/>
    </xf>
    <xf numFmtId="191" fontId="16" fillId="16" borderId="3" xfId="2" applyNumberFormat="1" applyFont="1" applyFill="1" applyBorder="1" applyAlignment="1" applyProtection="1">
      <alignment horizontal="center" vertical="center"/>
      <protection locked="0"/>
    </xf>
    <xf numFmtId="178" fontId="10" fillId="5" borderId="40" xfId="2" applyNumberFormat="1" applyFont="1" applyFill="1" applyBorder="1" applyAlignment="1" applyProtection="1">
      <alignment horizontal="center" vertical="center"/>
      <protection locked="0"/>
    </xf>
    <xf numFmtId="174" fontId="10" fillId="5" borderId="26" xfId="2" applyNumberFormat="1" applyFont="1" applyFill="1" applyBorder="1" applyAlignment="1" applyProtection="1">
      <alignment horizontal="center" vertical="center"/>
      <protection locked="0"/>
    </xf>
    <xf numFmtId="174" fontId="10" fillId="5" borderId="0" xfId="2" applyNumberFormat="1" applyFont="1" applyFill="1" applyAlignment="1" applyProtection="1">
      <alignment horizontal="center" vertical="center"/>
      <protection locked="0"/>
    </xf>
    <xf numFmtId="14" fontId="37" fillId="0" borderId="13" xfId="2" applyNumberFormat="1" applyFont="1" applyBorder="1" applyAlignment="1" applyProtection="1">
      <alignment horizontal="center" vertical="center"/>
      <protection locked="0"/>
    </xf>
    <xf numFmtId="14" fontId="37" fillId="0" borderId="34" xfId="2" applyNumberFormat="1" applyFont="1" applyBorder="1" applyAlignment="1" applyProtection="1">
      <alignment horizontal="center" vertical="center"/>
      <protection locked="0"/>
    </xf>
    <xf numFmtId="14" fontId="37" fillId="0" borderId="20" xfId="2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4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7" fontId="10" fillId="4" borderId="12" xfId="2" applyNumberFormat="1" applyFont="1" applyFill="1" applyBorder="1" applyAlignment="1" applyProtection="1">
      <alignment horizontal="center" vertical="center"/>
      <protection locked="0"/>
    </xf>
    <xf numFmtId="167" fontId="10" fillId="4" borderId="19" xfId="2" applyNumberFormat="1" applyFont="1" applyFill="1" applyBorder="1" applyAlignment="1" applyProtection="1">
      <alignment horizontal="center" vertical="center"/>
      <protection locked="0"/>
    </xf>
    <xf numFmtId="0" fontId="14" fillId="8" borderId="3" xfId="2" applyFont="1" applyFill="1" applyBorder="1" applyAlignment="1" applyProtection="1">
      <alignment horizontal="center" vertical="center"/>
      <protection locked="0"/>
    </xf>
    <xf numFmtId="165" fontId="14" fillId="8" borderId="3" xfId="2" applyNumberFormat="1" applyFont="1" applyFill="1" applyBorder="1" applyAlignment="1" applyProtection="1">
      <alignment horizontal="center" vertical="center"/>
      <protection locked="0"/>
    </xf>
    <xf numFmtId="166" fontId="14" fillId="8" borderId="3" xfId="2" applyNumberFormat="1" applyFont="1" applyFill="1" applyBorder="1" applyAlignment="1" applyProtection="1">
      <alignment horizontal="center" vertical="center"/>
      <protection locked="0"/>
    </xf>
    <xf numFmtId="167" fontId="14" fillId="4" borderId="3" xfId="2" applyNumberFormat="1" applyFont="1" applyFill="1" applyBorder="1" applyAlignment="1" applyProtection="1">
      <alignment horizontal="center" vertical="center"/>
      <protection locked="0"/>
    </xf>
    <xf numFmtId="1" fontId="10" fillId="4" borderId="14" xfId="2" applyNumberFormat="1" applyFont="1" applyFill="1" applyBorder="1" applyAlignment="1" applyProtection="1">
      <alignment horizontal="center" vertical="center"/>
      <protection locked="0"/>
    </xf>
    <xf numFmtId="178" fontId="10" fillId="5" borderId="7" xfId="2" applyNumberFormat="1" applyFont="1" applyFill="1" applyBorder="1" applyAlignment="1" applyProtection="1">
      <alignment horizontal="center" vertical="center"/>
      <protection locked="0"/>
    </xf>
    <xf numFmtId="0" fontId="3" fillId="19" borderId="0" xfId="2" applyFont="1" applyFill="1" applyAlignment="1">
      <alignment vertical="center"/>
    </xf>
    <xf numFmtId="0" fontId="5" fillId="19" borderId="0" xfId="2" applyFont="1" applyFill="1" applyAlignment="1">
      <alignment vertical="center"/>
    </xf>
    <xf numFmtId="0" fontId="5" fillId="19" borderId="0" xfId="2" applyFont="1" applyFill="1" applyAlignment="1">
      <alignment horizontal="center" vertical="center"/>
    </xf>
    <xf numFmtId="0" fontId="9" fillId="19" borderId="0" xfId="2" applyFont="1" applyFill="1" applyAlignment="1">
      <alignment vertical="center"/>
    </xf>
    <xf numFmtId="0" fontId="46" fillId="19" borderId="0" xfId="2" applyFont="1" applyFill="1" applyAlignment="1">
      <alignment vertical="center"/>
    </xf>
    <xf numFmtId="0" fontId="47" fillId="19" borderId="0" xfId="2" applyFont="1" applyFill="1" applyAlignment="1">
      <alignment vertical="center"/>
    </xf>
    <xf numFmtId="0" fontId="47" fillId="19" borderId="0" xfId="2" applyFont="1" applyFill="1" applyAlignment="1">
      <alignment horizontal="center" vertical="center"/>
    </xf>
    <xf numFmtId="0" fontId="22" fillId="19" borderId="0" xfId="2" applyFont="1" applyFill="1" applyAlignment="1">
      <alignment vertical="center"/>
    </xf>
    <xf numFmtId="43" fontId="47" fillId="0" borderId="0" xfId="4" applyFont="1" applyFill="1" applyAlignment="1" applyProtection="1">
      <alignment vertical="center"/>
      <protection locked="0"/>
    </xf>
    <xf numFmtId="43" fontId="22" fillId="0" borderId="3" xfId="4" applyFont="1" applyFill="1" applyBorder="1" applyAlignment="1" applyProtection="1">
      <alignment horizontal="center" vertical="center"/>
      <protection locked="0"/>
    </xf>
    <xf numFmtId="43" fontId="22" fillId="0" borderId="3" xfId="4" applyFont="1" applyFill="1" applyBorder="1" applyAlignment="1" applyProtection="1">
      <alignment vertical="center"/>
      <protection locked="0"/>
    </xf>
    <xf numFmtId="43" fontId="22" fillId="0" borderId="0" xfId="4" applyFont="1" applyFill="1" applyAlignment="1" applyProtection="1">
      <alignment vertical="center"/>
      <protection locked="0"/>
    </xf>
    <xf numFmtId="0" fontId="9" fillId="15" borderId="0" xfId="2" applyFont="1" applyFill="1" applyAlignment="1" applyProtection="1">
      <alignment vertical="center"/>
      <protection locked="0"/>
    </xf>
    <xf numFmtId="1" fontId="10" fillId="4" borderId="3" xfId="2" applyNumberFormat="1" applyFont="1" applyFill="1" applyBorder="1" applyAlignment="1" applyProtection="1">
      <alignment horizontal="center" vertical="center"/>
      <protection locked="0"/>
    </xf>
    <xf numFmtId="169" fontId="22" fillId="21" borderId="3" xfId="2" applyNumberFormat="1" applyFont="1" applyFill="1" applyBorder="1" applyAlignment="1" applyProtection="1">
      <alignment vertical="center"/>
      <protection locked="0"/>
    </xf>
    <xf numFmtId="0" fontId="22" fillId="21" borderId="3" xfId="2" applyFont="1" applyFill="1" applyBorder="1" applyAlignment="1" applyProtection="1">
      <alignment vertical="center"/>
      <protection locked="0"/>
    </xf>
    <xf numFmtId="4" fontId="22" fillId="21" borderId="3" xfId="2" applyNumberFormat="1" applyFont="1" applyFill="1" applyBorder="1" applyAlignment="1" applyProtection="1">
      <alignment vertical="center"/>
      <protection locked="0"/>
    </xf>
    <xf numFmtId="0" fontId="22" fillId="21" borderId="0" xfId="2" applyFont="1" applyFill="1" applyAlignment="1" applyProtection="1">
      <alignment vertical="center"/>
      <protection locked="0"/>
    </xf>
    <xf numFmtId="0" fontId="22" fillId="21" borderId="3" xfId="2" applyFont="1" applyFill="1" applyBorder="1" applyAlignment="1" applyProtection="1">
      <alignment horizontal="center" vertical="center"/>
      <protection locked="0"/>
    </xf>
    <xf numFmtId="0" fontId="47" fillId="21" borderId="3" xfId="2" applyFont="1" applyFill="1" applyBorder="1" applyAlignment="1" applyProtection="1">
      <alignment horizontal="center" vertical="center"/>
      <protection locked="0"/>
    </xf>
    <xf numFmtId="169" fontId="22" fillId="21" borderId="3" xfId="2" applyNumberFormat="1" applyFont="1" applyFill="1" applyBorder="1" applyAlignment="1" applyProtection="1">
      <alignment horizontal="center" vertical="center"/>
      <protection locked="0"/>
    </xf>
    <xf numFmtId="2" fontId="22" fillId="21" borderId="3" xfId="2" applyNumberFormat="1" applyFont="1" applyFill="1" applyBorder="1" applyAlignment="1" applyProtection="1">
      <alignment vertical="center"/>
      <protection locked="0"/>
    </xf>
    <xf numFmtId="0" fontId="49" fillId="21" borderId="3" xfId="0" applyFont="1" applyFill="1" applyBorder="1" applyAlignment="1" applyProtection="1">
      <alignment horizontal="center" vertical="center"/>
      <protection locked="0"/>
    </xf>
    <xf numFmtId="0" fontId="47" fillId="21" borderId="3" xfId="2" applyFont="1" applyFill="1" applyBorder="1" applyAlignment="1" applyProtection="1">
      <alignment vertical="center"/>
      <protection locked="0"/>
    </xf>
    <xf numFmtId="179" fontId="22" fillId="21" borderId="3" xfId="2" applyNumberFormat="1" applyFont="1" applyFill="1" applyBorder="1" applyAlignment="1" applyProtection="1">
      <alignment vertical="center"/>
      <protection locked="0"/>
    </xf>
    <xf numFmtId="4" fontId="47" fillId="21" borderId="3" xfId="2" applyNumberFormat="1" applyFont="1" applyFill="1" applyBorder="1" applyAlignment="1" applyProtection="1">
      <alignment horizontal="center" vertical="center"/>
      <protection locked="0"/>
    </xf>
    <xf numFmtId="4" fontId="22" fillId="21" borderId="3" xfId="2" applyNumberFormat="1" applyFont="1" applyFill="1" applyBorder="1" applyAlignment="1" applyProtection="1">
      <alignment horizontal="center" vertical="center"/>
      <protection locked="0"/>
    </xf>
    <xf numFmtId="4" fontId="47" fillId="21" borderId="3" xfId="2" applyNumberFormat="1" applyFont="1" applyFill="1" applyBorder="1" applyAlignment="1" applyProtection="1">
      <alignment vertical="center"/>
      <protection locked="0"/>
    </xf>
    <xf numFmtId="169" fontId="22" fillId="22" borderId="3" xfId="2" applyNumberFormat="1" applyFont="1" applyFill="1" applyBorder="1" applyAlignment="1" applyProtection="1">
      <alignment vertical="center"/>
      <protection locked="0"/>
    </xf>
    <xf numFmtId="0" fontId="22" fillId="22" borderId="3" xfId="2" applyFont="1" applyFill="1" applyBorder="1" applyAlignment="1" applyProtection="1">
      <alignment vertical="center"/>
      <protection locked="0"/>
    </xf>
    <xf numFmtId="4" fontId="22" fillId="22" borderId="3" xfId="2" applyNumberFormat="1" applyFont="1" applyFill="1" applyBorder="1" applyAlignment="1" applyProtection="1">
      <alignment vertical="center"/>
      <protection locked="0"/>
    </xf>
    <xf numFmtId="166" fontId="22" fillId="22" borderId="0" xfId="2" applyNumberFormat="1" applyFont="1" applyFill="1" applyAlignment="1" applyProtection="1">
      <alignment vertical="center"/>
      <protection locked="0"/>
    </xf>
    <xf numFmtId="165" fontId="22" fillId="22" borderId="0" xfId="2" applyNumberFormat="1" applyFont="1" applyFill="1" applyAlignment="1" applyProtection="1">
      <alignment vertical="center"/>
      <protection locked="0"/>
    </xf>
    <xf numFmtId="169" fontId="22" fillId="22" borderId="0" xfId="2" applyNumberFormat="1" applyFont="1" applyFill="1" applyAlignment="1" applyProtection="1">
      <alignment vertical="center"/>
      <protection locked="0"/>
    </xf>
    <xf numFmtId="0" fontId="22" fillId="22" borderId="0" xfId="2" applyFont="1" applyFill="1" applyAlignment="1" applyProtection="1">
      <alignment vertical="center"/>
      <protection locked="0"/>
    </xf>
    <xf numFmtId="4" fontId="22" fillId="22" borderId="0" xfId="2" applyNumberFormat="1" applyFont="1" applyFill="1" applyAlignment="1" applyProtection="1">
      <alignment vertical="center"/>
      <protection locked="0"/>
    </xf>
    <xf numFmtId="0" fontId="47" fillId="22" borderId="3" xfId="2" applyFont="1" applyFill="1" applyBorder="1" applyAlignment="1" applyProtection="1">
      <alignment horizontal="center" vertical="center"/>
      <protection locked="0"/>
    </xf>
    <xf numFmtId="169" fontId="47" fillId="22" borderId="0" xfId="2" applyNumberFormat="1" applyFont="1" applyFill="1" applyAlignment="1" applyProtection="1">
      <alignment vertical="center"/>
      <protection locked="0"/>
    </xf>
    <xf numFmtId="0" fontId="47" fillId="22" borderId="0" xfId="2" applyFont="1" applyFill="1" applyAlignment="1" applyProtection="1">
      <alignment vertical="center"/>
      <protection locked="0"/>
    </xf>
    <xf numFmtId="166" fontId="47" fillId="22" borderId="0" xfId="2" applyNumberFormat="1" applyFont="1" applyFill="1" applyAlignment="1" applyProtection="1">
      <alignment vertical="center"/>
      <protection locked="0"/>
    </xf>
    <xf numFmtId="165" fontId="47" fillId="22" borderId="0" xfId="2" applyNumberFormat="1" applyFont="1" applyFill="1" applyAlignment="1" applyProtection="1">
      <alignment vertical="center"/>
      <protection locked="0"/>
    </xf>
    <xf numFmtId="4" fontId="47" fillId="22" borderId="0" xfId="2" applyNumberFormat="1" applyFont="1" applyFill="1" applyAlignment="1" applyProtection="1">
      <alignment vertical="center"/>
      <protection locked="0"/>
    </xf>
    <xf numFmtId="166" fontId="36" fillId="22" borderId="3" xfId="2" applyNumberFormat="1" applyFont="1" applyFill="1" applyBorder="1" applyAlignment="1" applyProtection="1">
      <alignment horizontal="center" vertical="center"/>
      <protection locked="0"/>
    </xf>
    <xf numFmtId="165" fontId="36" fillId="22" borderId="3" xfId="2" applyNumberFormat="1" applyFont="1" applyFill="1" applyBorder="1" applyAlignment="1" applyProtection="1">
      <alignment horizontal="center" vertical="center"/>
      <protection locked="0"/>
    </xf>
    <xf numFmtId="0" fontId="22" fillId="22" borderId="3" xfId="2" applyFont="1" applyFill="1" applyBorder="1" applyAlignment="1" applyProtection="1">
      <alignment horizontal="center" vertical="center"/>
      <protection locked="0"/>
    </xf>
    <xf numFmtId="193" fontId="46" fillId="22" borderId="3" xfId="4" applyNumberFormat="1" applyFont="1" applyFill="1" applyBorder="1" applyAlignment="1" applyProtection="1">
      <alignment horizontal="center" vertical="center"/>
      <protection locked="0"/>
    </xf>
    <xf numFmtId="43" fontId="47" fillId="22" borderId="3" xfId="4" applyFont="1" applyFill="1" applyBorder="1" applyAlignment="1" applyProtection="1">
      <alignment vertical="center"/>
      <protection locked="0"/>
    </xf>
    <xf numFmtId="43" fontId="22" fillId="22" borderId="3" xfId="4" applyFont="1" applyFill="1" applyBorder="1" applyAlignment="1" applyProtection="1">
      <alignment vertical="center"/>
      <protection locked="0"/>
    </xf>
    <xf numFmtId="0" fontId="49" fillId="22" borderId="3" xfId="0" applyFont="1" applyFill="1" applyBorder="1" applyAlignment="1" applyProtection="1">
      <alignment horizontal="center" vertical="center"/>
      <protection locked="0"/>
    </xf>
    <xf numFmtId="2" fontId="49" fillId="22" borderId="3" xfId="0" applyNumberFormat="1" applyFont="1" applyFill="1" applyBorder="1" applyAlignment="1" applyProtection="1">
      <alignment horizontal="center" vertical="center"/>
      <protection locked="0"/>
    </xf>
    <xf numFmtId="0" fontId="47" fillId="22" borderId="3" xfId="2" applyFont="1" applyFill="1" applyBorder="1" applyAlignment="1" applyProtection="1">
      <alignment vertical="center"/>
      <protection locked="0"/>
    </xf>
    <xf numFmtId="0" fontId="46" fillId="22" borderId="3" xfId="2" applyFont="1" applyFill="1" applyBorder="1" applyAlignment="1" applyProtection="1">
      <alignment vertical="center"/>
      <protection locked="0"/>
    </xf>
    <xf numFmtId="2" fontId="22" fillId="22" borderId="3" xfId="2" applyNumberFormat="1" applyFont="1" applyFill="1" applyBorder="1" applyAlignment="1" applyProtection="1">
      <alignment vertical="center"/>
      <protection locked="0"/>
    </xf>
    <xf numFmtId="179" fontId="22" fillId="22" borderId="3" xfId="2" applyNumberFormat="1" applyFont="1" applyFill="1" applyBorder="1" applyAlignment="1" applyProtection="1">
      <alignment vertical="center"/>
      <protection locked="0"/>
    </xf>
    <xf numFmtId="4" fontId="47" fillId="22" borderId="3" xfId="2" applyNumberFormat="1" applyFont="1" applyFill="1" applyBorder="1" applyAlignment="1" applyProtection="1">
      <alignment horizontal="center" vertical="center"/>
      <protection locked="0"/>
    </xf>
    <xf numFmtId="4" fontId="47" fillId="22" borderId="3" xfId="2" applyNumberFormat="1" applyFont="1" applyFill="1" applyBorder="1" applyAlignment="1" applyProtection="1">
      <alignment vertical="center"/>
      <protection locked="0"/>
    </xf>
    <xf numFmtId="4" fontId="46" fillId="22" borderId="3" xfId="2" applyNumberFormat="1" applyFont="1" applyFill="1" applyBorder="1" applyAlignment="1" applyProtection="1">
      <alignment horizontal="center" vertical="center"/>
      <protection locked="0"/>
    </xf>
    <xf numFmtId="4" fontId="22" fillId="22" borderId="3" xfId="2" applyNumberFormat="1" applyFont="1" applyFill="1" applyBorder="1" applyAlignment="1" applyProtection="1">
      <alignment horizontal="center" vertical="center"/>
      <protection locked="0"/>
    </xf>
    <xf numFmtId="197" fontId="47" fillId="22" borderId="3" xfId="2" applyNumberFormat="1" applyFont="1" applyFill="1" applyBorder="1" applyAlignment="1" applyProtection="1">
      <alignment vertical="center"/>
      <protection locked="0"/>
    </xf>
    <xf numFmtId="197" fontId="22" fillId="22" borderId="3" xfId="2" applyNumberFormat="1" applyFont="1" applyFill="1" applyBorder="1" applyAlignment="1" applyProtection="1">
      <alignment vertical="center"/>
      <protection locked="0"/>
    </xf>
    <xf numFmtId="197" fontId="47" fillId="22" borderId="4" xfId="2" applyNumberFormat="1" applyFont="1" applyFill="1" applyBorder="1" applyAlignment="1" applyProtection="1">
      <alignment vertical="center"/>
      <protection locked="0"/>
    </xf>
    <xf numFmtId="197" fontId="22" fillId="22" borderId="4" xfId="2" applyNumberFormat="1" applyFont="1" applyFill="1" applyBorder="1" applyAlignment="1" applyProtection="1">
      <alignment vertical="center"/>
      <protection locked="0"/>
    </xf>
    <xf numFmtId="197" fontId="47" fillId="22" borderId="3" xfId="2" applyNumberFormat="1" applyFont="1" applyFill="1" applyBorder="1" applyAlignment="1" applyProtection="1">
      <alignment horizontal="center" vertical="center"/>
      <protection locked="0"/>
    </xf>
    <xf numFmtId="0" fontId="22" fillId="22" borderId="23" xfId="2" applyFont="1" applyFill="1" applyBorder="1" applyAlignment="1" applyProtection="1">
      <alignment vertical="center"/>
      <protection locked="0"/>
    </xf>
    <xf numFmtId="0" fontId="22" fillId="22" borderId="23" xfId="2" applyFont="1" applyFill="1" applyBorder="1" applyAlignment="1" applyProtection="1">
      <alignment horizontal="center" vertical="center"/>
      <protection locked="0"/>
    </xf>
    <xf numFmtId="170" fontId="47" fillId="22" borderId="0" xfId="2" applyNumberFormat="1" applyFont="1" applyFill="1" applyAlignment="1" applyProtection="1">
      <alignment vertical="center"/>
      <protection locked="0"/>
    </xf>
    <xf numFmtId="188" fontId="47" fillId="22" borderId="0" xfId="2" applyNumberFormat="1" applyFont="1" applyFill="1" applyAlignment="1" applyProtection="1">
      <alignment vertical="center"/>
      <protection locked="0"/>
    </xf>
    <xf numFmtId="0" fontId="22" fillId="23" borderId="3" xfId="2" applyFont="1" applyFill="1" applyBorder="1" applyAlignment="1" applyProtection="1">
      <alignment vertical="center"/>
      <protection locked="0"/>
    </xf>
    <xf numFmtId="0" fontId="22" fillId="23" borderId="0" xfId="2" applyFont="1" applyFill="1" applyAlignment="1" applyProtection="1">
      <alignment vertical="center"/>
      <protection locked="0"/>
    </xf>
    <xf numFmtId="0" fontId="47" fillId="23" borderId="3" xfId="2" applyFont="1" applyFill="1" applyBorder="1" applyAlignment="1" applyProtection="1">
      <alignment horizontal="center" vertical="center"/>
      <protection locked="0"/>
    </xf>
    <xf numFmtId="0" fontId="47" fillId="23" borderId="3" xfId="2" applyFont="1" applyFill="1" applyBorder="1" applyAlignment="1" applyProtection="1">
      <alignment vertical="center"/>
      <protection locked="0"/>
    </xf>
    <xf numFmtId="165" fontId="47" fillId="23" borderId="3" xfId="2" applyNumberFormat="1" applyFont="1" applyFill="1" applyBorder="1" applyAlignment="1" applyProtection="1">
      <alignment vertical="center"/>
      <protection locked="0"/>
    </xf>
    <xf numFmtId="4" fontId="47" fillId="23" borderId="3" xfId="2" applyNumberFormat="1" applyFont="1" applyFill="1" applyBorder="1" applyAlignment="1" applyProtection="1">
      <alignment vertical="center"/>
      <protection locked="0"/>
    </xf>
    <xf numFmtId="4" fontId="22" fillId="23" borderId="3" xfId="2" applyNumberFormat="1" applyFont="1" applyFill="1" applyBorder="1" applyAlignment="1" applyProtection="1">
      <alignment vertical="center"/>
      <protection locked="0"/>
    </xf>
    <xf numFmtId="170" fontId="47" fillId="23" borderId="3" xfId="2" applyNumberFormat="1" applyFont="1" applyFill="1" applyBorder="1" applyAlignment="1" applyProtection="1">
      <alignment vertical="center"/>
      <protection locked="0"/>
    </xf>
    <xf numFmtId="170" fontId="47" fillId="23" borderId="3" xfId="2" applyNumberFormat="1" applyFont="1" applyFill="1" applyBorder="1" applyAlignment="1" applyProtection="1">
      <alignment horizontal="center" vertical="center"/>
      <protection locked="0"/>
    </xf>
    <xf numFmtId="165" fontId="22" fillId="23" borderId="3" xfId="2" applyNumberFormat="1" applyFont="1" applyFill="1" applyBorder="1" applyAlignment="1" applyProtection="1">
      <alignment vertical="center"/>
      <protection locked="0"/>
    </xf>
    <xf numFmtId="170" fontId="22" fillId="23" borderId="3" xfId="2" applyNumberFormat="1" applyFont="1" applyFill="1" applyBorder="1" applyAlignment="1" applyProtection="1">
      <alignment vertical="center"/>
      <protection locked="0"/>
    </xf>
    <xf numFmtId="179" fontId="47" fillId="23" borderId="3" xfId="2" applyNumberFormat="1" applyFont="1" applyFill="1" applyBorder="1" applyAlignment="1" applyProtection="1">
      <alignment vertical="center"/>
      <protection locked="0"/>
    </xf>
    <xf numFmtId="0" fontId="22" fillId="23" borderId="3" xfId="2" applyFont="1" applyFill="1" applyBorder="1" applyAlignment="1" applyProtection="1">
      <alignment horizontal="center" vertical="center"/>
      <protection locked="0"/>
    </xf>
    <xf numFmtId="170" fontId="22" fillId="23" borderId="3" xfId="2" applyNumberFormat="1" applyFont="1" applyFill="1" applyBorder="1" applyAlignment="1" applyProtection="1">
      <alignment horizontal="center" vertical="center"/>
      <protection locked="0"/>
    </xf>
    <xf numFmtId="170" fontId="22" fillId="23" borderId="0" xfId="2" applyNumberFormat="1" applyFont="1" applyFill="1" applyAlignment="1" applyProtection="1">
      <alignment vertical="center"/>
      <protection locked="0"/>
    </xf>
    <xf numFmtId="0" fontId="47" fillId="23" borderId="0" xfId="2" applyFont="1" applyFill="1" applyAlignment="1" applyProtection="1">
      <alignment vertical="center"/>
      <protection locked="0"/>
    </xf>
    <xf numFmtId="43" fontId="22" fillId="23" borderId="3" xfId="4" applyFont="1" applyFill="1" applyBorder="1" applyAlignment="1" applyProtection="1">
      <alignment vertical="center"/>
      <protection locked="0"/>
    </xf>
    <xf numFmtId="43" fontId="22" fillId="23" borderId="3" xfId="2" applyNumberFormat="1" applyFont="1" applyFill="1" applyBorder="1" applyAlignment="1" applyProtection="1">
      <alignment horizontal="center" vertical="center"/>
      <protection locked="0"/>
    </xf>
    <xf numFmtId="43" fontId="22" fillId="23" borderId="3" xfId="2" applyNumberFormat="1" applyFont="1" applyFill="1" applyBorder="1" applyAlignment="1" applyProtection="1">
      <alignment vertical="center"/>
      <protection locked="0"/>
    </xf>
    <xf numFmtId="43" fontId="22" fillId="23" borderId="0" xfId="2" applyNumberFormat="1" applyFont="1" applyFill="1" applyAlignment="1" applyProtection="1">
      <alignment vertical="center"/>
      <protection locked="0"/>
    </xf>
    <xf numFmtId="0" fontId="58" fillId="22" borderId="0" xfId="2" applyFont="1" applyFill="1" applyAlignment="1" applyProtection="1">
      <alignment vertical="center"/>
      <protection locked="0"/>
    </xf>
    <xf numFmtId="0" fontId="56" fillId="23" borderId="3" xfId="2" applyFont="1" applyFill="1" applyBorder="1" applyAlignment="1" applyProtection="1">
      <alignment vertical="center"/>
      <protection locked="0"/>
    </xf>
    <xf numFmtId="188" fontId="56" fillId="23" borderId="3" xfId="2" applyNumberFormat="1" applyFont="1" applyFill="1" applyBorder="1" applyAlignment="1" applyProtection="1">
      <alignment vertical="center"/>
      <protection locked="0"/>
    </xf>
    <xf numFmtId="0" fontId="56" fillId="23" borderId="0" xfId="2" applyFont="1" applyFill="1" applyAlignment="1" applyProtection="1">
      <alignment vertical="center"/>
      <protection locked="0"/>
    </xf>
    <xf numFmtId="0" fontId="44" fillId="24" borderId="0" xfId="2" applyFont="1" applyFill="1" applyAlignment="1" applyProtection="1">
      <alignment vertical="center"/>
      <protection locked="0"/>
    </xf>
    <xf numFmtId="170" fontId="44" fillId="20" borderId="3" xfId="2" applyNumberFormat="1" applyFont="1" applyFill="1" applyBorder="1" applyAlignment="1" applyProtection="1">
      <alignment vertical="center"/>
      <protection locked="0"/>
    </xf>
    <xf numFmtId="4" fontId="44" fillId="0" borderId="3" xfId="2" applyNumberFormat="1" applyFont="1" applyBorder="1" applyAlignment="1" applyProtection="1">
      <alignment horizontal="center" vertical="center"/>
      <protection locked="0"/>
    </xf>
    <xf numFmtId="4" fontId="44" fillId="0" borderId="3" xfId="2" applyNumberFormat="1" applyFont="1" applyBorder="1" applyAlignment="1" applyProtection="1">
      <alignment vertical="center"/>
      <protection locked="0"/>
    </xf>
    <xf numFmtId="170" fontId="44" fillId="25" borderId="3" xfId="2" applyNumberFormat="1" applyFont="1" applyFill="1" applyBorder="1" applyAlignment="1" applyProtection="1">
      <alignment vertic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22" fillId="0" borderId="0" xfId="2" applyFont="1" applyAlignment="1" applyProtection="1">
      <alignment vertical="center"/>
      <protection locked="0"/>
    </xf>
    <xf numFmtId="0" fontId="47" fillId="0" borderId="0" xfId="2" applyFont="1" applyAlignment="1" applyProtection="1">
      <alignment vertical="center"/>
      <protection locked="0"/>
    </xf>
    <xf numFmtId="0" fontId="47" fillId="0" borderId="0" xfId="2" applyFont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horizontal="center" vertical="center"/>
      <protection locked="0"/>
    </xf>
    <xf numFmtId="0" fontId="47" fillId="0" borderId="0" xfId="2" applyFont="1" applyAlignment="1" applyProtection="1">
      <alignment horizontal="right" vertical="center"/>
      <protection locked="0"/>
    </xf>
    <xf numFmtId="171" fontId="47" fillId="0" borderId="0" xfId="2" applyNumberFormat="1" applyFont="1" applyAlignment="1" applyProtection="1">
      <alignment vertical="center"/>
      <protection locked="0"/>
    </xf>
    <xf numFmtId="2" fontId="48" fillId="0" borderId="3" xfId="0" applyNumberFormat="1" applyFont="1" applyBorder="1" applyAlignment="1" applyProtection="1">
      <alignment horizontal="center"/>
      <protection locked="0"/>
    </xf>
    <xf numFmtId="0" fontId="15" fillId="0" borderId="3" xfId="2" applyFont="1" applyBorder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vertical="center"/>
      <protection locked="0"/>
    </xf>
    <xf numFmtId="165" fontId="47" fillId="0" borderId="0" xfId="2" applyNumberFormat="1" applyFont="1" applyAlignment="1" applyProtection="1">
      <alignment vertical="center"/>
      <protection locked="0"/>
    </xf>
    <xf numFmtId="170" fontId="47" fillId="0" borderId="0" xfId="2" applyNumberFormat="1" applyFont="1" applyAlignment="1" applyProtection="1">
      <alignment vertical="center"/>
      <protection locked="0"/>
    </xf>
    <xf numFmtId="170" fontId="22" fillId="0" borderId="0" xfId="2" applyNumberFormat="1" applyFont="1" applyAlignment="1" applyProtection="1">
      <alignment vertical="center"/>
      <protection locked="0"/>
    </xf>
    <xf numFmtId="14" fontId="47" fillId="0" borderId="0" xfId="2" applyNumberFormat="1" applyFont="1" applyAlignment="1" applyProtection="1">
      <alignment vertical="center"/>
      <protection locked="0"/>
    </xf>
    <xf numFmtId="2" fontId="48" fillId="0" borderId="3" xfId="0" applyNumberFormat="1" applyFont="1" applyBorder="1" applyAlignment="1" applyProtection="1">
      <alignment horizontal="center" vertical="center"/>
      <protection locked="0"/>
    </xf>
    <xf numFmtId="166" fontId="47" fillId="0" borderId="0" xfId="2" applyNumberFormat="1" applyFont="1" applyAlignment="1" applyProtection="1">
      <alignment vertical="center"/>
      <protection locked="0"/>
    </xf>
    <xf numFmtId="0" fontId="47" fillId="0" borderId="23" xfId="2" applyFont="1" applyBorder="1" applyAlignment="1" applyProtection="1">
      <alignment vertical="center"/>
      <protection locked="0"/>
    </xf>
    <xf numFmtId="166" fontId="47" fillId="0" borderId="0" xfId="2" applyNumberFormat="1" applyFont="1" applyAlignment="1" applyProtection="1">
      <alignment horizontal="center" vertical="center"/>
      <protection locked="0"/>
    </xf>
    <xf numFmtId="170" fontId="47" fillId="0" borderId="0" xfId="2" applyNumberFormat="1" applyFont="1" applyAlignment="1" applyProtection="1">
      <alignment horizontal="center" vertical="center"/>
      <protection locked="0"/>
    </xf>
    <xf numFmtId="0" fontId="22" fillId="0" borderId="3" xfId="2" applyFont="1" applyBorder="1" applyAlignment="1" applyProtection="1">
      <alignment horizontal="center" vertical="center"/>
      <protection locked="0"/>
    </xf>
    <xf numFmtId="0" fontId="22" fillId="0" borderId="0" xfId="2" applyFont="1" applyAlignment="1" applyProtection="1">
      <alignment horizontal="center" vertical="center"/>
      <protection locked="0"/>
    </xf>
    <xf numFmtId="0" fontId="46" fillId="0" borderId="0" xfId="2" applyFont="1" applyAlignment="1" applyProtection="1">
      <alignment horizontal="center" vertical="center"/>
      <protection locked="0"/>
    </xf>
    <xf numFmtId="0" fontId="47" fillId="0" borderId="23" xfId="2" applyFont="1" applyBorder="1" applyAlignment="1" applyProtection="1">
      <alignment horizontal="center" vertical="center"/>
      <protection locked="0"/>
    </xf>
    <xf numFmtId="0" fontId="46" fillId="0" borderId="3" xfId="2" applyFont="1" applyBorder="1" applyAlignment="1" applyProtection="1">
      <alignment horizontal="center" vertical="center"/>
      <protection locked="0"/>
    </xf>
    <xf numFmtId="0" fontId="36" fillId="0" borderId="3" xfId="2" applyFont="1" applyBorder="1" applyAlignment="1" applyProtection="1">
      <alignment vertical="center"/>
      <protection locked="0"/>
    </xf>
    <xf numFmtId="170" fontId="47" fillId="0" borderId="3" xfId="2" applyNumberFormat="1" applyFont="1" applyBorder="1" applyAlignment="1" applyProtection="1">
      <alignment vertical="center"/>
      <protection locked="0"/>
    </xf>
    <xf numFmtId="4" fontId="47" fillId="0" borderId="0" xfId="2" applyNumberFormat="1" applyFont="1" applyAlignment="1" applyProtection="1">
      <alignment vertical="center"/>
      <protection locked="0"/>
    </xf>
    <xf numFmtId="170" fontId="22" fillId="0" borderId="3" xfId="2" applyNumberFormat="1" applyFont="1" applyBorder="1" applyAlignment="1" applyProtection="1">
      <alignment vertical="center"/>
      <protection locked="0"/>
    </xf>
    <xf numFmtId="170" fontId="22" fillId="0" borderId="4" xfId="2" applyNumberFormat="1" applyFont="1" applyBorder="1" applyAlignment="1" applyProtection="1">
      <alignment vertical="center"/>
      <protection locked="0"/>
    </xf>
    <xf numFmtId="0" fontId="22" fillId="0" borderId="3" xfId="2" applyFont="1" applyBorder="1" applyAlignment="1" applyProtection="1">
      <alignment vertical="center"/>
      <protection locked="0"/>
    </xf>
    <xf numFmtId="184" fontId="22" fillId="0" borderId="3" xfId="2" applyNumberFormat="1" applyFont="1" applyBorder="1" applyAlignment="1" applyProtection="1">
      <alignment vertical="center"/>
      <protection locked="0"/>
    </xf>
    <xf numFmtId="165" fontId="22" fillId="0" borderId="0" xfId="2" applyNumberFormat="1" applyFont="1" applyAlignment="1" applyProtection="1">
      <alignment vertical="center"/>
      <protection locked="0"/>
    </xf>
    <xf numFmtId="166" fontId="22" fillId="0" borderId="0" xfId="2" applyNumberFormat="1" applyFont="1" applyAlignment="1" applyProtection="1">
      <alignment vertical="center"/>
      <protection locked="0"/>
    </xf>
    <xf numFmtId="0" fontId="49" fillId="0" borderId="3" xfId="0" applyFont="1" applyBorder="1" applyAlignment="1" applyProtection="1">
      <alignment horizontal="center" vertical="center"/>
      <protection locked="0"/>
    </xf>
    <xf numFmtId="0" fontId="47" fillId="0" borderId="4" xfId="2" applyFont="1" applyBorder="1" applyAlignment="1" applyProtection="1">
      <alignment vertical="center"/>
      <protection locked="0"/>
    </xf>
    <xf numFmtId="0" fontId="49" fillId="0" borderId="23" xfId="0" applyFont="1" applyBorder="1" applyAlignment="1" applyProtection="1">
      <alignment horizontal="center" vertical="center"/>
      <protection locked="0"/>
    </xf>
    <xf numFmtId="0" fontId="49" fillId="0" borderId="25" xfId="0" applyFont="1" applyBorder="1" applyAlignment="1" applyProtection="1">
      <alignment horizontal="center" vertical="center"/>
      <protection locked="0"/>
    </xf>
    <xf numFmtId="4" fontId="46" fillId="0" borderId="3" xfId="2" applyNumberFormat="1" applyFont="1" applyBorder="1" applyAlignment="1" applyProtection="1">
      <alignment horizontal="center" vertical="center"/>
      <protection locked="0"/>
    </xf>
    <xf numFmtId="4" fontId="47" fillId="0" borderId="3" xfId="2" applyNumberFormat="1" applyFont="1" applyBorder="1" applyAlignment="1" applyProtection="1">
      <alignment horizontal="center" vertical="center"/>
      <protection locked="0"/>
    </xf>
    <xf numFmtId="165" fontId="47" fillId="0" borderId="3" xfId="2" applyNumberFormat="1" applyFont="1" applyBorder="1" applyAlignment="1" applyProtection="1">
      <alignment vertical="center"/>
      <protection locked="0"/>
    </xf>
    <xf numFmtId="0" fontId="47" fillId="0" borderId="0" xfId="2" applyFont="1" applyAlignment="1" applyProtection="1">
      <alignment horizontal="left" vertical="center"/>
      <protection locked="0"/>
    </xf>
    <xf numFmtId="0" fontId="36" fillId="0" borderId="3" xfId="2" applyFont="1" applyBorder="1" applyAlignment="1" applyProtection="1">
      <alignment horizontal="center" vertical="center"/>
      <protection locked="0"/>
    </xf>
    <xf numFmtId="169" fontId="22" fillId="0" borderId="3" xfId="2" applyNumberFormat="1" applyFont="1" applyBorder="1" applyAlignment="1" applyProtection="1">
      <alignment vertical="center"/>
      <protection locked="0"/>
    </xf>
    <xf numFmtId="167" fontId="47" fillId="0" borderId="0" xfId="2" applyNumberFormat="1" applyFont="1" applyAlignment="1" applyProtection="1">
      <alignment horizontal="center" vertical="center"/>
      <protection locked="0"/>
    </xf>
    <xf numFmtId="0" fontId="49" fillId="0" borderId="4" xfId="0" applyFont="1" applyBorder="1" applyAlignment="1" applyProtection="1">
      <alignment horizontal="center" vertical="center"/>
      <protection locked="0"/>
    </xf>
    <xf numFmtId="176" fontId="47" fillId="0" borderId="3" xfId="2" applyNumberFormat="1" applyFont="1" applyBorder="1" applyAlignment="1" applyProtection="1">
      <alignment horizontal="center" vertical="center"/>
      <protection locked="0"/>
    </xf>
    <xf numFmtId="176" fontId="47" fillId="0" borderId="0" xfId="2" applyNumberFormat="1" applyFont="1" applyAlignment="1" applyProtection="1">
      <alignment horizontal="center" vertical="center"/>
      <protection locked="0"/>
    </xf>
    <xf numFmtId="176" fontId="47" fillId="0" borderId="3" xfId="2" applyNumberFormat="1" applyFont="1" applyBorder="1" applyAlignment="1" applyProtection="1">
      <alignment vertical="center"/>
      <protection locked="0"/>
    </xf>
    <xf numFmtId="197" fontId="47" fillId="0" borderId="0" xfId="2" applyNumberFormat="1" applyFont="1" applyAlignment="1" applyProtection="1">
      <alignment horizontal="center" vertical="center"/>
      <protection locked="0"/>
    </xf>
    <xf numFmtId="165" fontId="47" fillId="0" borderId="0" xfId="2" applyNumberFormat="1" applyFont="1" applyAlignment="1" applyProtection="1">
      <alignment horizontal="center" vertical="center"/>
      <protection locked="0"/>
    </xf>
    <xf numFmtId="0" fontId="33" fillId="0" borderId="3" xfId="2" applyFont="1" applyBorder="1" applyAlignment="1" applyProtection="1">
      <alignment horizontal="center" vertical="center"/>
      <protection locked="0"/>
    </xf>
    <xf numFmtId="0" fontId="50" fillId="0" borderId="0" xfId="2" applyFont="1" applyAlignment="1" applyProtection="1">
      <alignment vertical="center"/>
      <protection locked="0"/>
    </xf>
    <xf numFmtId="167" fontId="47" fillId="0" borderId="0" xfId="2" applyNumberFormat="1" applyFont="1" applyAlignment="1" applyProtection="1">
      <alignment vertical="center"/>
      <protection locked="0"/>
    </xf>
    <xf numFmtId="2" fontId="49" fillId="0" borderId="3" xfId="0" applyNumberFormat="1" applyFont="1" applyBorder="1" applyAlignment="1" applyProtection="1">
      <alignment horizontal="center" vertical="center"/>
      <protection locked="0"/>
    </xf>
    <xf numFmtId="2" fontId="49" fillId="0" borderId="4" xfId="0" applyNumberFormat="1" applyFont="1" applyBorder="1" applyAlignment="1" applyProtection="1">
      <alignment horizontal="center" vertical="center"/>
      <protection locked="0"/>
    </xf>
    <xf numFmtId="0" fontId="47" fillId="0" borderId="0" xfId="2" applyFont="1" applyAlignment="1">
      <alignment horizontal="center" vertical="center"/>
    </xf>
    <xf numFmtId="165" fontId="22" fillId="0" borderId="3" xfId="2" applyNumberFormat="1" applyFont="1" applyBorder="1" applyAlignment="1" applyProtection="1">
      <alignment horizontal="center" vertical="center"/>
      <protection locked="0"/>
    </xf>
    <xf numFmtId="166" fontId="22" fillId="0" borderId="3" xfId="2" applyNumberFormat="1" applyFont="1" applyBorder="1" applyAlignment="1" applyProtection="1">
      <alignment horizontal="center" vertical="center"/>
      <protection locked="0"/>
    </xf>
    <xf numFmtId="195" fontId="33" fillId="0" borderId="3" xfId="2" applyNumberFormat="1" applyFont="1" applyBorder="1" applyAlignment="1" applyProtection="1">
      <alignment horizontal="center" vertical="center"/>
      <protection locked="0"/>
    </xf>
    <xf numFmtId="4" fontId="47" fillId="0" borderId="3" xfId="2" applyNumberFormat="1" applyFont="1" applyBorder="1" applyAlignment="1" applyProtection="1">
      <alignment vertical="center"/>
      <protection locked="0"/>
    </xf>
    <xf numFmtId="166" fontId="47" fillId="0" borderId="3" xfId="2" applyNumberFormat="1" applyFont="1" applyBorder="1" applyAlignment="1" applyProtection="1">
      <alignment vertical="center"/>
      <protection locked="0"/>
    </xf>
    <xf numFmtId="2" fontId="55" fillId="0" borderId="3" xfId="0" applyNumberFormat="1" applyFont="1" applyBorder="1" applyAlignment="1" applyProtection="1">
      <alignment horizontal="center" vertical="center"/>
      <protection locked="0"/>
    </xf>
    <xf numFmtId="176" fontId="47" fillId="0" borderId="0" xfId="2" applyNumberFormat="1" applyFont="1" applyAlignment="1" applyProtection="1">
      <alignment vertical="center"/>
      <protection locked="0"/>
    </xf>
    <xf numFmtId="0" fontId="22" fillId="0" borderId="4" xfId="2" applyFont="1" applyBorder="1" applyAlignment="1" applyProtection="1">
      <alignment vertical="center"/>
      <protection locked="0"/>
    </xf>
    <xf numFmtId="184" fontId="22" fillId="0" borderId="3" xfId="2" applyNumberFormat="1" applyFont="1" applyBorder="1" applyAlignment="1" applyProtection="1">
      <alignment horizontal="center" vertical="center"/>
      <protection locked="0"/>
    </xf>
    <xf numFmtId="0" fontId="47" fillId="0" borderId="0" xfId="2" quotePrefix="1" applyFont="1" applyAlignment="1" applyProtection="1">
      <alignment vertical="center"/>
      <protection locked="0"/>
    </xf>
    <xf numFmtId="195" fontId="46" fillId="0" borderId="3" xfId="2" applyNumberFormat="1" applyFont="1" applyBorder="1" applyAlignment="1" applyProtection="1">
      <alignment horizontal="center" vertical="center"/>
      <protection locked="0"/>
    </xf>
    <xf numFmtId="4" fontId="59" fillId="0" borderId="3" xfId="2" applyNumberFormat="1" applyFont="1" applyBorder="1" applyAlignment="1" applyProtection="1">
      <alignment horizontal="center" vertical="center"/>
      <protection locked="0"/>
    </xf>
    <xf numFmtId="4" fontId="60" fillId="0" borderId="3" xfId="2" applyNumberFormat="1" applyFont="1" applyBorder="1" applyAlignment="1" applyProtection="1">
      <alignment horizontal="center" vertical="center"/>
      <protection locked="0"/>
    </xf>
    <xf numFmtId="1" fontId="47" fillId="0" borderId="0" xfId="2" applyNumberFormat="1" applyFont="1" applyAlignment="1" applyProtection="1">
      <alignment vertical="center"/>
      <protection locked="0"/>
    </xf>
    <xf numFmtId="2" fontId="47" fillId="0" borderId="0" xfId="2" applyNumberFormat="1" applyFont="1" applyAlignment="1" applyProtection="1">
      <alignment vertical="center"/>
      <protection locked="0"/>
    </xf>
    <xf numFmtId="4" fontId="22" fillId="0" borderId="3" xfId="2" applyNumberFormat="1" applyFont="1" applyBorder="1" applyAlignment="1" applyProtection="1">
      <alignment vertical="center"/>
      <protection locked="0"/>
    </xf>
    <xf numFmtId="1" fontId="47" fillId="0" borderId="0" xfId="2" applyNumberFormat="1" applyFont="1" applyAlignment="1" applyProtection="1">
      <alignment horizontal="center" vertical="center"/>
      <protection locked="0"/>
    </xf>
    <xf numFmtId="43" fontId="47" fillId="0" borderId="0" xfId="2" applyNumberFormat="1" applyFont="1" applyAlignment="1" applyProtection="1">
      <alignment vertical="center"/>
      <protection locked="0"/>
    </xf>
    <xf numFmtId="0" fontId="36" fillId="0" borderId="0" xfId="2" applyFont="1" applyAlignment="1" applyProtection="1">
      <alignment vertical="center"/>
      <protection locked="0"/>
    </xf>
    <xf numFmtId="169" fontId="22" fillId="0" borderId="3" xfId="2" applyNumberFormat="1" applyFont="1" applyBorder="1" applyAlignment="1" applyProtection="1">
      <alignment horizontal="center" vertical="center"/>
      <protection locked="0"/>
    </xf>
    <xf numFmtId="4" fontId="36" fillId="0" borderId="3" xfId="2" applyNumberFormat="1" applyFont="1" applyBorder="1" applyAlignment="1" applyProtection="1">
      <alignment horizontal="center" vertical="center"/>
      <protection locked="0"/>
    </xf>
    <xf numFmtId="167" fontId="22" fillId="0" borderId="3" xfId="2" applyNumberFormat="1" applyFont="1" applyBorder="1" applyAlignment="1" applyProtection="1">
      <alignment horizontal="center" vertical="center"/>
      <protection locked="0"/>
    </xf>
    <xf numFmtId="165" fontId="22" fillId="0" borderId="3" xfId="2" applyNumberFormat="1" applyFont="1" applyBorder="1" applyAlignment="1" applyProtection="1">
      <alignment vertical="center"/>
      <protection locked="0"/>
    </xf>
    <xf numFmtId="14" fontId="47" fillId="0" borderId="3" xfId="2" applyNumberFormat="1" applyFont="1" applyBorder="1" applyAlignment="1" applyProtection="1">
      <alignment horizontal="center" vertical="center"/>
      <protection locked="0"/>
    </xf>
    <xf numFmtId="2" fontId="22" fillId="0" borderId="3" xfId="2" applyNumberFormat="1" applyFont="1" applyBorder="1" applyAlignment="1" applyProtection="1">
      <alignment vertical="center"/>
      <protection locked="0"/>
    </xf>
    <xf numFmtId="2" fontId="22" fillId="0" borderId="0" xfId="2" applyNumberFormat="1" applyFont="1" applyAlignment="1" applyProtection="1">
      <alignment vertical="center"/>
      <protection locked="0"/>
    </xf>
    <xf numFmtId="4" fontId="22" fillId="0" borderId="3" xfId="2" applyNumberFormat="1" applyFont="1" applyBorder="1" applyAlignment="1" applyProtection="1">
      <alignment horizontal="center" vertical="center"/>
      <protection locked="0"/>
    </xf>
    <xf numFmtId="0" fontId="56" fillId="0" borderId="0" xfId="2" applyFont="1" applyAlignment="1" applyProtection="1">
      <alignment vertical="center"/>
      <protection locked="0"/>
    </xf>
    <xf numFmtId="0" fontId="15" fillId="0" borderId="25" xfId="2" applyFont="1" applyBorder="1" applyAlignment="1" applyProtection="1">
      <alignment vertical="center"/>
      <protection locked="0"/>
    </xf>
    <xf numFmtId="0" fontId="22" fillId="0" borderId="26" xfId="2" applyFont="1" applyBorder="1" applyAlignment="1" applyProtection="1">
      <alignment vertical="center"/>
      <protection locked="0"/>
    </xf>
    <xf numFmtId="0" fontId="22" fillId="0" borderId="23" xfId="2" applyFont="1" applyBorder="1" applyAlignment="1" applyProtection="1">
      <alignment vertical="center"/>
      <protection locked="0"/>
    </xf>
    <xf numFmtId="2" fontId="48" fillId="0" borderId="23" xfId="0" applyNumberFormat="1" applyFont="1" applyBorder="1" applyAlignment="1" applyProtection="1">
      <alignment horizontal="center"/>
      <protection locked="0"/>
    </xf>
    <xf numFmtId="0" fontId="22" fillId="0" borderId="0" xfId="2" applyFont="1" applyAlignment="1">
      <alignment vertical="center"/>
    </xf>
    <xf numFmtId="197" fontId="22" fillId="0" borderId="0" xfId="2" applyNumberFormat="1" applyFont="1" applyAlignment="1" applyProtection="1">
      <alignment vertical="center"/>
      <protection locked="0"/>
    </xf>
    <xf numFmtId="0" fontId="15" fillId="0" borderId="4" xfId="2" applyFont="1" applyBorder="1" applyAlignment="1" applyProtection="1">
      <alignment vertical="center"/>
      <protection locked="0"/>
    </xf>
    <xf numFmtId="0" fontId="22" fillId="0" borderId="39" xfId="2" applyFont="1" applyBorder="1" applyAlignment="1" applyProtection="1">
      <alignment vertical="center"/>
      <protection locked="0"/>
    </xf>
    <xf numFmtId="197" fontId="36" fillId="0" borderId="3" xfId="2" applyNumberFormat="1" applyFont="1" applyBorder="1" applyAlignment="1" applyProtection="1">
      <alignment horizontal="center" vertical="center"/>
      <protection locked="0"/>
    </xf>
    <xf numFmtId="0" fontId="22" fillId="0" borderId="4" xfId="2" applyFont="1" applyBorder="1" applyAlignment="1" applyProtection="1">
      <alignment horizontal="center" vertical="center"/>
      <protection locked="0"/>
    </xf>
    <xf numFmtId="0" fontId="22" fillId="0" borderId="8" xfId="2" applyFont="1" applyBorder="1" applyAlignment="1" applyProtection="1">
      <alignment horizontal="center" vertical="center"/>
      <protection locked="0"/>
    </xf>
    <xf numFmtId="0" fontId="33" fillId="0" borderId="0" xfId="2" applyFont="1" applyAlignment="1" applyProtection="1">
      <alignment vertical="center"/>
      <protection locked="0"/>
    </xf>
    <xf numFmtId="0" fontId="22" fillId="0" borderId="24" xfId="2" applyFont="1" applyBorder="1" applyAlignment="1" applyProtection="1">
      <alignment horizontal="center" vertical="center"/>
      <protection locked="0"/>
    </xf>
    <xf numFmtId="0" fontId="46" fillId="0" borderId="4" xfId="2" applyFont="1" applyBorder="1" applyAlignment="1" applyProtection="1">
      <alignment horizontal="center" vertical="center"/>
      <protection locked="0"/>
    </xf>
    <xf numFmtId="192" fontId="46" fillId="0" borderId="3" xfId="2" applyNumberFormat="1" applyFont="1" applyBorder="1" applyAlignment="1" applyProtection="1">
      <alignment horizontal="center" vertical="center"/>
      <protection locked="0"/>
    </xf>
    <xf numFmtId="0" fontId="22" fillId="0" borderId="8" xfId="2" applyFont="1" applyBorder="1" applyAlignment="1" applyProtection="1">
      <alignment vertical="center"/>
      <protection locked="0"/>
    </xf>
    <xf numFmtId="170" fontId="22" fillId="0" borderId="3" xfId="2" applyNumberFormat="1" applyFont="1" applyBorder="1" applyAlignment="1" applyProtection="1">
      <alignment horizontal="center" vertical="center"/>
      <protection locked="0"/>
    </xf>
    <xf numFmtId="4" fontId="22" fillId="0" borderId="0" xfId="2" applyNumberFormat="1" applyFont="1" applyAlignment="1" applyProtection="1">
      <alignment vertical="center"/>
      <protection locked="0"/>
    </xf>
    <xf numFmtId="195" fontId="22" fillId="0" borderId="3" xfId="2" applyNumberFormat="1" applyFont="1" applyBorder="1" applyAlignment="1" applyProtection="1">
      <alignment horizontal="center" vertical="center"/>
      <protection locked="0"/>
    </xf>
    <xf numFmtId="14" fontId="22" fillId="0" borderId="3" xfId="2" applyNumberFormat="1" applyFont="1" applyBorder="1" applyAlignment="1" applyProtection="1">
      <alignment horizontal="center" vertical="center"/>
      <protection locked="0"/>
    </xf>
    <xf numFmtId="190" fontId="46" fillId="0" borderId="3" xfId="2" applyNumberFormat="1" applyFont="1" applyBorder="1" applyAlignment="1" applyProtection="1">
      <alignment horizontal="center" vertical="center"/>
      <protection locked="0"/>
    </xf>
    <xf numFmtId="170" fontId="56" fillId="0" borderId="3" xfId="2" applyNumberFormat="1" applyFont="1" applyBorder="1" applyAlignment="1" applyProtection="1">
      <alignment vertical="center"/>
      <protection locked="0"/>
    </xf>
    <xf numFmtId="0" fontId="22" fillId="0" borderId="23" xfId="2" applyFont="1" applyBorder="1" applyAlignment="1" applyProtection="1">
      <alignment horizontal="center" vertical="center"/>
      <protection locked="0"/>
    </xf>
    <xf numFmtId="0" fontId="56" fillId="0" borderId="3" xfId="2" applyFont="1" applyBorder="1" applyAlignment="1" applyProtection="1">
      <alignment vertical="center"/>
      <protection locked="0"/>
    </xf>
    <xf numFmtId="170" fontId="56" fillId="0" borderId="3" xfId="2" applyNumberFormat="1" applyFont="1" applyBorder="1" applyAlignment="1" applyProtection="1">
      <alignment horizontal="center" vertical="center"/>
      <protection locked="0"/>
    </xf>
    <xf numFmtId="0" fontId="22" fillId="0" borderId="25" xfId="2" applyFont="1" applyBorder="1" applyAlignment="1" applyProtection="1">
      <alignment vertical="center"/>
      <protection locked="0"/>
    </xf>
    <xf numFmtId="0" fontId="22" fillId="0" borderId="27" xfId="2" applyFont="1" applyBorder="1" applyAlignment="1" applyProtection="1">
      <alignment vertical="center"/>
      <protection locked="0"/>
    </xf>
    <xf numFmtId="170" fontId="15" fillId="0" borderId="3" xfId="2" applyNumberFormat="1" applyFont="1" applyBorder="1" applyAlignment="1" applyProtection="1">
      <alignment vertical="center"/>
      <protection locked="0"/>
    </xf>
    <xf numFmtId="43" fontId="22" fillId="0" borderId="3" xfId="2" applyNumberFormat="1" applyFont="1" applyBorder="1" applyAlignment="1" applyProtection="1">
      <alignment vertical="center"/>
      <protection locked="0"/>
    </xf>
    <xf numFmtId="0" fontId="22" fillId="0" borderId="40" xfId="2" applyFont="1" applyBorder="1" applyAlignment="1" applyProtection="1">
      <alignment vertical="center"/>
      <protection locked="0"/>
    </xf>
    <xf numFmtId="14" fontId="22" fillId="0" borderId="3" xfId="2" applyNumberFormat="1" applyFont="1" applyBorder="1" applyAlignment="1" applyProtection="1">
      <alignment vertical="center"/>
      <protection locked="0"/>
    </xf>
    <xf numFmtId="0" fontId="22" fillId="0" borderId="0" xfId="2" applyFont="1" applyAlignment="1" applyProtection="1">
      <alignment horizontal="right" vertical="center"/>
      <protection locked="0"/>
    </xf>
    <xf numFmtId="2" fontId="48" fillId="0" borderId="0" xfId="0" applyNumberFormat="1" applyFont="1" applyAlignment="1" applyProtection="1">
      <alignment horizontal="center"/>
      <protection locked="0"/>
    </xf>
    <xf numFmtId="2" fontId="48" fillId="0" borderId="0" xfId="0" applyNumberFormat="1" applyFont="1" applyAlignment="1" applyProtection="1">
      <alignment horizontal="center" vertical="center"/>
      <protection locked="0"/>
    </xf>
    <xf numFmtId="170" fontId="57" fillId="0" borderId="3" xfId="2" applyNumberFormat="1" applyFont="1" applyBorder="1" applyAlignment="1" applyProtection="1">
      <alignment vertical="center"/>
      <protection locked="0"/>
    </xf>
    <xf numFmtId="189" fontId="46" fillId="0" borderId="3" xfId="2" applyNumberFormat="1" applyFont="1" applyBorder="1" applyAlignment="1" applyProtection="1">
      <alignment horizontal="center" vertical="center"/>
      <protection locked="0"/>
    </xf>
    <xf numFmtId="4" fontId="15" fillId="0" borderId="3" xfId="2" applyNumberFormat="1" applyFont="1" applyBorder="1" applyAlignment="1" applyProtection="1">
      <alignment horizontal="center" vertical="center"/>
      <protection locked="0"/>
    </xf>
    <xf numFmtId="4" fontId="57" fillId="0" borderId="3" xfId="2" applyNumberFormat="1" applyFont="1" applyBorder="1" applyAlignment="1" applyProtection="1">
      <alignment horizontal="center" vertical="center"/>
      <protection locked="0"/>
    </xf>
    <xf numFmtId="43" fontId="22" fillId="0" borderId="0" xfId="2" applyNumberFormat="1" applyFont="1" applyAlignment="1" applyProtection="1">
      <alignment vertical="center"/>
      <protection locked="0"/>
    </xf>
    <xf numFmtId="0" fontId="22" fillId="0" borderId="0" xfId="2" quotePrefix="1" applyFont="1" applyAlignment="1" applyProtection="1">
      <alignment vertical="center"/>
      <protection locked="0"/>
    </xf>
    <xf numFmtId="1" fontId="22" fillId="0" borderId="0" xfId="2" applyNumberFormat="1" applyFont="1" applyAlignment="1" applyProtection="1">
      <alignment vertical="center"/>
      <protection locked="0"/>
    </xf>
    <xf numFmtId="0" fontId="22" fillId="0" borderId="29" xfId="2" applyFont="1" applyBorder="1" applyAlignment="1" applyProtection="1">
      <alignment vertical="center"/>
      <protection locked="0"/>
    </xf>
    <xf numFmtId="0" fontId="22" fillId="0" borderId="6" xfId="2" applyFont="1" applyBorder="1" applyAlignment="1" applyProtection="1">
      <alignment vertical="center"/>
      <protection locked="0"/>
    </xf>
    <xf numFmtId="0" fontId="22" fillId="0" borderId="7" xfId="2" applyFont="1" applyBorder="1" applyAlignment="1" applyProtection="1">
      <alignment vertical="center"/>
      <protection locked="0"/>
    </xf>
    <xf numFmtId="0" fontId="22" fillId="0" borderId="5" xfId="2" applyFont="1" applyBorder="1" applyAlignment="1" applyProtection="1">
      <alignment vertical="center"/>
      <protection locked="0"/>
    </xf>
    <xf numFmtId="170" fontId="15" fillId="0" borderId="0" xfId="2" applyNumberFormat="1" applyFont="1" applyAlignment="1" applyProtection="1">
      <alignment vertical="center"/>
      <protection locked="0"/>
    </xf>
    <xf numFmtId="0" fontId="56" fillId="0" borderId="3" xfId="2" applyFont="1" applyBorder="1" applyAlignment="1" applyProtection="1">
      <alignment horizontal="center" vertical="center"/>
      <protection locked="0"/>
    </xf>
    <xf numFmtId="184" fontId="56" fillId="0" borderId="3" xfId="2" applyNumberFormat="1" applyFont="1" applyBorder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horizontal="center" vertical="center" textRotation="90"/>
      <protection locked="0"/>
    </xf>
    <xf numFmtId="0" fontId="22" fillId="0" borderId="3" xfId="2" applyFont="1" applyBorder="1" applyAlignment="1" applyProtection="1">
      <alignment horizontal="right" vertical="center"/>
      <protection locked="0"/>
    </xf>
    <xf numFmtId="4" fontId="57" fillId="0" borderId="3" xfId="2" applyNumberFormat="1" applyFont="1" applyBorder="1" applyAlignment="1" applyProtection="1">
      <alignment vertical="center"/>
      <protection locked="0"/>
    </xf>
    <xf numFmtId="0" fontId="57" fillId="0" borderId="3" xfId="2" applyFont="1" applyBorder="1" applyAlignment="1" applyProtection="1">
      <alignment vertical="center"/>
      <protection locked="0"/>
    </xf>
    <xf numFmtId="43" fontId="22" fillId="0" borderId="4" xfId="2" applyNumberFormat="1" applyFont="1" applyBorder="1" applyAlignment="1" applyProtection="1">
      <alignment horizontal="center" vertical="center"/>
      <protection locked="0"/>
    </xf>
    <xf numFmtId="43" fontId="22" fillId="0" borderId="3" xfId="2" applyNumberFormat="1" applyFont="1" applyBorder="1" applyAlignment="1" applyProtection="1">
      <alignment horizontal="center" vertical="center"/>
      <protection locked="0"/>
    </xf>
    <xf numFmtId="14" fontId="22" fillId="0" borderId="0" xfId="2" applyNumberFormat="1" applyFont="1" applyAlignment="1" applyProtection="1">
      <alignment vertical="center"/>
      <protection locked="0"/>
    </xf>
    <xf numFmtId="176" fontId="22" fillId="0" borderId="0" xfId="2" applyNumberFormat="1" applyFont="1" applyAlignment="1" applyProtection="1">
      <alignment horizontal="center" vertical="center"/>
      <protection locked="0"/>
    </xf>
    <xf numFmtId="0" fontId="22" fillId="0" borderId="0" xfId="3" applyFont="1" applyProtection="1">
      <protection locked="0"/>
    </xf>
    <xf numFmtId="0" fontId="22" fillId="0" borderId="0" xfId="3" applyFont="1" applyAlignment="1" applyProtection="1">
      <alignment vertical="center"/>
      <protection locked="0"/>
    </xf>
    <xf numFmtId="0" fontId="32" fillId="0" borderId="23" xfId="0" applyFont="1" applyBorder="1" applyAlignment="1" applyProtection="1">
      <alignment horizontal="center" vertical="center"/>
      <protection locked="0"/>
    </xf>
    <xf numFmtId="169" fontId="22" fillId="0" borderId="4" xfId="2" applyNumberFormat="1" applyFont="1" applyBorder="1" applyAlignment="1" applyProtection="1">
      <alignment vertical="center"/>
      <protection locked="0"/>
    </xf>
    <xf numFmtId="167" fontId="22" fillId="0" borderId="3" xfId="2" applyNumberFormat="1" applyFont="1" applyBorder="1" applyAlignment="1" applyProtection="1">
      <alignment vertical="center"/>
      <protection locked="0"/>
    </xf>
    <xf numFmtId="167" fontId="22" fillId="0" borderId="0" xfId="2" applyNumberFormat="1" applyFont="1" applyAlignment="1" applyProtection="1">
      <alignment vertical="center"/>
      <protection locked="0"/>
    </xf>
    <xf numFmtId="178" fontId="22" fillId="0" borderId="0" xfId="2" applyNumberFormat="1" applyFont="1" applyAlignment="1" applyProtection="1">
      <alignment vertical="center"/>
      <protection locked="0"/>
    </xf>
    <xf numFmtId="0" fontId="57" fillId="0" borderId="0" xfId="2" applyFont="1" applyAlignment="1" applyProtection="1">
      <alignment vertical="center"/>
      <protection locked="0"/>
    </xf>
    <xf numFmtId="0" fontId="32" fillId="0" borderId="24" xfId="0" applyFont="1" applyBorder="1" applyAlignment="1" applyProtection="1">
      <alignment horizontal="center"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22" fillId="0" borderId="0" xfId="3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4" fontId="32" fillId="0" borderId="47" xfId="0" applyNumberFormat="1" applyFont="1" applyBorder="1" applyAlignment="1" applyProtection="1">
      <alignment horizontal="center" vertical="center"/>
      <protection locked="0"/>
    </xf>
    <xf numFmtId="166" fontId="22" fillId="0" borderId="3" xfId="2" applyNumberFormat="1" applyFont="1" applyBorder="1" applyAlignment="1" applyProtection="1">
      <alignment vertical="center"/>
      <protection locked="0"/>
    </xf>
    <xf numFmtId="2" fontId="47" fillId="0" borderId="3" xfId="2" applyNumberFormat="1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4" fontId="32" fillId="0" borderId="24" xfId="0" applyNumberFormat="1" applyFont="1" applyBorder="1" applyAlignment="1" applyProtection="1">
      <alignment horizontal="center" vertical="center"/>
      <protection locked="0"/>
    </xf>
    <xf numFmtId="14" fontId="22" fillId="0" borderId="0" xfId="2" applyNumberFormat="1" applyFont="1" applyAlignment="1" applyProtection="1">
      <alignment horizontal="right" vertical="center"/>
      <protection locked="0"/>
    </xf>
    <xf numFmtId="179" fontId="22" fillId="0" borderId="0" xfId="2" applyNumberFormat="1" applyFont="1" applyAlignment="1" applyProtection="1">
      <alignment horizontal="center" vertical="center"/>
      <protection locked="0"/>
    </xf>
    <xf numFmtId="176" fontId="56" fillId="0" borderId="3" xfId="2" applyNumberFormat="1" applyFont="1" applyBorder="1" applyAlignment="1" applyProtection="1">
      <alignment horizontal="center" vertical="center"/>
      <protection locked="0"/>
    </xf>
    <xf numFmtId="176" fontId="22" fillId="0" borderId="3" xfId="2" applyNumberFormat="1" applyFont="1" applyBorder="1" applyAlignment="1" applyProtection="1">
      <alignment horizontal="center" vertical="center"/>
      <protection locked="0"/>
    </xf>
    <xf numFmtId="0" fontId="52" fillId="0" borderId="49" xfId="2" applyFont="1" applyBorder="1" applyAlignment="1" applyProtection="1">
      <alignment horizontal="center" vertical="center"/>
      <protection locked="0"/>
    </xf>
    <xf numFmtId="0" fontId="15" fillId="0" borderId="3" xfId="2" applyFont="1" applyBorder="1" applyAlignment="1" applyProtection="1">
      <alignment vertical="center"/>
      <protection locked="0"/>
    </xf>
    <xf numFmtId="171" fontId="22" fillId="0" borderId="3" xfId="3" applyNumberFormat="1" applyFont="1" applyBorder="1" applyProtection="1">
      <protection locked="0"/>
    </xf>
    <xf numFmtId="0" fontId="15" fillId="0" borderId="0" xfId="3" applyFont="1" applyProtection="1">
      <protection locked="0"/>
    </xf>
    <xf numFmtId="0" fontId="15" fillId="0" borderId="3" xfId="3" applyFont="1" applyBorder="1" applyAlignment="1" applyProtection="1">
      <alignment horizontal="center"/>
      <protection locked="0"/>
    </xf>
    <xf numFmtId="0" fontId="15" fillId="0" borderId="3" xfId="3" applyFont="1" applyBorder="1" applyAlignment="1" applyProtection="1">
      <alignment vertical="center"/>
      <protection locked="0"/>
    </xf>
    <xf numFmtId="0" fontId="15" fillId="0" borderId="0" xfId="3" applyFont="1" applyAlignment="1" applyProtection="1">
      <alignment vertical="center"/>
      <protection locked="0"/>
    </xf>
    <xf numFmtId="2" fontId="53" fillId="0" borderId="0" xfId="3" applyNumberFormat="1" applyFont="1" applyAlignment="1" applyProtection="1">
      <alignment vertical="center"/>
      <protection locked="0"/>
    </xf>
    <xf numFmtId="2" fontId="36" fillId="0" borderId="0" xfId="3" applyNumberFormat="1" applyFont="1" applyAlignment="1" applyProtection="1">
      <alignment vertical="center"/>
      <protection locked="0"/>
    </xf>
    <xf numFmtId="0" fontId="54" fillId="0" borderId="0" xfId="3" applyFont="1" applyAlignment="1" applyProtection="1">
      <alignment vertical="center"/>
      <protection locked="0"/>
    </xf>
    <xf numFmtId="186" fontId="22" fillId="0" borderId="3" xfId="2" applyNumberFormat="1" applyFont="1" applyBorder="1" applyAlignment="1" applyProtection="1">
      <alignment vertical="center"/>
      <protection locked="0"/>
    </xf>
    <xf numFmtId="186" fontId="57" fillId="0" borderId="3" xfId="2" applyNumberFormat="1" applyFont="1" applyBorder="1" applyAlignment="1" applyProtection="1">
      <alignment vertical="center"/>
      <protection locked="0"/>
    </xf>
    <xf numFmtId="176" fontId="56" fillId="0" borderId="3" xfId="2" applyNumberFormat="1" applyFont="1" applyBorder="1" applyAlignment="1" applyProtection="1">
      <alignment vertical="center"/>
      <protection locked="0"/>
    </xf>
    <xf numFmtId="176" fontId="22" fillId="0" borderId="3" xfId="2" applyNumberFormat="1" applyFont="1" applyBorder="1" applyAlignment="1" applyProtection="1">
      <alignment vertical="center"/>
      <protection locked="0"/>
    </xf>
    <xf numFmtId="188" fontId="22" fillId="0" borderId="3" xfId="2" applyNumberFormat="1" applyFont="1" applyBorder="1" applyAlignment="1" applyProtection="1">
      <alignment horizontal="center" vertical="center"/>
      <protection locked="0"/>
    </xf>
    <xf numFmtId="0" fontId="22" fillId="0" borderId="3" xfId="3" applyFont="1" applyBorder="1" applyAlignment="1" applyProtection="1">
      <alignment horizontal="center"/>
      <protection locked="0"/>
    </xf>
    <xf numFmtId="0" fontId="15" fillId="0" borderId="4" xfId="3" applyFont="1" applyBorder="1" applyAlignment="1" applyProtection="1">
      <alignment horizontal="center"/>
      <protection locked="0"/>
    </xf>
    <xf numFmtId="0" fontId="56" fillId="0" borderId="3" xfId="3" applyFont="1" applyBorder="1" applyAlignment="1" applyProtection="1">
      <alignment horizontal="center"/>
      <protection locked="0"/>
    </xf>
    <xf numFmtId="173" fontId="56" fillId="0" borderId="3" xfId="2" applyNumberFormat="1" applyFont="1" applyBorder="1" applyAlignment="1" applyProtection="1">
      <alignment vertical="center"/>
      <protection locked="0"/>
    </xf>
    <xf numFmtId="0" fontId="15" fillId="0" borderId="4" xfId="2" applyFont="1" applyBorder="1" applyAlignment="1" applyProtection="1">
      <alignment horizontal="center" vertical="center"/>
      <protection locked="0"/>
    </xf>
    <xf numFmtId="173" fontId="22" fillId="0" borderId="3" xfId="2" applyNumberFormat="1" applyFont="1" applyBorder="1" applyAlignment="1" applyProtection="1">
      <alignment vertical="center"/>
      <protection locked="0"/>
    </xf>
    <xf numFmtId="179" fontId="22" fillId="0" borderId="3" xfId="2" applyNumberFormat="1" applyFont="1" applyBorder="1" applyAlignment="1" applyProtection="1">
      <alignment horizontal="center" vertical="center"/>
      <protection locked="0"/>
    </xf>
    <xf numFmtId="179" fontId="22" fillId="0" borderId="0" xfId="2" applyNumberFormat="1" applyFont="1" applyAlignment="1" applyProtection="1">
      <alignment vertical="center"/>
      <protection locked="0"/>
    </xf>
    <xf numFmtId="0" fontId="56" fillId="22" borderId="3" xfId="2" applyFont="1" applyFill="1" applyBorder="1" applyAlignment="1" applyProtection="1">
      <alignment vertical="center"/>
      <protection locked="0"/>
    </xf>
    <xf numFmtId="170" fontId="56" fillId="23" borderId="0" xfId="2" applyNumberFormat="1" applyFont="1" applyFill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/>
    </xf>
    <xf numFmtId="198" fontId="0" fillId="0" borderId="0" xfId="0" applyNumberFormat="1" applyAlignment="1">
      <alignment horizontal="center" vertical="center" wrapText="1"/>
    </xf>
    <xf numFmtId="0" fontId="0" fillId="26" borderId="3" xfId="0" applyFill="1" applyBorder="1" applyAlignment="1">
      <alignment horizontal="right"/>
    </xf>
    <xf numFmtId="0" fontId="0" fillId="26" borderId="3" xfId="0" applyFill="1" applyBorder="1" applyAlignment="1">
      <alignment horizontal="center" vertical="center" wrapText="1"/>
    </xf>
    <xf numFmtId="198" fontId="0" fillId="26" borderId="3" xfId="0" applyNumberFormat="1" applyFill="1" applyBorder="1" applyAlignment="1">
      <alignment horizontal="center" vertical="center" wrapText="1"/>
    </xf>
    <xf numFmtId="0" fontId="0" fillId="0" borderId="3" xfId="0" applyBorder="1" applyAlignment="1">
      <alignment wrapText="1"/>
    </xf>
    <xf numFmtId="0" fontId="4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61" fillId="0" borderId="0" xfId="5" applyAlignment="1">
      <alignment vertical="center" wrapText="1"/>
    </xf>
    <xf numFmtId="0" fontId="43" fillId="0" borderId="0" xfId="0" applyFont="1" applyAlignment="1">
      <alignment vertical="center" wrapText="1"/>
    </xf>
    <xf numFmtId="0" fontId="44" fillId="23" borderId="0" xfId="2" applyFont="1" applyFill="1" applyAlignment="1" applyProtection="1">
      <alignment vertical="center"/>
      <protection locked="0"/>
    </xf>
    <xf numFmtId="0" fontId="44" fillId="23" borderId="3" xfId="2" applyFont="1" applyFill="1" applyBorder="1" applyAlignment="1" applyProtection="1">
      <alignment vertical="center"/>
      <protection locked="0"/>
    </xf>
    <xf numFmtId="0" fontId="6" fillId="15" borderId="0" xfId="2" applyFont="1" applyFill="1" applyAlignment="1">
      <alignment horizontal="right" vertical="center"/>
    </xf>
    <xf numFmtId="171" fontId="22" fillId="0" borderId="3" xfId="2" applyNumberFormat="1" applyFont="1" applyBorder="1" applyAlignment="1" applyProtection="1">
      <alignment horizontal="center" vertical="center"/>
      <protection locked="0"/>
    </xf>
    <xf numFmtId="201" fontId="22" fillId="21" borderId="0" xfId="2" applyNumberFormat="1" applyFont="1" applyFill="1" applyAlignment="1" applyProtection="1">
      <alignment vertical="center"/>
      <protection locked="0"/>
    </xf>
    <xf numFmtId="0" fontId="22" fillId="22" borderId="0" xfId="2" applyFont="1" applyFill="1" applyAlignment="1" applyProtection="1">
      <alignment horizontal="center" vertical="center"/>
      <protection locked="0"/>
    </xf>
    <xf numFmtId="0" fontId="9" fillId="22" borderId="0" xfId="2" applyFont="1" applyFill="1" applyAlignment="1">
      <alignment vertical="center"/>
    </xf>
    <xf numFmtId="0" fontId="5" fillId="15" borderId="4" xfId="2" applyFont="1" applyFill="1" applyBorder="1" applyAlignment="1">
      <alignment horizontal="center" vertical="center"/>
    </xf>
    <xf numFmtId="0" fontId="5" fillId="15" borderId="8" xfId="2" applyFont="1" applyFill="1" applyBorder="1" applyAlignment="1">
      <alignment horizontal="center" vertical="center"/>
    </xf>
    <xf numFmtId="0" fontId="36" fillId="0" borderId="6" xfId="2" applyFont="1" applyBorder="1" applyAlignment="1" applyProtection="1">
      <alignment horizontal="center" vertical="center"/>
      <protection locked="0"/>
    </xf>
    <xf numFmtId="0" fontId="22" fillId="0" borderId="4" xfId="2" applyFont="1" applyBorder="1" applyAlignment="1" applyProtection="1">
      <alignment horizontal="center" vertical="center"/>
      <protection locked="0"/>
    </xf>
    <xf numFmtId="0" fontId="22" fillId="0" borderId="5" xfId="2" applyFont="1" applyBorder="1" applyAlignment="1" applyProtection="1">
      <alignment horizontal="center" vertical="center"/>
      <protection locked="0"/>
    </xf>
    <xf numFmtId="0" fontId="22" fillId="0" borderId="8" xfId="2" applyFont="1" applyBorder="1" applyAlignment="1" applyProtection="1">
      <alignment horizontal="center" vertical="center"/>
      <protection locked="0"/>
    </xf>
    <xf numFmtId="0" fontId="17" fillId="7" borderId="4" xfId="2" applyFont="1" applyFill="1" applyBorder="1" applyAlignment="1">
      <alignment horizontal="center" vertical="center"/>
    </xf>
    <xf numFmtId="0" fontId="17" fillId="7" borderId="8" xfId="2" applyFont="1" applyFill="1" applyBorder="1" applyAlignment="1">
      <alignment horizontal="center" vertical="center"/>
    </xf>
    <xf numFmtId="43" fontId="22" fillId="0" borderId="0" xfId="4" applyFont="1" applyFill="1" applyAlignment="1" applyProtection="1">
      <alignment horizontal="center" vertical="center"/>
      <protection locked="0"/>
    </xf>
    <xf numFmtId="0" fontId="47" fillId="0" borderId="3" xfId="2" applyFont="1" applyBorder="1" applyAlignment="1" applyProtection="1">
      <alignment horizontal="center" vertical="center"/>
      <protection locked="0"/>
    </xf>
    <xf numFmtId="0" fontId="36" fillId="0" borderId="3" xfId="2" applyFont="1" applyBorder="1" applyAlignment="1" applyProtection="1">
      <alignment horizontal="center" vertical="center"/>
      <protection locked="0"/>
    </xf>
    <xf numFmtId="43" fontId="47" fillId="0" borderId="3" xfId="4" applyFont="1" applyFill="1" applyBorder="1" applyAlignment="1" applyProtection="1">
      <alignment horizontal="center" vertical="center"/>
      <protection locked="0"/>
    </xf>
    <xf numFmtId="43" fontId="36" fillId="0" borderId="3" xfId="4" applyFont="1" applyFill="1" applyBorder="1" applyAlignment="1" applyProtection="1">
      <alignment horizontal="center" vertical="center"/>
      <protection locked="0"/>
    </xf>
    <xf numFmtId="0" fontId="22" fillId="0" borderId="40" xfId="2" applyFont="1" applyBorder="1" applyAlignment="1" applyProtection="1">
      <alignment horizontal="center" vertical="center"/>
      <protection locked="0"/>
    </xf>
    <xf numFmtId="0" fontId="47" fillId="0" borderId="29" xfId="2" applyFont="1" applyBorder="1" applyAlignment="1" applyProtection="1">
      <alignment horizontal="center" vertical="center"/>
      <protection locked="0"/>
    </xf>
    <xf numFmtId="0" fontId="47" fillId="0" borderId="6" xfId="2" applyFont="1" applyBorder="1" applyAlignment="1" applyProtection="1">
      <alignment horizontal="center" vertical="center"/>
      <protection locked="0"/>
    </xf>
    <xf numFmtId="0" fontId="22" fillId="0" borderId="3" xfId="2" applyFont="1" applyBorder="1" applyAlignment="1" applyProtection="1">
      <alignment horizontal="center" vertical="center"/>
      <protection locked="0"/>
    </xf>
    <xf numFmtId="0" fontId="22" fillId="0" borderId="39" xfId="2" applyFont="1" applyBorder="1" applyAlignment="1" applyProtection="1">
      <alignment horizontal="center" vertical="center"/>
      <protection locked="0"/>
    </xf>
    <xf numFmtId="43" fontId="22" fillId="0" borderId="3" xfId="2" applyNumberFormat="1" applyFont="1" applyBorder="1" applyAlignment="1" applyProtection="1">
      <alignment horizontal="center" vertical="center"/>
      <protection locked="0"/>
    </xf>
    <xf numFmtId="0" fontId="36" fillId="0" borderId="0" xfId="2" applyFont="1" applyAlignment="1" applyProtection="1">
      <alignment horizontal="center" vertical="center"/>
      <protection locked="0"/>
    </xf>
    <xf numFmtId="0" fontId="22" fillId="0" borderId="0" xfId="2" applyFont="1" applyAlignment="1" applyProtection="1">
      <alignment horizontal="center" vertical="center"/>
      <protection locked="0"/>
    </xf>
    <xf numFmtId="43" fontId="22" fillId="0" borderId="4" xfId="2" applyNumberFormat="1" applyFont="1" applyBorder="1" applyAlignment="1" applyProtection="1">
      <alignment horizontal="center" vertical="center"/>
      <protection locked="0"/>
    </xf>
    <xf numFmtId="166" fontId="10" fillId="4" borderId="35" xfId="2" applyNumberFormat="1" applyFont="1" applyFill="1" applyBorder="1" applyAlignment="1">
      <alignment horizontal="center" vertical="center"/>
    </xf>
    <xf numFmtId="166" fontId="10" fillId="4" borderId="36" xfId="2" applyNumberFormat="1" applyFont="1" applyFill="1" applyBorder="1" applyAlignment="1">
      <alignment horizontal="center" vertical="center"/>
    </xf>
    <xf numFmtId="166" fontId="10" fillId="4" borderId="22" xfId="2" applyNumberFormat="1" applyFont="1" applyFill="1" applyBorder="1" applyAlignment="1">
      <alignment horizontal="center" vertical="center"/>
    </xf>
    <xf numFmtId="166" fontId="10" fillId="4" borderId="18" xfId="2" applyNumberFormat="1" applyFont="1" applyFill="1" applyBorder="1" applyAlignment="1">
      <alignment horizontal="center" vertical="center"/>
    </xf>
    <xf numFmtId="4" fontId="6" fillId="3" borderId="4" xfId="2" applyNumberFormat="1" applyFont="1" applyFill="1" applyBorder="1" applyAlignment="1">
      <alignment horizontal="center" vertical="center"/>
    </xf>
    <xf numFmtId="4" fontId="6" fillId="3" borderId="8" xfId="2" applyNumberFormat="1" applyFont="1" applyFill="1" applyBorder="1" applyAlignment="1">
      <alignment horizontal="center" vertical="center"/>
    </xf>
    <xf numFmtId="167" fontId="10" fillId="4" borderId="22" xfId="2" applyNumberFormat="1" applyFont="1" applyFill="1" applyBorder="1" applyAlignment="1" applyProtection="1">
      <alignment horizontal="center" vertical="center"/>
      <protection locked="0"/>
    </xf>
    <xf numFmtId="167" fontId="10" fillId="4" borderId="46" xfId="2" applyNumberFormat="1" applyFont="1" applyFill="1" applyBorder="1" applyAlignment="1" applyProtection="1">
      <alignment horizontal="center" vertical="center"/>
      <protection locked="0"/>
    </xf>
    <xf numFmtId="165" fontId="15" fillId="4" borderId="31" xfId="2" applyNumberFormat="1" applyFont="1" applyFill="1" applyBorder="1" applyAlignment="1">
      <alignment horizontal="center" vertical="center"/>
    </xf>
    <xf numFmtId="166" fontId="15" fillId="4" borderId="31" xfId="2" applyNumberFormat="1" applyFont="1" applyFill="1" applyBorder="1" applyAlignment="1">
      <alignment horizontal="center" vertical="center"/>
    </xf>
    <xf numFmtId="166" fontId="15" fillId="4" borderId="32" xfId="2" applyNumberFormat="1" applyFont="1" applyFill="1" applyBorder="1" applyAlignment="1">
      <alignment horizontal="center" vertical="center"/>
    </xf>
    <xf numFmtId="166" fontId="15" fillId="4" borderId="33" xfId="2" applyNumberFormat="1" applyFont="1" applyFill="1" applyBorder="1" applyAlignment="1">
      <alignment horizontal="center" vertical="center"/>
    </xf>
    <xf numFmtId="0" fontId="13" fillId="9" borderId="3" xfId="2" applyFont="1" applyFill="1" applyBorder="1" applyAlignment="1" applyProtection="1">
      <alignment horizontal="center" vertical="center"/>
      <protection locked="0"/>
    </xf>
    <xf numFmtId="0" fontId="36" fillId="18" borderId="4" xfId="2" applyFont="1" applyFill="1" applyBorder="1" applyAlignment="1">
      <alignment horizontal="right" vertical="center"/>
    </xf>
    <xf numFmtId="0" fontId="36" fillId="18" borderId="8" xfId="2" applyFont="1" applyFill="1" applyBorder="1" applyAlignment="1">
      <alignment horizontal="right" vertical="center"/>
    </xf>
    <xf numFmtId="166" fontId="15" fillId="4" borderId="37" xfId="2" applyNumberFormat="1" applyFont="1" applyFill="1" applyBorder="1" applyAlignment="1">
      <alignment horizontal="center" vertical="center"/>
    </xf>
    <xf numFmtId="199" fontId="17" fillId="2" borderId="0" xfId="2" applyNumberFormat="1" applyFont="1" applyFill="1" applyAlignment="1">
      <alignment horizontal="center" vertical="center"/>
    </xf>
    <xf numFmtId="200" fontId="15" fillId="2" borderId="6" xfId="2" applyNumberFormat="1" applyFont="1" applyFill="1" applyBorder="1" applyAlignment="1">
      <alignment horizontal="center" vertical="center"/>
    </xf>
    <xf numFmtId="165" fontId="10" fillId="4" borderId="21" xfId="2" applyNumberFormat="1" applyFont="1" applyFill="1" applyBorder="1" applyAlignment="1">
      <alignment horizontal="center" vertical="center"/>
    </xf>
    <xf numFmtId="166" fontId="15" fillId="4" borderId="21" xfId="2" applyNumberFormat="1" applyFont="1" applyFill="1" applyBorder="1" applyAlignment="1">
      <alignment horizontal="center" vertical="center"/>
    </xf>
    <xf numFmtId="0" fontId="6" fillId="3" borderId="29" xfId="2" applyFont="1" applyFill="1" applyBorder="1" applyAlignment="1">
      <alignment horizontal="center" vertical="center"/>
    </xf>
    <xf numFmtId="0" fontId="6" fillId="3" borderId="7" xfId="2" applyFont="1" applyFill="1" applyBorder="1" applyAlignment="1">
      <alignment horizontal="center" vertical="center"/>
    </xf>
    <xf numFmtId="0" fontId="6" fillId="3" borderId="4" xfId="2" applyFont="1" applyFill="1" applyBorder="1" applyAlignment="1">
      <alignment horizontal="center" vertical="center"/>
    </xf>
    <xf numFmtId="0" fontId="6" fillId="3" borderId="5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 wrapText="1"/>
    </xf>
    <xf numFmtId="0" fontId="6" fillId="3" borderId="26" xfId="2" applyFont="1" applyFill="1" applyBorder="1" applyAlignment="1">
      <alignment horizontal="center" vertical="center" wrapText="1"/>
    </xf>
    <xf numFmtId="0" fontId="6" fillId="3" borderId="27" xfId="2" applyFont="1" applyFill="1" applyBorder="1" applyAlignment="1">
      <alignment horizontal="center" vertical="center" wrapText="1"/>
    </xf>
    <xf numFmtId="0" fontId="6" fillId="3" borderId="29" xfId="2" applyFont="1" applyFill="1" applyBorder="1" applyAlignment="1">
      <alignment horizontal="center" vertical="center" wrapText="1"/>
    </xf>
    <xf numFmtId="0" fontId="6" fillId="3" borderId="6" xfId="2" applyFont="1" applyFill="1" applyBorder="1" applyAlignment="1">
      <alignment horizontal="center" vertical="center" wrapText="1"/>
    </xf>
    <xf numFmtId="0" fontId="6" fillId="3" borderId="7" xfId="2" applyFont="1" applyFill="1" applyBorder="1" applyAlignment="1">
      <alignment horizontal="center" vertical="center" wrapText="1"/>
    </xf>
    <xf numFmtId="0" fontId="3" fillId="2" borderId="4" xfId="2" applyFont="1" applyFill="1" applyBorder="1" applyAlignment="1">
      <alignment horizontal="center" vertical="center"/>
    </xf>
    <xf numFmtId="0" fontId="3" fillId="2" borderId="5" xfId="2" applyFont="1" applyFill="1" applyBorder="1" applyAlignment="1">
      <alignment horizontal="center" vertical="center"/>
    </xf>
    <xf numFmtId="0" fontId="40" fillId="2" borderId="66" xfId="1" applyFont="1" applyFill="1" applyBorder="1" applyAlignment="1">
      <alignment horizontal="center" vertical="center"/>
    </xf>
    <xf numFmtId="14" fontId="16" fillId="4" borderId="35" xfId="2" applyNumberFormat="1" applyFont="1" applyFill="1" applyBorder="1" applyAlignment="1">
      <alignment horizontal="center" vertical="center"/>
    </xf>
    <xf numFmtId="14" fontId="16" fillId="4" borderId="36" xfId="2" applyNumberFormat="1" applyFont="1" applyFill="1" applyBorder="1" applyAlignment="1">
      <alignment horizontal="center" vertical="center"/>
    </xf>
    <xf numFmtId="165" fontId="10" fillId="4" borderId="35" xfId="2" applyNumberFormat="1" applyFont="1" applyFill="1" applyBorder="1" applyAlignment="1">
      <alignment horizontal="center" vertical="center"/>
    </xf>
    <xf numFmtId="165" fontId="10" fillId="4" borderId="36" xfId="2" applyNumberFormat="1" applyFont="1" applyFill="1" applyBorder="1" applyAlignment="1">
      <alignment horizontal="center" vertical="center"/>
    </xf>
    <xf numFmtId="14" fontId="16" fillId="4" borderId="32" xfId="2" applyNumberFormat="1" applyFont="1" applyFill="1" applyBorder="1" applyAlignment="1">
      <alignment horizontal="center" vertical="center"/>
    </xf>
    <xf numFmtId="14" fontId="16" fillId="4" borderId="61" xfId="2" applyNumberFormat="1" applyFont="1" applyFill="1" applyBorder="1" applyAlignment="1">
      <alignment horizontal="center" vertical="center"/>
    </xf>
    <xf numFmtId="165" fontId="10" fillId="4" borderId="15" xfId="2" applyNumberFormat="1" applyFont="1" applyFill="1" applyBorder="1" applyAlignment="1">
      <alignment horizontal="center" vertical="center"/>
    </xf>
    <xf numFmtId="165" fontId="10" fillId="4" borderId="11" xfId="2" applyNumberFormat="1" applyFont="1" applyFill="1" applyBorder="1" applyAlignment="1">
      <alignment horizontal="center" vertical="center"/>
    </xf>
    <xf numFmtId="14" fontId="16" fillId="4" borderId="53" xfId="2" applyNumberFormat="1" applyFont="1" applyFill="1" applyBorder="1" applyAlignment="1">
      <alignment horizontal="center" vertical="center"/>
    </xf>
    <xf numFmtId="14" fontId="16" fillId="4" borderId="54" xfId="2" applyNumberFormat="1" applyFont="1" applyFill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166" fontId="15" fillId="4" borderId="63" xfId="2" applyNumberFormat="1" applyFont="1" applyFill="1" applyBorder="1" applyAlignment="1">
      <alignment horizontal="center" vertical="center"/>
    </xf>
    <xf numFmtId="166" fontId="15" fillId="4" borderId="64" xfId="2" applyNumberFormat="1" applyFont="1" applyFill="1" applyBorder="1" applyAlignment="1">
      <alignment horizontal="center" vertical="center"/>
    </xf>
    <xf numFmtId="166" fontId="15" fillId="4" borderId="65" xfId="2" applyNumberFormat="1" applyFont="1" applyFill="1" applyBorder="1" applyAlignment="1">
      <alignment horizontal="center" vertical="center"/>
    </xf>
    <xf numFmtId="166" fontId="10" fillId="4" borderId="15" xfId="2" applyNumberFormat="1" applyFont="1" applyFill="1" applyBorder="1" applyAlignment="1">
      <alignment horizontal="center" vertical="center"/>
    </xf>
    <xf numFmtId="166" fontId="10" fillId="4" borderId="11" xfId="2" applyNumberFormat="1" applyFont="1" applyFill="1" applyBorder="1" applyAlignment="1">
      <alignment horizontal="center" vertical="center"/>
    </xf>
    <xf numFmtId="171" fontId="14" fillId="5" borderId="4" xfId="2" applyNumberFormat="1" applyFont="1" applyFill="1" applyBorder="1" applyAlignment="1">
      <alignment horizontal="center" vertical="center"/>
    </xf>
    <xf numFmtId="171" fontId="14" fillId="5" borderId="8" xfId="2" applyNumberFormat="1" applyFont="1" applyFill="1" applyBorder="1" applyAlignment="1">
      <alignment horizontal="center" vertical="center"/>
    </xf>
    <xf numFmtId="170" fontId="9" fillId="2" borderId="9" xfId="2" applyNumberFormat="1" applyFont="1" applyFill="1" applyBorder="1" applyAlignment="1">
      <alignment horizontal="center" vertical="center"/>
    </xf>
    <xf numFmtId="170" fontId="9" fillId="2" borderId="45" xfId="2" applyNumberFormat="1" applyFont="1" applyFill="1" applyBorder="1" applyAlignment="1">
      <alignment horizontal="center" vertical="center"/>
    </xf>
    <xf numFmtId="0" fontId="16" fillId="5" borderId="1" xfId="1" applyFont="1" applyFill="1" applyBorder="1" applyAlignment="1" applyProtection="1">
      <alignment horizontal="center" vertical="center"/>
      <protection locked="0"/>
    </xf>
    <xf numFmtId="164" fontId="16" fillId="5" borderId="1" xfId="1" applyNumberFormat="1" applyFont="1" applyFill="1" applyBorder="1" applyAlignment="1" applyProtection="1">
      <alignment horizontal="center" vertical="center"/>
      <protection locked="0"/>
    </xf>
    <xf numFmtId="0" fontId="39" fillId="2" borderId="2" xfId="1" applyFont="1" applyFill="1" applyBorder="1" applyAlignment="1">
      <alignment horizontal="center" wrapText="1"/>
    </xf>
    <xf numFmtId="4" fontId="6" fillId="3" borderId="29" xfId="2" applyNumberFormat="1" applyFont="1" applyFill="1" applyBorder="1" applyAlignment="1">
      <alignment horizontal="center" vertical="center"/>
    </xf>
    <xf numFmtId="4" fontId="6" fillId="3" borderId="6" xfId="2" applyNumberFormat="1" applyFont="1" applyFill="1" applyBorder="1" applyAlignment="1">
      <alignment horizontal="center" vertical="center"/>
    </xf>
    <xf numFmtId="0" fontId="7" fillId="3" borderId="6" xfId="2" applyFont="1" applyFill="1" applyBorder="1" applyAlignment="1">
      <alignment horizontal="center" vertical="center"/>
    </xf>
    <xf numFmtId="0" fontId="7" fillId="3" borderId="7" xfId="2" applyFont="1" applyFill="1" applyBorder="1" applyAlignment="1">
      <alignment horizontal="center" vertical="center"/>
    </xf>
    <xf numFmtId="1" fontId="10" fillId="4" borderId="15" xfId="2" applyNumberFormat="1" applyFont="1" applyFill="1" applyBorder="1" applyAlignment="1" applyProtection="1">
      <alignment horizontal="center" vertical="center"/>
      <protection locked="0"/>
    </xf>
    <xf numFmtId="1" fontId="10" fillId="4" borderId="45" xfId="2" applyNumberFormat="1" applyFont="1" applyFill="1" applyBorder="1" applyAlignment="1" applyProtection="1">
      <alignment horizontal="center" vertical="center"/>
      <protection locked="0"/>
    </xf>
    <xf numFmtId="1" fontId="10" fillId="4" borderId="22" xfId="2" applyNumberFormat="1" applyFont="1" applyFill="1" applyBorder="1" applyAlignment="1" applyProtection="1">
      <alignment horizontal="center" vertical="center"/>
      <protection locked="0"/>
    </xf>
    <xf numFmtId="1" fontId="10" fillId="4" borderId="46" xfId="2" applyNumberFormat="1" applyFont="1" applyFill="1" applyBorder="1" applyAlignment="1" applyProtection="1">
      <alignment horizontal="center" vertical="center"/>
      <protection locked="0"/>
    </xf>
    <xf numFmtId="167" fontId="10" fillId="4" borderId="15" xfId="2" applyNumberFormat="1" applyFont="1" applyFill="1" applyBorder="1" applyAlignment="1" applyProtection="1">
      <alignment horizontal="center" vertical="center"/>
      <protection locked="0"/>
    </xf>
    <xf numFmtId="167" fontId="10" fillId="4" borderId="45" xfId="2" applyNumberFormat="1" applyFont="1" applyFill="1" applyBorder="1" applyAlignment="1" applyProtection="1">
      <alignment horizontal="center" vertical="center"/>
      <protection locked="0"/>
    </xf>
    <xf numFmtId="4" fontId="3" fillId="0" borderId="16" xfId="2" applyNumberFormat="1" applyFont="1" applyBorder="1" applyAlignment="1">
      <alignment horizontal="center" vertical="center"/>
    </xf>
    <xf numFmtId="4" fontId="3" fillId="0" borderId="17" xfId="2" applyNumberFormat="1" applyFont="1" applyBorder="1" applyAlignment="1">
      <alignment horizontal="center" vertical="center"/>
    </xf>
    <xf numFmtId="4" fontId="3" fillId="0" borderId="18" xfId="2" applyNumberFormat="1" applyFont="1" applyBorder="1" applyAlignment="1">
      <alignment horizontal="center" vertical="center"/>
    </xf>
    <xf numFmtId="166" fontId="15" fillId="4" borderId="22" xfId="2" applyNumberFormat="1" applyFont="1" applyFill="1" applyBorder="1" applyAlignment="1">
      <alignment horizontal="center" vertical="center"/>
    </xf>
    <xf numFmtId="166" fontId="15" fillId="4" borderId="19" xfId="2" applyNumberFormat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 wrapText="1"/>
    </xf>
    <xf numFmtId="0" fontId="3" fillId="5" borderId="9" xfId="2" applyFont="1" applyFill="1" applyBorder="1" applyAlignment="1">
      <alignment horizontal="center" vertical="center"/>
    </xf>
    <xf numFmtId="0" fontId="3" fillId="5" borderId="11" xfId="2" applyFont="1" applyFill="1" applyBorder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3" fillId="5" borderId="5" xfId="2" applyFont="1" applyFill="1" applyBorder="1" applyAlignment="1">
      <alignment horizontal="center" vertical="center"/>
    </xf>
    <xf numFmtId="0" fontId="3" fillId="5" borderId="16" xfId="2" applyFont="1" applyFill="1" applyBorder="1" applyAlignment="1">
      <alignment horizontal="center" vertical="center"/>
    </xf>
    <xf numFmtId="0" fontId="3" fillId="5" borderId="18" xfId="2" applyFont="1" applyFill="1" applyBorder="1" applyAlignment="1">
      <alignment horizontal="center" vertical="center"/>
    </xf>
    <xf numFmtId="4" fontId="10" fillId="4" borderId="5" xfId="2" applyNumberFormat="1" applyFont="1" applyFill="1" applyBorder="1" applyAlignment="1" applyProtection="1">
      <alignment horizontal="center" vertical="center"/>
      <protection locked="0"/>
    </xf>
    <xf numFmtId="0" fontId="6" fillId="3" borderId="8" xfId="2" applyFont="1" applyFill="1" applyBorder="1" applyAlignment="1">
      <alignment horizontal="center" vertical="center"/>
    </xf>
    <xf numFmtId="4" fontId="3" fillId="0" borderId="9" xfId="2" applyNumberFormat="1" applyFont="1" applyBorder="1" applyAlignment="1">
      <alignment horizontal="center" vertical="center"/>
    </xf>
    <xf numFmtId="4" fontId="3" fillId="0" borderId="10" xfId="2" applyNumberFormat="1" applyFont="1" applyBorder="1" applyAlignment="1">
      <alignment horizontal="center" vertical="center"/>
    </xf>
    <xf numFmtId="4" fontId="3" fillId="0" borderId="11" xfId="2" applyNumberFormat="1" applyFont="1" applyBorder="1" applyAlignment="1">
      <alignment horizontal="center" vertical="center"/>
    </xf>
    <xf numFmtId="165" fontId="15" fillId="4" borderId="14" xfId="2" applyNumberFormat="1" applyFont="1" applyFill="1" applyBorder="1" applyAlignment="1">
      <alignment horizontal="center" vertical="center"/>
    </xf>
    <xf numFmtId="165" fontId="15" fillId="4" borderId="15" xfId="2" applyNumberFormat="1" applyFont="1" applyFill="1" applyBorder="1" applyAlignment="1">
      <alignment horizontal="center" vertical="center"/>
    </xf>
    <xf numFmtId="165" fontId="15" fillId="4" borderId="12" xfId="2" applyNumberFormat="1" applyFont="1" applyFill="1" applyBorder="1" applyAlignment="1">
      <alignment horizontal="center" vertical="center"/>
    </xf>
    <xf numFmtId="0" fontId="16" fillId="5" borderId="68" xfId="1" applyFont="1" applyFill="1" applyBorder="1" applyAlignment="1" applyProtection="1">
      <alignment horizontal="center" vertical="center"/>
      <protection locked="0"/>
    </xf>
    <xf numFmtId="4" fontId="9" fillId="0" borderId="9" xfId="2" applyNumberFormat="1" applyFont="1" applyBorder="1" applyAlignment="1">
      <alignment horizontal="center" vertical="center"/>
    </xf>
    <xf numFmtId="4" fontId="9" fillId="0" borderId="10" xfId="2" applyNumberFormat="1" applyFont="1" applyBorder="1" applyAlignment="1">
      <alignment horizontal="center" vertical="center"/>
    </xf>
    <xf numFmtId="4" fontId="9" fillId="0" borderId="11" xfId="2" applyNumberFormat="1" applyFont="1" applyBorder="1" applyAlignment="1">
      <alignment horizontal="center" vertical="center"/>
    </xf>
    <xf numFmtId="166" fontId="10" fillId="4" borderId="14" xfId="2" applyNumberFormat="1" applyFont="1" applyFill="1" applyBorder="1" applyAlignment="1">
      <alignment horizontal="center" vertical="center"/>
    </xf>
    <xf numFmtId="166" fontId="15" fillId="4" borderId="14" xfId="2" applyNumberFormat="1" applyFont="1" applyFill="1" applyBorder="1" applyAlignment="1">
      <alignment horizontal="center" vertical="center"/>
    </xf>
    <xf numFmtId="165" fontId="10" fillId="4" borderId="37" xfId="2" applyNumberFormat="1" applyFont="1" applyFill="1" applyBorder="1" applyAlignment="1">
      <alignment horizontal="center" vertical="center"/>
    </xf>
    <xf numFmtId="166" fontId="10" fillId="4" borderId="37" xfId="2" applyNumberFormat="1" applyFont="1" applyFill="1" applyBorder="1" applyAlignment="1">
      <alignment horizontal="center" vertical="center"/>
    </xf>
    <xf numFmtId="166" fontId="10" fillId="4" borderId="21" xfId="2" applyNumberFormat="1" applyFont="1" applyFill="1" applyBorder="1" applyAlignment="1">
      <alignment horizontal="center" vertical="center"/>
    </xf>
    <xf numFmtId="4" fontId="15" fillId="2" borderId="0" xfId="2" applyNumberFormat="1" applyFont="1" applyFill="1" applyAlignment="1">
      <alignment horizontal="center" vertical="center"/>
    </xf>
    <xf numFmtId="0" fontId="6" fillId="6" borderId="4" xfId="2" applyFont="1" applyFill="1" applyBorder="1" applyAlignment="1">
      <alignment horizontal="center" vertical="center"/>
    </xf>
    <xf numFmtId="0" fontId="6" fillId="6" borderId="5" xfId="2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5" xfId="2" applyFont="1" applyFill="1" applyBorder="1" applyAlignment="1">
      <alignment horizontal="center" vertical="center"/>
    </xf>
    <xf numFmtId="178" fontId="17" fillId="2" borderId="4" xfId="2" applyNumberFormat="1" applyFont="1" applyFill="1" applyBorder="1" applyAlignment="1">
      <alignment horizontal="center" vertical="center"/>
    </xf>
    <xf numFmtId="178" fontId="17" fillId="2" borderId="8" xfId="2" applyNumberFormat="1" applyFont="1" applyFill="1" applyBorder="1" applyAlignment="1">
      <alignment horizontal="center" vertical="center"/>
    </xf>
    <xf numFmtId="4" fontId="7" fillId="6" borderId="3" xfId="2" applyNumberFormat="1" applyFont="1" applyFill="1" applyBorder="1" applyAlignment="1">
      <alignment horizontal="center" vertical="center"/>
    </xf>
    <xf numFmtId="4" fontId="13" fillId="6" borderId="5" xfId="2" applyNumberFormat="1" applyFont="1" applyFill="1" applyBorder="1" applyAlignment="1">
      <alignment horizontal="center" vertical="center"/>
    </xf>
    <xf numFmtId="4" fontId="13" fillId="6" borderId="8" xfId="2" applyNumberFormat="1" applyFont="1" applyFill="1" applyBorder="1" applyAlignment="1">
      <alignment horizontal="center" vertical="center"/>
    </xf>
    <xf numFmtId="180" fontId="16" fillId="2" borderId="15" xfId="2" applyNumberFormat="1" applyFont="1" applyFill="1" applyBorder="1" applyAlignment="1">
      <alignment horizontal="center" vertical="center"/>
    </xf>
    <xf numFmtId="180" fontId="16" fillId="2" borderId="11" xfId="2" applyNumberFormat="1" applyFont="1" applyFill="1" applyBorder="1" applyAlignment="1">
      <alignment horizontal="center" vertical="center"/>
    </xf>
    <xf numFmtId="0" fontId="6" fillId="0" borderId="25" xfId="2" applyFont="1" applyBorder="1" applyAlignment="1">
      <alignment horizontal="left" vertical="center"/>
    </xf>
    <xf numFmtId="0" fontId="6" fillId="0" borderId="26" xfId="2" applyFont="1" applyBorder="1" applyAlignment="1">
      <alignment horizontal="left" vertical="center"/>
    </xf>
    <xf numFmtId="0" fontId="6" fillId="0" borderId="27" xfId="2" applyFont="1" applyBorder="1" applyAlignment="1">
      <alignment horizontal="left" vertical="center"/>
    </xf>
    <xf numFmtId="0" fontId="6" fillId="0" borderId="29" xfId="2" applyFont="1" applyBorder="1" applyAlignment="1">
      <alignment horizontal="left" vertical="center"/>
    </xf>
    <xf numFmtId="0" fontId="6" fillId="0" borderId="6" xfId="2" applyFont="1" applyBorder="1" applyAlignment="1">
      <alignment horizontal="left" vertical="center"/>
    </xf>
    <xf numFmtId="0" fontId="6" fillId="0" borderId="7" xfId="2" applyFont="1" applyBorder="1" applyAlignment="1">
      <alignment horizontal="left" vertical="center"/>
    </xf>
    <xf numFmtId="0" fontId="15" fillId="5" borderId="9" xfId="2" applyFont="1" applyFill="1" applyBorder="1" applyAlignment="1">
      <alignment horizontal="center" vertical="center"/>
    </xf>
    <xf numFmtId="0" fontId="15" fillId="5" borderId="11" xfId="2" applyFont="1" applyFill="1" applyBorder="1" applyAlignment="1">
      <alignment horizontal="center" vertical="center"/>
    </xf>
    <xf numFmtId="181" fontId="16" fillId="2" borderId="35" xfId="2" applyNumberFormat="1" applyFont="1" applyFill="1" applyBorder="1" applyAlignment="1">
      <alignment horizontal="center" vertical="center"/>
    </xf>
    <xf numFmtId="181" fontId="16" fillId="2" borderId="36" xfId="2" applyNumberFormat="1" applyFont="1" applyFill="1" applyBorder="1" applyAlignment="1">
      <alignment horizontal="center" vertical="center"/>
    </xf>
    <xf numFmtId="0" fontId="15" fillId="5" borderId="16" xfId="2" applyFont="1" applyFill="1" applyBorder="1" applyAlignment="1">
      <alignment horizontal="center" vertical="center"/>
    </xf>
    <xf numFmtId="0" fontId="15" fillId="5" borderId="18" xfId="2" applyFont="1" applyFill="1" applyBorder="1" applyAlignment="1">
      <alignment horizontal="center" vertical="center"/>
    </xf>
    <xf numFmtId="177" fontId="10" fillId="5" borderId="39" xfId="3" applyNumberFormat="1" applyFont="1" applyFill="1" applyBorder="1" applyAlignment="1" applyProtection="1">
      <alignment horizontal="right" vertical="center"/>
      <protection locked="0"/>
    </xf>
    <xf numFmtId="177" fontId="10" fillId="5" borderId="0" xfId="3" applyNumberFormat="1" applyFont="1" applyFill="1" applyAlignment="1" applyProtection="1">
      <alignment horizontal="right" vertical="center"/>
      <protection locked="0"/>
    </xf>
    <xf numFmtId="0" fontId="15" fillId="5" borderId="3" xfId="2" applyFont="1" applyFill="1" applyBorder="1" applyAlignment="1">
      <alignment horizontal="center" vertical="center"/>
    </xf>
    <xf numFmtId="182" fontId="16" fillId="2" borderId="35" xfId="2" applyNumberFormat="1" applyFont="1" applyFill="1" applyBorder="1" applyAlignment="1">
      <alignment horizontal="center" vertical="center"/>
    </xf>
    <xf numFmtId="182" fontId="16" fillId="2" borderId="36" xfId="2" applyNumberFormat="1" applyFont="1" applyFill="1" applyBorder="1" applyAlignment="1">
      <alignment horizontal="center" vertical="center"/>
    </xf>
    <xf numFmtId="183" fontId="16" fillId="2" borderId="22" xfId="2" applyNumberFormat="1" applyFont="1" applyFill="1" applyBorder="1" applyAlignment="1">
      <alignment horizontal="center" vertical="center"/>
    </xf>
    <xf numFmtId="183" fontId="16" fillId="2" borderId="18" xfId="2" applyNumberFormat="1" applyFont="1" applyFill="1" applyBorder="1" applyAlignment="1">
      <alignment horizontal="center" vertical="center"/>
    </xf>
    <xf numFmtId="0" fontId="15" fillId="6" borderId="4" xfId="2" applyFont="1" applyFill="1" applyBorder="1" applyAlignment="1">
      <alignment horizontal="center" vertical="center"/>
    </xf>
    <xf numFmtId="0" fontId="15" fillId="6" borderId="8" xfId="2" applyFont="1" applyFill="1" applyBorder="1" applyAlignment="1">
      <alignment horizontal="center" vertical="center"/>
    </xf>
    <xf numFmtId="4" fontId="22" fillId="2" borderId="9" xfId="2" applyNumberFormat="1" applyFont="1" applyFill="1" applyBorder="1" applyAlignment="1">
      <alignment horizontal="center" vertical="center"/>
    </xf>
    <xf numFmtId="4" fontId="22" fillId="2" borderId="45" xfId="2" applyNumberFormat="1" applyFont="1" applyFill="1" applyBorder="1" applyAlignment="1">
      <alignment horizontal="center" vertical="center"/>
    </xf>
    <xf numFmtId="4" fontId="9" fillId="2" borderId="41" xfId="2" applyNumberFormat="1" applyFont="1" applyFill="1" applyBorder="1" applyAlignment="1">
      <alignment horizontal="center" vertical="center"/>
    </xf>
    <xf numFmtId="4" fontId="9" fillId="2" borderId="44" xfId="2" applyNumberFormat="1" applyFont="1" applyFill="1" applyBorder="1" applyAlignment="1">
      <alignment horizontal="center" vertical="center"/>
    </xf>
    <xf numFmtId="0" fontId="17" fillId="6" borderId="4" xfId="2" applyFont="1" applyFill="1" applyBorder="1" applyAlignment="1">
      <alignment horizontal="center" vertical="center"/>
    </xf>
    <xf numFmtId="0" fontId="17" fillId="6" borderId="8" xfId="2" applyFont="1" applyFill="1" applyBorder="1" applyAlignment="1">
      <alignment horizontal="center" vertical="center"/>
    </xf>
    <xf numFmtId="170" fontId="9" fillId="2" borderId="41" xfId="2" applyNumberFormat="1" applyFont="1" applyFill="1" applyBorder="1" applyAlignment="1">
      <alignment horizontal="center" vertical="center"/>
    </xf>
    <xf numFmtId="170" fontId="9" fillId="2" borderId="44" xfId="2" applyNumberFormat="1" applyFont="1" applyFill="1" applyBorder="1" applyAlignment="1">
      <alignment horizontal="center" vertical="center"/>
    </xf>
    <xf numFmtId="0" fontId="22" fillId="0" borderId="26" xfId="2" applyFont="1" applyBorder="1" applyAlignment="1" applyProtection="1">
      <alignment horizontal="center" vertical="center"/>
      <protection locked="0"/>
    </xf>
    <xf numFmtId="0" fontId="22" fillId="0" borderId="6" xfId="2" applyFont="1" applyBorder="1" applyAlignment="1" applyProtection="1">
      <alignment horizontal="center" vertical="center"/>
      <protection locked="0"/>
    </xf>
    <xf numFmtId="0" fontId="44" fillId="24" borderId="0" xfId="2" applyFont="1" applyFill="1" applyAlignment="1" applyProtection="1">
      <alignment horizontal="center" vertical="center"/>
      <protection locked="0"/>
    </xf>
    <xf numFmtId="0" fontId="47" fillId="0" borderId="0" xfId="2" applyFont="1" applyAlignment="1" applyProtection="1">
      <alignment horizontal="center" vertical="center"/>
      <protection locked="0"/>
    </xf>
    <xf numFmtId="0" fontId="10" fillId="16" borderId="67" xfId="2" applyFont="1" applyFill="1" applyBorder="1" applyAlignment="1" applyProtection="1">
      <alignment horizontal="center" vertical="center"/>
      <protection locked="0"/>
    </xf>
    <xf numFmtId="164" fontId="10" fillId="16" borderId="50" xfId="2" applyNumberFormat="1" applyFont="1" applyFill="1" applyBorder="1" applyAlignment="1" applyProtection="1">
      <alignment horizontal="center" vertical="center"/>
      <protection locked="0"/>
    </xf>
    <xf numFmtId="0" fontId="15" fillId="0" borderId="6" xfId="2" applyFont="1" applyBorder="1" applyAlignment="1" applyProtection="1">
      <alignment horizontal="center" vertical="center"/>
      <protection locked="0"/>
    </xf>
    <xf numFmtId="0" fontId="15" fillId="0" borderId="3" xfId="2" applyFont="1" applyBorder="1" applyAlignment="1" applyProtection="1">
      <alignment horizontal="center" vertical="center"/>
      <protection locked="0"/>
    </xf>
    <xf numFmtId="0" fontId="17" fillId="5" borderId="20" xfId="2" applyFont="1" applyFill="1" applyBorder="1" applyAlignment="1">
      <alignment horizontal="center" vertical="center"/>
    </xf>
    <xf numFmtId="0" fontId="17" fillId="5" borderId="21" xfId="2" applyFont="1" applyFill="1" applyBorder="1" applyAlignment="1">
      <alignment horizontal="center" vertical="center"/>
    </xf>
    <xf numFmtId="0" fontId="17" fillId="5" borderId="19" xfId="2" applyFont="1" applyFill="1" applyBorder="1" applyAlignment="1">
      <alignment horizontal="center" vertical="center"/>
    </xf>
    <xf numFmtId="196" fontId="17" fillId="2" borderId="4" xfId="2" applyNumberFormat="1" applyFont="1" applyFill="1" applyBorder="1" applyAlignment="1">
      <alignment horizontal="center" vertical="center"/>
    </xf>
    <xf numFmtId="196" fontId="17" fillId="2" borderId="8" xfId="2" applyNumberFormat="1" applyFont="1" applyFill="1" applyBorder="1" applyAlignment="1">
      <alignment horizontal="center" vertical="center"/>
    </xf>
    <xf numFmtId="179" fontId="23" fillId="0" borderId="25" xfId="2" applyNumberFormat="1" applyFont="1" applyBorder="1" applyAlignment="1">
      <alignment horizontal="center" vertical="center"/>
    </xf>
    <xf numFmtId="179" fontId="23" fillId="0" borderId="27" xfId="2" applyNumberFormat="1" applyFont="1" applyBorder="1" applyAlignment="1">
      <alignment horizontal="center" vertical="center"/>
    </xf>
    <xf numFmtId="179" fontId="23" fillId="0" borderId="29" xfId="2" applyNumberFormat="1" applyFont="1" applyBorder="1" applyAlignment="1">
      <alignment horizontal="center" vertical="center"/>
    </xf>
    <xf numFmtId="179" fontId="23" fillId="0" borderId="7" xfId="2" applyNumberFormat="1" applyFont="1" applyBorder="1" applyAlignment="1">
      <alignment horizontal="center" vertical="center"/>
    </xf>
    <xf numFmtId="185" fontId="9" fillId="2" borderId="29" xfId="2" applyNumberFormat="1" applyFont="1" applyFill="1" applyBorder="1" applyAlignment="1">
      <alignment horizontal="center" vertical="center"/>
    </xf>
    <xf numFmtId="185" fontId="9" fillId="2" borderId="7" xfId="2" applyNumberFormat="1" applyFont="1" applyFill="1" applyBorder="1" applyAlignment="1">
      <alignment horizontal="center" vertical="center"/>
    </xf>
    <xf numFmtId="0" fontId="24" fillId="0" borderId="28" xfId="2" applyFont="1" applyBorder="1" applyAlignment="1">
      <alignment horizontal="center" vertical="center"/>
    </xf>
    <xf numFmtId="0" fontId="24" fillId="0" borderId="30" xfId="2" applyFont="1" applyBorder="1" applyAlignment="1">
      <alignment horizontal="center" vertical="center"/>
    </xf>
    <xf numFmtId="0" fontId="24" fillId="0" borderId="48" xfId="2" applyFont="1" applyBorder="1" applyAlignment="1">
      <alignment horizontal="center" vertical="center"/>
    </xf>
    <xf numFmtId="0" fontId="17" fillId="5" borderId="4" xfId="3" applyFont="1" applyFill="1" applyBorder="1" applyAlignment="1">
      <alignment horizontal="center" vertical="center"/>
    </xf>
    <xf numFmtId="0" fontId="17" fillId="5" borderId="8" xfId="3" applyFont="1" applyFill="1" applyBorder="1" applyAlignment="1">
      <alignment horizontal="center" vertical="center"/>
    </xf>
    <xf numFmtId="0" fontId="17" fillId="7" borderId="3" xfId="2" applyFont="1" applyFill="1" applyBorder="1" applyAlignment="1">
      <alignment horizontal="center" vertical="center"/>
    </xf>
    <xf numFmtId="0" fontId="41" fillId="16" borderId="67" xfId="2" applyFont="1" applyFill="1" applyBorder="1" applyAlignment="1" applyProtection="1">
      <alignment horizontal="center" vertical="center"/>
      <protection locked="0"/>
    </xf>
    <xf numFmtId="0" fontId="42" fillId="3" borderId="25" xfId="2" applyFont="1" applyFill="1" applyBorder="1" applyAlignment="1">
      <alignment horizontal="center" vertical="center"/>
    </xf>
    <xf numFmtId="0" fontId="42" fillId="3" borderId="26" xfId="2" applyFont="1" applyFill="1" applyBorder="1" applyAlignment="1">
      <alignment horizontal="center" vertical="center"/>
    </xf>
    <xf numFmtId="0" fontId="30" fillId="10" borderId="4" xfId="2" applyFont="1" applyFill="1" applyBorder="1" applyAlignment="1">
      <alignment horizontal="center" vertical="center"/>
    </xf>
    <xf numFmtId="0" fontId="30" fillId="10" borderId="8" xfId="2" applyFont="1" applyFill="1" applyBorder="1" applyAlignment="1">
      <alignment horizontal="center" vertical="center"/>
    </xf>
    <xf numFmtId="170" fontId="9" fillId="2" borderId="59" xfId="2" applyNumberFormat="1" applyFont="1" applyFill="1" applyBorder="1" applyAlignment="1">
      <alignment horizontal="center" vertical="center"/>
    </xf>
    <xf numFmtId="170" fontId="9" fillId="2" borderId="56" xfId="2" applyNumberFormat="1" applyFont="1" applyFill="1" applyBorder="1" applyAlignment="1">
      <alignment horizontal="center" vertical="center"/>
    </xf>
    <xf numFmtId="170" fontId="9" fillId="0" borderId="28" xfId="2" applyNumberFormat="1" applyFont="1" applyBorder="1" applyAlignment="1">
      <alignment horizontal="center" vertical="center"/>
    </xf>
    <xf numFmtId="174" fontId="17" fillId="2" borderId="4" xfId="2" applyNumberFormat="1" applyFont="1" applyFill="1" applyBorder="1" applyAlignment="1">
      <alignment horizontal="center" vertical="center"/>
    </xf>
    <xf numFmtId="174" fontId="17" fillId="2" borderId="8" xfId="2" applyNumberFormat="1" applyFont="1" applyFill="1" applyBorder="1" applyAlignment="1">
      <alignment horizontal="center" vertical="center"/>
    </xf>
    <xf numFmtId="4" fontId="17" fillId="0" borderId="29" xfId="2" applyNumberFormat="1" applyFont="1" applyBorder="1" applyAlignment="1">
      <alignment horizontal="center" vertical="center"/>
    </xf>
    <xf numFmtId="4" fontId="17" fillId="0" borderId="7" xfId="2" applyNumberFormat="1" applyFont="1" applyBorder="1" applyAlignment="1">
      <alignment horizontal="center" vertical="center"/>
    </xf>
    <xf numFmtId="4" fontId="14" fillId="0" borderId="27" xfId="2" applyNumberFormat="1" applyFont="1" applyBorder="1" applyAlignment="1">
      <alignment horizontal="center" vertical="center"/>
    </xf>
    <xf numFmtId="4" fontId="14" fillId="0" borderId="7" xfId="2" applyNumberFormat="1" applyFont="1" applyBorder="1" applyAlignment="1">
      <alignment horizontal="center" vertical="center"/>
    </xf>
    <xf numFmtId="0" fontId="9" fillId="0" borderId="25" xfId="2" applyFont="1" applyBorder="1" applyAlignment="1">
      <alignment horizontal="center" vertical="center"/>
    </xf>
    <xf numFmtId="0" fontId="9" fillId="0" borderId="27" xfId="2" applyFont="1" applyBorder="1" applyAlignment="1">
      <alignment horizontal="center" vertical="center"/>
    </xf>
    <xf numFmtId="4" fontId="9" fillId="0" borderId="28" xfId="2" applyNumberFormat="1" applyFont="1" applyBorder="1" applyAlignment="1">
      <alignment horizontal="center" vertical="center"/>
    </xf>
    <xf numFmtId="4" fontId="22" fillId="0" borderId="43" xfId="2" applyNumberFormat="1" applyFont="1" applyBorder="1" applyAlignment="1">
      <alignment horizontal="center" vertical="center"/>
    </xf>
    <xf numFmtId="170" fontId="9" fillId="0" borderId="30" xfId="2" applyNumberFormat="1" applyFont="1" applyBorder="1" applyAlignment="1">
      <alignment horizontal="center" vertical="center"/>
    </xf>
    <xf numFmtId="4" fontId="9" fillId="0" borderId="30" xfId="2" applyNumberFormat="1" applyFont="1" applyBorder="1" applyAlignment="1">
      <alignment horizontal="center" vertical="center"/>
    </xf>
    <xf numFmtId="194" fontId="16" fillId="16" borderId="4" xfId="2" applyNumberFormat="1" applyFont="1" applyFill="1" applyBorder="1" applyAlignment="1" applyProtection="1">
      <alignment horizontal="center" vertical="center"/>
      <protection locked="0"/>
    </xf>
    <xf numFmtId="194" fontId="16" fillId="16" borderId="8" xfId="2" applyNumberFormat="1" applyFont="1" applyFill="1" applyBorder="1" applyAlignment="1" applyProtection="1">
      <alignment horizontal="center" vertical="center"/>
      <protection locked="0"/>
    </xf>
    <xf numFmtId="0" fontId="17" fillId="2" borderId="6" xfId="2" applyFont="1" applyFill="1" applyBorder="1" applyAlignment="1">
      <alignment horizontal="center" vertical="center"/>
    </xf>
    <xf numFmtId="0" fontId="17" fillId="5" borderId="4" xfId="3" applyFont="1" applyFill="1" applyBorder="1" applyAlignment="1">
      <alignment horizontal="center"/>
    </xf>
    <xf numFmtId="0" fontId="17" fillId="5" borderId="8" xfId="3" applyFont="1" applyFill="1" applyBorder="1" applyAlignment="1">
      <alignment horizontal="center"/>
    </xf>
    <xf numFmtId="165" fontId="10" fillId="4" borderId="14" xfId="2" applyNumberFormat="1" applyFont="1" applyFill="1" applyBorder="1" applyAlignment="1">
      <alignment horizontal="center" vertical="center"/>
    </xf>
    <xf numFmtId="165" fontId="15" fillId="4" borderId="37" xfId="2" applyNumberFormat="1" applyFont="1" applyFill="1" applyBorder="1" applyAlignment="1">
      <alignment horizontal="center" vertical="center"/>
    </xf>
    <xf numFmtId="166" fontId="15" fillId="4" borderId="35" xfId="2" applyNumberFormat="1" applyFont="1" applyFill="1" applyBorder="1" applyAlignment="1">
      <alignment horizontal="center" vertical="center"/>
    </xf>
    <xf numFmtId="166" fontId="15" fillId="4" borderId="38" xfId="2" applyNumberFormat="1" applyFont="1" applyFill="1" applyBorder="1" applyAlignment="1">
      <alignment horizontal="center" vertical="center"/>
    </xf>
    <xf numFmtId="165" fontId="15" fillId="4" borderId="63" xfId="2" applyNumberFormat="1" applyFont="1" applyFill="1" applyBorder="1" applyAlignment="1">
      <alignment horizontal="center" vertical="center"/>
    </xf>
    <xf numFmtId="4" fontId="6" fillId="3" borderId="5" xfId="2" applyNumberFormat="1" applyFont="1" applyFill="1" applyBorder="1" applyAlignment="1">
      <alignment horizontal="center" vertical="center"/>
    </xf>
    <xf numFmtId="0" fontId="12" fillId="0" borderId="16" xfId="2" applyFont="1" applyBorder="1" applyAlignment="1">
      <alignment horizontal="center" vertical="center"/>
    </xf>
    <xf numFmtId="0" fontId="12" fillId="0" borderId="17" xfId="2" applyFont="1" applyBorder="1" applyAlignment="1">
      <alignment horizontal="center" vertical="center"/>
    </xf>
    <xf numFmtId="0" fontId="12" fillId="0" borderId="18" xfId="2" applyFont="1" applyBorder="1" applyAlignment="1">
      <alignment horizontal="center" vertical="center"/>
    </xf>
    <xf numFmtId="176" fontId="10" fillId="4" borderId="29" xfId="2" applyNumberFormat="1" applyFont="1" applyFill="1" applyBorder="1" applyAlignment="1" applyProtection="1">
      <alignment horizontal="center" vertical="center"/>
      <protection locked="0"/>
    </xf>
    <xf numFmtId="176" fontId="10" fillId="4" borderId="6" xfId="2" applyNumberFormat="1" applyFont="1" applyFill="1" applyBorder="1" applyAlignment="1" applyProtection="1">
      <alignment horizontal="center" vertical="center"/>
      <protection locked="0"/>
    </xf>
    <xf numFmtId="176" fontId="10" fillId="4" borderId="7" xfId="2" applyNumberFormat="1" applyFont="1" applyFill="1" applyBorder="1" applyAlignment="1" applyProtection="1">
      <alignment horizontal="center" vertical="center"/>
      <protection locked="0"/>
    </xf>
    <xf numFmtId="165" fontId="15" fillId="4" borderId="52" xfId="2" applyNumberFormat="1" applyFont="1" applyFill="1" applyBorder="1" applyAlignment="1">
      <alignment horizontal="center" vertical="center"/>
    </xf>
    <xf numFmtId="166" fontId="15" fillId="4" borderId="52" xfId="2" applyNumberFormat="1" applyFont="1" applyFill="1" applyBorder="1" applyAlignment="1">
      <alignment horizontal="center" vertical="center"/>
    </xf>
    <xf numFmtId="166" fontId="15" fillId="4" borderId="53" xfId="2" applyNumberFormat="1" applyFont="1" applyFill="1" applyBorder="1" applyAlignment="1">
      <alignment horizontal="center" vertical="center"/>
    </xf>
    <xf numFmtId="166" fontId="15" fillId="4" borderId="55" xfId="2" applyNumberFormat="1" applyFont="1" applyFill="1" applyBorder="1" applyAlignment="1">
      <alignment horizontal="center" vertical="center"/>
    </xf>
    <xf numFmtId="14" fontId="6" fillId="0" borderId="4" xfId="2" applyNumberFormat="1" applyFont="1" applyBorder="1" applyAlignment="1">
      <alignment horizontal="center" vertical="center"/>
    </xf>
    <xf numFmtId="14" fontId="6" fillId="0" borderId="5" xfId="2" applyNumberFormat="1" applyFont="1" applyBorder="1" applyAlignment="1">
      <alignment horizontal="center" vertical="center"/>
    </xf>
    <xf numFmtId="14" fontId="6" fillId="0" borderId="62" xfId="2" applyNumberFormat="1" applyFont="1" applyBorder="1" applyAlignment="1">
      <alignment horizontal="center" vertical="center"/>
    </xf>
    <xf numFmtId="0" fontId="38" fillId="10" borderId="0" xfId="2" applyFont="1" applyFill="1" applyAlignment="1">
      <alignment horizontal="center" vertical="center"/>
    </xf>
    <xf numFmtId="170" fontId="9" fillId="0" borderId="43" xfId="2" applyNumberFormat="1" applyFont="1" applyBorder="1" applyAlignment="1">
      <alignment horizontal="center" vertical="center"/>
    </xf>
    <xf numFmtId="4" fontId="22" fillId="2" borderId="41" xfId="2" applyNumberFormat="1" applyFont="1" applyFill="1" applyBorder="1" applyAlignment="1">
      <alignment horizontal="center" vertical="center"/>
    </xf>
    <xf numFmtId="4" fontId="22" fillId="2" borderId="44" xfId="2" applyNumberFormat="1" applyFont="1" applyFill="1" applyBorder="1" applyAlignment="1">
      <alignment horizontal="center" vertical="center"/>
    </xf>
    <xf numFmtId="4" fontId="22" fillId="2" borderId="59" xfId="2" applyNumberFormat="1" applyFont="1" applyFill="1" applyBorder="1" applyAlignment="1">
      <alignment horizontal="center" vertical="center"/>
    </xf>
    <xf numFmtId="4" fontId="22" fillId="2" borderId="56" xfId="2" applyNumberFormat="1" applyFont="1" applyFill="1" applyBorder="1" applyAlignment="1">
      <alignment horizontal="center" vertical="center"/>
    </xf>
    <xf numFmtId="0" fontId="30" fillId="17" borderId="25" xfId="2" applyFont="1" applyFill="1" applyBorder="1" applyAlignment="1">
      <alignment horizontal="center" vertical="center"/>
    </xf>
    <xf numFmtId="0" fontId="30" fillId="17" borderId="26" xfId="2" applyFont="1" applyFill="1" applyBorder="1" applyAlignment="1">
      <alignment horizontal="center" vertical="center"/>
    </xf>
    <xf numFmtId="0" fontId="30" fillId="17" borderId="27" xfId="2" applyFont="1" applyFill="1" applyBorder="1" applyAlignment="1">
      <alignment horizontal="center" vertical="center"/>
    </xf>
    <xf numFmtId="0" fontId="6" fillId="2" borderId="3" xfId="2" applyFont="1" applyFill="1" applyBorder="1" applyAlignment="1">
      <alignment horizontal="center" vertical="center"/>
    </xf>
    <xf numFmtId="0" fontId="30" fillId="10" borderId="6" xfId="2" applyFont="1" applyFill="1" applyBorder="1" applyAlignment="1">
      <alignment horizontal="center" vertical="center"/>
    </xf>
    <xf numFmtId="176" fontId="47" fillId="0" borderId="3" xfId="2" applyNumberFormat="1" applyFont="1" applyBorder="1" applyAlignment="1" applyProtection="1">
      <alignment horizontal="center" vertical="center"/>
      <protection locked="0"/>
    </xf>
    <xf numFmtId="0" fontId="28" fillId="10" borderId="6" xfId="2" applyFont="1" applyFill="1" applyBorder="1" applyAlignment="1">
      <alignment horizontal="center" vertical="center"/>
    </xf>
    <xf numFmtId="0" fontId="30" fillId="10" borderId="0" xfId="2" applyFont="1" applyFill="1" applyAlignment="1">
      <alignment horizontal="center" vertical="center"/>
    </xf>
    <xf numFmtId="0" fontId="13" fillId="9" borderId="4" xfId="2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 vertical="center"/>
    </xf>
    <xf numFmtId="4" fontId="47" fillId="0" borderId="40" xfId="2" applyNumberFormat="1" applyFont="1" applyBorder="1" applyAlignment="1" applyProtection="1">
      <alignment horizontal="center" vertical="center"/>
      <protection locked="0"/>
    </xf>
    <xf numFmtId="0" fontId="46" fillId="0" borderId="3" xfId="2" applyFont="1" applyBorder="1" applyAlignment="1" applyProtection="1">
      <alignment horizontal="center" vertical="center"/>
      <protection locked="0"/>
    </xf>
  </cellXfs>
  <cellStyles count="6">
    <cellStyle name="Hyperlink" xfId="5" builtinId="8"/>
    <cellStyle name="Normal 2" xfId="1" xr:uid="{C48B3D54-E933-4B00-8667-7D97E5D282FF}"/>
    <cellStyle name="Normal 3" xfId="3" xr:uid="{9C46D4FF-951B-4076-A0B6-D543F8DF6E49}"/>
    <cellStyle name="จุลภาค" xfId="4" builtinId="3"/>
    <cellStyle name="ปกติ" xfId="0" builtinId="0"/>
    <cellStyle name="ปกติ 2" xfId="2" xr:uid="{9607955B-56C7-4547-89BF-A43C739A0E6F}"/>
  </cellStyles>
  <dxfs count="137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ont>
        <b/>
        <i val="0"/>
        <color rgb="FFFFC000"/>
      </font>
    </dxf>
    <dxf>
      <fill>
        <patternFill>
          <bgColor theme="8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ont>
        <b/>
        <i val="0"/>
        <color rgb="FFFFC000"/>
      </font>
    </dxf>
    <dxf>
      <font>
        <b/>
        <i val="0"/>
        <color rgb="FF0000FF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FF99"/>
      </font>
    </dxf>
    <dxf>
      <font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99"/>
      <color rgb="FF0000FF"/>
      <color rgb="FFFFFFCC"/>
      <color rgb="FFFFFFDD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Sheet1!$OL$9</c:f>
              <c:strCache>
                <c:ptCount val="1"/>
                <c:pt idx="0">
                  <c:v>CASE  F1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Sheet1!$OM$14:$OM$18</c:f>
              <c:numCache>
                <c:formatCode>#,##0.0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xVal>
          <c:yVal>
            <c:numRef>
              <c:f>Sheet1!$ON$14:$ON$18</c:f>
              <c:numCache>
                <c:formatCode>General</c:formatCode>
                <c:ptCount val="5"/>
                <c:pt idx="0" formatCode="#,##0.00">
                  <c:v>#N/A</c:v>
                </c:pt>
                <c:pt idx="1">
                  <c:v>#N/A</c:v>
                </c:pt>
                <c:pt idx="2" formatCode="#,##0.00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6-4F96-8DF7-5A46C9CBF5B2}"/>
            </c:ext>
          </c:extLst>
        </c:ser>
        <c:ser>
          <c:idx val="1"/>
          <c:order val="1"/>
          <c:tx>
            <c:strRef>
              <c:f>Sheet1!$BT$34</c:f>
              <c:strCache>
                <c:ptCount val="1"/>
                <c:pt idx="0">
                  <c:v>P1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Sheet1!$BV$34</c:f>
              <c:numCache>
                <c:formatCode>#,##0.000"  E"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Sheet1!$BU$34</c:f>
              <c:numCache>
                <c:formatCode>#,##0.000"  N"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26-4F96-8DF7-5A46C9CBF5B2}"/>
            </c:ext>
          </c:extLst>
        </c:ser>
        <c:ser>
          <c:idx val="3"/>
          <c:order val="2"/>
          <c:tx>
            <c:strRef>
              <c:f>Sheet1!$BX$47:$BX$48</c:f>
              <c:strCache>
                <c:ptCount val="2"/>
                <c:pt idx="0">
                  <c:v>P1</c:v>
                </c:pt>
                <c:pt idx="1">
                  <c:v>P2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26-4F96-8DF7-5A46C9CBF5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26-4F96-8DF7-5A46C9CBF5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26-4F96-8DF7-5A46C9CBF5B2}"/>
                </c:ext>
              </c:extLst>
            </c:dLbl>
            <c:spPr>
              <a:solidFill>
                <a:srgbClr val="FFFFCC">
                  <a:alpha val="65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Sheet1!$BY$47:$BY$51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xVal>
          <c:yVal>
            <c:numRef>
              <c:f>Sheet1!$BZ$47:$BZ$51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Sheet1!$CA$47:$CA$51</c15:f>
                <c15:dlblRangeCache>
                  <c:ptCount val="5"/>
                </c15:dlblRangeCache>
              </c15:datalabelsRange>
            </c:ext>
            <c:ext xmlns:c16="http://schemas.microsoft.com/office/drawing/2014/chart" uri="{C3380CC4-5D6E-409C-BE32-E72D297353CC}">
              <c16:uniqueId val="{00000008-4626-4F96-8DF7-5A46C9CBF5B2}"/>
            </c:ext>
          </c:extLst>
        </c:ser>
        <c:ser>
          <c:idx val="5"/>
          <c:order val="3"/>
          <c:tx>
            <c:strRef>
              <c:f>Sheet1!$BX$25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Sheet1!$BY$25:$BY$35</c:f>
              <c:numCache>
                <c:formatCode>#,##0.0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Sheet1!$BZ$25:$BZ$35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#,##0.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626-4F96-8DF7-5A46C9CBF5B2}"/>
            </c:ext>
          </c:extLst>
        </c:ser>
        <c:ser>
          <c:idx val="6"/>
          <c:order val="4"/>
          <c:tx>
            <c:strRef>
              <c:f>Sheet1!$DT$46:$DT$50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626-4F96-8DF7-5A46C9CBF5B2}"/>
              </c:ext>
            </c:extLst>
          </c:dPt>
          <c:dPt>
            <c:idx val="2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626-4F96-8DF7-5A46C9CBF5B2}"/>
              </c:ext>
            </c:extLst>
          </c:dPt>
          <c:dPt>
            <c:idx val="3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626-4F96-8DF7-5A46C9CBF5B2}"/>
              </c:ext>
            </c:extLst>
          </c:dPt>
          <c:dPt>
            <c:idx val="4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D6C4-46B1-A556-F328B976857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E4E07EA-D6B7-4C33-89A7-7EDB07124D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7BFC88-6FCA-42F4-BFA6-F3B8550BC2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5D7394-5388-4316-804F-0236560EB2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26-4F96-8DF7-5A46C9CBF5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965663-5315-4715-BEDC-5D6BF80E1B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26-4F96-8DF7-5A46C9CBF5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5F5689-06C8-4004-BFEB-09C0C1E448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C4-46B1-A556-F328B976857B}"/>
                </c:ext>
              </c:extLst>
            </c:dLbl>
            <c:spPr>
              <a:solidFill>
                <a:srgbClr val="FFFFCC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Sheet1!$DU$46:$DU$50</c:f>
              <c:numCache>
                <c:formatCode>General</c:formatCode>
                <c:ptCount val="5"/>
                <c:pt idx="0">
                  <c:v>-0.65</c:v>
                </c:pt>
                <c:pt idx="1">
                  <c:v>-0.65</c:v>
                </c:pt>
                <c:pt idx="2">
                  <c:v>0.65</c:v>
                </c:pt>
                <c:pt idx="3">
                  <c:v>0.65</c:v>
                </c:pt>
                <c:pt idx="4">
                  <c:v>0</c:v>
                </c:pt>
              </c:numCache>
            </c:numRef>
          </c:xVal>
          <c:yVal>
            <c:numRef>
              <c:f>Sheet1!$DV$46:$DV$50</c:f>
              <c:numCache>
                <c:formatCode>General</c:formatCode>
                <c:ptCount val="5"/>
                <c:pt idx="0">
                  <c:v>-0.65</c:v>
                </c:pt>
                <c:pt idx="1">
                  <c:v>0.65</c:v>
                </c:pt>
                <c:pt idx="2">
                  <c:v>-0.65</c:v>
                </c:pt>
                <c:pt idx="3">
                  <c:v>0.65</c:v>
                </c:pt>
                <c:pt idx="4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Sheet1!$DW$46:$DW$50</c15:f>
                <c15:dlblRangeCache>
                  <c:ptCount val="5"/>
                  <c:pt idx="0">
                    <c:v>P1</c:v>
                  </c:pt>
                  <c:pt idx="1">
                    <c:v>P2</c:v>
                  </c:pt>
                  <c:pt idx="2">
                    <c:v>P3</c:v>
                  </c:pt>
                  <c:pt idx="3">
                    <c:v>P4</c:v>
                  </c:pt>
                  <c:pt idx="4">
                    <c:v>P5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4626-4F96-8DF7-5A46C9CBF5B2}"/>
            </c:ext>
          </c:extLst>
        </c:ser>
        <c:ser>
          <c:idx val="8"/>
          <c:order val="5"/>
          <c:tx>
            <c:strRef>
              <c:f>Sheet1!$DT$25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Sheet1!$DU$25:$DU$29</c:f>
              <c:numCache>
                <c:formatCode>#,##0.0</c:formatCode>
                <c:ptCount val="5"/>
                <c:pt idx="0">
                  <c:v>-0.95</c:v>
                </c:pt>
                <c:pt idx="1">
                  <c:v>0.95</c:v>
                </c:pt>
                <c:pt idx="2">
                  <c:v>0.95</c:v>
                </c:pt>
                <c:pt idx="3">
                  <c:v>-0.95</c:v>
                </c:pt>
                <c:pt idx="4">
                  <c:v>-0.95</c:v>
                </c:pt>
              </c:numCache>
            </c:numRef>
          </c:xVal>
          <c:yVal>
            <c:numRef>
              <c:f>Sheet1!$DV$25:$DV$29</c:f>
              <c:numCache>
                <c:formatCode>#,##0.00</c:formatCode>
                <c:ptCount val="5"/>
                <c:pt idx="0">
                  <c:v>0.95</c:v>
                </c:pt>
                <c:pt idx="1">
                  <c:v>0.95</c:v>
                </c:pt>
                <c:pt idx="2">
                  <c:v>-0.95</c:v>
                </c:pt>
                <c:pt idx="3">
                  <c:v>-0.95</c:v>
                </c:pt>
                <c:pt idx="4" formatCode="#,##0.0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626-4F96-8DF7-5A46C9CBF5B2}"/>
            </c:ext>
          </c:extLst>
        </c:ser>
        <c:ser>
          <c:idx val="9"/>
          <c:order val="6"/>
          <c:tx>
            <c:strRef>
              <c:f>Sheet1!$NN$11</c:f>
              <c:strCache>
                <c:ptCount val="1"/>
                <c:pt idx="0">
                  <c:v>เสาตอม่อ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Sheet1!$NP$12:$NP$16</c:f>
              <c:numCache>
                <c:formatCode>General</c:formatCode>
                <c:ptCount val="5"/>
                <c:pt idx="0">
                  <c:v>-0.2</c:v>
                </c:pt>
                <c:pt idx="1">
                  <c:v>0.2</c:v>
                </c:pt>
                <c:pt idx="2">
                  <c:v>0.2</c:v>
                </c:pt>
                <c:pt idx="3">
                  <c:v>-0.2</c:v>
                </c:pt>
                <c:pt idx="4">
                  <c:v>-0.2</c:v>
                </c:pt>
              </c:numCache>
            </c:numRef>
          </c:xVal>
          <c:yVal>
            <c:numRef>
              <c:f>Sheet1!$NO$12:$NO$16</c:f>
              <c:numCache>
                <c:formatCode>General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-0.2</c:v>
                </c:pt>
                <c:pt idx="3">
                  <c:v>-0.2</c:v>
                </c:pt>
                <c:pt idx="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626-4F96-8DF7-5A46C9CBF5B2}"/>
            </c:ext>
          </c:extLst>
        </c:ser>
        <c:ser>
          <c:idx val="10"/>
          <c:order val="7"/>
          <c:tx>
            <c:strRef>
              <c:f>Sheet1!$BX$13</c:f>
              <c:strCache>
                <c:ptCount val="1"/>
                <c:pt idx="0">
                  <c:v>Grid-Line</c:v>
                </c:pt>
              </c:strCache>
            </c:strRef>
          </c:tx>
          <c:spPr>
            <a:ln w="12700" cap="rnd">
              <a:solidFill>
                <a:schemeClr val="tx1">
                  <a:lumMod val="85000"/>
                  <a:lumOff val="1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Sheet1!$BZ$14:$BZ$18</c:f>
              <c:numCache>
                <c:formatCode>#,##0.0</c:formatCode>
                <c:ptCount val="5"/>
                <c:pt idx="0">
                  <c:v>-1.25</c:v>
                </c:pt>
                <c:pt idx="1">
                  <c:v>1.25</c:v>
                </c:pt>
                <c:pt idx="2" formatCode="General">
                  <c:v>#N/A</c:v>
                </c:pt>
                <c:pt idx="3" formatCode="#,##0.000&quot;  E&quot;">
                  <c:v>0</c:v>
                </c:pt>
                <c:pt idx="4" formatCode="#,##0.000&quot;  E&quot;">
                  <c:v>0</c:v>
                </c:pt>
              </c:numCache>
            </c:numRef>
          </c:xVal>
          <c:yVal>
            <c:numRef>
              <c:f>Sheet1!$CA$14:$CA$18</c:f>
              <c:numCache>
                <c:formatCode>#,##0.000"  N"</c:formatCode>
                <c:ptCount val="5"/>
                <c:pt idx="0">
                  <c:v>0</c:v>
                </c:pt>
                <c:pt idx="1">
                  <c:v>0</c:v>
                </c:pt>
                <c:pt idx="2" formatCode="General">
                  <c:v>#N/A</c:v>
                </c:pt>
                <c:pt idx="3" formatCode="#,##0.00">
                  <c:v>1.25</c:v>
                </c:pt>
                <c:pt idx="4" formatCode="#,##0.00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626-4F96-8DF7-5A46C9CBF5B2}"/>
            </c:ext>
          </c:extLst>
        </c:ser>
        <c:ser>
          <c:idx val="11"/>
          <c:order val="8"/>
          <c:tx>
            <c:strRef>
              <c:f>Sheet1!$DQ$13</c:f>
              <c:strCache>
                <c:ptCount val="1"/>
                <c:pt idx="0">
                  <c:v>Label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2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Pt>
            <c:idx val="1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626-4F96-8DF7-5A46C9CBF5B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C5CA8B3-41A7-4CA2-B67C-0DCF873C11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65C32C-DB9E-403D-B96A-93C6EEEE97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26-4F96-8DF7-5A46C9CBF5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t" anchorCtr="0">
                <a:spAutoFit/>
              </a:bodyPr>
              <a:lstStyle/>
              <a:p>
                <a:pPr algn="ctr"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Sheet1!$DQ$14:$DQ$15</c:f>
              <c:numCache>
                <c:formatCode>#,##0.000"  E"</c:formatCode>
                <c:ptCount val="2"/>
                <c:pt idx="0" formatCode="#,##0.0">
                  <c:v>-1.6</c:v>
                </c:pt>
                <c:pt idx="1">
                  <c:v>0</c:v>
                </c:pt>
              </c:numCache>
            </c:numRef>
          </c:xVal>
          <c:yVal>
            <c:numRef>
              <c:f>Sheet1!$DR$14:$DR$15</c:f>
              <c:numCache>
                <c:formatCode>#,##0.00</c:formatCode>
                <c:ptCount val="2"/>
                <c:pt idx="0" formatCode="#,##0.000&quot;  N&quot;">
                  <c:v>0</c:v>
                </c:pt>
                <c:pt idx="1">
                  <c:v>1.6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Sheet1!$DS$14:$DS$15</c15:f>
                <c15:dlblRangeCache>
                  <c:ptCount val="2"/>
                  <c:pt idx="0">
                    <c:v>X</c:v>
                  </c:pt>
                  <c:pt idx="1">
                    <c:v>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4626-4F96-8DF7-5A46C9CBF5B2}"/>
            </c:ext>
          </c:extLst>
        </c:ser>
        <c:ser>
          <c:idx val="13"/>
          <c:order val="9"/>
          <c:tx>
            <c:strRef>
              <c:f>Sheet1!$DY$44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Sheet1!$DY$46:$DY$49</c:f>
              <c:numCache>
                <c:formatCode>General</c:formatCode>
                <c:ptCount val="4"/>
                <c:pt idx="0">
                  <c:v>-0.65</c:v>
                </c:pt>
                <c:pt idx="1">
                  <c:v>-0.65</c:v>
                </c:pt>
                <c:pt idx="2">
                  <c:v>0.65</c:v>
                </c:pt>
                <c:pt idx="3">
                  <c:v>0.65</c:v>
                </c:pt>
              </c:numCache>
            </c:numRef>
          </c:xVal>
          <c:yVal>
            <c:numRef>
              <c:f>Sheet1!$DZ$46:$DZ$49</c:f>
              <c:numCache>
                <c:formatCode>General</c:formatCode>
                <c:ptCount val="4"/>
                <c:pt idx="0">
                  <c:v>-0.65</c:v>
                </c:pt>
                <c:pt idx="1">
                  <c:v>0.65</c:v>
                </c:pt>
                <c:pt idx="2">
                  <c:v>-0.65</c:v>
                </c:pt>
                <c:pt idx="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626-4F96-8DF7-5A46C9CBF5B2}"/>
            </c:ext>
          </c:extLst>
        </c:ser>
        <c:ser>
          <c:idx val="14"/>
          <c:order val="10"/>
          <c:tx>
            <c:strRef>
              <c:f>Sheet1!$BW$13</c:f>
              <c:strCache>
                <c:ptCount val="1"/>
                <c:pt idx="0">
                  <c:v>180.00T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AEE94C-AB3F-44C2-A633-8105A541AF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26-4F96-8DF7-5A46C9CBF5B2}"/>
                </c:ext>
              </c:extLst>
            </c:dLbl>
            <c:spPr>
              <a:solidFill>
                <a:srgbClr val="FFFF00">
                  <a:alpha val="55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Sheet1!$NP$11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Sheet1!$NO$11</c:f>
              <c:numCache>
                <c:formatCode>#,##0.000"  N"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Sheet1!$BW$13</c15:f>
                <c15:dlblRangeCache>
                  <c:ptCount val="1"/>
                  <c:pt idx="0">
                    <c:v>180.00T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4626-4F96-8DF7-5A46C9CBF5B2}"/>
            </c:ext>
          </c:extLst>
        </c:ser>
        <c:ser>
          <c:idx val="15"/>
          <c:order val="11"/>
          <c:tx>
            <c:strRef>
              <c:f>Sheet1!$DU$75</c:f>
              <c:strCache>
                <c:ptCount val="1"/>
                <c:pt idx="0">
                  <c:v>DIMENSION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626-4F96-8DF7-5A46C9CBF5B2}"/>
              </c:ext>
            </c:extLst>
          </c:dPt>
          <c:dPt>
            <c:idx val="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2-4626-4F96-8DF7-5A46C9CBF5B2}"/>
              </c:ext>
            </c:extLst>
          </c:dPt>
          <c:dPt>
            <c:idx val="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626-4F96-8DF7-5A46C9CBF5B2}"/>
              </c:ext>
            </c:extLst>
          </c:dPt>
          <c:dPt>
            <c:idx val="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626-4F96-8DF7-5A46C9CBF5B2}"/>
              </c:ext>
            </c:extLst>
          </c:dPt>
          <c:dPt>
            <c:idx val="7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8-4626-4F96-8DF7-5A46C9CBF5B2}"/>
              </c:ext>
            </c:extLst>
          </c:dPt>
          <c:dPt>
            <c:idx val="8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626-4F96-8DF7-5A46C9CBF5B2}"/>
              </c:ext>
            </c:extLst>
          </c:dPt>
          <c:dPt>
            <c:idx val="11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2C-4626-4F96-8DF7-5A46C9CBF5B2}"/>
              </c:ext>
            </c:extLst>
          </c:dPt>
          <c:dPt>
            <c:idx val="12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626-4F96-8DF7-5A46C9CBF5B2}"/>
              </c:ext>
            </c:extLst>
          </c:dPt>
          <c:dPt>
            <c:idx val="15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0-4626-4F96-8DF7-5A46C9CBF5B2}"/>
              </c:ext>
            </c:extLst>
          </c:dPt>
          <c:dPt>
            <c:idx val="1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626-4F96-8DF7-5A46C9CBF5B2}"/>
              </c:ext>
            </c:extLst>
          </c:dPt>
          <c:dPt>
            <c:idx val="19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4-4626-4F96-8DF7-5A46C9CBF5B2}"/>
              </c:ext>
            </c:extLst>
          </c:dPt>
          <c:dPt>
            <c:idx val="2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6-4626-4F96-8DF7-5A46C9CBF5B2}"/>
              </c:ext>
            </c:extLst>
          </c:dPt>
          <c:dPt>
            <c:idx val="2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626-4F96-8DF7-5A46C9CBF5B2}"/>
              </c:ext>
            </c:extLst>
          </c:dPt>
          <c:dPt>
            <c:idx val="26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A-4626-4F96-8DF7-5A46C9CBF5B2}"/>
              </c:ext>
            </c:extLst>
          </c:dPt>
          <c:dPt>
            <c:idx val="27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626-4F96-8DF7-5A46C9CBF5B2}"/>
              </c:ext>
            </c:extLst>
          </c:dPt>
          <c:dPt>
            <c:idx val="30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3E-4626-4F96-8DF7-5A46C9CBF5B2}"/>
              </c:ext>
            </c:extLst>
          </c:dPt>
          <c:xVal>
            <c:numRef>
              <c:f>Sheet1!$DU$77:$DU$116</c:f>
              <c:numCache>
                <c:formatCode>General</c:formatCode>
                <c:ptCount val="40"/>
                <c:pt idx="0">
                  <c:v>-0.95</c:v>
                </c:pt>
                <c:pt idx="1">
                  <c:v>-0.95</c:v>
                </c:pt>
                <c:pt idx="2">
                  <c:v>0.95</c:v>
                </c:pt>
                <c:pt idx="3">
                  <c:v>0.95</c:v>
                </c:pt>
                <c:pt idx="4">
                  <c:v>#N/A</c:v>
                </c:pt>
                <c:pt idx="5">
                  <c:v>1</c:v>
                </c:pt>
                <c:pt idx="6">
                  <c:v>1.4</c:v>
                </c:pt>
                <c:pt idx="7">
                  <c:v>1.4</c:v>
                </c:pt>
                <c:pt idx="8">
                  <c:v>1</c:v>
                </c:pt>
                <c:pt idx="9">
                  <c:v>#N/A</c:v>
                </c:pt>
                <c:pt idx="10">
                  <c:v>-0.95</c:v>
                </c:pt>
                <c:pt idx="11">
                  <c:v>-0.65</c:v>
                </c:pt>
                <c:pt idx="12">
                  <c:v>-0.65</c:v>
                </c:pt>
                <c:pt idx="13">
                  <c:v>#N/A</c:v>
                </c:pt>
                <c:pt idx="14">
                  <c:v>-0.65</c:v>
                </c:pt>
                <c:pt idx="15">
                  <c:v>0.65</c:v>
                </c:pt>
                <c:pt idx="16">
                  <c:v>0.65</c:v>
                </c:pt>
                <c:pt idx="17">
                  <c:v>#N/A</c:v>
                </c:pt>
                <c:pt idx="18">
                  <c:v>0.65</c:v>
                </c:pt>
                <c:pt idx="19">
                  <c:v>0.95</c:v>
                </c:pt>
                <c:pt idx="20">
                  <c:v>#N/A</c:v>
                </c:pt>
                <c:pt idx="21">
                  <c:v>1.2</c:v>
                </c:pt>
                <c:pt idx="22">
                  <c:v>1.2</c:v>
                </c:pt>
                <c:pt idx="23">
                  <c:v>0.65</c:v>
                </c:pt>
                <c:pt idx="24">
                  <c:v>#N/A</c:v>
                </c:pt>
                <c:pt idx="25">
                  <c:v>1.2</c:v>
                </c:pt>
                <c:pt idx="26">
                  <c:v>1.2</c:v>
                </c:pt>
                <c:pt idx="27">
                  <c:v>0.65</c:v>
                </c:pt>
                <c:pt idx="28">
                  <c:v>#N/A</c:v>
                </c:pt>
                <c:pt idx="29">
                  <c:v>1.2</c:v>
                </c:pt>
                <c:pt idx="30">
                  <c:v>1.2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xVal>
          <c:yVal>
            <c:numRef>
              <c:f>Sheet1!$DV$77:$DV$116</c:f>
              <c:numCache>
                <c:formatCode>General</c:formatCode>
                <c:ptCount val="40"/>
                <c:pt idx="0">
                  <c:v>1</c:v>
                </c:pt>
                <c:pt idx="1">
                  <c:v>1.4</c:v>
                </c:pt>
                <c:pt idx="2">
                  <c:v>1.4</c:v>
                </c:pt>
                <c:pt idx="3">
                  <c:v>1</c:v>
                </c:pt>
                <c:pt idx="4">
                  <c:v>#N/A</c:v>
                </c:pt>
                <c:pt idx="5">
                  <c:v>0.95</c:v>
                </c:pt>
                <c:pt idx="6">
                  <c:v>0.95</c:v>
                </c:pt>
                <c:pt idx="7">
                  <c:v>-0.95</c:v>
                </c:pt>
                <c:pt idx="8">
                  <c:v>-0.95</c:v>
                </c:pt>
                <c:pt idx="9">
                  <c:v>#N/A</c:v>
                </c:pt>
                <c:pt idx="10">
                  <c:v>1.2</c:v>
                </c:pt>
                <c:pt idx="11">
                  <c:v>1.2</c:v>
                </c:pt>
                <c:pt idx="12">
                  <c:v>0.65</c:v>
                </c:pt>
                <c:pt idx="13">
                  <c:v>#N/A</c:v>
                </c:pt>
                <c:pt idx="14">
                  <c:v>1.2</c:v>
                </c:pt>
                <c:pt idx="15">
                  <c:v>1.2</c:v>
                </c:pt>
                <c:pt idx="16">
                  <c:v>0.65</c:v>
                </c:pt>
                <c:pt idx="17">
                  <c:v>#N/A</c:v>
                </c:pt>
                <c:pt idx="18">
                  <c:v>1.2</c:v>
                </c:pt>
                <c:pt idx="19">
                  <c:v>1.2</c:v>
                </c:pt>
                <c:pt idx="20">
                  <c:v>#N/A</c:v>
                </c:pt>
                <c:pt idx="21">
                  <c:v>0.95</c:v>
                </c:pt>
                <c:pt idx="22">
                  <c:v>0.65</c:v>
                </c:pt>
                <c:pt idx="23">
                  <c:v>0.65</c:v>
                </c:pt>
                <c:pt idx="24">
                  <c:v>#N/A</c:v>
                </c:pt>
                <c:pt idx="25">
                  <c:v>0.65</c:v>
                </c:pt>
                <c:pt idx="26">
                  <c:v>-0.65</c:v>
                </c:pt>
                <c:pt idx="27">
                  <c:v>-0.65</c:v>
                </c:pt>
                <c:pt idx="28">
                  <c:v>#N/A</c:v>
                </c:pt>
                <c:pt idx="29">
                  <c:v>-0.65</c:v>
                </c:pt>
                <c:pt idx="30">
                  <c:v>-0.95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626-4F96-8DF7-5A46C9CBF5B2}"/>
            </c:ext>
          </c:extLst>
        </c:ser>
        <c:ser>
          <c:idx val="16"/>
          <c:order val="12"/>
          <c:tx>
            <c:strRef>
              <c:f>Sheet1!$DU$75:$DW$75</c:f>
              <c:strCache>
                <c:ptCount val="1"/>
                <c:pt idx="0">
                  <c:v>DIMENSION Label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D7A9F7-36EE-4178-AE1E-FB1B8ECF98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26-4F96-8DF7-5A46C9CBF5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26-4F96-8DF7-5A46C9CBF5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26-4F96-8DF7-5A46C9CBF5B2}"/>
                </c:ext>
              </c:extLst>
            </c:dLbl>
            <c:dLbl>
              <c:idx val="5"/>
              <c:tx>
                <c:rich>
                  <a:bodyPr rot="-540000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ysClr val="windowText" lastClr="000000"/>
                        </a:solidFill>
                        <a:latin typeface="TH SarabunPSK" panose="020B0500040200020003" pitchFamily="34" charset="-34"/>
                        <a:ea typeface="+mn-ea"/>
                        <a:cs typeface="TH SarabunPSK" panose="020B0500040200020003" pitchFamily="34" charset="-34"/>
                      </a:defRPr>
                    </a:pPr>
                    <a:fld id="{DFBAD213-70EF-4D25-8072-E1E12D8C55EA}" type="CELLRANGE">
                      <a:rPr lang="en-US"/>
                      <a:pPr>
                        <a:defRPr sz="1000" b="1" i="0" u="none" strike="noStrike" kern="1200" baseline="0">
                          <a:solidFill>
                            <a:sysClr val="windowText" lastClr="000000"/>
                          </a:solidFill>
                          <a:latin typeface="TH SarabunPSK" panose="020B0500040200020003" pitchFamily="34" charset="-34"/>
                          <a:ea typeface="+mn-ea"/>
                          <a:cs typeface="TH SarabunPSK" panose="020B0500040200020003" pitchFamily="34" charset="-34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26-4F96-8DF7-5A46C9CBF5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26-4F96-8DF7-5A46C9CBF5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26-4F96-8DF7-5A46C9CBF5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26-4F96-8DF7-5A46C9CBF5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26-4F96-8DF7-5A46C9CBF5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26-4F96-8DF7-5A46C9CBF5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1ECF96-C1FA-44EB-A668-F76B8D6FEE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26-4F96-8DF7-5A46C9CBF5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26-4F96-8DF7-5A46C9CBF5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26-4F96-8DF7-5A46C9CBF5B2}"/>
                </c:ext>
              </c:extLst>
            </c:dLbl>
            <c:dLbl>
              <c:idx val="14"/>
              <c:tx>
                <c:rich>
                  <a:bodyPr rot="-540000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ysClr val="windowText" lastClr="000000"/>
                        </a:solidFill>
                        <a:latin typeface="TH SarabunPSK" panose="020B0500040200020003" pitchFamily="34" charset="-34"/>
                        <a:ea typeface="+mn-ea"/>
                        <a:cs typeface="TH SarabunPSK" panose="020B0500040200020003" pitchFamily="34" charset="-34"/>
                      </a:defRPr>
                    </a:pPr>
                    <a:fld id="{8F18B7B3-2043-4E10-8A2E-27B64CAAC00F}" type="CELLRANGE">
                      <a:rPr lang="en-US"/>
                      <a:pPr>
                        <a:defRPr sz="1000" b="1" i="0" u="none" strike="noStrike" kern="1200" baseline="0">
                          <a:solidFill>
                            <a:sysClr val="windowText" lastClr="000000"/>
                          </a:solidFill>
                          <a:latin typeface="TH SarabunPSK" panose="020B0500040200020003" pitchFamily="34" charset="-34"/>
                          <a:ea typeface="+mn-ea"/>
                          <a:cs typeface="TH SarabunPSK" panose="020B0500040200020003" pitchFamily="34" charset="-34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26-4F96-8DF7-5A46C9CBF5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26-4F96-8DF7-5A46C9CBF5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26-4F96-8DF7-5A46C9CBF5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26-4F96-8DF7-5A46C9CBF5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26-4F96-8DF7-5A46C9CBF5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26-4F96-8DF7-5A46C9CBF5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26-4F96-8DF7-5A46C9CBF5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26-4F96-8DF7-5A46C9CBF5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26-4F96-8DF7-5A46C9CBF5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26-4F96-8DF7-5A46C9CBF5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26-4F96-8DF7-5A46C9CBF5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26-4F96-8DF7-5A46C9CBF5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26-4F96-8DF7-5A46C9CBF5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26-4F96-8DF7-5A46C9CBF5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26-4F96-8DF7-5A46C9CBF5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26-4F96-8DF7-5A46C9CBF5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26-4F96-8DF7-5A46C9CBF5B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Sheet1!$DW$77:$DW$107</c:f>
              <c:numCache>
                <c:formatCode>General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1.2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Sheet1!$DX$77:$DX$107</c:f>
              <c:numCache>
                <c:formatCode>General</c:formatCode>
                <c:ptCount val="31"/>
                <c:pt idx="0">
                  <c:v>1.4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1.2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Sheet1!$DY$77:$DY$107</c15:f>
                <c15:dlblRangeCache>
                  <c:ptCount val="31"/>
                  <c:pt idx="0">
                    <c:v>1.90 m.</c:v>
                  </c:pt>
                  <c:pt idx="5">
                    <c:v>1.90 m.</c:v>
                  </c:pt>
                  <c:pt idx="11">
                    <c:v>1.30 m.</c:v>
                  </c:pt>
                  <c:pt idx="14">
                    <c:v>1.30 m.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F-4626-4F96-8DF7-5A46C9CBF5B2}"/>
            </c:ext>
          </c:extLst>
        </c:ser>
        <c:ser>
          <c:idx val="17"/>
          <c:order val="13"/>
          <c:tx>
            <c:strRef>
              <c:f>Sheet1!$CD$45</c:f>
              <c:strCache>
                <c:ptCount val="1"/>
                <c:pt idx="0">
                  <c:v>DIMENSION F2X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4626-4F96-8DF7-5A46C9CBF5B2}"/>
              </c:ext>
            </c:extLst>
          </c:dPt>
          <c:dPt>
            <c:idx val="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3-4626-4F96-8DF7-5A46C9CBF5B2}"/>
              </c:ext>
            </c:extLst>
          </c:dPt>
          <c:dPt>
            <c:idx val="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4626-4F96-8DF7-5A46C9CBF5B2}"/>
              </c:ext>
            </c:extLst>
          </c:dPt>
          <c:dPt>
            <c:idx val="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4626-4F96-8DF7-5A46C9CBF5B2}"/>
              </c:ext>
            </c:extLst>
          </c:dPt>
          <c:dPt>
            <c:idx val="7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9-4626-4F96-8DF7-5A46C9CBF5B2}"/>
              </c:ext>
            </c:extLst>
          </c:dPt>
          <c:dPt>
            <c:idx val="8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4626-4F96-8DF7-5A46C9CBF5B2}"/>
              </c:ext>
            </c:extLst>
          </c:dPt>
          <c:dPt>
            <c:idx val="11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6D-4626-4F96-8DF7-5A46C9CBF5B2}"/>
              </c:ext>
            </c:extLst>
          </c:dPt>
          <c:dPt>
            <c:idx val="12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4626-4F96-8DF7-5A46C9CBF5B2}"/>
              </c:ext>
            </c:extLst>
          </c:dPt>
          <c:dPt>
            <c:idx val="15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1-4626-4F96-8DF7-5A46C9CBF5B2}"/>
              </c:ext>
            </c:extLst>
          </c:dPt>
          <c:dPt>
            <c:idx val="1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4626-4F96-8DF7-5A46C9CBF5B2}"/>
              </c:ext>
            </c:extLst>
          </c:dPt>
          <c:dPt>
            <c:idx val="19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5-4626-4F96-8DF7-5A46C9CBF5B2}"/>
              </c:ext>
            </c:extLst>
          </c:dPt>
          <c:xVal>
            <c:numRef>
              <c:f>Sheet1!$CD$47:$CD$66</c:f>
              <c:numCache>
                <c:formatCode>#,##0.0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General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General">
                  <c:v>#N/A</c:v>
                </c:pt>
                <c:pt idx="10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General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General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Sheet1!$CE$47:$CE$66</c:f>
              <c:numCache>
                <c:formatCode>#,##0.0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General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General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General">
                  <c:v>#N/A</c:v>
                </c:pt>
                <c:pt idx="19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4626-4F96-8DF7-5A46C9CBF5B2}"/>
            </c:ext>
          </c:extLst>
        </c:ser>
        <c:ser>
          <c:idx val="18"/>
          <c:order val="14"/>
          <c:tx>
            <c:strRef>
              <c:f>Sheet1!$CD$45</c:f>
              <c:strCache>
                <c:ptCount val="1"/>
                <c:pt idx="0">
                  <c:v>DIMENSION F2X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26-4F96-8DF7-5A46C9CBF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26-4F96-8DF7-5A46C9CBF5B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Sheet1!$CF$47:$CF$49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 formatCode="#,##0.0">
                  <c:v>#N/A</c:v>
                </c:pt>
              </c:numCache>
            </c:numRef>
          </c:xVal>
          <c:yVal>
            <c:numRef>
              <c:f>Sheet1!$CG$47:$CG$49</c:f>
              <c:numCache>
                <c:formatCode>#,##0.0</c:formatCode>
                <c:ptCount val="3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Sheet1!$CH$47:$CH$49</c15:f>
                <c15:dlblRangeCache>
                  <c:ptCount val="3"/>
                  <c:pt idx="0">
                    <c:v>#N/A</c:v>
                  </c:pt>
                  <c:pt idx="1">
                    <c:v>FALSE</c:v>
                  </c:pt>
                  <c:pt idx="2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A-4626-4F96-8DF7-5A46C9CBF5B2}"/>
            </c:ext>
          </c:extLst>
        </c:ser>
        <c:ser>
          <c:idx val="19"/>
          <c:order val="15"/>
          <c:tx>
            <c:strRef>
              <c:f>Sheet1!$CD$69</c:f>
              <c:strCache>
                <c:ptCount val="1"/>
                <c:pt idx="0">
                  <c:v>DIMENSION F2Y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4626-4F96-8DF7-5A46C9CBF5B2}"/>
              </c:ext>
            </c:extLst>
          </c:dPt>
          <c:dPt>
            <c:idx val="2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7E-4626-4F96-8DF7-5A46C9CBF5B2}"/>
              </c:ext>
            </c:extLst>
          </c:dPt>
          <c:dPt>
            <c:idx val="3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0-4626-4F96-8DF7-5A46C9CBF5B2}"/>
              </c:ext>
            </c:extLst>
          </c:dPt>
          <c:dPt>
            <c:idx val="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2-4626-4F96-8DF7-5A46C9CBF5B2}"/>
              </c:ext>
            </c:extLst>
          </c:dPt>
          <c:dPt>
            <c:idx val="7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4-4626-4F96-8DF7-5A46C9CBF5B2}"/>
              </c:ext>
            </c:extLst>
          </c:dPt>
          <c:dPt>
            <c:idx val="8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6-4626-4F96-8DF7-5A46C9CBF5B2}"/>
              </c:ext>
            </c:extLst>
          </c:dPt>
          <c:dPt>
            <c:idx val="11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8-4626-4F96-8DF7-5A46C9CBF5B2}"/>
              </c:ext>
            </c:extLst>
          </c:dPt>
          <c:dPt>
            <c:idx val="12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A-4626-4F96-8DF7-5A46C9CBF5B2}"/>
              </c:ext>
            </c:extLst>
          </c:dPt>
          <c:dPt>
            <c:idx val="15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8C-4626-4F96-8DF7-5A46C9CBF5B2}"/>
              </c:ext>
            </c:extLst>
          </c:dPt>
          <c:dPt>
            <c:idx val="16"/>
            <c:bubble3D val="0"/>
            <c:spPr>
              <a:ln w="9525" cap="rnd">
                <a:solidFill>
                  <a:srgbClr val="FF000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E-4626-4F96-8DF7-5A46C9CBF5B2}"/>
              </c:ext>
            </c:extLst>
          </c:dPt>
          <c:dPt>
            <c:idx val="19"/>
            <c:bubble3D val="0"/>
            <c:spPr>
              <a:ln w="9525" cap="rnd">
                <a:solidFill>
                  <a:srgbClr val="FF0000"/>
                </a:solidFill>
                <a:round/>
                <a:headEnd type="triangle" w="sm" len="med"/>
                <a:tailEnd type="triangle" w="sm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90-4626-4F96-8DF7-5A46C9CBF5B2}"/>
              </c:ext>
            </c:extLst>
          </c:dPt>
          <c:xVal>
            <c:numRef>
              <c:f>Sheet1!$CD$71:$CD$96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xVal>
          <c:yVal>
            <c:numRef>
              <c:f>Sheet1!$CE$71:$CE$98</c:f>
              <c:numCache>
                <c:formatCode>General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#,##0.0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#,##0.0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4626-4F96-8DF7-5A46C9CBF5B2}"/>
            </c:ext>
          </c:extLst>
        </c:ser>
        <c:ser>
          <c:idx val="20"/>
          <c:order val="16"/>
          <c:tx>
            <c:strRef>
              <c:f>Sheet1!$CH$46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26-4F96-8DF7-5A46C9CBF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26-4F96-8DF7-5A46C9CBF5B2}"/>
                </c:ext>
              </c:extLst>
            </c:dLbl>
            <c:dLbl>
              <c:idx val="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b="1"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26-4F96-8DF7-5A46C9CBF5B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Sheet1!$CF$71:$CF$73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Sheet1!$CG$71:$CG$73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Sheet1!$CH$71:$CH$73</c15:f>
                <c15:dlblRangeCache>
                  <c:ptCount val="3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5-4626-4F96-8DF7-5A46C9CBF5B2}"/>
            </c:ext>
          </c:extLst>
        </c:ser>
        <c:ser>
          <c:idx val="21"/>
          <c:order val="17"/>
          <c:tx>
            <c:strRef>
              <c:f>Sheet1!$CD$14</c:f>
              <c:strCache>
                <c:ptCount val="1"/>
                <c:pt idx="0">
                  <c:v>DESIGN : X,Y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Sheet1!$CB$14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Sheet1!$CC$14</c:f>
              <c:numCache>
                <c:formatCode>#,##0.000"  N"</c:formatCode>
                <c:ptCount val="1"/>
                <c:pt idx="0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8E3-44CE-B04D-6D5545C56BD2}"/>
            </c:ext>
          </c:extLst>
        </c:ser>
        <c:ser>
          <c:idx val="22"/>
          <c:order val="18"/>
          <c:tx>
            <c:strRef>
              <c:f>Sheet1!$CH$31</c:f>
              <c:strCache>
                <c:ptCount val="1"/>
                <c:pt idx="0">
                  <c:v>เส้นเสาเข็ม P1x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Sheet1!$CJ$31:$CJ$53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Sheet1!$CK$31:$CK$53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8E3-44CE-B04D-6D5545C56BD2}"/>
            </c:ext>
          </c:extLst>
        </c:ser>
        <c:ser>
          <c:idx val="23"/>
          <c:order val="19"/>
          <c:tx>
            <c:strRef>
              <c:f>Sheet1!$CK$20</c:f>
              <c:strCache>
                <c:ptCount val="1"/>
                <c:pt idx="0">
                  <c:v>เข็มเยื้อง F2 ทาง 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Sheet1!$CK$21:$CK$25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Sheet1!$CL$21:$CL$25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8E3-44CE-B04D-6D5545C56BD2}"/>
            </c:ext>
          </c:extLst>
        </c:ser>
        <c:ser>
          <c:idx val="24"/>
          <c:order val="20"/>
          <c:tx>
            <c:strRef>
              <c:f>Sheet1!$EU$17:$EU$18</c:f>
              <c:strCache>
                <c:ptCount val="2"/>
                <c:pt idx="0">
                  <c:v>Y-AXIS</c:v>
                </c:pt>
                <c:pt idx="1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5-7DDF-4441-8FE9-1D37AFF5C7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DF-4441-8FE9-1D37AFF5C7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DF-4441-8FE9-1D37AFF5C723}"/>
                </c:ext>
              </c:extLst>
            </c:dLbl>
            <c:spPr>
              <a:solidFill>
                <a:srgbClr val="FFFFDD">
                  <a:alpha val="50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Sheet1!$FD$19:$FD$21</c:f>
              <c:numCache>
                <c:formatCode>0.000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Sheet1!$FE$19:$FE$21</c:f>
              <c:numCache>
                <c:formatCode>0.000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Sheet1!$EU$19:$EU$21</c15:f>
                <c15:dlblRangeCache>
                  <c:ptCount val="3"/>
                  <c:pt idx="0">
                    <c:v>P1</c:v>
                  </c:pt>
                  <c:pt idx="1">
                    <c:v>P2</c:v>
                  </c:pt>
                  <c:pt idx="2">
                    <c:v>P3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4-7DDF-4441-8FE9-1D37AFF5C723}"/>
            </c:ext>
          </c:extLst>
        </c:ser>
        <c:ser>
          <c:idx val="25"/>
          <c:order val="21"/>
          <c:tx>
            <c:strRef>
              <c:f>Sheet1!$EU$23</c:f>
              <c:strCache>
                <c:ptCount val="1"/>
                <c:pt idx="0">
                  <c:v>PILE CAP F3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Sheet1!$FD$24:$FD$40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Sheet1!$FE$24:$FE$40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7DDF-4441-8FE9-1D37AFF5C723}"/>
            </c:ext>
          </c:extLst>
        </c:ser>
        <c:ser>
          <c:idx val="26"/>
          <c:order val="22"/>
          <c:tx>
            <c:strRef>
              <c:f>Sheet1!$HL$9</c:f>
              <c:strCache>
                <c:ptCount val="1"/>
                <c:pt idx="0">
                  <c:v>Circle P1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Sheet1!$HL$14:$HL$374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Sheet1!$HM$14:$HM$374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A7C9-4BC7-9DFD-7507109CAB61}"/>
            </c:ext>
          </c:extLst>
        </c:ser>
        <c:ser>
          <c:idx val="27"/>
          <c:order val="23"/>
          <c:tx>
            <c:strRef>
              <c:f>Sheet1!$HP$9</c:f>
              <c:strCache>
                <c:ptCount val="1"/>
                <c:pt idx="0">
                  <c:v>Circle P2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Sheet1!$HP$14:$HP$374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Sheet1!$HQ$14:$HQ$374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7C9-4BC7-9DFD-7507109CAB61}"/>
            </c:ext>
          </c:extLst>
        </c:ser>
        <c:ser>
          <c:idx val="28"/>
          <c:order val="24"/>
          <c:tx>
            <c:strRef>
              <c:f>Sheet1!$HT$9</c:f>
              <c:strCache>
                <c:ptCount val="1"/>
                <c:pt idx="0">
                  <c:v>Circle P3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Sheet1!$HT$14:$HT$374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Sheet1!$HU$14:$HU$374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7C9-4BC7-9DFD-7507109CAB61}"/>
            </c:ext>
          </c:extLst>
        </c:ser>
        <c:ser>
          <c:idx val="29"/>
          <c:order val="25"/>
          <c:tx>
            <c:strRef>
              <c:f>Sheet1!$HX$9</c:f>
              <c:strCache>
                <c:ptCount val="1"/>
                <c:pt idx="0">
                  <c:v>Circle P4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Sheet1!$HX$14:$HX$374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Sheet1!$HY$14:$HY$374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7C9-4BC7-9DFD-7507109CAB61}"/>
            </c:ext>
          </c:extLst>
        </c:ser>
        <c:ser>
          <c:idx val="30"/>
          <c:order val="26"/>
          <c:tx>
            <c:strRef>
              <c:f>Sheet1!$IB$9</c:f>
              <c:strCache>
                <c:ptCount val="1"/>
                <c:pt idx="0">
                  <c:v>Circle P4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Sheet1!$IB$14:$IB$374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Sheet1!$IC$14:$IC$374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A7C9-4BC7-9DFD-7507109CAB61}"/>
            </c:ext>
          </c:extLst>
        </c:ser>
        <c:ser>
          <c:idx val="31"/>
          <c:order val="27"/>
          <c:tx>
            <c:strRef>
              <c:f>Sheet1!$IF$9</c:f>
              <c:strCache>
                <c:ptCount val="1"/>
                <c:pt idx="0">
                  <c:v>DCircle P1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Sheet1!$IF$14:$IF$374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Sheet1!$IG$14:$IG$374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A7C9-4BC7-9DFD-7507109CAB61}"/>
            </c:ext>
          </c:extLst>
        </c:ser>
        <c:ser>
          <c:idx val="32"/>
          <c:order val="28"/>
          <c:tx>
            <c:strRef>
              <c:f>Sheet1!$IJ$9</c:f>
              <c:strCache>
                <c:ptCount val="1"/>
                <c:pt idx="0">
                  <c:v>DCircle P2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Sheet1!$IJ$14:$IJ$374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Sheet1!$IK$14:$IK$374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7C9-4BC7-9DFD-7507109CAB61}"/>
            </c:ext>
          </c:extLst>
        </c:ser>
        <c:ser>
          <c:idx val="33"/>
          <c:order val="29"/>
          <c:tx>
            <c:strRef>
              <c:f>Sheet1!$IN$9</c:f>
              <c:strCache>
                <c:ptCount val="1"/>
                <c:pt idx="0">
                  <c:v>DCircle P3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Sheet1!$IN$14:$IN$374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Sheet1!$IO$14:$IO$374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A7C9-4BC7-9DFD-7507109CAB61}"/>
            </c:ext>
          </c:extLst>
        </c:ser>
        <c:ser>
          <c:idx val="34"/>
          <c:order val="30"/>
          <c:tx>
            <c:strRef>
              <c:f>Sheet1!$IR$9</c:f>
              <c:strCache>
                <c:ptCount val="1"/>
                <c:pt idx="0">
                  <c:v>DCircle P4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Sheet1!$IR$14:$IR$374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Sheet1!$IS$14:$IS$374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7C9-4BC7-9DFD-7507109CAB61}"/>
            </c:ext>
          </c:extLst>
        </c:ser>
        <c:ser>
          <c:idx val="35"/>
          <c:order val="31"/>
          <c:tx>
            <c:strRef>
              <c:f>Sheet1!$IV$9</c:f>
              <c:strCache>
                <c:ptCount val="1"/>
                <c:pt idx="0">
                  <c:v>DCircle P5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Sheet1!$IV$14:$IV$374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Sheet1!$IW$14:$IW$374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A7C9-4BC7-9DFD-7507109CAB61}"/>
            </c:ext>
          </c:extLst>
        </c:ser>
        <c:ser>
          <c:idx val="36"/>
          <c:order val="32"/>
          <c:tx>
            <c:strRef>
              <c:f>Sheet1!$IZ$12</c:f>
              <c:strCache>
                <c:ptCount val="1"/>
                <c:pt idx="0">
                  <c:v>SQ P1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Sheet1!$JC$12:$JC$193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-0.78500000000000003</c:v>
                </c:pt>
                <c:pt idx="93">
                  <c:v>-0.51500000000000001</c:v>
                </c:pt>
                <c:pt idx="94">
                  <c:v>-0.5</c:v>
                </c:pt>
                <c:pt idx="95">
                  <c:v>-0.5</c:v>
                </c:pt>
                <c:pt idx="96">
                  <c:v>-0.6</c:v>
                </c:pt>
                <c:pt idx="97">
                  <c:v>-0.6</c:v>
                </c:pt>
                <c:pt idx="98">
                  <c:v>-0.5</c:v>
                </c:pt>
                <c:pt idx="99">
                  <c:v>-0.5</c:v>
                </c:pt>
                <c:pt idx="100">
                  <c:v>-0.51500000000000001</c:v>
                </c:pt>
                <c:pt idx="101">
                  <c:v>-0.78500000000000003</c:v>
                </c:pt>
                <c:pt idx="102">
                  <c:v>-0.8</c:v>
                </c:pt>
                <c:pt idx="103">
                  <c:v>-0.8</c:v>
                </c:pt>
                <c:pt idx="104">
                  <c:v>-0.70000000000000007</c:v>
                </c:pt>
                <c:pt idx="105">
                  <c:v>-0.70000000000000007</c:v>
                </c:pt>
                <c:pt idx="106">
                  <c:v>-0.8</c:v>
                </c:pt>
                <c:pt idx="107">
                  <c:v>-0.8</c:v>
                </c:pt>
                <c:pt idx="108">
                  <c:v>-0.78500000000000003</c:v>
                </c:pt>
                <c:pt idx="109">
                  <c:v>#N/A</c:v>
                </c:pt>
                <c:pt idx="110">
                  <c:v>-0.78500000000000003</c:v>
                </c:pt>
                <c:pt idx="111">
                  <c:v>-0.51500000000000001</c:v>
                </c:pt>
                <c:pt idx="112">
                  <c:v>-0.5</c:v>
                </c:pt>
                <c:pt idx="113">
                  <c:v>-0.5</c:v>
                </c:pt>
                <c:pt idx="114">
                  <c:v>-0.6</c:v>
                </c:pt>
                <c:pt idx="115">
                  <c:v>-0.6</c:v>
                </c:pt>
                <c:pt idx="116">
                  <c:v>-0.5</c:v>
                </c:pt>
                <c:pt idx="117">
                  <c:v>-0.5</c:v>
                </c:pt>
                <c:pt idx="118">
                  <c:v>-0.51500000000000001</c:v>
                </c:pt>
                <c:pt idx="119">
                  <c:v>-0.78500000000000003</c:v>
                </c:pt>
                <c:pt idx="120">
                  <c:v>-0.8</c:v>
                </c:pt>
                <c:pt idx="121">
                  <c:v>-0.8</c:v>
                </c:pt>
                <c:pt idx="122">
                  <c:v>-0.70000000000000007</c:v>
                </c:pt>
                <c:pt idx="123">
                  <c:v>-0.70000000000000007</c:v>
                </c:pt>
                <c:pt idx="124">
                  <c:v>-0.8</c:v>
                </c:pt>
                <c:pt idx="125">
                  <c:v>-0.8</c:v>
                </c:pt>
                <c:pt idx="126">
                  <c:v>-0.78500000000000003</c:v>
                </c:pt>
                <c:pt idx="127">
                  <c:v>#N/A</c:v>
                </c:pt>
                <c:pt idx="128">
                  <c:v>0.51500000000000001</c:v>
                </c:pt>
                <c:pt idx="129">
                  <c:v>0.78500000000000003</c:v>
                </c:pt>
                <c:pt idx="130">
                  <c:v>0.8</c:v>
                </c:pt>
                <c:pt idx="131">
                  <c:v>0.8</c:v>
                </c:pt>
                <c:pt idx="132">
                  <c:v>0.70000000000000007</c:v>
                </c:pt>
                <c:pt idx="133">
                  <c:v>0.70000000000000007</c:v>
                </c:pt>
                <c:pt idx="134">
                  <c:v>0.8</c:v>
                </c:pt>
                <c:pt idx="135">
                  <c:v>0.8</c:v>
                </c:pt>
                <c:pt idx="136">
                  <c:v>0.78500000000000003</c:v>
                </c:pt>
                <c:pt idx="137">
                  <c:v>0.51500000000000001</c:v>
                </c:pt>
                <c:pt idx="138">
                  <c:v>0.5</c:v>
                </c:pt>
                <c:pt idx="139">
                  <c:v>0.5</c:v>
                </c:pt>
                <c:pt idx="140">
                  <c:v>0.6</c:v>
                </c:pt>
                <c:pt idx="141">
                  <c:v>0.6</c:v>
                </c:pt>
                <c:pt idx="142">
                  <c:v>0.5</c:v>
                </c:pt>
                <c:pt idx="143">
                  <c:v>0.5</c:v>
                </c:pt>
                <c:pt idx="144">
                  <c:v>0.51500000000000001</c:v>
                </c:pt>
                <c:pt idx="145">
                  <c:v>#N/A</c:v>
                </c:pt>
                <c:pt idx="146">
                  <c:v>0.51500000000000001</c:v>
                </c:pt>
                <c:pt idx="147">
                  <c:v>0.78500000000000003</c:v>
                </c:pt>
                <c:pt idx="148">
                  <c:v>0.8</c:v>
                </c:pt>
                <c:pt idx="149">
                  <c:v>0.8</c:v>
                </c:pt>
                <c:pt idx="150">
                  <c:v>0.70000000000000007</c:v>
                </c:pt>
                <c:pt idx="151">
                  <c:v>0.70000000000000007</c:v>
                </c:pt>
                <c:pt idx="152">
                  <c:v>0.8</c:v>
                </c:pt>
                <c:pt idx="153">
                  <c:v>0.8</c:v>
                </c:pt>
                <c:pt idx="154">
                  <c:v>0.78500000000000003</c:v>
                </c:pt>
                <c:pt idx="155">
                  <c:v>0.51500000000000001</c:v>
                </c:pt>
                <c:pt idx="156">
                  <c:v>0.5</c:v>
                </c:pt>
                <c:pt idx="157">
                  <c:v>0.5</c:v>
                </c:pt>
                <c:pt idx="158">
                  <c:v>0.6</c:v>
                </c:pt>
                <c:pt idx="159">
                  <c:v>0.6</c:v>
                </c:pt>
                <c:pt idx="160">
                  <c:v>0.5</c:v>
                </c:pt>
                <c:pt idx="161">
                  <c:v>0.5</c:v>
                </c:pt>
                <c:pt idx="162">
                  <c:v>0.51500000000000001</c:v>
                </c:pt>
                <c:pt idx="163">
                  <c:v>#N/A</c:v>
                </c:pt>
                <c:pt idx="164">
                  <c:v>-0.13500000000000001</c:v>
                </c:pt>
                <c:pt idx="165">
                  <c:v>0.13500000000000001</c:v>
                </c:pt>
                <c:pt idx="166">
                  <c:v>0.15</c:v>
                </c:pt>
                <c:pt idx="167">
                  <c:v>0.15</c:v>
                </c:pt>
                <c:pt idx="168">
                  <c:v>0.05</c:v>
                </c:pt>
                <c:pt idx="169">
                  <c:v>0.05</c:v>
                </c:pt>
                <c:pt idx="170">
                  <c:v>0.15</c:v>
                </c:pt>
                <c:pt idx="171">
                  <c:v>0.15</c:v>
                </c:pt>
                <c:pt idx="172">
                  <c:v>0.13500000000000001</c:v>
                </c:pt>
                <c:pt idx="173">
                  <c:v>-0.13500000000000001</c:v>
                </c:pt>
                <c:pt idx="174">
                  <c:v>-0.15000000000000002</c:v>
                </c:pt>
                <c:pt idx="175">
                  <c:v>-0.15000000000000002</c:v>
                </c:pt>
                <c:pt idx="176">
                  <c:v>-0.05</c:v>
                </c:pt>
                <c:pt idx="177">
                  <c:v>-0.05</c:v>
                </c:pt>
                <c:pt idx="178">
                  <c:v>-0.15</c:v>
                </c:pt>
                <c:pt idx="179">
                  <c:v>-0.15</c:v>
                </c:pt>
                <c:pt idx="180">
                  <c:v>-0.13500000000000001</c:v>
                </c:pt>
                <c:pt idx="181">
                  <c:v>#N/A</c:v>
                </c:pt>
              </c:numCache>
            </c:numRef>
          </c:xVal>
          <c:yVal>
            <c:numRef>
              <c:f>Sheet1!$JD$12:$JD$193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-0.5</c:v>
                </c:pt>
                <c:pt idx="93">
                  <c:v>-0.5</c:v>
                </c:pt>
                <c:pt idx="94">
                  <c:v>-0.51500000000000001</c:v>
                </c:pt>
                <c:pt idx="95" formatCode="0.00">
                  <c:v>-0.57499999999999996</c:v>
                </c:pt>
                <c:pt idx="96" formatCode="0.000">
                  <c:v>-0.60499999999999998</c:v>
                </c:pt>
                <c:pt idx="97" formatCode="0.000">
                  <c:v>-0.69500000000000006</c:v>
                </c:pt>
                <c:pt idx="98">
                  <c:v>-0.72500000000000009</c:v>
                </c:pt>
                <c:pt idx="99">
                  <c:v>-0.78500000000000003</c:v>
                </c:pt>
                <c:pt idx="100">
                  <c:v>-0.8</c:v>
                </c:pt>
                <c:pt idx="101">
                  <c:v>-0.8</c:v>
                </c:pt>
                <c:pt idx="102">
                  <c:v>-0.78500000000000003</c:v>
                </c:pt>
                <c:pt idx="103">
                  <c:v>-0.72500000000000009</c:v>
                </c:pt>
                <c:pt idx="104" formatCode="0.000">
                  <c:v>-0.69500000000000006</c:v>
                </c:pt>
                <c:pt idx="105" formatCode="0.00">
                  <c:v>-0.60499999999999998</c:v>
                </c:pt>
                <c:pt idx="106" formatCode="0.000">
                  <c:v>-0.57499999999999996</c:v>
                </c:pt>
                <c:pt idx="107">
                  <c:v>-0.51500000000000001</c:v>
                </c:pt>
                <c:pt idx="108">
                  <c:v>-0.5</c:v>
                </c:pt>
                <c:pt idx="109">
                  <c:v>#N/A</c:v>
                </c:pt>
                <c:pt idx="110">
                  <c:v>0.8</c:v>
                </c:pt>
                <c:pt idx="111">
                  <c:v>0.8</c:v>
                </c:pt>
                <c:pt idx="112">
                  <c:v>0.78500000000000003</c:v>
                </c:pt>
                <c:pt idx="113" formatCode="0.00">
                  <c:v>0.72500000000000009</c:v>
                </c:pt>
                <c:pt idx="114" formatCode="0.000">
                  <c:v>0.69500000000000006</c:v>
                </c:pt>
                <c:pt idx="115" formatCode="0.000">
                  <c:v>0.60499999999999998</c:v>
                </c:pt>
                <c:pt idx="116">
                  <c:v>0.57499999999999996</c:v>
                </c:pt>
                <c:pt idx="117">
                  <c:v>0.51500000000000001</c:v>
                </c:pt>
                <c:pt idx="118">
                  <c:v>0.5</c:v>
                </c:pt>
                <c:pt idx="119">
                  <c:v>0.5</c:v>
                </c:pt>
                <c:pt idx="120">
                  <c:v>0.51500000000000001</c:v>
                </c:pt>
                <c:pt idx="121">
                  <c:v>0.57499999999999996</c:v>
                </c:pt>
                <c:pt idx="122" formatCode="0.000">
                  <c:v>0.60499999999999998</c:v>
                </c:pt>
                <c:pt idx="123" formatCode="0.00">
                  <c:v>0.69500000000000006</c:v>
                </c:pt>
                <c:pt idx="124" formatCode="0.000">
                  <c:v>0.72500000000000009</c:v>
                </c:pt>
                <c:pt idx="125">
                  <c:v>0.78500000000000003</c:v>
                </c:pt>
                <c:pt idx="126">
                  <c:v>0.8</c:v>
                </c:pt>
                <c:pt idx="127">
                  <c:v>#N/A</c:v>
                </c:pt>
                <c:pt idx="128">
                  <c:v>-0.5</c:v>
                </c:pt>
                <c:pt idx="129">
                  <c:v>-0.5</c:v>
                </c:pt>
                <c:pt idx="130">
                  <c:v>-0.51500000000000001</c:v>
                </c:pt>
                <c:pt idx="131" formatCode="0.00">
                  <c:v>-0.57499999999999996</c:v>
                </c:pt>
                <c:pt idx="132" formatCode="0.000">
                  <c:v>-0.60499999999999998</c:v>
                </c:pt>
                <c:pt idx="133" formatCode="0.000">
                  <c:v>-0.69500000000000006</c:v>
                </c:pt>
                <c:pt idx="134">
                  <c:v>-0.72500000000000009</c:v>
                </c:pt>
                <c:pt idx="135">
                  <c:v>-0.78500000000000003</c:v>
                </c:pt>
                <c:pt idx="136">
                  <c:v>-0.8</c:v>
                </c:pt>
                <c:pt idx="137">
                  <c:v>-0.8</c:v>
                </c:pt>
                <c:pt idx="138">
                  <c:v>-0.78500000000000003</c:v>
                </c:pt>
                <c:pt idx="139">
                  <c:v>-0.72500000000000009</c:v>
                </c:pt>
                <c:pt idx="140" formatCode="0.000">
                  <c:v>-0.69500000000000006</c:v>
                </c:pt>
                <c:pt idx="141" formatCode="0.00">
                  <c:v>-0.60499999999999998</c:v>
                </c:pt>
                <c:pt idx="142" formatCode="0.000">
                  <c:v>-0.57499999999999996</c:v>
                </c:pt>
                <c:pt idx="143">
                  <c:v>-0.51500000000000001</c:v>
                </c:pt>
                <c:pt idx="144">
                  <c:v>-0.5</c:v>
                </c:pt>
                <c:pt idx="145">
                  <c:v>#N/A</c:v>
                </c:pt>
                <c:pt idx="146">
                  <c:v>0.8</c:v>
                </c:pt>
                <c:pt idx="147">
                  <c:v>0.8</c:v>
                </c:pt>
                <c:pt idx="148">
                  <c:v>0.78500000000000003</c:v>
                </c:pt>
                <c:pt idx="149" formatCode="0.00">
                  <c:v>0.72500000000000009</c:v>
                </c:pt>
                <c:pt idx="150" formatCode="0.000">
                  <c:v>0.69500000000000006</c:v>
                </c:pt>
                <c:pt idx="151" formatCode="0.000">
                  <c:v>0.60499999999999998</c:v>
                </c:pt>
                <c:pt idx="152">
                  <c:v>0.57499999999999996</c:v>
                </c:pt>
                <c:pt idx="153">
                  <c:v>0.51500000000000001</c:v>
                </c:pt>
                <c:pt idx="154">
                  <c:v>0.5</c:v>
                </c:pt>
                <c:pt idx="155">
                  <c:v>0.5</c:v>
                </c:pt>
                <c:pt idx="156">
                  <c:v>0.51500000000000001</c:v>
                </c:pt>
                <c:pt idx="157">
                  <c:v>0.57499999999999996</c:v>
                </c:pt>
                <c:pt idx="158" formatCode="0.000">
                  <c:v>0.60499999999999998</c:v>
                </c:pt>
                <c:pt idx="159" formatCode="0.00">
                  <c:v>0.69500000000000006</c:v>
                </c:pt>
                <c:pt idx="160" formatCode="0.000">
                  <c:v>0.72500000000000009</c:v>
                </c:pt>
                <c:pt idx="161">
                  <c:v>0.78500000000000003</c:v>
                </c:pt>
                <c:pt idx="162">
                  <c:v>0.8</c:v>
                </c:pt>
                <c:pt idx="163">
                  <c:v>#N/A</c:v>
                </c:pt>
                <c:pt idx="164">
                  <c:v>0.15</c:v>
                </c:pt>
                <c:pt idx="165">
                  <c:v>0.15</c:v>
                </c:pt>
                <c:pt idx="166">
                  <c:v>0.13500000000000001</c:v>
                </c:pt>
                <c:pt idx="167" formatCode="0.00">
                  <c:v>7.4999999999999997E-2</c:v>
                </c:pt>
                <c:pt idx="168" formatCode="0.000">
                  <c:v>4.4999999999999998E-2</c:v>
                </c:pt>
                <c:pt idx="169" formatCode="0.000">
                  <c:v>-4.4999999999999998E-2</c:v>
                </c:pt>
                <c:pt idx="170">
                  <c:v>-7.4999999999999997E-2</c:v>
                </c:pt>
                <c:pt idx="171">
                  <c:v>-0.13500000000000001</c:v>
                </c:pt>
                <c:pt idx="172">
                  <c:v>-0.15</c:v>
                </c:pt>
                <c:pt idx="173">
                  <c:v>-0.15</c:v>
                </c:pt>
                <c:pt idx="174">
                  <c:v>-0.13500000000000001</c:v>
                </c:pt>
                <c:pt idx="175">
                  <c:v>-7.4999999999999997E-2</c:v>
                </c:pt>
                <c:pt idx="176" formatCode="0.000">
                  <c:v>-4.4999999999999998E-2</c:v>
                </c:pt>
                <c:pt idx="177" formatCode="0.00">
                  <c:v>4.4999999999999998E-2</c:v>
                </c:pt>
                <c:pt idx="178" formatCode="0.000">
                  <c:v>7.4999999999999997E-2</c:v>
                </c:pt>
                <c:pt idx="179">
                  <c:v>0.13500000000000001</c:v>
                </c:pt>
                <c:pt idx="180">
                  <c:v>0.15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7C9-4BC7-9DFD-7507109CAB61}"/>
            </c:ext>
          </c:extLst>
        </c:ser>
        <c:ser>
          <c:idx val="2"/>
          <c:order val="33"/>
          <c:tx>
            <c:strRef>
              <c:f>Sheet1!$JF$6</c:f>
              <c:strCache>
                <c:ptCount val="1"/>
                <c:pt idx="0">
                  <c:v>เข็มเยื้อง</c:v>
                </c:pt>
              </c:strCache>
            </c:strRef>
          </c:tx>
          <c:spPr>
            <a:ln w="15875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Sheet1!$JJ$12:$JJ$193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-0.78500000000000003</c:v>
                </c:pt>
                <c:pt idx="93">
                  <c:v>-0.51500000000000001</c:v>
                </c:pt>
                <c:pt idx="94">
                  <c:v>-0.5</c:v>
                </c:pt>
                <c:pt idx="95">
                  <c:v>-0.5</c:v>
                </c:pt>
                <c:pt idx="96">
                  <c:v>-0.6</c:v>
                </c:pt>
                <c:pt idx="97">
                  <c:v>-0.6</c:v>
                </c:pt>
                <c:pt idx="98">
                  <c:v>-0.5</c:v>
                </c:pt>
                <c:pt idx="99">
                  <c:v>-0.5</c:v>
                </c:pt>
                <c:pt idx="100">
                  <c:v>-0.51500000000000001</c:v>
                </c:pt>
                <c:pt idx="101">
                  <c:v>-0.78500000000000003</c:v>
                </c:pt>
                <c:pt idx="102">
                  <c:v>-0.8</c:v>
                </c:pt>
                <c:pt idx="103">
                  <c:v>-0.8</c:v>
                </c:pt>
                <c:pt idx="104">
                  <c:v>-0.70000000000000007</c:v>
                </c:pt>
                <c:pt idx="105">
                  <c:v>-0.70000000000000007</c:v>
                </c:pt>
                <c:pt idx="106">
                  <c:v>-0.8</c:v>
                </c:pt>
                <c:pt idx="107">
                  <c:v>-0.8</c:v>
                </c:pt>
                <c:pt idx="108">
                  <c:v>-0.78500000000000003</c:v>
                </c:pt>
                <c:pt idx="109">
                  <c:v>#N/A</c:v>
                </c:pt>
                <c:pt idx="110">
                  <c:v>-0.78500000000000003</c:v>
                </c:pt>
                <c:pt idx="111">
                  <c:v>-0.51500000000000001</c:v>
                </c:pt>
                <c:pt idx="112">
                  <c:v>-0.5</c:v>
                </c:pt>
                <c:pt idx="113">
                  <c:v>-0.5</c:v>
                </c:pt>
                <c:pt idx="114">
                  <c:v>-0.6</c:v>
                </c:pt>
                <c:pt idx="115">
                  <c:v>-0.6</c:v>
                </c:pt>
                <c:pt idx="116">
                  <c:v>-0.5</c:v>
                </c:pt>
                <c:pt idx="117">
                  <c:v>-0.5</c:v>
                </c:pt>
                <c:pt idx="118">
                  <c:v>-0.51500000000000001</c:v>
                </c:pt>
                <c:pt idx="119">
                  <c:v>-0.78500000000000003</c:v>
                </c:pt>
                <c:pt idx="120">
                  <c:v>-0.8</c:v>
                </c:pt>
                <c:pt idx="121">
                  <c:v>-0.8</c:v>
                </c:pt>
                <c:pt idx="122">
                  <c:v>-0.70000000000000007</c:v>
                </c:pt>
                <c:pt idx="123">
                  <c:v>-0.70000000000000007</c:v>
                </c:pt>
                <c:pt idx="124">
                  <c:v>-0.8</c:v>
                </c:pt>
                <c:pt idx="125">
                  <c:v>-0.8</c:v>
                </c:pt>
                <c:pt idx="126">
                  <c:v>-0.78500000000000003</c:v>
                </c:pt>
                <c:pt idx="127">
                  <c:v>#N/A</c:v>
                </c:pt>
                <c:pt idx="128">
                  <c:v>0.51500000000000001</c:v>
                </c:pt>
                <c:pt idx="129">
                  <c:v>0.78500000000000003</c:v>
                </c:pt>
                <c:pt idx="130">
                  <c:v>0.8</c:v>
                </c:pt>
                <c:pt idx="131">
                  <c:v>0.8</c:v>
                </c:pt>
                <c:pt idx="132">
                  <c:v>0.70000000000000007</c:v>
                </c:pt>
                <c:pt idx="133">
                  <c:v>0.70000000000000007</c:v>
                </c:pt>
                <c:pt idx="134">
                  <c:v>0.8</c:v>
                </c:pt>
                <c:pt idx="135">
                  <c:v>0.8</c:v>
                </c:pt>
                <c:pt idx="136">
                  <c:v>0.78500000000000003</c:v>
                </c:pt>
                <c:pt idx="137">
                  <c:v>0.51500000000000001</c:v>
                </c:pt>
                <c:pt idx="138">
                  <c:v>0.5</c:v>
                </c:pt>
                <c:pt idx="139">
                  <c:v>0.5</c:v>
                </c:pt>
                <c:pt idx="140">
                  <c:v>0.6</c:v>
                </c:pt>
                <c:pt idx="141">
                  <c:v>0.6</c:v>
                </c:pt>
                <c:pt idx="142">
                  <c:v>0.5</c:v>
                </c:pt>
                <c:pt idx="143">
                  <c:v>0.5</c:v>
                </c:pt>
                <c:pt idx="144">
                  <c:v>0.51500000000000001</c:v>
                </c:pt>
                <c:pt idx="145">
                  <c:v>#N/A</c:v>
                </c:pt>
                <c:pt idx="146">
                  <c:v>0.51500000000000001</c:v>
                </c:pt>
                <c:pt idx="147">
                  <c:v>0.78500000000000003</c:v>
                </c:pt>
                <c:pt idx="148">
                  <c:v>0.8</c:v>
                </c:pt>
                <c:pt idx="149">
                  <c:v>0.8</c:v>
                </c:pt>
                <c:pt idx="150">
                  <c:v>0.70000000000000007</c:v>
                </c:pt>
                <c:pt idx="151">
                  <c:v>0.70000000000000007</c:v>
                </c:pt>
                <c:pt idx="152">
                  <c:v>0.8</c:v>
                </c:pt>
                <c:pt idx="153">
                  <c:v>0.8</c:v>
                </c:pt>
                <c:pt idx="154">
                  <c:v>0.78500000000000003</c:v>
                </c:pt>
                <c:pt idx="155">
                  <c:v>0.51500000000000001</c:v>
                </c:pt>
                <c:pt idx="156">
                  <c:v>0.5</c:v>
                </c:pt>
                <c:pt idx="157">
                  <c:v>0.5</c:v>
                </c:pt>
                <c:pt idx="158">
                  <c:v>0.6</c:v>
                </c:pt>
                <c:pt idx="159">
                  <c:v>0.6</c:v>
                </c:pt>
                <c:pt idx="160">
                  <c:v>0.5</c:v>
                </c:pt>
                <c:pt idx="161">
                  <c:v>0.5</c:v>
                </c:pt>
                <c:pt idx="162">
                  <c:v>0.51500000000000001</c:v>
                </c:pt>
                <c:pt idx="163">
                  <c:v>#N/A</c:v>
                </c:pt>
                <c:pt idx="164">
                  <c:v>-0.13500000000000001</c:v>
                </c:pt>
                <c:pt idx="165">
                  <c:v>0.13500000000000001</c:v>
                </c:pt>
                <c:pt idx="166">
                  <c:v>0.15</c:v>
                </c:pt>
                <c:pt idx="167">
                  <c:v>0.15</c:v>
                </c:pt>
                <c:pt idx="168">
                  <c:v>0.05</c:v>
                </c:pt>
                <c:pt idx="169">
                  <c:v>0.05</c:v>
                </c:pt>
                <c:pt idx="170">
                  <c:v>0.15</c:v>
                </c:pt>
                <c:pt idx="171">
                  <c:v>0.15</c:v>
                </c:pt>
                <c:pt idx="172">
                  <c:v>0.13500000000000001</c:v>
                </c:pt>
                <c:pt idx="173">
                  <c:v>-0.13500000000000001</c:v>
                </c:pt>
                <c:pt idx="174">
                  <c:v>-0.15000000000000002</c:v>
                </c:pt>
                <c:pt idx="175">
                  <c:v>-0.15000000000000002</c:v>
                </c:pt>
                <c:pt idx="176">
                  <c:v>-0.05</c:v>
                </c:pt>
                <c:pt idx="177">
                  <c:v>-0.05</c:v>
                </c:pt>
                <c:pt idx="178">
                  <c:v>-0.15</c:v>
                </c:pt>
                <c:pt idx="179">
                  <c:v>-0.15</c:v>
                </c:pt>
                <c:pt idx="180">
                  <c:v>-0.13500000000000001</c:v>
                </c:pt>
                <c:pt idx="181">
                  <c:v>#N/A</c:v>
                </c:pt>
              </c:numCache>
            </c:numRef>
          </c:xVal>
          <c:yVal>
            <c:numRef>
              <c:f>Sheet1!$JK$12:$JK$193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-0.5</c:v>
                </c:pt>
                <c:pt idx="93">
                  <c:v>-0.5</c:v>
                </c:pt>
                <c:pt idx="94">
                  <c:v>-0.51500000000000001</c:v>
                </c:pt>
                <c:pt idx="95" formatCode="0.00">
                  <c:v>-0.57499999999999996</c:v>
                </c:pt>
                <c:pt idx="96" formatCode="0.000">
                  <c:v>-0.60499999999999998</c:v>
                </c:pt>
                <c:pt idx="97" formatCode="0.000">
                  <c:v>-0.69500000000000006</c:v>
                </c:pt>
                <c:pt idx="98">
                  <c:v>-0.72500000000000009</c:v>
                </c:pt>
                <c:pt idx="99">
                  <c:v>-0.78500000000000003</c:v>
                </c:pt>
                <c:pt idx="100">
                  <c:v>-0.8</c:v>
                </c:pt>
                <c:pt idx="101">
                  <c:v>-0.8</c:v>
                </c:pt>
                <c:pt idx="102">
                  <c:v>-0.78500000000000003</c:v>
                </c:pt>
                <c:pt idx="103">
                  <c:v>-0.72500000000000009</c:v>
                </c:pt>
                <c:pt idx="104" formatCode="0.000">
                  <c:v>-0.69500000000000006</c:v>
                </c:pt>
                <c:pt idx="105" formatCode="0.00">
                  <c:v>-0.60499999999999998</c:v>
                </c:pt>
                <c:pt idx="106" formatCode="0.000">
                  <c:v>-0.57499999999999996</c:v>
                </c:pt>
                <c:pt idx="107">
                  <c:v>-0.51500000000000001</c:v>
                </c:pt>
                <c:pt idx="108">
                  <c:v>-0.5</c:v>
                </c:pt>
                <c:pt idx="109">
                  <c:v>#N/A</c:v>
                </c:pt>
                <c:pt idx="110">
                  <c:v>0.8</c:v>
                </c:pt>
                <c:pt idx="111">
                  <c:v>0.8</c:v>
                </c:pt>
                <c:pt idx="112">
                  <c:v>0.78500000000000003</c:v>
                </c:pt>
                <c:pt idx="113" formatCode="0.00">
                  <c:v>0.72500000000000009</c:v>
                </c:pt>
                <c:pt idx="114" formatCode="0.000">
                  <c:v>0.69500000000000006</c:v>
                </c:pt>
                <c:pt idx="115" formatCode="0.000">
                  <c:v>0.60499999999999998</c:v>
                </c:pt>
                <c:pt idx="116">
                  <c:v>0.57499999999999996</c:v>
                </c:pt>
                <c:pt idx="117">
                  <c:v>0.51500000000000001</c:v>
                </c:pt>
                <c:pt idx="118">
                  <c:v>0.5</c:v>
                </c:pt>
                <c:pt idx="119">
                  <c:v>0.5</c:v>
                </c:pt>
                <c:pt idx="120">
                  <c:v>0.51500000000000001</c:v>
                </c:pt>
                <c:pt idx="121">
                  <c:v>0.57499999999999996</c:v>
                </c:pt>
                <c:pt idx="122" formatCode="0.000">
                  <c:v>0.60499999999999998</c:v>
                </c:pt>
                <c:pt idx="123" formatCode="0.00">
                  <c:v>0.69500000000000006</c:v>
                </c:pt>
                <c:pt idx="124" formatCode="0.000">
                  <c:v>0.72500000000000009</c:v>
                </c:pt>
                <c:pt idx="125">
                  <c:v>0.78500000000000003</c:v>
                </c:pt>
                <c:pt idx="126">
                  <c:v>0.8</c:v>
                </c:pt>
                <c:pt idx="127">
                  <c:v>#N/A</c:v>
                </c:pt>
                <c:pt idx="128">
                  <c:v>-0.5</c:v>
                </c:pt>
                <c:pt idx="129">
                  <c:v>-0.5</c:v>
                </c:pt>
                <c:pt idx="130">
                  <c:v>-0.51500000000000001</c:v>
                </c:pt>
                <c:pt idx="131" formatCode="0.00">
                  <c:v>-0.57499999999999996</c:v>
                </c:pt>
                <c:pt idx="132" formatCode="0.000">
                  <c:v>-0.60499999999999998</c:v>
                </c:pt>
                <c:pt idx="133" formatCode="0.000">
                  <c:v>-0.69500000000000006</c:v>
                </c:pt>
                <c:pt idx="134">
                  <c:v>-0.72500000000000009</c:v>
                </c:pt>
                <c:pt idx="135">
                  <c:v>-0.78500000000000003</c:v>
                </c:pt>
                <c:pt idx="136">
                  <c:v>-0.8</c:v>
                </c:pt>
                <c:pt idx="137">
                  <c:v>-0.8</c:v>
                </c:pt>
                <c:pt idx="138">
                  <c:v>-0.78500000000000003</c:v>
                </c:pt>
                <c:pt idx="139">
                  <c:v>-0.72500000000000009</c:v>
                </c:pt>
                <c:pt idx="140" formatCode="0.000">
                  <c:v>-0.69500000000000006</c:v>
                </c:pt>
                <c:pt idx="141" formatCode="0.00">
                  <c:v>-0.60499999999999998</c:v>
                </c:pt>
                <c:pt idx="142" formatCode="0.000">
                  <c:v>-0.57499999999999996</c:v>
                </c:pt>
                <c:pt idx="143">
                  <c:v>-0.51500000000000001</c:v>
                </c:pt>
                <c:pt idx="144">
                  <c:v>-0.5</c:v>
                </c:pt>
                <c:pt idx="145">
                  <c:v>#N/A</c:v>
                </c:pt>
                <c:pt idx="146">
                  <c:v>0.8</c:v>
                </c:pt>
                <c:pt idx="147">
                  <c:v>0.8</c:v>
                </c:pt>
                <c:pt idx="148">
                  <c:v>0.78500000000000003</c:v>
                </c:pt>
                <c:pt idx="149" formatCode="0.00">
                  <c:v>0.72500000000000009</c:v>
                </c:pt>
                <c:pt idx="150" formatCode="0.000">
                  <c:v>0.69500000000000006</c:v>
                </c:pt>
                <c:pt idx="151" formatCode="0.000">
                  <c:v>0.60499999999999998</c:v>
                </c:pt>
                <c:pt idx="152">
                  <c:v>0.57499999999999996</c:v>
                </c:pt>
                <c:pt idx="153">
                  <c:v>0.51500000000000001</c:v>
                </c:pt>
                <c:pt idx="154">
                  <c:v>0.5</c:v>
                </c:pt>
                <c:pt idx="155">
                  <c:v>0.5</c:v>
                </c:pt>
                <c:pt idx="156">
                  <c:v>0.51500000000000001</c:v>
                </c:pt>
                <c:pt idx="157">
                  <c:v>0.57499999999999996</c:v>
                </c:pt>
                <c:pt idx="158" formatCode="0.000">
                  <c:v>0.60499999999999998</c:v>
                </c:pt>
                <c:pt idx="159" formatCode="0.00">
                  <c:v>0.69500000000000006</c:v>
                </c:pt>
                <c:pt idx="160" formatCode="0.000">
                  <c:v>0.72500000000000009</c:v>
                </c:pt>
                <c:pt idx="161">
                  <c:v>0.78500000000000003</c:v>
                </c:pt>
                <c:pt idx="162">
                  <c:v>0.8</c:v>
                </c:pt>
                <c:pt idx="163">
                  <c:v>#N/A</c:v>
                </c:pt>
                <c:pt idx="164">
                  <c:v>0.15</c:v>
                </c:pt>
                <c:pt idx="165">
                  <c:v>0.15</c:v>
                </c:pt>
                <c:pt idx="166">
                  <c:v>0.13500000000000001</c:v>
                </c:pt>
                <c:pt idx="167" formatCode="0.00">
                  <c:v>7.4999999999999997E-2</c:v>
                </c:pt>
                <c:pt idx="168" formatCode="0.000">
                  <c:v>4.4999999999999998E-2</c:v>
                </c:pt>
                <c:pt idx="169" formatCode="0.000">
                  <c:v>-4.4999999999999998E-2</c:v>
                </c:pt>
                <c:pt idx="170">
                  <c:v>-7.4999999999999997E-2</c:v>
                </c:pt>
                <c:pt idx="171">
                  <c:v>-0.13500000000000001</c:v>
                </c:pt>
                <c:pt idx="172">
                  <c:v>-0.15</c:v>
                </c:pt>
                <c:pt idx="173">
                  <c:v>-0.15</c:v>
                </c:pt>
                <c:pt idx="174">
                  <c:v>-0.13500000000000001</c:v>
                </c:pt>
                <c:pt idx="175">
                  <c:v>-7.4999999999999997E-2</c:v>
                </c:pt>
                <c:pt idx="176" formatCode="0.000">
                  <c:v>-4.4999999999999998E-2</c:v>
                </c:pt>
                <c:pt idx="177" formatCode="0.00">
                  <c:v>4.4999999999999998E-2</c:v>
                </c:pt>
                <c:pt idx="178" formatCode="0.000">
                  <c:v>7.4999999999999997E-2</c:v>
                </c:pt>
                <c:pt idx="179">
                  <c:v>0.13500000000000001</c:v>
                </c:pt>
                <c:pt idx="180">
                  <c:v>0.15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0A0-49F7-ADDB-40C48805F3F3}"/>
            </c:ext>
          </c:extLst>
        </c:ser>
        <c:ser>
          <c:idx val="4"/>
          <c:order val="34"/>
          <c:tx>
            <c:strRef>
              <c:f>Sheet1!$BB$74:$BC$74</c:f>
              <c:strCache>
                <c:ptCount val="1"/>
                <c:pt idx="0">
                  <c:v>Y X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rgbClr val="FF0000"/>
                </a:solidFill>
              </a:ln>
            </c:spPr>
          </c:marker>
          <c:xVal>
            <c:numRef>
              <c:f>Sheet1!$BC$75:$BC$82</c:f>
              <c:numCache>
                <c:formatCode>General</c:formatCode>
                <c:ptCount val="8"/>
                <c:pt idx="0">
                  <c:v>-0.65</c:v>
                </c:pt>
                <c:pt idx="1">
                  <c:v>-0.65</c:v>
                </c:pt>
                <c:pt idx="2">
                  <c:v>0.65</c:v>
                </c:pt>
                <c:pt idx="3">
                  <c:v>0.65</c:v>
                </c:pt>
                <c:pt idx="4">
                  <c:v>0</c:v>
                </c:pt>
                <c:pt idx="5">
                  <c:v>-1</c:v>
                </c:pt>
                <c:pt idx="6">
                  <c:v>1</c:v>
                </c:pt>
                <c:pt idx="7">
                  <c:v>#N/A</c:v>
                </c:pt>
              </c:numCache>
            </c:numRef>
          </c:xVal>
          <c:yVal>
            <c:numRef>
              <c:f>Sheet1!$BB$75:$BB$82</c:f>
              <c:numCache>
                <c:formatCode>General</c:formatCode>
                <c:ptCount val="8"/>
                <c:pt idx="0">
                  <c:v>-0.65</c:v>
                </c:pt>
                <c:pt idx="1">
                  <c:v>0.65</c:v>
                </c:pt>
                <c:pt idx="2">
                  <c:v>-0.65</c:v>
                </c:pt>
                <c:pt idx="3">
                  <c:v>0.65</c:v>
                </c:pt>
                <c:pt idx="4">
                  <c:v>0</c:v>
                </c:pt>
                <c:pt idx="5">
                  <c:v>0.65</c:v>
                </c:pt>
                <c:pt idx="6">
                  <c:v>0.65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D6C4-46B1-A556-F328B976857B}"/>
            </c:ext>
          </c:extLst>
        </c:ser>
        <c:ser>
          <c:idx val="7"/>
          <c:order val="35"/>
          <c:tx>
            <c:strRef>
              <c:f>Sheet1!$OM$22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  <a:headEnd type="none" w="sm" len="med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E-BDD6-4302-A820-7719067648E0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7-BDD6-4302-A820-7719067648E0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D-BDD6-4302-A820-7719067648E0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8-BDD6-4302-A820-7719067648E0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9-BDD6-4302-A820-7719067648E0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5F-BDD6-4302-A820-7719067648E0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A-BDD6-4302-A820-7719067648E0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60-BDD6-4302-A820-7719067648E0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B-BDD6-4302-A820-7719067648E0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C-BDD6-4302-A820-7719067648E0}"/>
              </c:ext>
            </c:extLst>
          </c:dPt>
          <c:xVal>
            <c:numRef>
              <c:f>Sheet1!$OM$24:$OM$44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Sheet1!$ON$24:$ON$44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BDD6-4302-A820-7719067648E0}"/>
            </c:ext>
          </c:extLst>
        </c:ser>
        <c:ser>
          <c:idx val="12"/>
          <c:order val="36"/>
          <c:tx>
            <c:strRef>
              <c:f>Sheet1!$OQ$23</c:f>
              <c:strCache>
                <c:ptCount val="1"/>
                <c:pt idx="0">
                  <c:v>LABEL F1111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A6-462E-8797-F88BB621B1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A6-462E-8797-F88BB621B1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A6-462E-8797-F88BB621B1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A6-462E-8797-F88BB621B1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A6-462E-8797-F88BB621B1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A6-462E-8797-F88BB621B1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A6-462E-8797-F88BB621B13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Sheet1!$OO$24:$OO$30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Sheet1!$OP$24:$OP$30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Sheet1!$OQ$24:$OQ$30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BDD6-4302-A820-7719067648E0}"/>
            </c:ext>
          </c:extLst>
        </c:ser>
        <c:ser>
          <c:idx val="37"/>
          <c:order val="37"/>
          <c:tx>
            <c:strRef>
              <c:f>Sheet1!$LG$8</c:f>
              <c:strCache>
                <c:ptCount val="1"/>
                <c:pt idx="0">
                  <c:v>Y-AXIS-T</c:v>
                </c:pt>
              </c:strCache>
            </c:strRef>
          </c:tx>
          <c:spPr>
            <a:ln w="12700">
              <a:solidFill>
                <a:srgbClr val="FF0000"/>
              </a:solidFill>
              <a:headEnd type="none" w="sm" len="med"/>
              <a:tailEnd type="none" w="sm" len="med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0-BDD6-4302-A820-7719067648E0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A-BDD6-4302-A820-7719067648E0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1-BDD6-4302-A820-7719067648E0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B-BDD6-4302-A820-7719067648E0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C-BDD6-4302-A820-7719067648E0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3-BDD6-4302-A820-7719067648E0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D-BDD6-4302-A820-7719067648E0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2-BDD6-4302-A820-7719067648E0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E-BDD6-4302-A820-7719067648E0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F-BDD6-4302-A820-7719067648E0}"/>
              </c:ext>
            </c:extLst>
          </c:dPt>
          <c:dPt>
            <c:idx val="23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4-BDD6-4302-A820-7719067648E0}"/>
              </c:ext>
            </c:extLst>
          </c:dPt>
          <c:dPt>
            <c:idx val="24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7-BDD6-4302-A820-7719067648E0}"/>
              </c:ext>
            </c:extLst>
          </c:dPt>
          <c:dPt>
            <c:idx val="25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5-BDD6-4302-A820-7719067648E0}"/>
              </c:ext>
            </c:extLst>
          </c:dPt>
          <c:dPt>
            <c:idx val="28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8-BDD6-4302-A820-7719067648E0}"/>
              </c:ext>
            </c:extLst>
          </c:dPt>
          <c:dPt>
            <c:idx val="29"/>
            <c:bubble3D val="0"/>
            <c:spPr>
              <a:ln w="12700">
                <a:solidFill>
                  <a:srgbClr val="FF0000"/>
                </a:solidFill>
                <a:prstDash val="sysDash"/>
                <a:headEnd type="none" w="sm" len="med"/>
                <a:tailEnd type="none" w="sm" len="med"/>
              </a:ln>
            </c:spPr>
            <c:extLst>
              <c:ext xmlns:c16="http://schemas.microsoft.com/office/drawing/2014/chart" uri="{C3380CC4-5D6E-409C-BE32-E72D297353CC}">
                <c16:uniqueId val="{00000076-BDD6-4302-A820-7719067648E0}"/>
              </c:ext>
            </c:extLst>
          </c:dPt>
          <c:xVal>
            <c:numRef>
              <c:f>Sheet1!$MJ$51:$MJ$80</c:f>
              <c:numCache>
                <c:formatCode>#,##0.00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Sheet1!$MK$51:$MK$80</c:f>
              <c:numCache>
                <c:formatCode>#,##0.00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BDD6-4302-A820-7719067648E0}"/>
            </c:ext>
          </c:extLst>
        </c:ser>
        <c:ser>
          <c:idx val="38"/>
          <c:order val="38"/>
          <c:tx>
            <c:strRef>
              <c:f>Sheet1!$MN$50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D6-4302-A820-7719067648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D6-4302-A820-7719067648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D6-4302-A820-7719067648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D6-4302-A820-7719067648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D6-4302-A820-7719067648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D6-4302-A820-7719067648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D6-4302-A820-7719067648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D6-4302-A820-7719067648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D6-4302-A820-7719067648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D6-4302-A820-7719067648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D6-4302-A820-7719067648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D6-4302-A820-7719067648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D6-4302-A820-7719067648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D6-4302-A820-7719067648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D6-4302-A820-7719067648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D6-4302-A820-7719067648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D6-4302-A820-7719067648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D6-4302-A820-7719067648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D6-4302-A820-7719067648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D6-4302-A820-7719067648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D6-4302-A820-7719067648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D6-4302-A820-7719067648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D6-4302-A820-7719067648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D6-4302-A820-7719067648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D6-4302-A820-7719067648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D6-4302-A820-7719067648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D6-4302-A820-7719067648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D6-4302-A820-7719067648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D6-4302-A820-7719067648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D6-4302-A820-7719067648E0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Sheet1!$ML$51:$ML$80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#,##0.00">
                  <c:v>#N/A</c:v>
                </c:pt>
                <c:pt idx="4" formatCode="#,##0.00">
                  <c:v>#N/A</c:v>
                </c:pt>
                <c:pt idx="5" formatCode="#,##0.00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#,##0.00">
                  <c:v>#N/A</c:v>
                </c:pt>
                <c:pt idx="10" formatCode="#,##0.00">
                  <c:v>#N/A</c:v>
                </c:pt>
                <c:pt idx="11" formatCode="#,##0.00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Sheet1!$MM$51:$MM$80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#,##0.00">
                  <c:v>#N/A</c:v>
                </c:pt>
                <c:pt idx="6" formatCode="#,##0.00">
                  <c:v>#N/A</c:v>
                </c:pt>
                <c:pt idx="7" formatCode="#,##0.00">
                  <c:v>#N/A</c:v>
                </c:pt>
                <c:pt idx="8" formatCode="#,##0.00">
                  <c:v>#N/A</c:v>
                </c:pt>
                <c:pt idx="9" formatCode="#,##0.00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Sheet1!$MN$51:$MN$60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79-BDD6-4302-A820-7719067648E0}"/>
            </c:ext>
          </c:extLst>
        </c:ser>
        <c:ser>
          <c:idx val="39"/>
          <c:order val="39"/>
          <c:tx>
            <c:strRef>
              <c:f>Sheet1!$FD$59</c:f>
              <c:strCache>
                <c:ptCount val="1"/>
                <c:pt idx="0">
                  <c:v>Label เข็ม F3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9F-4047-BD34-67BF186B65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9F-4047-BD34-67BF186B65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9F-4047-BD34-67BF186B657A}"/>
                </c:ext>
              </c:extLst>
            </c:dLbl>
            <c:spPr>
              <a:solidFill>
                <a:srgbClr val="FFFFCC">
                  <a:alpha val="50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Sheet1!$FD$61:$FD$63</c:f>
              <c:numCache>
                <c:formatCode>0.0000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Sheet1!$FE$61:$FE$63</c:f>
              <c:numCache>
                <c:formatCode>0.0000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Sheet1!$FF$61:$FF$63</c15:f>
                <c15:dlblRangeCache>
                  <c:ptCount val="3"/>
                </c15:dlblRangeCache>
              </c15:datalabelsRange>
            </c:ext>
            <c:ext xmlns:c16="http://schemas.microsoft.com/office/drawing/2014/chart" uri="{C3380CC4-5D6E-409C-BE32-E72D297353CC}">
              <c16:uniqueId val="{00000088-209F-4047-BD34-67BF186B6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377240"/>
        <c:axId val="854395240"/>
      </c:scatterChart>
      <c:valAx>
        <c:axId val="854377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/>
              </a:solidFill>
              <a:prstDash val="lgDash"/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crossAx val="854395240"/>
        <c:crosses val="autoZero"/>
        <c:crossBetween val="midCat"/>
        <c:majorUnit val="0.25"/>
      </c:valAx>
      <c:valAx>
        <c:axId val="8543952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/>
              </a:solidFill>
              <a:prstDash val="dash"/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crossAx val="8543772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Sheet1!$OL$9</c:f>
              <c:strCache>
                <c:ptCount val="1"/>
                <c:pt idx="0">
                  <c:v>CASE  F1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Sheet1!$OM$14:$OM$18</c:f>
              <c:numCache>
                <c:formatCode>#,##0.0</c:formatCode>
                <c:ptCount val="5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</c:numCache>
            </c:numRef>
          </c:xVal>
          <c:yVal>
            <c:numRef>
              <c:f>Sheet1!$ON$14:$ON$18</c:f>
              <c:numCache>
                <c:formatCode>General</c:formatCode>
                <c:ptCount val="5"/>
                <c:pt idx="0" formatCode="#,##0.00">
                  <c:v>#N/A</c:v>
                </c:pt>
                <c:pt idx="1">
                  <c:v>#N/A</c:v>
                </c:pt>
                <c:pt idx="2" formatCode="#,##0.00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13-4FFF-AB58-E55557CFB3BC}"/>
            </c:ext>
          </c:extLst>
        </c:ser>
        <c:ser>
          <c:idx val="1"/>
          <c:order val="1"/>
          <c:tx>
            <c:strRef>
              <c:f>Sheet1!$BT$34</c:f>
              <c:strCache>
                <c:ptCount val="1"/>
                <c:pt idx="0">
                  <c:v>P1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plus"/>
            <c:size val="10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Sheet1!$BV$34</c:f>
              <c:numCache>
                <c:formatCode>#,##0.000"  E"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Sheet1!$BU$34</c:f>
              <c:numCache>
                <c:formatCode>#,##0.000"  N"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13-4FFF-AB58-E55557CFB3BC}"/>
            </c:ext>
          </c:extLst>
        </c:ser>
        <c:ser>
          <c:idx val="5"/>
          <c:order val="2"/>
          <c:tx>
            <c:strRef>
              <c:f>Sheet1!$BX$25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Sheet1!$BY$25:$BY$35</c:f>
              <c:numCache>
                <c:formatCode>#,##0.0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Sheet1!$BZ$25:$BZ$35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General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#,##0.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13-4FFF-AB58-E55557CFB3BC}"/>
            </c:ext>
          </c:extLst>
        </c:ser>
        <c:ser>
          <c:idx val="8"/>
          <c:order val="3"/>
          <c:tx>
            <c:strRef>
              <c:f>Sheet1!$DT$25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Sheet1!$DU$25:$DU$29</c:f>
              <c:numCache>
                <c:formatCode>#,##0.0</c:formatCode>
                <c:ptCount val="5"/>
                <c:pt idx="0">
                  <c:v>-0.95</c:v>
                </c:pt>
                <c:pt idx="1">
                  <c:v>0.95</c:v>
                </c:pt>
                <c:pt idx="2">
                  <c:v>0.95</c:v>
                </c:pt>
                <c:pt idx="3">
                  <c:v>-0.95</c:v>
                </c:pt>
                <c:pt idx="4">
                  <c:v>-0.95</c:v>
                </c:pt>
              </c:numCache>
            </c:numRef>
          </c:xVal>
          <c:yVal>
            <c:numRef>
              <c:f>Sheet1!$DV$25:$DV$29</c:f>
              <c:numCache>
                <c:formatCode>#,##0.00</c:formatCode>
                <c:ptCount val="5"/>
                <c:pt idx="0">
                  <c:v>0.95</c:v>
                </c:pt>
                <c:pt idx="1">
                  <c:v>0.95</c:v>
                </c:pt>
                <c:pt idx="2">
                  <c:v>-0.95</c:v>
                </c:pt>
                <c:pt idx="3">
                  <c:v>-0.95</c:v>
                </c:pt>
                <c:pt idx="4" formatCode="#,##0.0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13-4FFF-AB58-E55557CFB3BC}"/>
            </c:ext>
          </c:extLst>
        </c:ser>
        <c:ser>
          <c:idx val="9"/>
          <c:order val="4"/>
          <c:tx>
            <c:strRef>
              <c:f>Sheet1!$NN$11</c:f>
              <c:strCache>
                <c:ptCount val="1"/>
                <c:pt idx="0">
                  <c:v>เสาตอม่อ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Sheet1!$NP$12:$NP$16</c:f>
              <c:numCache>
                <c:formatCode>General</c:formatCode>
                <c:ptCount val="5"/>
                <c:pt idx="0">
                  <c:v>-0.2</c:v>
                </c:pt>
                <c:pt idx="1">
                  <c:v>0.2</c:v>
                </c:pt>
                <c:pt idx="2">
                  <c:v>0.2</c:v>
                </c:pt>
                <c:pt idx="3">
                  <c:v>-0.2</c:v>
                </c:pt>
                <c:pt idx="4">
                  <c:v>-0.2</c:v>
                </c:pt>
              </c:numCache>
            </c:numRef>
          </c:xVal>
          <c:yVal>
            <c:numRef>
              <c:f>Sheet1!$NO$12:$NO$16</c:f>
              <c:numCache>
                <c:formatCode>General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-0.2</c:v>
                </c:pt>
                <c:pt idx="3">
                  <c:v>-0.2</c:v>
                </c:pt>
                <c:pt idx="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13-4FFF-AB58-E55557CFB3BC}"/>
            </c:ext>
          </c:extLst>
        </c:ser>
        <c:ser>
          <c:idx val="10"/>
          <c:order val="5"/>
          <c:tx>
            <c:strRef>
              <c:f>Sheet1!$BX$13</c:f>
              <c:strCache>
                <c:ptCount val="1"/>
                <c:pt idx="0">
                  <c:v>Grid-Line</c:v>
                </c:pt>
              </c:strCache>
            </c:strRef>
          </c:tx>
          <c:spPr>
            <a:ln w="12700" cap="rnd">
              <a:solidFill>
                <a:schemeClr val="tx1">
                  <a:lumMod val="85000"/>
                  <a:lumOff val="1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Sheet1!$BZ$14:$BZ$18</c:f>
              <c:numCache>
                <c:formatCode>#,##0.0</c:formatCode>
                <c:ptCount val="5"/>
                <c:pt idx="0">
                  <c:v>-1.25</c:v>
                </c:pt>
                <c:pt idx="1">
                  <c:v>1.25</c:v>
                </c:pt>
                <c:pt idx="2" formatCode="General">
                  <c:v>#N/A</c:v>
                </c:pt>
                <c:pt idx="3" formatCode="#,##0.000&quot;  E&quot;">
                  <c:v>0</c:v>
                </c:pt>
                <c:pt idx="4" formatCode="#,##0.000&quot;  E&quot;">
                  <c:v>0</c:v>
                </c:pt>
              </c:numCache>
            </c:numRef>
          </c:xVal>
          <c:yVal>
            <c:numRef>
              <c:f>Sheet1!$CA$14:$CA$18</c:f>
              <c:numCache>
                <c:formatCode>#,##0.000"  N"</c:formatCode>
                <c:ptCount val="5"/>
                <c:pt idx="0">
                  <c:v>0</c:v>
                </c:pt>
                <c:pt idx="1">
                  <c:v>0</c:v>
                </c:pt>
                <c:pt idx="2" formatCode="General">
                  <c:v>#N/A</c:v>
                </c:pt>
                <c:pt idx="3" formatCode="#,##0.00">
                  <c:v>1.25</c:v>
                </c:pt>
                <c:pt idx="4" formatCode="#,##0.00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13-4FFF-AB58-E55557CFB3BC}"/>
            </c:ext>
          </c:extLst>
        </c:ser>
        <c:ser>
          <c:idx val="11"/>
          <c:order val="6"/>
          <c:tx>
            <c:strRef>
              <c:f>Sheet1!$DQ$13</c:f>
              <c:strCache>
                <c:ptCount val="1"/>
                <c:pt idx="0">
                  <c:v>Label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5113-4FFF-AB58-E55557CFB3BC}"/>
              </c:ext>
            </c:extLst>
          </c:dPt>
          <c:xVal>
            <c:numRef>
              <c:f>Sheet1!$DQ$14:$DQ$15</c:f>
              <c:numCache>
                <c:formatCode>#,##0.000"  E"</c:formatCode>
                <c:ptCount val="2"/>
                <c:pt idx="0" formatCode="#,##0.0">
                  <c:v>-1.6</c:v>
                </c:pt>
                <c:pt idx="1">
                  <c:v>0</c:v>
                </c:pt>
              </c:numCache>
            </c:numRef>
          </c:xVal>
          <c:yVal>
            <c:numRef>
              <c:f>Sheet1!$DR$14:$DR$15</c:f>
              <c:numCache>
                <c:formatCode>#,##0.00</c:formatCode>
                <c:ptCount val="2"/>
                <c:pt idx="0" formatCode="#,##0.000&quot;  N&quot;">
                  <c:v>0</c:v>
                </c:pt>
                <c:pt idx="1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13-4FFF-AB58-E55557CFB3BC}"/>
            </c:ext>
          </c:extLst>
        </c:ser>
        <c:ser>
          <c:idx val="14"/>
          <c:order val="7"/>
          <c:tx>
            <c:strRef>
              <c:f>Sheet1!$BW$13</c:f>
              <c:strCache>
                <c:ptCount val="1"/>
                <c:pt idx="0">
                  <c:v>180.00T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7.2994526386833999E-2"/>
                  <c:y val="0.11192027559055111"/>
                </c:manualLayout>
              </c:layout>
              <c:tx>
                <c:rich>
                  <a:bodyPr/>
                  <a:lstStyle/>
                  <a:p>
                    <a:fld id="{E2A8A527-A465-470E-BF2F-6756206935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5113-4FFF-AB58-E55557CFB3BC}"/>
                </c:ext>
              </c:extLst>
            </c:dLbl>
            <c:spPr>
              <a:solidFill>
                <a:srgbClr val="FFFF00">
                  <a:alpha val="55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ea typeface="+mn-ea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Sheet1!$NP$11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Sheet1!$NO$11</c:f>
              <c:numCache>
                <c:formatCode>#,##0.000"  N"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Sheet1!$BW$13</c15:f>
                <c15:dlblRangeCache>
                  <c:ptCount val="1"/>
                  <c:pt idx="0">
                    <c:v>180.00T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5113-4FFF-AB58-E55557CFB3BC}"/>
            </c:ext>
          </c:extLst>
        </c:ser>
        <c:ser>
          <c:idx val="16"/>
          <c:order val="8"/>
          <c:tx>
            <c:strRef>
              <c:f>Sheet1!$DU$75:$DW$75</c:f>
              <c:strCache>
                <c:ptCount val="1"/>
                <c:pt idx="0">
                  <c:v>DIMENSION Label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Sheet1!$DW$77:$DW$107</c:f>
              <c:numCache>
                <c:formatCode>General</c:formatCode>
                <c:ptCount val="3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  <c:pt idx="14">
                  <c:v>1.2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Sheet1!$DX$77:$DX$107</c:f>
              <c:numCache>
                <c:formatCode>General</c:formatCode>
                <c:ptCount val="31"/>
                <c:pt idx="0">
                  <c:v>1.4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1.2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13-4FFF-AB58-E55557CFB3BC}"/>
            </c:ext>
          </c:extLst>
        </c:ser>
        <c:ser>
          <c:idx val="18"/>
          <c:order val="9"/>
          <c:tx>
            <c:strRef>
              <c:f>Sheet1!$CD$45</c:f>
              <c:strCache>
                <c:ptCount val="1"/>
                <c:pt idx="0">
                  <c:v>DIMENSION F2X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Sheet1!$CF$47:$CF$49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 formatCode="#,##0.0">
                  <c:v>#N/A</c:v>
                </c:pt>
              </c:numCache>
            </c:numRef>
          </c:xVal>
          <c:yVal>
            <c:numRef>
              <c:f>Sheet1!$CG$47:$CG$49</c:f>
              <c:numCache>
                <c:formatCode>#,##0.0</c:formatCode>
                <c:ptCount val="3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13-4FFF-AB58-E55557CFB3BC}"/>
            </c:ext>
          </c:extLst>
        </c:ser>
        <c:ser>
          <c:idx val="20"/>
          <c:order val="10"/>
          <c:tx>
            <c:strRef>
              <c:f>Sheet1!$CH$46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Sheet1!$CF$71:$CF$73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Sheet1!$CG$71:$CG$73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113-4FFF-AB58-E55557CFB3BC}"/>
            </c:ext>
          </c:extLst>
        </c:ser>
        <c:ser>
          <c:idx val="6"/>
          <c:order val="11"/>
          <c:tx>
            <c:strRef>
              <c:f>Sheet1!$EB$45</c:f>
              <c:strCache>
                <c:ptCount val="1"/>
                <c:pt idx="0">
                  <c:v>Ri Status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Sheet1!$EE$46:$EE$49</c:f>
              <c:numCache>
                <c:formatCode>General</c:formatCode>
                <c:ptCount val="4"/>
                <c:pt idx="0">
                  <c:v>-0.65</c:v>
                </c:pt>
                <c:pt idx="1">
                  <c:v>-0.65</c:v>
                </c:pt>
                <c:pt idx="2">
                  <c:v>0.65</c:v>
                </c:pt>
                <c:pt idx="3">
                  <c:v>0.65</c:v>
                </c:pt>
              </c:numCache>
            </c:numRef>
          </c:xVal>
          <c:yVal>
            <c:numRef>
              <c:f>Sheet1!$ED$46:$ED$49</c:f>
              <c:numCache>
                <c:formatCode>General</c:formatCode>
                <c:ptCount val="4"/>
                <c:pt idx="0">
                  <c:v>-0.65</c:v>
                </c:pt>
                <c:pt idx="1">
                  <c:v>0.65</c:v>
                </c:pt>
                <c:pt idx="2">
                  <c:v>-0.65</c:v>
                </c:pt>
                <c:pt idx="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13-4FFF-AB58-E55557CFB3BC}"/>
            </c:ext>
          </c:extLst>
        </c:ser>
        <c:ser>
          <c:idx val="23"/>
          <c:order val="12"/>
          <c:tx>
            <c:strRef>
              <c:f>Sheet1!$CD$15</c:f>
              <c:strCache>
                <c:ptCount val="1"/>
                <c:pt idx="0">
                  <c:v>MODIFY : X,Y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Sheet1!$CB$14</c:f>
              <c:numCache>
                <c:formatCode>#,##0.000"  E"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Sheet1!$CC$14</c:f>
              <c:numCache>
                <c:formatCode>#,##0.000"  N"</c:formatCode>
                <c:ptCount val="1"/>
                <c:pt idx="0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042-4339-975F-EB4029396661}"/>
            </c:ext>
          </c:extLst>
        </c:ser>
        <c:ser>
          <c:idx val="24"/>
          <c:order val="13"/>
          <c:tx>
            <c:strRef>
              <c:f>Sheet1!$CH$31</c:f>
              <c:strCache>
                <c:ptCount val="1"/>
                <c:pt idx="0">
                  <c:v>เส้นเสาเข็ม P1x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Sheet1!$CJ$31:$CJ$53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xVal>
          <c:yVal>
            <c:numRef>
              <c:f>Sheet1!$CK$31:$CK$53</c:f>
              <c:numCache>
                <c:formatCode>General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042-4339-975F-EB4029396661}"/>
            </c:ext>
          </c:extLst>
        </c:ser>
        <c:ser>
          <c:idx val="25"/>
          <c:order val="14"/>
          <c:tx>
            <c:strRef>
              <c:f>Sheet1!$CJ$54</c:f>
              <c:strCache>
                <c:ptCount val="1"/>
                <c:pt idx="0">
                  <c:v>LABEL แรงในเสาเข็ม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42-4339-975F-EB40293966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42-4339-975F-EB40293966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00B05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Sheet1!$CJ$58:$CJ$59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Sheet1!$CK$58:$CK$59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Sheet1!$CL$58:$CL$59</c15:f>
                <c15:dlblRangeCache>
                  <c:ptCount val="2"/>
                  <c:pt idx="0">
                    <c:v>36.00T</c:v>
                  </c:pt>
                  <c:pt idx="1">
                    <c:v>0.00T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C-B042-4339-975F-EB4029396661}"/>
            </c:ext>
          </c:extLst>
        </c:ser>
        <c:ser>
          <c:idx val="26"/>
          <c:order val="15"/>
          <c:tx>
            <c:strRef>
              <c:f>Sheet1!$CJ$54</c:f>
              <c:strCache>
                <c:ptCount val="1"/>
                <c:pt idx="0">
                  <c:v>LABEL แรงในเสาเข็ม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xVal>
            <c:numRef>
              <c:f>Sheet1!$CJ$61:$CJ$62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Sheet1!$CK$61:$CK$62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042-4339-975F-EB4029396661}"/>
            </c:ext>
          </c:extLst>
        </c:ser>
        <c:ser>
          <c:idx val="17"/>
          <c:order val="16"/>
          <c:tx>
            <c:strRef>
              <c:f>Sheet1!$EU$7:$EV$7</c:f>
              <c:strCache>
                <c:ptCount val="1"/>
                <c:pt idx="0">
                  <c:v>CASE  F3 FALSE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Sheet1!$FD$24:$FD$40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Sheet1!$FE$24:$FE$40</c:f>
              <c:numCache>
                <c:formatCode>_(* #,##0.000_);_(* \(#,##0.000\);_(* "-"??_);_(@_)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54-461A-93EA-19A8A9264C1D}"/>
            </c:ext>
          </c:extLst>
        </c:ser>
        <c:ser>
          <c:idx val="15"/>
          <c:order val="17"/>
          <c:tx>
            <c:strRef>
              <c:f>Sheet1!$GC$23</c:f>
              <c:strCache>
                <c:ptCount val="1"/>
                <c:pt idx="0">
                  <c:v>CHOOSE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ln w="22225">
                <a:solidFill>
                  <a:srgbClr val="00B050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54-461A-93EA-19A8A9264C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54-461A-93EA-19A8A9264C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54-461A-93EA-19A8A9264C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54-461A-93EA-19A8A9264C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54-461A-93EA-19A8A9264C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54-461A-93EA-19A8A9264C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00B05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Sheet1!$GJ$25:$GJ$30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Sheet1!$GK$25:$GK$30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Sheet1!$GF$25:$GF$30</c15:f>
                <c15:dlblRangeCache>
                  <c:ptCount val="6"/>
                  <c:pt idx="0">
                    <c:v>C1</c:v>
                  </c:pt>
                  <c:pt idx="1">
                    <c:v>C2</c:v>
                  </c:pt>
                  <c:pt idx="2">
                    <c:v>C3</c:v>
                  </c:pt>
                  <c:pt idx="3">
                    <c:v>C4</c:v>
                  </c:pt>
                  <c:pt idx="4">
                    <c:v>C5</c:v>
                  </c:pt>
                  <c:pt idx="5">
                    <c:v>C6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8054-461A-93EA-19A8A9264C1D}"/>
            </c:ext>
          </c:extLst>
        </c:ser>
        <c:ser>
          <c:idx val="19"/>
          <c:order val="18"/>
          <c:tx>
            <c:strRef>
              <c:f>Sheet1!$GM$23</c:f>
              <c:strCache>
                <c:ptCount val="1"/>
                <c:pt idx="0">
                  <c:v>Cursor OFF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ln w="22225">
                <a:solidFill>
                  <a:srgbClr val="FF0000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54-461A-93EA-19A8A9264C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54-461A-93EA-19A8A9264C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54-461A-93EA-19A8A9264C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54-461A-93EA-19A8A9264C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54-461A-93EA-19A8A9264C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54-461A-93EA-19A8A9264C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000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Sheet1!$GM$25:$GM$30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Sheet1!$GN$25:$GN$30</c:f>
              <c:numCache>
                <c:formatCode>_(* #,##0.00_);_(* \(#,##0.00\);_(*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Sheet1!$GF$25:$GF$30</c15:f>
                <c15:dlblRangeCache>
                  <c:ptCount val="6"/>
                  <c:pt idx="0">
                    <c:v>C1</c:v>
                  </c:pt>
                  <c:pt idx="1">
                    <c:v>C2</c:v>
                  </c:pt>
                  <c:pt idx="2">
                    <c:v>C3</c:v>
                  </c:pt>
                  <c:pt idx="3">
                    <c:v>C4</c:v>
                  </c:pt>
                  <c:pt idx="4">
                    <c:v>C5</c:v>
                  </c:pt>
                  <c:pt idx="5">
                    <c:v>C6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8054-461A-93EA-19A8A9264C1D}"/>
            </c:ext>
          </c:extLst>
        </c:ser>
        <c:ser>
          <c:idx val="22"/>
          <c:order val="19"/>
          <c:tx>
            <c:strRef>
              <c:f>Sheet1!$IF$9</c:f>
              <c:strCache>
                <c:ptCount val="1"/>
                <c:pt idx="0">
                  <c:v>DCircle P1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Sheet1!$IF$14:$IF$374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Sheet1!$IG$14:$IG$374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03-4BAA-AC0B-977B1EFB6AA9}"/>
            </c:ext>
          </c:extLst>
        </c:ser>
        <c:ser>
          <c:idx val="28"/>
          <c:order val="20"/>
          <c:tx>
            <c:strRef>
              <c:f>Sheet1!$IJ$9</c:f>
              <c:strCache>
                <c:ptCount val="1"/>
                <c:pt idx="0">
                  <c:v>DCircle P2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Sheet1!$IJ$14:$IJ$374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Sheet1!$IK$14:$IK$374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03-4BAA-AC0B-977B1EFB6AA9}"/>
            </c:ext>
          </c:extLst>
        </c:ser>
        <c:ser>
          <c:idx val="29"/>
          <c:order val="21"/>
          <c:tx>
            <c:strRef>
              <c:f>Sheet1!$IN$9</c:f>
              <c:strCache>
                <c:ptCount val="1"/>
                <c:pt idx="0">
                  <c:v>DCircle P3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Sheet1!$IN$14:$IN$374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Sheet1!$IO$14:$IO$374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03-4BAA-AC0B-977B1EFB6AA9}"/>
            </c:ext>
          </c:extLst>
        </c:ser>
        <c:ser>
          <c:idx val="30"/>
          <c:order val="22"/>
          <c:tx>
            <c:strRef>
              <c:f>Sheet1!$IR$9</c:f>
              <c:strCache>
                <c:ptCount val="1"/>
                <c:pt idx="0">
                  <c:v>DCircle P4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Sheet1!$IR$14:$IR$374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Sheet1!$IS$14:$IS$374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03-4BAA-AC0B-977B1EFB6AA9}"/>
            </c:ext>
          </c:extLst>
        </c:ser>
        <c:ser>
          <c:idx val="31"/>
          <c:order val="23"/>
          <c:tx>
            <c:strRef>
              <c:f>Sheet1!$IV$9</c:f>
              <c:strCache>
                <c:ptCount val="1"/>
                <c:pt idx="0">
                  <c:v>DCircle P5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Sheet1!$IV$14:$IV$374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Sheet1!$IW$14:$IW$374</c:f>
              <c:numCache>
                <c:formatCode>0.00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703-4BAA-AC0B-977B1EFB6AA9}"/>
            </c:ext>
          </c:extLst>
        </c:ser>
        <c:ser>
          <c:idx val="12"/>
          <c:order val="24"/>
          <c:tx>
            <c:strRef>
              <c:f>Sheet1!$JN$9</c:f>
              <c:strCache>
                <c:ptCount val="1"/>
                <c:pt idx="0">
                  <c:v>ตอกแซม 1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Sheet1!$JN$14:$JN$374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Sheet1!$JO$14:$JO$374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BD-41E3-9FAD-188F3E7DC639}"/>
            </c:ext>
          </c:extLst>
        </c:ser>
        <c:ser>
          <c:idx val="32"/>
          <c:order val="25"/>
          <c:tx>
            <c:strRef>
              <c:f>Sheet1!$JN$9</c:f>
              <c:strCache>
                <c:ptCount val="1"/>
                <c:pt idx="0">
                  <c:v>ตอกแซม 1</c:v>
                </c:pt>
              </c:strCache>
            </c:strRef>
          </c:tx>
          <c:spPr>
            <a:ln w="34925"/>
          </c:spPr>
          <c:marker>
            <c:symbol val="plus"/>
            <c:size val="7"/>
            <c:spPr>
              <a:ln>
                <a:solidFill>
                  <a:srgbClr val="0000FF"/>
                </a:solidFill>
              </a:ln>
            </c:spPr>
          </c:marker>
          <c:xVal>
            <c:numRef>
              <c:f>Sheet1!$JN$11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Sheet1!$JO$11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8BD-41E3-9FAD-188F3E7DC639}"/>
            </c:ext>
          </c:extLst>
        </c:ser>
        <c:ser>
          <c:idx val="33"/>
          <c:order val="26"/>
          <c:tx>
            <c:strRef>
              <c:f>Sheet1!$JR$9</c:f>
              <c:strCache>
                <c:ptCount val="1"/>
                <c:pt idx="0">
                  <c:v>ตอกแซม 2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Sheet1!$JR$14:$JR$374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Sheet1!$JS$14:$JS$374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8BD-41E3-9FAD-188F3E7DC639}"/>
            </c:ext>
          </c:extLst>
        </c:ser>
        <c:ser>
          <c:idx val="35"/>
          <c:order val="27"/>
          <c:tx>
            <c:strRef>
              <c:f>Sheet1!$JR$9</c:f>
              <c:strCache>
                <c:ptCount val="1"/>
                <c:pt idx="0">
                  <c:v>ตอกแซม 2</c:v>
                </c:pt>
              </c:strCache>
            </c:strRef>
          </c:tx>
          <c:marker>
            <c:symbol val="plus"/>
            <c:size val="7"/>
            <c:spPr>
              <a:ln>
                <a:solidFill>
                  <a:srgbClr val="0000FF"/>
                </a:solidFill>
              </a:ln>
            </c:spPr>
          </c:marker>
          <c:xVal>
            <c:numRef>
              <c:f>Sheet1!$JR$11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Sheet1!$JS$11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BD-41E3-9FAD-188F3E7DC639}"/>
            </c:ext>
          </c:extLst>
        </c:ser>
        <c:ser>
          <c:idx val="36"/>
          <c:order val="28"/>
          <c:tx>
            <c:strRef>
              <c:f>Sheet1!$JV$9</c:f>
              <c:strCache>
                <c:ptCount val="1"/>
                <c:pt idx="0">
                  <c:v>ตอกแซม 2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Sheet1!$JV$14:$JV$374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Sheet1!$JW$14:$JW$374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8BD-41E3-9FAD-188F3E7DC639}"/>
            </c:ext>
          </c:extLst>
        </c:ser>
        <c:ser>
          <c:idx val="37"/>
          <c:order val="29"/>
          <c:tx>
            <c:strRef>
              <c:f>Sheet1!$JV$9</c:f>
              <c:strCache>
                <c:ptCount val="1"/>
                <c:pt idx="0">
                  <c:v>ตอกแซม 2</c:v>
                </c:pt>
              </c:strCache>
            </c:strRef>
          </c:tx>
          <c:marker>
            <c:symbol val="plus"/>
            <c:size val="5"/>
            <c:spPr>
              <a:ln>
                <a:solidFill>
                  <a:srgbClr val="0000FF"/>
                </a:solidFill>
              </a:ln>
            </c:spPr>
          </c:marker>
          <c:xVal>
            <c:numRef>
              <c:f>Sheet1!$JV$11</c:f>
              <c:numCache>
                <c:formatCode>0.00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Sheet1!$JW$11</c:f>
              <c:numCache>
                <c:formatCode>0.00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8BD-41E3-9FAD-188F3E7DC639}"/>
            </c:ext>
          </c:extLst>
        </c:ser>
        <c:ser>
          <c:idx val="38"/>
          <c:order val="30"/>
          <c:tx>
            <c:strRef>
              <c:f>Sheet1!$JM$6</c:f>
              <c:strCache>
                <c:ptCount val="1"/>
                <c:pt idx="0">
                  <c:v>เข็มตอกแซม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Sheet1!$KC$9:$KC$116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 formatCode="0.00">
                  <c:v>#N/A</c:v>
                </c:pt>
                <c:pt idx="33">
                  <c:v>#N/A</c:v>
                </c:pt>
                <c:pt idx="34">
                  <c:v>#N/A</c:v>
                </c:pt>
                <c:pt idx="35" formatCode="0.00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 formatCode="0.00">
                  <c:v>#N/A</c:v>
                </c:pt>
                <c:pt idx="41">
                  <c:v>#N/A</c:v>
                </c:pt>
                <c:pt idx="42">
                  <c:v>#N/A</c:v>
                </c:pt>
                <c:pt idx="43" formatCode="0.00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 formatCode="0.00">
                  <c:v>#N/A</c:v>
                </c:pt>
                <c:pt idx="49">
                  <c:v>#N/A</c:v>
                </c:pt>
                <c:pt idx="50">
                  <c:v>#N/A</c:v>
                </c:pt>
                <c:pt idx="51" formatCode="0.00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-1.135</c:v>
                </c:pt>
                <c:pt idx="55">
                  <c:v>-0.86499999999999999</c:v>
                </c:pt>
                <c:pt idx="56">
                  <c:v>-0.85</c:v>
                </c:pt>
                <c:pt idx="57">
                  <c:v>-0.85</c:v>
                </c:pt>
                <c:pt idx="58">
                  <c:v>-0.95</c:v>
                </c:pt>
                <c:pt idx="59">
                  <c:v>-0.95</c:v>
                </c:pt>
                <c:pt idx="60">
                  <c:v>-0.85</c:v>
                </c:pt>
                <c:pt idx="61">
                  <c:v>-0.85</c:v>
                </c:pt>
                <c:pt idx="62">
                  <c:v>-0.86499999999999999</c:v>
                </c:pt>
                <c:pt idx="63">
                  <c:v>-1.135</c:v>
                </c:pt>
                <c:pt idx="64">
                  <c:v>-1.1499999999999999</c:v>
                </c:pt>
                <c:pt idx="65">
                  <c:v>-1.1499999999999999</c:v>
                </c:pt>
                <c:pt idx="66">
                  <c:v>-1.05</c:v>
                </c:pt>
                <c:pt idx="67">
                  <c:v>-1.05</c:v>
                </c:pt>
                <c:pt idx="68">
                  <c:v>-1.1499999999999999</c:v>
                </c:pt>
                <c:pt idx="69">
                  <c:v>-1.1499999999999999</c:v>
                </c:pt>
                <c:pt idx="70">
                  <c:v>-1.135</c:v>
                </c:pt>
                <c:pt idx="71">
                  <c:v>#N/A</c:v>
                </c:pt>
                <c:pt idx="72">
                  <c:v>0.86499999999999999</c:v>
                </c:pt>
                <c:pt idx="73">
                  <c:v>1.135</c:v>
                </c:pt>
                <c:pt idx="74">
                  <c:v>1.1499999999999999</c:v>
                </c:pt>
                <c:pt idx="75">
                  <c:v>1.1499999999999999</c:v>
                </c:pt>
                <c:pt idx="76">
                  <c:v>1.05</c:v>
                </c:pt>
                <c:pt idx="77">
                  <c:v>1.05</c:v>
                </c:pt>
                <c:pt idx="78">
                  <c:v>1.1499999999999999</c:v>
                </c:pt>
                <c:pt idx="79">
                  <c:v>1.1499999999999999</c:v>
                </c:pt>
                <c:pt idx="80">
                  <c:v>1.135</c:v>
                </c:pt>
                <c:pt idx="81">
                  <c:v>0.86499999999999999</c:v>
                </c:pt>
                <c:pt idx="82">
                  <c:v>0.85</c:v>
                </c:pt>
                <c:pt idx="83">
                  <c:v>0.85</c:v>
                </c:pt>
                <c:pt idx="84">
                  <c:v>0.95</c:v>
                </c:pt>
                <c:pt idx="85">
                  <c:v>0.95</c:v>
                </c:pt>
                <c:pt idx="86">
                  <c:v>0.85</c:v>
                </c:pt>
                <c:pt idx="87">
                  <c:v>0.85</c:v>
                </c:pt>
                <c:pt idx="88">
                  <c:v>0.86499999999999999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xVal>
          <c:yVal>
            <c:numRef>
              <c:f>Sheet1!$KD$9:$KD$116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 formatCode="0.00">
                  <c:v>#N/A</c:v>
                </c:pt>
                <c:pt idx="33">
                  <c:v>#N/A</c:v>
                </c:pt>
                <c:pt idx="34">
                  <c:v>#N/A</c:v>
                </c:pt>
                <c:pt idx="35" formatCode="0.00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 formatCode="0.00">
                  <c:v>#N/A</c:v>
                </c:pt>
                <c:pt idx="41">
                  <c:v>#N/A</c:v>
                </c:pt>
                <c:pt idx="42">
                  <c:v>#N/A</c:v>
                </c:pt>
                <c:pt idx="43" formatCode="0.00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 formatCode="0.00">
                  <c:v>#N/A</c:v>
                </c:pt>
                <c:pt idx="49">
                  <c:v>#N/A</c:v>
                </c:pt>
                <c:pt idx="50">
                  <c:v>#N/A</c:v>
                </c:pt>
                <c:pt idx="51" formatCode="0.00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0.8</c:v>
                </c:pt>
                <c:pt idx="55">
                  <c:v>0.8</c:v>
                </c:pt>
                <c:pt idx="56">
                  <c:v>0.78500000000000003</c:v>
                </c:pt>
                <c:pt idx="57" formatCode="0.00">
                  <c:v>0.72500000000000009</c:v>
                </c:pt>
                <c:pt idx="58" formatCode="0.000">
                  <c:v>0.69500000000000006</c:v>
                </c:pt>
                <c:pt idx="59" formatCode="0.000">
                  <c:v>0.60499999999999998</c:v>
                </c:pt>
                <c:pt idx="60">
                  <c:v>0.57499999999999996</c:v>
                </c:pt>
                <c:pt idx="61">
                  <c:v>0.51500000000000001</c:v>
                </c:pt>
                <c:pt idx="62">
                  <c:v>0.5</c:v>
                </c:pt>
                <c:pt idx="63">
                  <c:v>0.5</c:v>
                </c:pt>
                <c:pt idx="64">
                  <c:v>0.51500000000000001</c:v>
                </c:pt>
                <c:pt idx="65">
                  <c:v>0.57499999999999996</c:v>
                </c:pt>
                <c:pt idx="66" formatCode="0.000">
                  <c:v>0.60499999999999998</c:v>
                </c:pt>
                <c:pt idx="67" formatCode="0.00">
                  <c:v>0.69500000000000006</c:v>
                </c:pt>
                <c:pt idx="68" formatCode="0.000">
                  <c:v>0.72500000000000009</c:v>
                </c:pt>
                <c:pt idx="69">
                  <c:v>0.78500000000000003</c:v>
                </c:pt>
                <c:pt idx="70">
                  <c:v>0.8</c:v>
                </c:pt>
                <c:pt idx="71">
                  <c:v>#N/A</c:v>
                </c:pt>
                <c:pt idx="72">
                  <c:v>0.8</c:v>
                </c:pt>
                <c:pt idx="73">
                  <c:v>0.8</c:v>
                </c:pt>
                <c:pt idx="74">
                  <c:v>0.78500000000000003</c:v>
                </c:pt>
                <c:pt idx="75" formatCode="0.00">
                  <c:v>0.72500000000000009</c:v>
                </c:pt>
                <c:pt idx="76" formatCode="0.000">
                  <c:v>0.69500000000000006</c:v>
                </c:pt>
                <c:pt idx="77" formatCode="0.000">
                  <c:v>0.60499999999999998</c:v>
                </c:pt>
                <c:pt idx="78">
                  <c:v>0.57499999999999996</c:v>
                </c:pt>
                <c:pt idx="79">
                  <c:v>0.51500000000000001</c:v>
                </c:pt>
                <c:pt idx="80">
                  <c:v>0.5</c:v>
                </c:pt>
                <c:pt idx="81">
                  <c:v>0.5</c:v>
                </c:pt>
                <c:pt idx="82">
                  <c:v>0.51500000000000001</c:v>
                </c:pt>
                <c:pt idx="83">
                  <c:v>0.57499999999999996</c:v>
                </c:pt>
                <c:pt idx="84" formatCode="0.000">
                  <c:v>0.60499999999999998</c:v>
                </c:pt>
                <c:pt idx="85" formatCode="0.00">
                  <c:v>0.69500000000000006</c:v>
                </c:pt>
                <c:pt idx="86" formatCode="0.000">
                  <c:v>0.72500000000000009</c:v>
                </c:pt>
                <c:pt idx="87">
                  <c:v>0.78500000000000003</c:v>
                </c:pt>
                <c:pt idx="88">
                  <c:v>0.8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 formatCode="0.00">
                  <c:v>#N/A</c:v>
                </c:pt>
                <c:pt idx="94" formatCode="0.000">
                  <c:v>#N/A</c:v>
                </c:pt>
                <c:pt idx="95" formatCode="0.000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 formatCode="0.000">
                  <c:v>#N/A</c:v>
                </c:pt>
                <c:pt idx="103" formatCode="0.00">
                  <c:v>#N/A</c:v>
                </c:pt>
                <c:pt idx="104" formatCode="0.000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8BD-41E3-9FAD-188F3E7DC639}"/>
            </c:ext>
          </c:extLst>
        </c:ser>
        <c:ser>
          <c:idx val="39"/>
          <c:order val="31"/>
          <c:tx>
            <c:strRef>
              <c:f>Sheet1!$JM$6</c:f>
              <c:strCache>
                <c:ptCount val="1"/>
                <c:pt idx="0">
                  <c:v>เข็มตอกแซม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092D895-8190-4E48-AB42-E056998152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BD-41E3-9FAD-188F3E7DC6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D1BC81-287B-4DA3-98D8-E9D0CE5311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BD-41E3-9FAD-188F3E7DC6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BD-41E3-9FAD-188F3E7DC6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0000FF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Sheet1!$KG$10:$KG$12</c:f>
              <c:numCache>
                <c:formatCode>General</c:formatCode>
                <c:ptCount val="3"/>
                <c:pt idx="0">
                  <c:v>-1</c:v>
                </c:pt>
                <c:pt idx="1">
                  <c:v>1</c:v>
                </c:pt>
                <c:pt idx="2">
                  <c:v>#N/A</c:v>
                </c:pt>
              </c:numCache>
            </c:numRef>
          </c:xVal>
          <c:yVal>
            <c:numRef>
              <c:f>Sheet1!$KH$10:$KH$12</c:f>
              <c:numCache>
                <c:formatCode>General</c:formatCode>
                <c:ptCount val="3"/>
                <c:pt idx="0">
                  <c:v>0.65</c:v>
                </c:pt>
                <c:pt idx="1">
                  <c:v>0.65</c:v>
                </c:pt>
                <c:pt idx="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Sheet1!$KI$10:$KI$12</c15:f>
                <c15:dlblRangeCache>
                  <c:ptCount val="3"/>
                  <c:pt idx="0">
                    <c:v>36.00T</c:v>
                  </c:pt>
                  <c:pt idx="1">
                    <c:v>36.00T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F8BD-41E3-9FAD-188F3E7DC639}"/>
            </c:ext>
          </c:extLst>
        </c:ser>
        <c:ser>
          <c:idx val="7"/>
          <c:order val="32"/>
          <c:tx>
            <c:strRef>
              <c:f>Sheet1!$BG$74</c:f>
              <c:strCache>
                <c:ptCount val="1"/>
                <c:pt idx="0">
                  <c:v>LABEL 1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C1317EB-B1BD-41A5-A512-38AC38895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1832D3-9E36-4947-8BE4-B93CE21DF8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2ED5C6-00C9-42C4-B626-B13017D42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71BD9A-CB90-4414-96C8-4AB67E2BFA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8D4927-1BB5-435C-BD8F-8B4C4510E4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4CECDA-F1B4-4774-ADF2-5751856216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62002D-0216-4C7E-805A-933D76330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54-4961-8456-7425C08B2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54-4961-8456-7425C08B2EC1}"/>
                </c:ext>
              </c:extLst>
            </c:dLbl>
            <c:spPr>
              <a:solidFill>
                <a:srgbClr val="FFFFCC">
                  <a:alpha val="50000"/>
                </a:srgbClr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00B05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Sheet1!$BF$75:$BF$82</c:f>
              <c:numCache>
                <c:formatCode>General</c:formatCode>
                <c:ptCount val="8"/>
                <c:pt idx="0">
                  <c:v>-0.65</c:v>
                </c:pt>
                <c:pt idx="1">
                  <c:v>-0.65</c:v>
                </c:pt>
                <c:pt idx="2">
                  <c:v>0.65</c:v>
                </c:pt>
                <c:pt idx="3">
                  <c:v>0.65</c:v>
                </c:pt>
                <c:pt idx="4">
                  <c:v>0</c:v>
                </c:pt>
                <c:pt idx="5">
                  <c:v>-1</c:v>
                </c:pt>
                <c:pt idx="6">
                  <c:v>1</c:v>
                </c:pt>
                <c:pt idx="7">
                  <c:v>#N/A</c:v>
                </c:pt>
              </c:numCache>
            </c:numRef>
          </c:xVal>
          <c:yVal>
            <c:numRef>
              <c:f>Sheet1!$BE$75:$BE$82</c:f>
              <c:numCache>
                <c:formatCode>General</c:formatCode>
                <c:ptCount val="8"/>
                <c:pt idx="0">
                  <c:v>-0.65</c:v>
                </c:pt>
                <c:pt idx="1">
                  <c:v>0.65</c:v>
                </c:pt>
                <c:pt idx="2">
                  <c:v>-0.65</c:v>
                </c:pt>
                <c:pt idx="3">
                  <c:v>0.65</c:v>
                </c:pt>
                <c:pt idx="4">
                  <c:v>0</c:v>
                </c:pt>
                <c:pt idx="5">
                  <c:v>0.65</c:v>
                </c:pt>
                <c:pt idx="6">
                  <c:v>0.65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Sheet1!$BJ$75:$BJ$82</c15:f>
                <c15:dlblRangeCache>
                  <c:ptCount val="8"/>
                  <c:pt idx="0">
                    <c:v>36.00T</c:v>
                  </c:pt>
                  <c:pt idx="1">
                    <c:v>0.00T</c:v>
                  </c:pt>
                  <c:pt idx="2">
                    <c:v>36.00T</c:v>
                  </c:pt>
                  <c:pt idx="3">
                    <c:v>0.00T</c:v>
                  </c:pt>
                  <c:pt idx="4">
                    <c:v>36.00T</c:v>
                  </c:pt>
                  <c:pt idx="5">
                    <c:v>36.00T</c:v>
                  </c:pt>
                  <c:pt idx="6">
                    <c:v>36.00T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3D54-4961-8456-7425C08B2EC1}"/>
            </c:ext>
          </c:extLst>
        </c:ser>
        <c:ser>
          <c:idx val="13"/>
          <c:order val="33"/>
          <c:tx>
            <c:strRef>
              <c:f>Sheet1!$BJ$74</c:f>
              <c:strCache>
                <c:ptCount val="1"/>
                <c:pt idx="0">
                  <c:v>LABEL 2</c:v>
                </c:pt>
              </c:strCache>
            </c:strRef>
          </c:tx>
          <c:spPr>
            <a:ln>
              <a:noFill/>
            </a:ln>
          </c:spPr>
          <c:marker>
            <c:symbol val="plus"/>
            <c:size val="5"/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54-4961-8456-7425C08B2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54-4961-8456-7425C08B2EC1}"/>
                </c:ext>
              </c:extLst>
            </c:dLbl>
            <c:spPr>
              <a:solidFill>
                <a:srgbClr val="FFFFCC">
                  <a:alpha val="50000"/>
                </a:srgbClr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rgbClr val="FF000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Sheet1!$BI$75:$BI$82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Sheet1!$BH$75:$BH$82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Sheet1!$BJ$75:$BJ$82</c15:f>
                <c15:dlblRangeCache>
                  <c:ptCount val="8"/>
                  <c:pt idx="0">
                    <c:v>36.00T</c:v>
                  </c:pt>
                  <c:pt idx="1">
                    <c:v>0.00T</c:v>
                  </c:pt>
                  <c:pt idx="2">
                    <c:v>36.00T</c:v>
                  </c:pt>
                  <c:pt idx="3">
                    <c:v>0.00T</c:v>
                  </c:pt>
                  <c:pt idx="4">
                    <c:v>36.00T</c:v>
                  </c:pt>
                  <c:pt idx="5">
                    <c:v>36.00T</c:v>
                  </c:pt>
                  <c:pt idx="6">
                    <c:v>36.00T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3D54-4961-8456-7425C08B2EC1}"/>
            </c:ext>
          </c:extLst>
        </c:ser>
        <c:ser>
          <c:idx val="21"/>
          <c:order val="34"/>
          <c:tx>
            <c:strRef>
              <c:f>Sheet1!$GZ$43</c:f>
              <c:strCache>
                <c:ptCount val="1"/>
                <c:pt idx="0">
                  <c:v>เส้น Pile Capt ผ่าน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Sheet1!$GZ$45:$GZ$61</c:f>
              <c:numCache>
                <c:formatCode>General</c:formatCode>
                <c:ptCount val="17"/>
                <c:pt idx="0">
                  <c:v>-1.2999999999999998</c:v>
                </c:pt>
                <c:pt idx="1">
                  <c:v>1.2999999999999998</c:v>
                </c:pt>
                <c:pt idx="2" formatCode="_(* #,##0.00_);_(* \(#,##0.00\);_(* &quot;-&quot;??_);_(@_)">
                  <c:v>#N/A</c:v>
                </c:pt>
                <c:pt idx="3">
                  <c:v>-1.2999999999999998</c:v>
                </c:pt>
                <c:pt idx="4">
                  <c:v>1.2999999999999998</c:v>
                </c:pt>
                <c:pt idx="5" formatCode="_(* #,##0.00_);_(* \(#,##0.00\);_(* &quot;-&quot;??_);_(@_)">
                  <c:v>#N/A</c:v>
                </c:pt>
                <c:pt idx="6">
                  <c:v>1.2999999999999998</c:v>
                </c:pt>
                <c:pt idx="7">
                  <c:v>1.2999999999999998</c:v>
                </c:pt>
                <c:pt idx="8" formatCode="_(* #,##0.00_);_(* \(#,##0.00\);_(* &quot;-&quot;??_);_(@_)">
                  <c:v>#N/A</c:v>
                </c:pt>
                <c:pt idx="9">
                  <c:v>-1.2999999999999998</c:v>
                </c:pt>
                <c:pt idx="10">
                  <c:v>-1.2999999999999998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Sheet1!$HA$45:$HA$61</c:f>
              <c:numCache>
                <c:formatCode>General</c:formatCode>
                <c:ptCount val="17"/>
                <c:pt idx="0">
                  <c:v>0.95</c:v>
                </c:pt>
                <c:pt idx="1">
                  <c:v>0.95</c:v>
                </c:pt>
                <c:pt idx="2" formatCode="_(* #,##0.00_);_(* \(#,##0.00\);_(* &quot;-&quot;??_);_(@_)">
                  <c:v>#N/A</c:v>
                </c:pt>
                <c:pt idx="3">
                  <c:v>-0.95</c:v>
                </c:pt>
                <c:pt idx="4">
                  <c:v>-0.95</c:v>
                </c:pt>
                <c:pt idx="5" formatCode="_(* #,##0.00_);_(* \(#,##0.00\);_(* &quot;-&quot;??_);_(@_)">
                  <c:v>#N/A</c:v>
                </c:pt>
                <c:pt idx="6">
                  <c:v>0.95</c:v>
                </c:pt>
                <c:pt idx="7">
                  <c:v>-0.95</c:v>
                </c:pt>
                <c:pt idx="8" formatCode="_(* #,##0.00_);_(* \(#,##0.00\);_(* &quot;-&quot;??_);_(@_)">
                  <c:v>#N/A</c:v>
                </c:pt>
                <c:pt idx="9">
                  <c:v>0.95</c:v>
                </c:pt>
                <c:pt idx="10">
                  <c:v>-0.95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D54-4961-8456-7425C08B2EC1}"/>
            </c:ext>
          </c:extLst>
        </c:ser>
        <c:ser>
          <c:idx val="27"/>
          <c:order val="35"/>
          <c:tx>
            <c:strRef>
              <c:f>Sheet1!$HB$43</c:f>
              <c:strCache>
                <c:ptCount val="1"/>
                <c:pt idx="0">
                  <c:v>เส้น Pile Capt ไม่ผ่านผ่าน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Sheet1!$HB$45:$HB$61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 formatCode="_(* #,##0.00_);_(* \(#,##0.00\);_(* &quot;-&quot;??_);_(@_)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_(* #,##0.00_);_(* \(#,##0.00\);_(* &quot;-&quot;??_);_(@_)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Sheet1!$HC$45:$HC$61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 formatCode="_(* #,##0.00_);_(* \(#,##0.00\);_(* &quot;-&quot;??_);_(@_)">
                  <c:v>#N/A</c:v>
                </c:pt>
                <c:pt idx="3">
                  <c:v>#N/A</c:v>
                </c:pt>
                <c:pt idx="4">
                  <c:v>#N/A</c:v>
                </c:pt>
                <c:pt idx="5" formatCode="_(* #,##0.00_);_(* \(#,##0.00\);_(* &quot;-&quot;??_);_(@_)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D54-4961-8456-7425C08B2EC1}"/>
            </c:ext>
          </c:extLst>
        </c:ser>
        <c:ser>
          <c:idx val="40"/>
          <c:order val="36"/>
          <c:tx>
            <c:strRef>
              <c:f>Sheet1!$LC$7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5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E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4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F-3D54-4961-8456-7425C08B2EC1}"/>
              </c:ext>
            </c:extLst>
          </c:dPt>
          <c:dPt>
            <c:idx val="7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59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0-3D54-4961-8456-7425C08B2EC1}"/>
              </c:ext>
            </c:extLst>
          </c:dPt>
          <c:dPt>
            <c:idx val="1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8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7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1-3D54-4961-8456-7425C08B2EC1}"/>
              </c:ext>
            </c:extLst>
          </c:dPt>
          <c:dPt>
            <c:idx val="1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8-3D54-4961-8456-7425C08B2EC1}"/>
              </c:ext>
            </c:extLst>
          </c:dPt>
          <c:dPt>
            <c:idx val="19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0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3-3D54-4961-8456-7425C08B2EC1}"/>
              </c:ext>
            </c:extLst>
          </c:dPt>
          <c:dPt>
            <c:idx val="2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1-3D54-4961-8456-7425C08B2EC1}"/>
              </c:ext>
            </c:extLst>
          </c:dPt>
          <c:dPt>
            <c:idx val="24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E-3D54-4961-8456-7425C08B2EC1}"/>
              </c:ext>
            </c:extLst>
          </c:dPt>
          <c:dPt>
            <c:idx val="2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F-3D54-4961-8456-7425C08B2EC1}"/>
              </c:ext>
            </c:extLst>
          </c:dPt>
          <c:dPt>
            <c:idx val="30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D-3D54-4961-8456-7425C08B2EC1}"/>
              </c:ext>
            </c:extLst>
          </c:dPt>
          <c:dPt>
            <c:idx val="31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A-3D54-4961-8456-7425C08B2EC1}"/>
              </c:ext>
            </c:extLst>
          </c:dPt>
          <c:dPt>
            <c:idx val="3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C-3D54-4961-8456-7425C08B2EC1}"/>
              </c:ext>
            </c:extLst>
          </c:dPt>
          <c:dPt>
            <c:idx val="35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9-3D54-4961-8456-7425C08B2EC1}"/>
              </c:ext>
            </c:extLst>
          </c:dPt>
          <c:dPt>
            <c:idx val="36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B-3D54-4961-8456-7425C08B2EC1}"/>
              </c:ext>
            </c:extLst>
          </c:dPt>
          <c:xVal>
            <c:numRef>
              <c:f>Sheet1!$MJ$9:$MJ$46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xVal>
          <c:yVal>
            <c:numRef>
              <c:f>Sheet1!$MK$9:$MK$46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D54-4961-8456-7425C08B2EC1}"/>
            </c:ext>
          </c:extLst>
        </c:ser>
        <c:ser>
          <c:idx val="41"/>
          <c:order val="37"/>
          <c:tx>
            <c:strRef>
              <c:f>Sheet1!$LL$8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54-4961-8456-7425C08B2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54-4961-8456-7425C08B2E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54-4961-8456-7425C08B2E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54-4961-8456-7425C08B2E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54-4961-8456-7425C08B2E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54-4961-8456-7425C08B2E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54-4961-8456-7425C08B2E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54-4961-8456-7425C08B2E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54-4961-8456-7425C08B2E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54-4961-8456-7425C08B2E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54-4961-8456-7425C08B2E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54-4961-8456-7425C08B2E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54-4961-8456-7425C08B2E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54-4961-8456-7425C08B2E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54-4961-8456-7425C08B2E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54-4961-8456-7425C08B2E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54-4961-8456-7425C08B2E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54-4961-8456-7425C08B2E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54-4961-8456-7425C08B2E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54-4961-8456-7425C08B2E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54-4961-8456-7425C08B2E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54-4961-8456-7425C08B2E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54-4961-8456-7425C08B2E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54-4961-8456-7425C08B2E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54-4961-8456-7425C08B2E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54-4961-8456-7425C08B2E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54-4961-8456-7425C08B2E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54-4961-8456-7425C08B2E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54-4961-8456-7425C08B2E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54-4961-8456-7425C08B2E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vert="horz" wrap="non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Sheet1!$ML$9:$ML$45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xVal>
          <c:yVal>
            <c:numRef>
              <c:f>Sheet1!$MM$9:$MM$45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Sheet1!$MN$9:$MN$45</c15:f>
                <c15:dlblRangeCache>
                  <c:ptCount val="37"/>
                </c15:dlblRangeCache>
              </c15:datalabelsRange>
            </c:ext>
            <c:ext xmlns:c16="http://schemas.microsoft.com/office/drawing/2014/chart" uri="{C3380CC4-5D6E-409C-BE32-E72D297353CC}">
              <c16:uniqueId val="{00000032-3D54-4961-8456-7425C08B2EC1}"/>
            </c:ext>
          </c:extLst>
        </c:ser>
        <c:ser>
          <c:idx val="34"/>
          <c:order val="38"/>
          <c:tx>
            <c:strRef>
              <c:f>Sheet1!$KN$10</c:f>
              <c:strCache>
                <c:ptCount val="1"/>
                <c:pt idx="0">
                  <c:v>F2x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D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B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E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C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D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C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E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6B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0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5F-3D54-4961-8456-7425C08B2EC1}"/>
              </c:ext>
            </c:extLst>
          </c:dPt>
          <c:xVal>
            <c:numRef>
              <c:f>Sheet1!$KN$12:$KN$32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>
                  <c:v>#N/A</c:v>
                </c:pt>
                <c:pt idx="15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xVal>
          <c:yVal>
            <c:numRef>
              <c:f>Sheet1!$KO$12:$KO$32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D54-4961-8456-7425C08B2EC1}"/>
            </c:ext>
          </c:extLst>
        </c:ser>
        <c:ser>
          <c:idx val="42"/>
          <c:order val="39"/>
          <c:tx>
            <c:strRef>
              <c:f>Sheet1!$KR$11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Sheet1!$KP$12:$KP$18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Sheet1!$KQ$12:$KQ$18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Sheet1!$KR$12:$KR$18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3D54-4961-8456-7425C08B2EC1}"/>
            </c:ext>
          </c:extLst>
        </c:ser>
        <c:ser>
          <c:idx val="43"/>
          <c:order val="40"/>
          <c:tx>
            <c:strRef>
              <c:f>Sheet1!$KS$10</c:f>
              <c:strCache>
                <c:ptCount val="1"/>
                <c:pt idx="0">
                  <c:v>F2y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3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A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2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0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6F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4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1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75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6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77-3D54-4961-8456-7425C08B2EC1}"/>
              </c:ext>
            </c:extLst>
          </c:dPt>
          <c:xVal>
            <c:numRef>
              <c:f>Sheet1!$KS$12:$KS$32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>
                  <c:v>#N/A</c:v>
                </c:pt>
                <c:pt idx="16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xVal>
          <c:yVal>
            <c:numRef>
              <c:f>Sheet1!$KT$12:$KT$32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>
                  <c:v>#N/A</c:v>
                </c:pt>
                <c:pt idx="15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3D54-4961-8456-7425C08B2EC1}"/>
            </c:ext>
          </c:extLst>
        </c:ser>
        <c:ser>
          <c:idx val="44"/>
          <c:order val="41"/>
          <c:tx>
            <c:strRef>
              <c:f>Sheet1!$KS$10</c:f>
              <c:strCache>
                <c:ptCount val="1"/>
                <c:pt idx="0">
                  <c:v>F2y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54-4961-8456-7425C08B2EC1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ysClr val="windowText" lastClr="000000"/>
                        </a:solidFill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ysClr val="windowText" lastClr="000000"/>
                    </a:solidFill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Sheet1!$KU$12:$KU$18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Sheet1!$KV$12:$KV$18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Sheet1!$KW$12:$KW$18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8-3D54-4961-8456-7425C08B2EC1}"/>
            </c:ext>
          </c:extLst>
        </c:ser>
        <c:ser>
          <c:idx val="2"/>
          <c:order val="42"/>
          <c:tx>
            <c:strRef>
              <c:f>Sheet1!$KN$35</c:f>
              <c:strCache>
                <c:ptCount val="1"/>
                <c:pt idx="0">
                  <c:v>DIMENSION F1 ฐานเข็มเยื้อง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7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1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8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2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3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A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4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9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5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6-3D54-4961-8456-7425C08B2EC1}"/>
              </c:ext>
            </c:extLst>
          </c:dPt>
          <c:xVal>
            <c:numRef>
              <c:f>Sheet1!$KN$38:$KN$58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>
                  <c:v>#N/A</c:v>
                </c:pt>
                <c:pt idx="15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xVal>
          <c:yVal>
            <c:numRef>
              <c:f>Sheet1!$KO$38:$KO$58</c:f>
              <c:numCache>
                <c:formatCode>#,##0.00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 formatCode="General">
                  <c:v>#N/A</c:v>
                </c:pt>
                <c:pt idx="18">
                  <c:v>#N/A</c:v>
                </c:pt>
                <c:pt idx="19" formatCode="General">
                  <c:v>#N/A</c:v>
                </c:pt>
                <c:pt idx="20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3D54-4961-8456-7425C08B2EC1}"/>
            </c:ext>
          </c:extLst>
        </c:ser>
        <c:ser>
          <c:idx val="45"/>
          <c:order val="43"/>
          <c:tx>
            <c:strRef>
              <c:f>Sheet1!$KR$37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Sheet1!$KP$38:$KP$44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Sheet1!$KQ$38:$KQ$44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Sheet1!$KR$38:$KR$44</c15:f>
                <c15:dlblRangeCache>
                  <c:ptCount val="7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B-3D54-4961-8456-7425C08B2EC1}"/>
            </c:ext>
          </c:extLst>
        </c:ser>
        <c:ser>
          <c:idx val="46"/>
          <c:order val="44"/>
          <c:tx>
            <c:strRef>
              <c:f>Sheet1!$JF$6</c:f>
              <c:strCache>
                <c:ptCount val="1"/>
                <c:pt idx="0">
                  <c:v>เข็มเยื้อง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Sheet1!$JJ$12:$JJ$193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-0.78500000000000003</c:v>
                </c:pt>
                <c:pt idx="93">
                  <c:v>-0.51500000000000001</c:v>
                </c:pt>
                <c:pt idx="94">
                  <c:v>-0.5</c:v>
                </c:pt>
                <c:pt idx="95">
                  <c:v>-0.5</c:v>
                </c:pt>
                <c:pt idx="96">
                  <c:v>-0.6</c:v>
                </c:pt>
                <c:pt idx="97">
                  <c:v>-0.6</c:v>
                </c:pt>
                <c:pt idx="98">
                  <c:v>-0.5</c:v>
                </c:pt>
                <c:pt idx="99">
                  <c:v>-0.5</c:v>
                </c:pt>
                <c:pt idx="100">
                  <c:v>-0.51500000000000001</c:v>
                </c:pt>
                <c:pt idx="101">
                  <c:v>-0.78500000000000003</c:v>
                </c:pt>
                <c:pt idx="102">
                  <c:v>-0.8</c:v>
                </c:pt>
                <c:pt idx="103">
                  <c:v>-0.8</c:v>
                </c:pt>
                <c:pt idx="104">
                  <c:v>-0.70000000000000007</c:v>
                </c:pt>
                <c:pt idx="105">
                  <c:v>-0.70000000000000007</c:v>
                </c:pt>
                <c:pt idx="106">
                  <c:v>-0.8</c:v>
                </c:pt>
                <c:pt idx="107">
                  <c:v>-0.8</c:v>
                </c:pt>
                <c:pt idx="108">
                  <c:v>-0.78500000000000003</c:v>
                </c:pt>
                <c:pt idx="109">
                  <c:v>#N/A</c:v>
                </c:pt>
                <c:pt idx="110">
                  <c:v>-0.78500000000000003</c:v>
                </c:pt>
                <c:pt idx="111">
                  <c:v>-0.51500000000000001</c:v>
                </c:pt>
                <c:pt idx="112">
                  <c:v>-0.5</c:v>
                </c:pt>
                <c:pt idx="113">
                  <c:v>-0.5</c:v>
                </c:pt>
                <c:pt idx="114">
                  <c:v>-0.6</c:v>
                </c:pt>
                <c:pt idx="115">
                  <c:v>-0.6</c:v>
                </c:pt>
                <c:pt idx="116">
                  <c:v>-0.5</c:v>
                </c:pt>
                <c:pt idx="117">
                  <c:v>-0.5</c:v>
                </c:pt>
                <c:pt idx="118">
                  <c:v>-0.51500000000000001</c:v>
                </c:pt>
                <c:pt idx="119">
                  <c:v>-0.78500000000000003</c:v>
                </c:pt>
                <c:pt idx="120">
                  <c:v>-0.8</c:v>
                </c:pt>
                <c:pt idx="121">
                  <c:v>-0.8</c:v>
                </c:pt>
                <c:pt idx="122">
                  <c:v>-0.70000000000000007</c:v>
                </c:pt>
                <c:pt idx="123">
                  <c:v>-0.70000000000000007</c:v>
                </c:pt>
                <c:pt idx="124">
                  <c:v>-0.8</c:v>
                </c:pt>
                <c:pt idx="125">
                  <c:v>-0.8</c:v>
                </c:pt>
                <c:pt idx="126">
                  <c:v>-0.78500000000000003</c:v>
                </c:pt>
                <c:pt idx="127">
                  <c:v>#N/A</c:v>
                </c:pt>
                <c:pt idx="128">
                  <c:v>0.51500000000000001</c:v>
                </c:pt>
                <c:pt idx="129">
                  <c:v>0.78500000000000003</c:v>
                </c:pt>
                <c:pt idx="130">
                  <c:v>0.8</c:v>
                </c:pt>
                <c:pt idx="131">
                  <c:v>0.8</c:v>
                </c:pt>
                <c:pt idx="132">
                  <c:v>0.70000000000000007</c:v>
                </c:pt>
                <c:pt idx="133">
                  <c:v>0.70000000000000007</c:v>
                </c:pt>
                <c:pt idx="134">
                  <c:v>0.8</c:v>
                </c:pt>
                <c:pt idx="135">
                  <c:v>0.8</c:v>
                </c:pt>
                <c:pt idx="136">
                  <c:v>0.78500000000000003</c:v>
                </c:pt>
                <c:pt idx="137">
                  <c:v>0.51500000000000001</c:v>
                </c:pt>
                <c:pt idx="138">
                  <c:v>0.5</c:v>
                </c:pt>
                <c:pt idx="139">
                  <c:v>0.5</c:v>
                </c:pt>
                <c:pt idx="140">
                  <c:v>0.6</c:v>
                </c:pt>
                <c:pt idx="141">
                  <c:v>0.6</c:v>
                </c:pt>
                <c:pt idx="142">
                  <c:v>0.5</c:v>
                </c:pt>
                <c:pt idx="143">
                  <c:v>0.5</c:v>
                </c:pt>
                <c:pt idx="144">
                  <c:v>0.51500000000000001</c:v>
                </c:pt>
                <c:pt idx="145">
                  <c:v>#N/A</c:v>
                </c:pt>
                <c:pt idx="146">
                  <c:v>0.51500000000000001</c:v>
                </c:pt>
                <c:pt idx="147">
                  <c:v>0.78500000000000003</c:v>
                </c:pt>
                <c:pt idx="148">
                  <c:v>0.8</c:v>
                </c:pt>
                <c:pt idx="149">
                  <c:v>0.8</c:v>
                </c:pt>
                <c:pt idx="150">
                  <c:v>0.70000000000000007</c:v>
                </c:pt>
                <c:pt idx="151">
                  <c:v>0.70000000000000007</c:v>
                </c:pt>
                <c:pt idx="152">
                  <c:v>0.8</c:v>
                </c:pt>
                <c:pt idx="153">
                  <c:v>0.8</c:v>
                </c:pt>
                <c:pt idx="154">
                  <c:v>0.78500000000000003</c:v>
                </c:pt>
                <c:pt idx="155">
                  <c:v>0.51500000000000001</c:v>
                </c:pt>
                <c:pt idx="156">
                  <c:v>0.5</c:v>
                </c:pt>
                <c:pt idx="157">
                  <c:v>0.5</c:v>
                </c:pt>
                <c:pt idx="158">
                  <c:v>0.6</c:v>
                </c:pt>
                <c:pt idx="159">
                  <c:v>0.6</c:v>
                </c:pt>
                <c:pt idx="160">
                  <c:v>0.5</c:v>
                </c:pt>
                <c:pt idx="161">
                  <c:v>0.5</c:v>
                </c:pt>
                <c:pt idx="162">
                  <c:v>0.51500000000000001</c:v>
                </c:pt>
                <c:pt idx="163">
                  <c:v>#N/A</c:v>
                </c:pt>
                <c:pt idx="164">
                  <c:v>-0.13500000000000001</c:v>
                </c:pt>
                <c:pt idx="165">
                  <c:v>0.13500000000000001</c:v>
                </c:pt>
                <c:pt idx="166">
                  <c:v>0.15</c:v>
                </c:pt>
                <c:pt idx="167">
                  <c:v>0.15</c:v>
                </c:pt>
                <c:pt idx="168">
                  <c:v>0.05</c:v>
                </c:pt>
                <c:pt idx="169">
                  <c:v>0.05</c:v>
                </c:pt>
                <c:pt idx="170">
                  <c:v>0.15</c:v>
                </c:pt>
                <c:pt idx="171">
                  <c:v>0.15</c:v>
                </c:pt>
                <c:pt idx="172">
                  <c:v>0.13500000000000001</c:v>
                </c:pt>
                <c:pt idx="173">
                  <c:v>-0.13500000000000001</c:v>
                </c:pt>
                <c:pt idx="174">
                  <c:v>-0.15000000000000002</c:v>
                </c:pt>
                <c:pt idx="175">
                  <c:v>-0.15000000000000002</c:v>
                </c:pt>
                <c:pt idx="176">
                  <c:v>-0.05</c:v>
                </c:pt>
                <c:pt idx="177">
                  <c:v>-0.05</c:v>
                </c:pt>
                <c:pt idx="178">
                  <c:v>-0.15</c:v>
                </c:pt>
                <c:pt idx="179">
                  <c:v>-0.15</c:v>
                </c:pt>
                <c:pt idx="180">
                  <c:v>-0.13500000000000001</c:v>
                </c:pt>
                <c:pt idx="181">
                  <c:v>#N/A</c:v>
                </c:pt>
              </c:numCache>
            </c:numRef>
          </c:xVal>
          <c:yVal>
            <c:numRef>
              <c:f>Sheet1!$JK$12:$JK$193</c:f>
              <c:numCache>
                <c:formatCode>General</c:formatCode>
                <c:ptCount val="18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0">
                  <c:v>#N/A</c:v>
                </c:pt>
                <c:pt idx="54">
                  <c:v>#N/A</c:v>
                </c:pt>
                <c:pt idx="55">
                  <c:v>#N/A</c:v>
                </c:pt>
                <c:pt idx="56" formatCode="0.00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 formatCode="0.00">
                  <c:v>#N/A</c:v>
                </c:pt>
                <c:pt idx="62">
                  <c:v>#N/A</c:v>
                </c:pt>
                <c:pt idx="63">
                  <c:v>#N/A</c:v>
                </c:pt>
                <c:pt idx="64" formatCode="0.00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 formatCode="0.00">
                  <c:v>#N/A</c:v>
                </c:pt>
                <c:pt idx="70">
                  <c:v>#N/A</c:v>
                </c:pt>
                <c:pt idx="71">
                  <c:v>#N/A</c:v>
                </c:pt>
                <c:pt idx="72" formatCode="0.00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 formatCode="0.00">
                  <c:v>#N/A</c:v>
                </c:pt>
                <c:pt idx="78">
                  <c:v>#N/A</c:v>
                </c:pt>
                <c:pt idx="79">
                  <c:v>#N/A</c:v>
                </c:pt>
                <c:pt idx="80" formatCode="0.0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 formatCode="0.00">
                  <c:v>#N/A</c:v>
                </c:pt>
                <c:pt idx="86">
                  <c:v>#N/A</c:v>
                </c:pt>
                <c:pt idx="87">
                  <c:v>#N/A</c:v>
                </c:pt>
                <c:pt idx="88" formatCode="0.00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-0.5</c:v>
                </c:pt>
                <c:pt idx="93">
                  <c:v>-0.5</c:v>
                </c:pt>
                <c:pt idx="94">
                  <c:v>-0.51500000000000001</c:v>
                </c:pt>
                <c:pt idx="95" formatCode="0.00">
                  <c:v>-0.57499999999999996</c:v>
                </c:pt>
                <c:pt idx="96" formatCode="0.000">
                  <c:v>-0.60499999999999998</c:v>
                </c:pt>
                <c:pt idx="97" formatCode="0.000">
                  <c:v>-0.69500000000000006</c:v>
                </c:pt>
                <c:pt idx="98">
                  <c:v>-0.72500000000000009</c:v>
                </c:pt>
                <c:pt idx="99">
                  <c:v>-0.78500000000000003</c:v>
                </c:pt>
                <c:pt idx="100">
                  <c:v>-0.8</c:v>
                </c:pt>
                <c:pt idx="101">
                  <c:v>-0.8</c:v>
                </c:pt>
                <c:pt idx="102">
                  <c:v>-0.78500000000000003</c:v>
                </c:pt>
                <c:pt idx="103">
                  <c:v>-0.72500000000000009</c:v>
                </c:pt>
                <c:pt idx="104" formatCode="0.000">
                  <c:v>-0.69500000000000006</c:v>
                </c:pt>
                <c:pt idx="105" formatCode="0.00">
                  <c:v>-0.60499999999999998</c:v>
                </c:pt>
                <c:pt idx="106" formatCode="0.000">
                  <c:v>-0.57499999999999996</c:v>
                </c:pt>
                <c:pt idx="107">
                  <c:v>-0.51500000000000001</c:v>
                </c:pt>
                <c:pt idx="108">
                  <c:v>-0.5</c:v>
                </c:pt>
                <c:pt idx="109">
                  <c:v>#N/A</c:v>
                </c:pt>
                <c:pt idx="110">
                  <c:v>0.8</c:v>
                </c:pt>
                <c:pt idx="111">
                  <c:v>0.8</c:v>
                </c:pt>
                <c:pt idx="112">
                  <c:v>0.78500000000000003</c:v>
                </c:pt>
                <c:pt idx="113" formatCode="0.00">
                  <c:v>0.72500000000000009</c:v>
                </c:pt>
                <c:pt idx="114" formatCode="0.000">
                  <c:v>0.69500000000000006</c:v>
                </c:pt>
                <c:pt idx="115" formatCode="0.000">
                  <c:v>0.60499999999999998</c:v>
                </c:pt>
                <c:pt idx="116">
                  <c:v>0.57499999999999996</c:v>
                </c:pt>
                <c:pt idx="117">
                  <c:v>0.51500000000000001</c:v>
                </c:pt>
                <c:pt idx="118">
                  <c:v>0.5</c:v>
                </c:pt>
                <c:pt idx="119">
                  <c:v>0.5</c:v>
                </c:pt>
                <c:pt idx="120">
                  <c:v>0.51500000000000001</c:v>
                </c:pt>
                <c:pt idx="121">
                  <c:v>0.57499999999999996</c:v>
                </c:pt>
                <c:pt idx="122" formatCode="0.000">
                  <c:v>0.60499999999999998</c:v>
                </c:pt>
                <c:pt idx="123" formatCode="0.00">
                  <c:v>0.69500000000000006</c:v>
                </c:pt>
                <c:pt idx="124" formatCode="0.000">
                  <c:v>0.72500000000000009</c:v>
                </c:pt>
                <c:pt idx="125">
                  <c:v>0.78500000000000003</c:v>
                </c:pt>
                <c:pt idx="126">
                  <c:v>0.8</c:v>
                </c:pt>
                <c:pt idx="127">
                  <c:v>#N/A</c:v>
                </c:pt>
                <c:pt idx="128">
                  <c:v>-0.5</c:v>
                </c:pt>
                <c:pt idx="129">
                  <c:v>-0.5</c:v>
                </c:pt>
                <c:pt idx="130">
                  <c:v>-0.51500000000000001</c:v>
                </c:pt>
                <c:pt idx="131" formatCode="0.00">
                  <c:v>-0.57499999999999996</c:v>
                </c:pt>
                <c:pt idx="132" formatCode="0.000">
                  <c:v>-0.60499999999999998</c:v>
                </c:pt>
                <c:pt idx="133" formatCode="0.000">
                  <c:v>-0.69500000000000006</c:v>
                </c:pt>
                <c:pt idx="134">
                  <c:v>-0.72500000000000009</c:v>
                </c:pt>
                <c:pt idx="135">
                  <c:v>-0.78500000000000003</c:v>
                </c:pt>
                <c:pt idx="136">
                  <c:v>-0.8</c:v>
                </c:pt>
                <c:pt idx="137">
                  <c:v>-0.8</c:v>
                </c:pt>
                <c:pt idx="138">
                  <c:v>-0.78500000000000003</c:v>
                </c:pt>
                <c:pt idx="139">
                  <c:v>-0.72500000000000009</c:v>
                </c:pt>
                <c:pt idx="140" formatCode="0.000">
                  <c:v>-0.69500000000000006</c:v>
                </c:pt>
                <c:pt idx="141" formatCode="0.00">
                  <c:v>-0.60499999999999998</c:v>
                </c:pt>
                <c:pt idx="142" formatCode="0.000">
                  <c:v>-0.57499999999999996</c:v>
                </c:pt>
                <c:pt idx="143">
                  <c:v>-0.51500000000000001</c:v>
                </c:pt>
                <c:pt idx="144">
                  <c:v>-0.5</c:v>
                </c:pt>
                <c:pt idx="145">
                  <c:v>#N/A</c:v>
                </c:pt>
                <c:pt idx="146">
                  <c:v>0.8</c:v>
                </c:pt>
                <c:pt idx="147">
                  <c:v>0.8</c:v>
                </c:pt>
                <c:pt idx="148">
                  <c:v>0.78500000000000003</c:v>
                </c:pt>
                <c:pt idx="149" formatCode="0.00">
                  <c:v>0.72500000000000009</c:v>
                </c:pt>
                <c:pt idx="150" formatCode="0.000">
                  <c:v>0.69500000000000006</c:v>
                </c:pt>
                <c:pt idx="151" formatCode="0.000">
                  <c:v>0.60499999999999998</c:v>
                </c:pt>
                <c:pt idx="152">
                  <c:v>0.57499999999999996</c:v>
                </c:pt>
                <c:pt idx="153">
                  <c:v>0.51500000000000001</c:v>
                </c:pt>
                <c:pt idx="154">
                  <c:v>0.5</c:v>
                </c:pt>
                <c:pt idx="155">
                  <c:v>0.5</c:v>
                </c:pt>
                <c:pt idx="156">
                  <c:v>0.51500000000000001</c:v>
                </c:pt>
                <c:pt idx="157">
                  <c:v>0.57499999999999996</c:v>
                </c:pt>
                <c:pt idx="158" formatCode="0.000">
                  <c:v>0.60499999999999998</c:v>
                </c:pt>
                <c:pt idx="159" formatCode="0.00">
                  <c:v>0.69500000000000006</c:v>
                </c:pt>
                <c:pt idx="160" formatCode="0.000">
                  <c:v>0.72500000000000009</c:v>
                </c:pt>
                <c:pt idx="161">
                  <c:v>0.78500000000000003</c:v>
                </c:pt>
                <c:pt idx="162">
                  <c:v>0.8</c:v>
                </c:pt>
                <c:pt idx="163">
                  <c:v>#N/A</c:v>
                </c:pt>
                <c:pt idx="164">
                  <c:v>0.15</c:v>
                </c:pt>
                <c:pt idx="165">
                  <c:v>0.15</c:v>
                </c:pt>
                <c:pt idx="166">
                  <c:v>0.13500000000000001</c:v>
                </c:pt>
                <c:pt idx="167" formatCode="0.00">
                  <c:v>7.4999999999999997E-2</c:v>
                </c:pt>
                <c:pt idx="168" formatCode="0.000">
                  <c:v>4.4999999999999998E-2</c:v>
                </c:pt>
                <c:pt idx="169" formatCode="0.000">
                  <c:v>-4.4999999999999998E-2</c:v>
                </c:pt>
                <c:pt idx="170">
                  <c:v>-7.4999999999999997E-2</c:v>
                </c:pt>
                <c:pt idx="171">
                  <c:v>-0.13500000000000001</c:v>
                </c:pt>
                <c:pt idx="172">
                  <c:v>-0.15</c:v>
                </c:pt>
                <c:pt idx="173">
                  <c:v>-0.15</c:v>
                </c:pt>
                <c:pt idx="174">
                  <c:v>-0.13500000000000001</c:v>
                </c:pt>
                <c:pt idx="175">
                  <c:v>-7.4999999999999997E-2</c:v>
                </c:pt>
                <c:pt idx="176" formatCode="0.000">
                  <c:v>-4.4999999999999998E-2</c:v>
                </c:pt>
                <c:pt idx="177" formatCode="0.00">
                  <c:v>4.4999999999999998E-2</c:v>
                </c:pt>
                <c:pt idx="178" formatCode="0.000">
                  <c:v>7.4999999999999997E-2</c:v>
                </c:pt>
                <c:pt idx="179">
                  <c:v>0.13500000000000001</c:v>
                </c:pt>
                <c:pt idx="180">
                  <c:v>0.15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3D54-4961-8456-7425C08B2EC1}"/>
            </c:ext>
          </c:extLst>
        </c:ser>
        <c:ser>
          <c:idx val="47"/>
          <c:order val="45"/>
          <c:tx>
            <c:strRef>
              <c:f>Sheet1!$KT$35</c:f>
              <c:strCache>
                <c:ptCount val="1"/>
                <c:pt idx="0">
                  <c:v>DIMENSION F4&amp;F5 ฐานเข็มเยื้อง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B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5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C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6-3D54-4961-8456-7425C08B2EC1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7-3D54-4961-8456-7425C08B2EC1}"/>
              </c:ext>
            </c:extLst>
          </c:dPt>
          <c:dPt>
            <c:idx val="12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D-3D54-4961-8456-7425C08B2EC1}"/>
              </c:ext>
            </c:extLst>
          </c:dPt>
          <c:dPt>
            <c:idx val="13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8-3D54-4961-8456-7425C08B2EC1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E-3D54-4961-8456-7425C08B2EC1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9-3D54-4961-8456-7425C08B2EC1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9A-3D54-4961-8456-7425C08B2EC1}"/>
              </c:ext>
            </c:extLst>
          </c:dPt>
          <c:xVal>
            <c:numRef>
              <c:f>Sheet1!$KT$38:$KT$58</c:f>
              <c:numCache>
                <c:formatCode>General</c:formatCode>
                <c:ptCount val="21"/>
                <c:pt idx="0">
                  <c:v>-1.2999999999999998</c:v>
                </c:pt>
                <c:pt idx="1">
                  <c:v>-1.2999999999999998</c:v>
                </c:pt>
                <c:pt idx="2">
                  <c:v>1.2999999999999998</c:v>
                </c:pt>
                <c:pt idx="3">
                  <c:v>1.2999999999999998</c:v>
                </c:pt>
                <c:pt idx="4" formatCode="#,##0.00">
                  <c:v>#N/A</c:v>
                </c:pt>
                <c:pt idx="5">
                  <c:v>-1.2999999999999998</c:v>
                </c:pt>
                <c:pt idx="6">
                  <c:v>0</c:v>
                </c:pt>
                <c:pt idx="7" formatCode="#,##0.00">
                  <c:v>#N/A</c:v>
                </c:pt>
                <c:pt idx="8">
                  <c:v>0</c:v>
                </c:pt>
                <c:pt idx="9">
                  <c:v>1.2999999999999998</c:v>
                </c:pt>
                <c:pt idx="10" formatCode="#,##0.00">
                  <c:v>#N/A</c:v>
                </c:pt>
                <c:pt idx="11">
                  <c:v>-1.3499999999999999</c:v>
                </c:pt>
                <c:pt idx="12">
                  <c:v>-1.9</c:v>
                </c:pt>
                <c:pt idx="13">
                  <c:v>-1.9</c:v>
                </c:pt>
                <c:pt idx="14">
                  <c:v>-1.3499999999999999</c:v>
                </c:pt>
                <c:pt idx="15" formatCode="#,##0.00">
                  <c:v>#N/A</c:v>
                </c:pt>
                <c:pt idx="16">
                  <c:v>-1.5999999999999999</c:v>
                </c:pt>
                <c:pt idx="17">
                  <c:v>-1.5999999999999999</c:v>
                </c:pt>
                <c:pt idx="18" formatCode="#,##0.00">
                  <c:v>#N/A</c:v>
                </c:pt>
                <c:pt idx="19">
                  <c:v>-1.5999999999999999</c:v>
                </c:pt>
                <c:pt idx="20">
                  <c:v>-1.5999999999999999</c:v>
                </c:pt>
              </c:numCache>
            </c:numRef>
          </c:xVal>
          <c:yVal>
            <c:numRef>
              <c:f>Sheet1!$KU$38:$KU$58</c:f>
              <c:numCache>
                <c:formatCode>General</c:formatCode>
                <c:ptCount val="21"/>
                <c:pt idx="0">
                  <c:v>1</c:v>
                </c:pt>
                <c:pt idx="1">
                  <c:v>1.5499999999999998</c:v>
                </c:pt>
                <c:pt idx="2">
                  <c:v>1.5499999999999998</c:v>
                </c:pt>
                <c:pt idx="3">
                  <c:v>1</c:v>
                </c:pt>
                <c:pt idx="4" formatCode="#,##0.00">
                  <c:v>#N/A</c:v>
                </c:pt>
                <c:pt idx="5">
                  <c:v>1.25</c:v>
                </c:pt>
                <c:pt idx="6">
                  <c:v>1.25</c:v>
                </c:pt>
                <c:pt idx="7" formatCode="#,##0.00">
                  <c:v>#N/A</c:v>
                </c:pt>
                <c:pt idx="8">
                  <c:v>1.25</c:v>
                </c:pt>
                <c:pt idx="9">
                  <c:v>1.25</c:v>
                </c:pt>
                <c:pt idx="10" formatCode="#,##0.00">
                  <c:v>#N/A</c:v>
                </c:pt>
                <c:pt idx="11">
                  <c:v>0.95</c:v>
                </c:pt>
                <c:pt idx="12">
                  <c:v>0.95</c:v>
                </c:pt>
                <c:pt idx="13">
                  <c:v>-0.95</c:v>
                </c:pt>
                <c:pt idx="14">
                  <c:v>-0.95</c:v>
                </c:pt>
                <c:pt idx="15" formatCode="#,##0.00">
                  <c:v>#N/A</c:v>
                </c:pt>
                <c:pt idx="16">
                  <c:v>0.95</c:v>
                </c:pt>
                <c:pt idx="17">
                  <c:v>0</c:v>
                </c:pt>
                <c:pt idx="18" formatCode="#,##0.00">
                  <c:v>#N/A</c:v>
                </c:pt>
                <c:pt idx="19">
                  <c:v>0</c:v>
                </c:pt>
                <c:pt idx="20">
                  <c:v>-0.95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3D54-4961-8456-7425C08B2EC1}"/>
            </c:ext>
          </c:extLst>
        </c:ser>
        <c:ser>
          <c:idx val="48"/>
          <c:order val="46"/>
          <c:tx>
            <c:strRef>
              <c:f>Sheet1!$KX$37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FA7A02-1389-4325-83A6-E4A8CB9B1D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54-4961-8456-7425C08B2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8EF42F-9674-46AE-863A-FAA612BC2D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54-4961-8456-7425C08B2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823948-448A-4B6F-91FC-FAEB963BD0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54-4961-8456-7425C08B2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54-4961-8456-7425C08B2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8A196E-35AF-43E4-A967-8E6EE6CD13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54-4961-8456-7425C08B2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329D52-1FCD-436B-915A-701333CA09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54-4961-8456-7425C08B2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C12843-1073-48DF-974B-A021504C45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Sheet1!$KV$38:$KV$44</c:f>
              <c:numCache>
                <c:formatCode>General</c:formatCode>
                <c:ptCount val="7"/>
                <c:pt idx="0">
                  <c:v>0</c:v>
                </c:pt>
                <c:pt idx="1">
                  <c:v>-0.64999999999999991</c:v>
                </c:pt>
                <c:pt idx="2">
                  <c:v>0.64999999999999991</c:v>
                </c:pt>
                <c:pt idx="3" formatCode="#,##0.00">
                  <c:v>#N/A</c:v>
                </c:pt>
                <c:pt idx="4">
                  <c:v>-1.9</c:v>
                </c:pt>
                <c:pt idx="5">
                  <c:v>-1.5999999999999999</c:v>
                </c:pt>
                <c:pt idx="6">
                  <c:v>-1.5999999999999999</c:v>
                </c:pt>
              </c:numCache>
            </c:numRef>
          </c:xVal>
          <c:yVal>
            <c:numRef>
              <c:f>Sheet1!$KW$38:$KW$44</c:f>
              <c:numCache>
                <c:formatCode>General</c:formatCode>
                <c:ptCount val="7"/>
                <c:pt idx="0">
                  <c:v>1.5499999999999998</c:v>
                </c:pt>
                <c:pt idx="1">
                  <c:v>1.25</c:v>
                </c:pt>
                <c:pt idx="2">
                  <c:v>1.25</c:v>
                </c:pt>
                <c:pt idx="3" formatCode="#,##0.00">
                  <c:v>#N/A</c:v>
                </c:pt>
                <c:pt idx="4">
                  <c:v>0</c:v>
                </c:pt>
                <c:pt idx="5">
                  <c:v>0.47499999999999998</c:v>
                </c:pt>
                <c:pt idx="6">
                  <c:v>-0.47499999999999998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Sheet1!$KX$38:$KX$44</c15:f>
                <c15:dlblRangeCache>
                  <c:ptCount val="7"/>
                  <c:pt idx="0">
                    <c:v>2.60</c:v>
                  </c:pt>
                  <c:pt idx="1">
                    <c:v>1.30</c:v>
                  </c:pt>
                  <c:pt idx="2">
                    <c:v>1.30</c:v>
                  </c:pt>
                  <c:pt idx="4">
                    <c:v>1.90</c:v>
                  </c:pt>
                  <c:pt idx="5">
                    <c:v>0.95</c:v>
                  </c:pt>
                  <c:pt idx="6">
                    <c:v>0.95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F-3D54-4961-8456-7425C08B2EC1}"/>
            </c:ext>
          </c:extLst>
        </c:ser>
        <c:ser>
          <c:idx val="49"/>
          <c:order val="47"/>
          <c:tx>
            <c:strRef>
              <c:f>Sheet1!$NS$16</c:f>
              <c:strCache>
                <c:ptCount val="1"/>
                <c:pt idx="0">
                  <c:v>CRITICAL SECTION LINE DIMENSION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A-3D54-4961-8456-7425C08B2EC1}"/>
              </c:ext>
            </c:extLst>
          </c:dPt>
          <c:dPt>
            <c:idx val="2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A8-3D54-4961-8456-7425C08B2EC1}"/>
              </c:ext>
            </c:extLst>
          </c:dPt>
          <c:dPt>
            <c:idx val="3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9-3D54-4961-8456-7425C08B2EC1}"/>
              </c:ext>
            </c:extLst>
          </c:dPt>
          <c:dPt>
            <c:idx val="6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C-3D54-4961-8456-7425C08B2EC1}"/>
              </c:ext>
            </c:extLst>
          </c:dPt>
          <c:dPt>
            <c:idx val="7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AB-3D54-4961-8456-7425C08B2EC1}"/>
              </c:ext>
            </c:extLst>
          </c:dPt>
          <c:dPt>
            <c:idx val="8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AD-3D54-4961-8456-7425C08B2EC1}"/>
              </c:ext>
            </c:extLst>
          </c:dPt>
          <c:xVal>
            <c:numRef>
              <c:f>Sheet1!$NS$18:$NS$26</c:f>
              <c:numCache>
                <c:formatCode>0.00_);[Red]\(0.00\)</c:formatCode>
                <c:ptCount val="9"/>
                <c:pt idx="0">
                  <c:v>-0.2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-0.65</c:v>
                </c:pt>
                <c:pt idx="4">
                  <c:v>#N/A</c:v>
                </c:pt>
                <c:pt idx="5">
                  <c:v>-0.2</c:v>
                </c:pt>
                <c:pt idx="6">
                  <c:v>-0.2</c:v>
                </c:pt>
                <c:pt idx="7">
                  <c:v>-0.65</c:v>
                </c:pt>
                <c:pt idx="8">
                  <c:v>-0.65</c:v>
                </c:pt>
              </c:numCache>
            </c:numRef>
          </c:xVal>
          <c:yVal>
            <c:numRef>
              <c:f>Sheet1!$NT$18:$NT$26</c:f>
              <c:numCache>
                <c:formatCode>0.00_);[Red]\(0.00\)</c:formatCode>
                <c:ptCount val="9"/>
                <c:pt idx="0">
                  <c:v>0.2</c:v>
                </c:pt>
                <c:pt idx="1">
                  <c:v>0.2</c:v>
                </c:pt>
                <c:pt idx="2">
                  <c:v>0.65</c:v>
                </c:pt>
                <c:pt idx="3">
                  <c:v>0.65</c:v>
                </c:pt>
                <c:pt idx="4">
                  <c:v>#N/A</c:v>
                </c:pt>
                <c:pt idx="5">
                  <c:v>-0.2</c:v>
                </c:pt>
                <c:pt idx="6">
                  <c:v>-1.0999999999999999</c:v>
                </c:pt>
                <c:pt idx="7">
                  <c:v>-1.0999999999999999</c:v>
                </c:pt>
                <c:pt idx="8">
                  <c:v>-0.65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3D54-4961-8456-7425C08B2EC1}"/>
            </c:ext>
          </c:extLst>
        </c:ser>
        <c:ser>
          <c:idx val="50"/>
          <c:order val="48"/>
          <c:tx>
            <c:strRef>
              <c:f>Sheet1!$NS$16</c:f>
              <c:strCache>
                <c:ptCount val="1"/>
                <c:pt idx="0">
                  <c:v>CRITICAL SECTION LINE DIMENSION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2E6F9D-1585-429A-862B-6879288E38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54-4961-8456-7425C08B2EC1}"/>
                </c:ext>
              </c:extLst>
            </c:dLbl>
            <c:dLbl>
              <c:idx val="1"/>
              <c:tx>
                <c:rich>
                  <a:bodyPr rot="-5400000" vert="horz" wrap="none" lIns="38100" tIns="19050" rIns="38100" bIns="19050" anchor="ctr">
                    <a:spAutoFit/>
                  </a:bodyPr>
                  <a:lstStyle/>
                  <a:p>
                    <a:pPr>
                      <a:defRPr sz="1050" b="1"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fld id="{6220A515-84E6-4F66-9DC2-5B87AD8199ED}" type="CELLRANGE">
                      <a:rPr lang="en-US"/>
                      <a:pPr>
                        <a:defRPr sz="1050" b="1">
                          <a:latin typeface="TH SarabunPSK" panose="020B0500040200020003" pitchFamily="34" charset="-34"/>
                          <a:cs typeface="TH SarabunPSK" panose="020B0500040200020003" pitchFamily="34" charset="-34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54-4961-8456-7425C08B2EC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Sheet1!$NU$18:$NU$19</c:f>
              <c:numCache>
                <c:formatCode>0.00_);[Red]\(0.00\)</c:formatCode>
                <c:ptCount val="2"/>
                <c:pt idx="0">
                  <c:v>1.4999999999999998</c:v>
                </c:pt>
                <c:pt idx="1">
                  <c:v>-0.42500000000000004</c:v>
                </c:pt>
              </c:numCache>
            </c:numRef>
          </c:xVal>
          <c:yVal>
            <c:numRef>
              <c:f>Sheet1!$NV$18:$NV$19</c:f>
              <c:numCache>
                <c:formatCode>0.00_);[Red]\(0.00\)</c:formatCode>
                <c:ptCount val="2"/>
                <c:pt idx="0">
                  <c:v>0.42500000000000004</c:v>
                </c:pt>
                <c:pt idx="1">
                  <c:v>-1.0999999999999999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Sheet1!$NW$18:$NW$19</c15:f>
                <c15:dlblRangeCache>
                  <c:ptCount val="2"/>
                  <c:pt idx="0">
                    <c:v>Ly=-0.45m</c:v>
                  </c:pt>
                  <c:pt idx="1">
                    <c:v>Lx=0.45m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AE-3D54-4961-8456-7425C08B2EC1}"/>
            </c:ext>
          </c:extLst>
        </c:ser>
        <c:ser>
          <c:idx val="53"/>
          <c:order val="49"/>
          <c:tx>
            <c:strRef>
              <c:f>Sheet1!$NS$45</c:f>
              <c:strCache>
                <c:ptCount val="1"/>
                <c:pt idx="0">
                  <c:v>Lx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A-0FF0-4C48-9620-0AE1CBA408FE}"/>
              </c:ext>
            </c:extLst>
          </c:dPt>
          <c:dPt>
            <c:idx val="2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8-0FF0-4C48-9620-0AE1CBA408FE}"/>
              </c:ext>
            </c:extLst>
          </c:dPt>
          <c:dPt>
            <c:idx val="3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9-0FF0-4C48-9620-0AE1CBA408FE}"/>
              </c:ext>
            </c:extLst>
          </c:dPt>
          <c:xVal>
            <c:numRef>
              <c:f>Sheet1!$NS$47:$NS$50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Sheet1!$NT$47:$NT$50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0FF0-4C48-9620-0AE1CBA408FE}"/>
            </c:ext>
          </c:extLst>
        </c:ser>
        <c:ser>
          <c:idx val="54"/>
          <c:order val="50"/>
          <c:tx>
            <c:strRef>
              <c:f>Sheet1!$NS$45</c:f>
              <c:strCache>
                <c:ptCount val="1"/>
                <c:pt idx="0">
                  <c:v>Lx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F0-4C48-9620-0AE1CBA408F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Sheet1!$NS$51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Sheet1!$NT$51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Sheet1!$NU$51</c15:f>
                <c15:dlblRangeCache>
                  <c:ptCount val="1"/>
                  <c:pt idx="0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B-0FF0-4C48-9620-0AE1CBA408FE}"/>
            </c:ext>
          </c:extLst>
        </c:ser>
        <c:ser>
          <c:idx val="55"/>
          <c:order val="51"/>
          <c:tx>
            <c:strRef>
              <c:f>Sheet1!$NW$45</c:f>
              <c:strCache>
                <c:ptCount val="1"/>
                <c:pt idx="0">
                  <c:v>Ly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8F-0FF0-4C48-9620-0AE1CBA408FE}"/>
              </c:ext>
            </c:extLst>
          </c:dPt>
          <c:dPt>
            <c:idx val="2"/>
            <c:bubble3D val="0"/>
            <c:spPr>
              <a:ln w="12700">
                <a:solidFill>
                  <a:srgbClr val="0000FF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8E-0FF0-4C48-9620-0AE1CBA408FE}"/>
              </c:ext>
            </c:extLst>
          </c:dPt>
          <c:dPt>
            <c:idx val="3"/>
            <c:bubble3D val="0"/>
            <c:spPr>
              <a:ln w="12700">
                <a:solidFill>
                  <a:srgbClr val="0000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90-0FF0-4C48-9620-0AE1CBA408FE}"/>
              </c:ext>
            </c:extLst>
          </c:dPt>
          <c:xVal>
            <c:numRef>
              <c:f>Sheet1!$NW$47:$NW$50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Sheet1!$NX$47:$NX$50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0FF0-4C48-9620-0AE1CBA408FE}"/>
            </c:ext>
          </c:extLst>
        </c:ser>
        <c:ser>
          <c:idx val="56"/>
          <c:order val="52"/>
          <c:tx>
            <c:strRef>
              <c:f>Sheet1!$NY$51</c:f>
              <c:strCache>
                <c:ptCount val="1"/>
                <c:pt idx="0">
                  <c:v>#N/A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Sheet1!$NW$51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Sheet1!$NX$51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0FF0-4C48-9620-0AE1CBA408FE}"/>
            </c:ext>
          </c:extLst>
        </c:ser>
        <c:ser>
          <c:idx val="57"/>
          <c:order val="53"/>
          <c:tx>
            <c:strRef>
              <c:f>Sheet1!$PN$10</c:f>
              <c:strCache>
                <c:ptCount val="1"/>
                <c:pt idx="0">
                  <c:v>F3</c:v>
                </c:pt>
              </c:strCache>
            </c:strRef>
          </c:tx>
          <c:spPr>
            <a:ln w="12700">
              <a:solidFill>
                <a:srgbClr val="FF6600"/>
              </a:solidFill>
              <a:prstDash val="dash"/>
            </a:ln>
          </c:spPr>
          <c:marker>
            <c:symbol val="none"/>
          </c:marker>
          <c:xVal>
            <c:numRef>
              <c:f>Sheet1!$PT$14:$PT$374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Sheet1!$PU$14:$PU$374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DB4E-4E6C-B14C-867E5FEF42EA}"/>
            </c:ext>
          </c:extLst>
        </c:ser>
        <c:ser>
          <c:idx val="58"/>
          <c:order val="54"/>
          <c:tx>
            <c:strRef>
              <c:f>Sheet1!$RA$10</c:f>
              <c:strCache>
                <c:ptCount val="1"/>
                <c:pt idx="0">
                  <c:v>PUNCHING SHEAR LINE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dash"/>
            </a:ln>
          </c:spPr>
          <c:marker>
            <c:symbol val="none"/>
          </c:marker>
          <c:xVal>
            <c:numRef>
              <c:f>Sheet1!$RA$12:$RA$16</c:f>
              <c:numCache>
                <c:formatCode>General</c:formatCode>
                <c:ptCount val="5"/>
                <c:pt idx="0">
                  <c:v>-0.42749999999999999</c:v>
                </c:pt>
                <c:pt idx="1">
                  <c:v>0.42749999999999999</c:v>
                </c:pt>
                <c:pt idx="2">
                  <c:v>0.42749999999999999</c:v>
                </c:pt>
                <c:pt idx="3">
                  <c:v>-0.42749999999999999</c:v>
                </c:pt>
                <c:pt idx="4">
                  <c:v>-0.42749999999999999</c:v>
                </c:pt>
              </c:numCache>
            </c:numRef>
          </c:xVal>
          <c:yVal>
            <c:numRef>
              <c:f>Sheet1!$RB$12:$RB$16</c:f>
              <c:numCache>
                <c:formatCode>General</c:formatCode>
                <c:ptCount val="5"/>
                <c:pt idx="0">
                  <c:v>0.42749999999999999</c:v>
                </c:pt>
                <c:pt idx="1">
                  <c:v>0.42749999999999999</c:v>
                </c:pt>
                <c:pt idx="2">
                  <c:v>-0.42749999999999999</c:v>
                </c:pt>
                <c:pt idx="3">
                  <c:v>-0.42749999999999999</c:v>
                </c:pt>
                <c:pt idx="4">
                  <c:v>0.42749999999999999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DB4E-4E6C-B14C-867E5FEF42EA}"/>
            </c:ext>
          </c:extLst>
        </c:ser>
        <c:ser>
          <c:idx val="59"/>
          <c:order val="55"/>
          <c:tx>
            <c:strRef>
              <c:f>Sheet1!$QA$19</c:f>
              <c:strCache>
                <c:ptCount val="1"/>
                <c:pt idx="0">
                  <c:v>BEAM SHEAR LINE X-AXIS</c:v>
                </c:pt>
              </c:strCache>
            </c:strRef>
          </c:tx>
          <c:spPr>
            <a:ln w="19050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Sheet1!$QA$21:$QA$25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Sheet1!$QB$21:$QB$25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DB4E-4E6C-B14C-867E5FEF42EA}"/>
            </c:ext>
          </c:extLst>
        </c:ser>
        <c:ser>
          <c:idx val="60"/>
          <c:order val="56"/>
          <c:tx>
            <c:strRef>
              <c:f>Sheet1!$QM$19</c:f>
              <c:strCache>
                <c:ptCount val="1"/>
                <c:pt idx="0">
                  <c:v>BEAM SHEAR LINEY-AXIS</c:v>
                </c:pt>
              </c:strCache>
            </c:strRef>
          </c:tx>
          <c:spPr>
            <a:ln w="1587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Sheet1!$QM$21:$QM$25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Sheet1!$QN$21:$QN$25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DB4E-4E6C-B14C-867E5FEF42EA}"/>
            </c:ext>
          </c:extLst>
        </c:ser>
        <c:ser>
          <c:idx val="61"/>
          <c:order val="57"/>
          <c:tx>
            <c:strRef>
              <c:f>Sheet1!$NL$10</c:f>
              <c:strCache>
                <c:ptCount val="1"/>
                <c:pt idx="0">
                  <c:v>NEW CG</c:v>
                </c:pt>
              </c:strCache>
            </c:strRef>
          </c:tx>
          <c:marker>
            <c:symbol val="none"/>
          </c:marker>
          <c:xVal>
            <c:numRef>
              <c:f>Sheet1!$NL$12</c:f>
              <c:numCache>
                <c:formatCode>#,##0.000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Sheet1!$NL$11</c:f>
              <c:numCache>
                <c:formatCode>#,##0.0000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0A98-4EC5-B536-44F7AABF541D}"/>
            </c:ext>
          </c:extLst>
        </c:ser>
        <c:ser>
          <c:idx val="62"/>
          <c:order val="58"/>
          <c:tx>
            <c:strRef>
              <c:f>Sheet1!$NL$10</c:f>
              <c:strCache>
                <c:ptCount val="1"/>
                <c:pt idx="0">
                  <c:v>NEW CG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93-8F26-4A47-8951-5580868786ED}"/>
              </c:ext>
            </c:extLst>
          </c:dPt>
          <c:xVal>
            <c:numRef>
              <c:f>Sheet1!$NL$12</c:f>
              <c:numCache>
                <c:formatCode>#,##0.000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Sheet1!$NL$11</c:f>
              <c:numCache>
                <c:formatCode>#,##0.0000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0A98-4EC5-B536-44F7AABF541D}"/>
            </c:ext>
          </c:extLst>
        </c:ser>
        <c:ser>
          <c:idx val="63"/>
          <c:order val="59"/>
          <c:tx>
            <c:strRef>
              <c:f>Sheet1!$SB$79</c:f>
              <c:strCache>
                <c:ptCount val="1"/>
                <c:pt idx="0">
                  <c:v>↑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3A-4EEF-8C19-25E56BFB8F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3A-4EEF-8C19-25E56BFB8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3200" b="0">
                    <a:solidFill>
                      <a:srgbClr val="00B05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Sheet1!$SD$80:$SD$81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Sheet1!$SE$80:$SE$81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Sheet1!$SF$80:$SF$83</c15:f>
                <c15:dlblRangeCache>
                  <c:ptCount val="4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5-9A3A-4EEF-8C19-25E56BFB8F0F}"/>
            </c:ext>
          </c:extLst>
        </c:ser>
        <c:ser>
          <c:idx val="64"/>
          <c:order val="60"/>
          <c:tx>
            <c:strRef>
              <c:f>Sheet1!$SB$79</c:f>
              <c:strCache>
                <c:ptCount val="1"/>
                <c:pt idx="0">
                  <c:v>↑</c:v>
                </c:pt>
              </c:strCache>
            </c:strRef>
          </c:tx>
          <c:spPr>
            <a:ln w="3810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3A-4EEF-8C19-25E56BFB8F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3A-4EEF-8C19-25E56BFB8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32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Sheet1!$SD$82:$SD$83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Sheet1!$SE$82:$SE$83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Sheet1!$SF$82:$SF$83</c15:f>
                <c15:dlblRangeCache>
                  <c:ptCount val="2"/>
                  <c:pt idx="0">
                    <c:v>#N/A</c:v>
                  </c:pt>
                  <c:pt idx="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A-9A3A-4EEF-8C19-25E56BFB8F0F}"/>
            </c:ext>
          </c:extLst>
        </c:ser>
        <c:ser>
          <c:idx val="4"/>
          <c:order val="62"/>
          <c:tx>
            <c:strRef>
              <c:f>Sheet1!$SF$26</c:f>
              <c:strCache>
                <c:ptCount val="1"/>
                <c:pt idx="0">
                  <c:v>Label เข็ม False</c:v>
                </c:pt>
              </c:strCache>
            </c:strRef>
          </c:tx>
          <c:spPr>
            <a:ln w="19050">
              <a:solidFill>
                <a:srgbClr val="FF0000"/>
              </a:solidFill>
              <a:headEnd type="triangle" w="med" len="lg"/>
            </a:ln>
          </c:spPr>
          <c:marker>
            <c:symbol val="none"/>
          </c:marker>
          <c:xVal>
            <c:numRef>
              <c:f>Sheet1!$SF$28:$SF$47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-0.65</c:v>
                </c:pt>
                <c:pt idx="5">
                  <c:v>-0.4</c:v>
                </c:pt>
                <c:pt idx="6">
                  <c:v>-0.15000000000000002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0.65</c:v>
                </c:pt>
                <c:pt idx="13">
                  <c:v>0.9</c:v>
                </c:pt>
                <c:pt idx="14">
                  <c:v>1.1499999999999999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Sheet1!$SG$28:$SG$47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0.65</c:v>
                </c:pt>
                <c:pt idx="5">
                  <c:v>0.9</c:v>
                </c:pt>
                <c:pt idx="6">
                  <c:v>0.9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0.65</c:v>
                </c:pt>
                <c:pt idx="13">
                  <c:v>0.9</c:v>
                </c:pt>
                <c:pt idx="14">
                  <c:v>0.9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29B8-4F84-8AD5-3E390795484B}"/>
            </c:ext>
          </c:extLst>
        </c:ser>
        <c:ser>
          <c:idx val="51"/>
          <c:order val="63"/>
          <c:tx>
            <c:strRef>
              <c:f>Sheet1!$SF$26</c:f>
              <c:strCache>
                <c:ptCount val="1"/>
                <c:pt idx="0">
                  <c:v>Label เข็ม False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B8-4F84-8AD5-3E390795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B8-4F84-8AD5-3E390795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B8-4F84-8AD5-3E390795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B8-4F84-8AD5-3E390795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3D1C00-E968-44E6-A777-51F4794D2F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B8-4F84-8AD5-3E390795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B8-4F84-8AD5-3E390795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B8-4F84-8AD5-3E390795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B8-4F84-8AD5-3E390795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B8-4F84-8AD5-3E39079548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B8-4F84-8AD5-3E390795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B8-4F84-8AD5-3E39079548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B8-4F84-8AD5-3E39079548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8CEC7A-941F-443D-9E6B-7F7E87A851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B8-4F84-8AD5-3E39079548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B8-4F84-8AD5-3E390795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B8-4F84-8AD5-3E39079548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B8-4F84-8AD5-3E39079548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B8-4F84-8AD5-3E390795484B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Sheet1!$SH$30:$SH$46</c:f>
              <c:numCache>
                <c:formatCode>General</c:formatCode>
                <c:ptCount val="17"/>
                <c:pt idx="0">
                  <c:v>#N/A</c:v>
                </c:pt>
                <c:pt idx="4">
                  <c:v>-0.25</c:v>
                </c:pt>
                <c:pt idx="8">
                  <c:v>#N/A</c:v>
                </c:pt>
                <c:pt idx="12">
                  <c:v>1.0499999999999998</c:v>
                </c:pt>
                <c:pt idx="16">
                  <c:v>#N/A</c:v>
                </c:pt>
              </c:numCache>
            </c:numRef>
          </c:xVal>
          <c:yVal>
            <c:numRef>
              <c:f>Sheet1!$SI$30:$SI$46</c:f>
              <c:numCache>
                <c:formatCode>General</c:formatCode>
                <c:ptCount val="17"/>
                <c:pt idx="0">
                  <c:v>#N/A</c:v>
                </c:pt>
                <c:pt idx="4">
                  <c:v>0.9</c:v>
                </c:pt>
                <c:pt idx="8">
                  <c:v>#N/A</c:v>
                </c:pt>
                <c:pt idx="12">
                  <c:v>0.9</c:v>
                </c:pt>
                <c:pt idx="1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Sheet1!$SJ$30:$SJ$46</c15:f>
                <c15:dlblRangeCache>
                  <c:ptCount val="17"/>
                  <c:pt idx="0">
                    <c:v>FALSE</c:v>
                  </c:pt>
                  <c:pt idx="4">
                    <c:v>FALSE</c:v>
                  </c:pt>
                  <c:pt idx="8">
                    <c:v>FALSE</c:v>
                  </c:pt>
                  <c:pt idx="12">
                    <c:v>FALSE</c:v>
                  </c:pt>
                  <c:pt idx="16">
                    <c:v>FALSE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7-29B8-4F84-8AD5-3E390795484B}"/>
            </c:ext>
          </c:extLst>
        </c:ser>
        <c:ser>
          <c:idx val="52"/>
          <c:order val="64"/>
          <c:tx>
            <c:strRef>
              <c:f>Sheet1!$BC$106</c:f>
              <c:strCache>
                <c:ptCount val="1"/>
                <c:pt idx="0">
                  <c:v>NEW CG. PILE GROUP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9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Sheet1!$BD$110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Sheet1!$BE$110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25BB-460A-8A5E-1A68EC0000A7}"/>
            </c:ext>
          </c:extLst>
        </c:ser>
        <c:ser>
          <c:idx val="65"/>
          <c:order val="65"/>
          <c:tx>
            <c:strRef>
              <c:f>Sheet1!$BC$106:$BC$107</c:f>
              <c:strCache>
                <c:ptCount val="2"/>
                <c:pt idx="0">
                  <c:v>NEW CG. PILE GROUP</c:v>
                </c:pt>
                <c:pt idx="1">
                  <c:v>TRUE</c:v>
                </c:pt>
              </c:strCache>
            </c:strRef>
          </c:tx>
          <c:spPr>
            <a:ln w="38100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Sheet1!$BD$110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Sheet1!$BE$110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25BB-460A-8A5E-1A68EC000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377240"/>
        <c:axId val="85439524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61"/>
                <c:tx>
                  <c:strRef>
                    <c:extLst>
                      <c:ext uri="{02D57815-91ED-43cb-92C2-25804820EDAC}">
                        <c15:formulaRef>
                          <c15:sqref>Sheet1!$DQ$13</c15:sqref>
                        </c15:formulaRef>
                      </c:ext>
                    </c:extLst>
                    <c:strCache>
                      <c:ptCount val="1"/>
                      <c:pt idx="0">
                        <c:v>Label</c:v>
                      </c:pt>
                    </c:strCache>
                  </c:strRef>
                </c:tx>
                <c:marker>
                  <c:symbol val="circle"/>
                  <c:size val="20"/>
                  <c:spPr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dPt>
                  <c:idx val="1"/>
                  <c:bubble3D val="0"/>
                  <c:spPr>
                    <a:ln>
                      <a:noFill/>
                    </a:ln>
                  </c:spPr>
                  <c:extLst>
                    <c:ext xmlns:c16="http://schemas.microsoft.com/office/drawing/2014/chart" uri="{C3380CC4-5D6E-409C-BE32-E72D297353CC}">
                      <c16:uniqueId val="{00000096-D663-49FB-ACE2-FC5216B8576C}"/>
                    </c:ext>
                  </c:extLst>
                </c:dPt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0F89B308-7FF2-4E91-8015-E5324EE7046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dLblPos val="ct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97-D663-49FB-ACE2-FC5216B8576C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678F71C5-977D-4621-9836-BE5043EC4C1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dLblPos val="ct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96-D663-49FB-ACE2-FC5216B8576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DataLabelsRange val="1"/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Sheet1!$DQ$14:$DQ$15</c15:sqref>
                        </c15:formulaRef>
                      </c:ext>
                    </c:extLst>
                    <c:numCache>
                      <c:formatCode>#,##0.000"  E"</c:formatCode>
                      <c:ptCount val="2"/>
                      <c:pt idx="0" formatCode="#,##0.0">
                        <c:v>-1.6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Sheet1!$DR$14:$DR$15</c15:sqref>
                        </c15:formulaRef>
                      </c:ext>
                    </c:extLst>
                    <c:numCache>
                      <c:formatCode>#,##0.00</c:formatCode>
                      <c:ptCount val="2"/>
                      <c:pt idx="0" formatCode="#,##0.000&quot;  N&quot;">
                        <c:v>0</c:v>
                      </c:pt>
                      <c:pt idx="1">
                        <c:v>1.6</c:v>
                      </c:pt>
                    </c:numCache>
                  </c:numRef>
                </c:yVal>
                <c:smooth val="0"/>
                <c:extLst>
                  <c:ext uri="{02D57815-91ED-43cb-92C2-25804820EDAC}">
                    <c15:datalabelsRange>
                      <c15:f>Sheet1!$DS$14:$DS$15</c15:f>
                      <c15:dlblRangeCache>
                        <c:ptCount val="2"/>
                        <c:pt idx="0">
                          <c:v>X</c:v>
                        </c:pt>
                        <c:pt idx="1">
                          <c:v>Y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95-D663-49FB-ACE2-FC5216B8576C}"/>
                  </c:ext>
                </c:extLst>
              </c15:ser>
            </c15:filteredScatterSeries>
          </c:ext>
        </c:extLst>
      </c:scatterChart>
      <c:valAx>
        <c:axId val="854377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/>
              </a:solidFill>
              <a:prstDash val="lgDash"/>
              <a:round/>
            </a:ln>
            <a:effectLst/>
          </c:spPr>
        </c:majorGridlines>
        <c:numFmt formatCode="#,##0.0" sourceLinked="1"/>
        <c:majorTickMark val="out"/>
        <c:minorTickMark val="none"/>
        <c:tickLblPos val="nextTo"/>
        <c:crossAx val="854395240"/>
        <c:crosses val="autoZero"/>
        <c:crossBetween val="midCat"/>
        <c:majorUnit val="0.25"/>
      </c:valAx>
      <c:valAx>
        <c:axId val="8543952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/>
              </a:solidFill>
              <a:prstDash val="dash"/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crossAx val="8543772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00B050"/>
              </a:solidFill>
              <a:tailEnd type="triangle"/>
            </a:ln>
          </c:spPr>
          <c:marker>
            <c:symbol val="none"/>
          </c:marker>
          <c:xVal>
            <c:numRef>
              <c:f>Sheet1!$BK$20:$BK$24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Sheet1!$BL$20:$BL$24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F-4D43-B970-A9CAD05716D0}"/>
            </c:ext>
          </c:extLst>
        </c:ser>
        <c:ser>
          <c:idx val="1"/>
          <c:order val="1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FF0000"/>
              </a:solidFill>
              <a:headEnd type="none"/>
              <a:tailEnd type="triangle"/>
            </a:ln>
          </c:spPr>
          <c:marker>
            <c:symbol val="none"/>
          </c:marker>
          <c:xVal>
            <c:numRef>
              <c:f>Sheet1!$BK$27:$BK$31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1</c:v>
                </c:pt>
              </c:numCache>
            </c:numRef>
          </c:xVal>
          <c:yVal>
            <c:numRef>
              <c:f>Sheet1!$BL$27:$BL$31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6F-4D43-B970-A9CAD05716D0}"/>
            </c:ext>
          </c:extLst>
        </c:ser>
        <c:ser>
          <c:idx val="2"/>
          <c:order val="2"/>
          <c:tx>
            <c:strRef>
              <c:f>Sheet1!$BM$33:$BM$34</c:f>
              <c:strCache>
                <c:ptCount val="2"/>
                <c:pt idx="0">
                  <c:v>E,X</c:v>
                </c:pt>
                <c:pt idx="1">
                  <c:v>N,Y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1DC8E0-10E7-4ECE-B52B-E679BE740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38CA-4A53-80A9-9434162651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D3717F-7A4E-44AD-A08F-8951EB29DA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8CA-4A53-80A9-9434162651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Sheet1!$BK$33:$BK$34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Sheet1!$BL$33:$BL$34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Sheet1!$BM$33:$BM$34</c15:f>
                <c15:dlblRangeCache>
                  <c:ptCount val="2"/>
                  <c:pt idx="0">
                    <c:v>E,X</c:v>
                  </c:pt>
                  <c:pt idx="1">
                    <c:v>N,Y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66F-4D43-B970-A9CAD05716D0}"/>
            </c:ext>
          </c:extLst>
        </c:ser>
        <c:ser>
          <c:idx val="3"/>
          <c:order val="3"/>
          <c:tx>
            <c:strRef>
              <c:f>Sheet1!$BN$7:$BN$8</c:f>
              <c:strCache>
                <c:ptCount val="2"/>
                <c:pt idx="0">
                  <c:v>0</c:v>
                </c:pt>
                <c:pt idx="1">
                  <c:v>0</c:v>
                </c:pt>
              </c:strCache>
            </c:strRef>
          </c:tx>
          <c:marker>
            <c:symbol val="square"/>
            <c:size val="7"/>
            <c:spPr>
              <a:noFill/>
              <a:ln w="19050">
                <a:solidFill>
                  <a:srgbClr val="0000FF"/>
                </a:solidFill>
              </a:ln>
            </c:spPr>
          </c:marker>
          <c:xVal>
            <c:numRef>
              <c:f>Sheet1!$BN$7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Sheet1!$BN$8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6F-4D43-B970-A9CAD0571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596320"/>
        <c:axId val="1163599200"/>
      </c:scatterChart>
      <c:valAx>
        <c:axId val="1163596320"/>
        <c:scaling>
          <c:orientation val="minMax"/>
          <c:max val="1.2"/>
          <c:min val="-0.5"/>
        </c:scaling>
        <c:delete val="1"/>
        <c:axPos val="b"/>
        <c:numFmt formatCode="General" sourceLinked="1"/>
        <c:majorTickMark val="out"/>
        <c:minorTickMark val="none"/>
        <c:tickLblPos val="nextTo"/>
        <c:crossAx val="1163599200"/>
        <c:crosses val="autoZero"/>
        <c:crossBetween val="midCat"/>
      </c:valAx>
      <c:valAx>
        <c:axId val="1163599200"/>
        <c:scaling>
          <c:orientation val="minMax"/>
          <c:max val="1.2"/>
          <c:min val="-0.5"/>
        </c:scaling>
        <c:delete val="1"/>
        <c:axPos val="l"/>
        <c:numFmt formatCode="General" sourceLinked="1"/>
        <c:majorTickMark val="out"/>
        <c:minorTickMark val="none"/>
        <c:tickLblPos val="nextTo"/>
        <c:crossAx val="11635963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Sheet1!$EE$59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Sheet1!$EE$61:$EE$72</c:f>
              <c:numCache>
                <c:formatCode>General</c:formatCode>
                <c:ptCount val="12"/>
                <c:pt idx="0">
                  <c:v>-0.95</c:v>
                </c:pt>
                <c:pt idx="1">
                  <c:v>-0.95</c:v>
                </c:pt>
                <c:pt idx="2">
                  <c:v>0.95</c:v>
                </c:pt>
                <c:pt idx="3">
                  <c:v>0.95</c:v>
                </c:pt>
                <c:pt idx="4">
                  <c:v>#N/A</c:v>
                </c:pt>
                <c:pt idx="5">
                  <c:v>-0.95</c:v>
                </c:pt>
                <c:pt idx="6">
                  <c:v>-0.2</c:v>
                </c:pt>
                <c:pt idx="7">
                  <c:v>-0.2</c:v>
                </c:pt>
                <c:pt idx="8">
                  <c:v>#N/A</c:v>
                </c:pt>
                <c:pt idx="9">
                  <c:v>0.95</c:v>
                </c:pt>
                <c:pt idx="10">
                  <c:v>0.2</c:v>
                </c:pt>
                <c:pt idx="11">
                  <c:v>0.2</c:v>
                </c:pt>
              </c:numCache>
            </c:numRef>
          </c:xVal>
          <c:yVal>
            <c:numRef>
              <c:f>Sheet1!$EF$61:$EF$72</c:f>
              <c:numCache>
                <c:formatCode>General</c:formatCode>
                <c:ptCount val="12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#N/A</c:v>
                </c:pt>
                <c:pt idx="5">
                  <c:v>0.6</c:v>
                </c:pt>
                <c:pt idx="6">
                  <c:v>0.6</c:v>
                </c:pt>
                <c:pt idx="7">
                  <c:v>1.1000000000000001</c:v>
                </c:pt>
                <c:pt idx="8">
                  <c:v>#N/A</c:v>
                </c:pt>
                <c:pt idx="9">
                  <c:v>0.6</c:v>
                </c:pt>
                <c:pt idx="10">
                  <c:v>0.6</c:v>
                </c:pt>
                <c:pt idx="11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72-4649-8D2A-17BBAC76D0AF}"/>
            </c:ext>
          </c:extLst>
        </c:ser>
        <c:ser>
          <c:idx val="1"/>
          <c:order val="1"/>
          <c:tx>
            <c:strRef>
              <c:f>Sheet1!$EG$59</c:f>
              <c:strCache>
                <c:ptCount val="1"/>
                <c:pt idx="0">
                  <c:v>เสาเข็ม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Sheet1!$EG$61:$EG$69</c:f>
              <c:numCache>
                <c:formatCode>General</c:formatCode>
                <c:ptCount val="9"/>
                <c:pt idx="0">
                  <c:v>-0.8</c:v>
                </c:pt>
                <c:pt idx="1">
                  <c:v>-0.8</c:v>
                </c:pt>
                <c:pt idx="2">
                  <c:v>-0.5</c:v>
                </c:pt>
                <c:pt idx="3">
                  <c:v>-0.5</c:v>
                </c:pt>
                <c:pt idx="4">
                  <c:v>#N/A</c:v>
                </c:pt>
                <c:pt idx="5">
                  <c:v>0.5</c:v>
                </c:pt>
                <c:pt idx="6">
                  <c:v>0.5</c:v>
                </c:pt>
                <c:pt idx="7">
                  <c:v>0.8</c:v>
                </c:pt>
                <c:pt idx="8">
                  <c:v>0.8</c:v>
                </c:pt>
              </c:numCache>
            </c:numRef>
          </c:xVal>
          <c:yVal>
            <c:numRef>
              <c:f>Sheet1!$EH$61:$EH$69</c:f>
              <c:numCache>
                <c:formatCode>General</c:formatCode>
                <c:ptCount val="9"/>
                <c:pt idx="0">
                  <c:v>-0.5</c:v>
                </c:pt>
                <c:pt idx="1">
                  <c:v>0.1</c:v>
                </c:pt>
                <c:pt idx="2">
                  <c:v>0.1</c:v>
                </c:pt>
                <c:pt idx="3">
                  <c:v>-0.5</c:v>
                </c:pt>
                <c:pt idx="4">
                  <c:v>#N/A</c:v>
                </c:pt>
                <c:pt idx="5">
                  <c:v>-0.5</c:v>
                </c:pt>
                <c:pt idx="6">
                  <c:v>0.1</c:v>
                </c:pt>
                <c:pt idx="7">
                  <c:v>0.1</c:v>
                </c:pt>
                <c:pt idx="8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72-4649-8D2A-17BBAC76D0AF}"/>
            </c:ext>
          </c:extLst>
        </c:ser>
        <c:ser>
          <c:idx val="2"/>
          <c:order val="2"/>
          <c:tx>
            <c:strRef>
              <c:f>Sheet1!$EJ$59</c:f>
              <c:strCache>
                <c:ptCount val="1"/>
                <c:pt idx="0">
                  <c:v>เหล็กเสริม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Sheet1!$EJ$61:$EJ$64</c:f>
              <c:numCache>
                <c:formatCode>General</c:formatCode>
                <c:ptCount val="4"/>
                <c:pt idx="0">
                  <c:v>-0.875</c:v>
                </c:pt>
                <c:pt idx="1">
                  <c:v>-0.875</c:v>
                </c:pt>
                <c:pt idx="2">
                  <c:v>0.875</c:v>
                </c:pt>
                <c:pt idx="3">
                  <c:v>0.875</c:v>
                </c:pt>
              </c:numCache>
            </c:numRef>
          </c:xVal>
          <c:yVal>
            <c:numRef>
              <c:f>Sheet1!$EK$61:$EK$64</c:f>
              <c:numCache>
                <c:formatCode>General</c:formatCode>
                <c:ptCount val="4"/>
                <c:pt idx="0">
                  <c:v>0.52500000000000002</c:v>
                </c:pt>
                <c:pt idx="1">
                  <c:v>0.1</c:v>
                </c:pt>
                <c:pt idx="2">
                  <c:v>0.1</c:v>
                </c:pt>
                <c:pt idx="3">
                  <c:v>0.52500000000000002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72-4649-8D2A-17BBAC76D0AF}"/>
            </c:ext>
          </c:extLst>
        </c:ser>
        <c:ser>
          <c:idx val="3"/>
          <c:order val="3"/>
          <c:tx>
            <c:strRef>
              <c:f>Sheet1!$EJ$59</c:f>
              <c:strCache>
                <c:ptCount val="1"/>
                <c:pt idx="0">
                  <c:v>เหล็กเสริม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66FF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Sheet1!$EK$72:$EK$121</c:f>
              <c:numCache>
                <c:formatCode>General</c:formatCode>
                <c:ptCount val="50"/>
                <c:pt idx="0">
                  <c:v>-0.85499999999999998</c:v>
                </c:pt>
                <c:pt idx="1">
                  <c:v>-0.6119444444444444</c:v>
                </c:pt>
                <c:pt idx="2">
                  <c:v>-0.36888888888888882</c:v>
                </c:pt>
                <c:pt idx="3">
                  <c:v>-0.12583333333333327</c:v>
                </c:pt>
                <c:pt idx="4">
                  <c:v>0.11722222222222228</c:v>
                </c:pt>
                <c:pt idx="5">
                  <c:v>0.36027777777777781</c:v>
                </c:pt>
                <c:pt idx="6">
                  <c:v>0.60333333333333339</c:v>
                </c:pt>
                <c:pt idx="7">
                  <c:v>0.84638888888888897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Sheet1!$EL$72:$EL$121</c:f>
              <c:numCache>
                <c:formatCode>General</c:formatCode>
                <c:ptCount val="50"/>
                <c:pt idx="0">
                  <c:v>0.12000000000000001</c:v>
                </c:pt>
                <c:pt idx="1">
                  <c:v>0.12000000000000001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0.12000000000000001</c:v>
                </c:pt>
                <c:pt idx="5">
                  <c:v>0.12000000000000001</c:v>
                </c:pt>
                <c:pt idx="6">
                  <c:v>0.12000000000000001</c:v>
                </c:pt>
                <c:pt idx="7">
                  <c:v>0.12000000000000001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72-4649-8D2A-17BBAC76D0AF}"/>
            </c:ext>
          </c:extLst>
        </c:ser>
        <c:ser>
          <c:idx val="4"/>
          <c:order val="4"/>
          <c:tx>
            <c:strRef>
              <c:f>Sheet1!$EN$70</c:f>
              <c:strCache>
                <c:ptCount val="1"/>
                <c:pt idx="0">
                  <c:v>เหล็กเสาตอม่อ</c:v>
                </c:pt>
              </c:strCache>
            </c:strRef>
          </c:tx>
          <c:spPr>
            <a:ln w="2540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Sheet1!$EN$72:$EN$78</c:f>
              <c:numCache>
                <c:formatCode>General</c:formatCode>
                <c:ptCount val="7"/>
                <c:pt idx="0">
                  <c:v>-0.375</c:v>
                </c:pt>
                <c:pt idx="1">
                  <c:v>-0.125</c:v>
                </c:pt>
                <c:pt idx="2">
                  <c:v>-0.125</c:v>
                </c:pt>
                <c:pt idx="3">
                  <c:v>#N/A</c:v>
                </c:pt>
                <c:pt idx="4">
                  <c:v>0.375</c:v>
                </c:pt>
                <c:pt idx="5">
                  <c:v>0.125</c:v>
                </c:pt>
                <c:pt idx="6">
                  <c:v>0.125</c:v>
                </c:pt>
              </c:numCache>
            </c:numRef>
          </c:xVal>
          <c:yVal>
            <c:numRef>
              <c:f>Sheet1!$EO$72:$EO$78</c:f>
              <c:numCache>
                <c:formatCode>General</c:formatCode>
                <c:ptCount val="7"/>
                <c:pt idx="0">
                  <c:v>0.16</c:v>
                </c:pt>
                <c:pt idx="1">
                  <c:v>0.16</c:v>
                </c:pt>
                <c:pt idx="2">
                  <c:v>1.1000000000000001</c:v>
                </c:pt>
                <c:pt idx="3">
                  <c:v>#N/A</c:v>
                </c:pt>
                <c:pt idx="4">
                  <c:v>0.16</c:v>
                </c:pt>
                <c:pt idx="5">
                  <c:v>0.16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72-4649-8D2A-17BBAC76D0AF}"/>
            </c:ext>
          </c:extLst>
        </c:ser>
        <c:ser>
          <c:idx val="5"/>
          <c:order val="5"/>
          <c:tx>
            <c:strRef>
              <c:f>Sheet1!$EN$80</c:f>
              <c:strCache>
                <c:ptCount val="1"/>
                <c:pt idx="0">
                  <c:v>เหล็กปลอกเสา</c:v>
                </c:pt>
              </c:strCache>
            </c:strRef>
          </c:tx>
          <c:spPr>
            <a:ln w="254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Sheet1!$EN$82:$EN$95</c:f>
              <c:numCache>
                <c:formatCode>General</c:formatCode>
                <c:ptCount val="14"/>
                <c:pt idx="0">
                  <c:v>-0.13400000000000001</c:v>
                </c:pt>
                <c:pt idx="1">
                  <c:v>0.13400000000000001</c:v>
                </c:pt>
                <c:pt idx="2">
                  <c:v>#N/A</c:v>
                </c:pt>
                <c:pt idx="3">
                  <c:v>-0.13400000000000001</c:v>
                </c:pt>
                <c:pt idx="4">
                  <c:v>0.13400000000000001</c:v>
                </c:pt>
                <c:pt idx="5">
                  <c:v>#N/A</c:v>
                </c:pt>
                <c:pt idx="6">
                  <c:v>-0.13400000000000001</c:v>
                </c:pt>
                <c:pt idx="7">
                  <c:v>0.13400000000000001</c:v>
                </c:pt>
                <c:pt idx="8">
                  <c:v>#N/A</c:v>
                </c:pt>
                <c:pt idx="9">
                  <c:v>-0.13400000000000001</c:v>
                </c:pt>
                <c:pt idx="10">
                  <c:v>0.13400000000000001</c:v>
                </c:pt>
                <c:pt idx="11">
                  <c:v>#N/A</c:v>
                </c:pt>
                <c:pt idx="12">
                  <c:v>-0.13400000000000001</c:v>
                </c:pt>
                <c:pt idx="13">
                  <c:v>0.13400000000000001</c:v>
                </c:pt>
              </c:numCache>
            </c:numRef>
          </c:xVal>
          <c:yVal>
            <c:numRef>
              <c:f>Sheet1!$EO$82:$EO$95</c:f>
              <c:numCache>
                <c:formatCode>General</c:formatCode>
                <c:ptCount val="14"/>
                <c:pt idx="0">
                  <c:v>0.185</c:v>
                </c:pt>
                <c:pt idx="1">
                  <c:v>0.185</c:v>
                </c:pt>
                <c:pt idx="2">
                  <c:v>#N/A</c:v>
                </c:pt>
                <c:pt idx="3">
                  <c:v>0.38500000000000001</c:v>
                </c:pt>
                <c:pt idx="4">
                  <c:v>0.38500000000000001</c:v>
                </c:pt>
                <c:pt idx="5">
                  <c:v>#N/A</c:v>
                </c:pt>
                <c:pt idx="6">
                  <c:v>0.58499999999999996</c:v>
                </c:pt>
                <c:pt idx="7">
                  <c:v>0.58499999999999996</c:v>
                </c:pt>
                <c:pt idx="8">
                  <c:v>#N/A</c:v>
                </c:pt>
                <c:pt idx="9">
                  <c:v>0.78499999999999992</c:v>
                </c:pt>
                <c:pt idx="10">
                  <c:v>0.78499999999999992</c:v>
                </c:pt>
                <c:pt idx="11">
                  <c:v>#N/A</c:v>
                </c:pt>
                <c:pt idx="12">
                  <c:v>0.98499999999999988</c:v>
                </c:pt>
                <c:pt idx="13">
                  <c:v>0.98499999999999988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72-4649-8D2A-17BBAC76D0AF}"/>
            </c:ext>
          </c:extLst>
        </c:ser>
        <c:ser>
          <c:idx val="6"/>
          <c:order val="6"/>
          <c:tx>
            <c:strRef>
              <c:f>Sheet1!$EN$98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7-BF72-4649-8D2A-17BBAC76D0AF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09-BF72-4649-8D2A-17BBAC76D0AF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B-BF72-4649-8D2A-17BBAC76D0AF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0D-BF72-4649-8D2A-17BBAC76D0AF}"/>
              </c:ext>
            </c:extLst>
          </c:dPt>
          <c:dPt>
            <c:idx val="10"/>
            <c:bubble3D val="0"/>
            <c:spPr>
              <a:ln w="12700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0F-BF72-4649-8D2A-17BBAC76D0AF}"/>
              </c:ext>
            </c:extLst>
          </c:dPt>
          <c:xVal>
            <c:numRef>
              <c:f>Sheet1!$EN$100:$EN$110</c:f>
              <c:numCache>
                <c:formatCode>General</c:formatCode>
                <c:ptCount val="11"/>
                <c:pt idx="0">
                  <c:v>1</c:v>
                </c:pt>
                <c:pt idx="1">
                  <c:v>1.25</c:v>
                </c:pt>
                <c:pt idx="2">
                  <c:v>1.25</c:v>
                </c:pt>
                <c:pt idx="3">
                  <c:v>1</c:v>
                </c:pt>
                <c:pt idx="4">
                  <c:v>#N/A</c:v>
                </c:pt>
                <c:pt idx="5">
                  <c:v>-0.65</c:v>
                </c:pt>
                <c:pt idx="6">
                  <c:v>-0.4</c:v>
                </c:pt>
                <c:pt idx="7">
                  <c:v>0.95000000000000007</c:v>
                </c:pt>
                <c:pt idx="8">
                  <c:v>#N/A</c:v>
                </c:pt>
                <c:pt idx="9">
                  <c:v>0.65</c:v>
                </c:pt>
                <c:pt idx="10">
                  <c:v>0.9</c:v>
                </c:pt>
              </c:numCache>
            </c:numRef>
          </c:xVal>
          <c:yVal>
            <c:numRef>
              <c:f>Sheet1!$EO$100:$EO$110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0.6</c:v>
                </c:pt>
                <c:pt idx="3">
                  <c:v>0.6</c:v>
                </c:pt>
                <c:pt idx="4">
                  <c:v>#N/A</c:v>
                </c:pt>
                <c:pt idx="5">
                  <c:v>-0.25</c:v>
                </c:pt>
                <c:pt idx="6">
                  <c:v>-0.4</c:v>
                </c:pt>
                <c:pt idx="7">
                  <c:v>-0.4</c:v>
                </c:pt>
                <c:pt idx="8">
                  <c:v>#N/A</c:v>
                </c:pt>
                <c:pt idx="9">
                  <c:v>-0.25</c:v>
                </c:pt>
                <c:pt idx="10">
                  <c:v>-0.4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F72-4649-8D2A-17BBAC76D0AF}"/>
            </c:ext>
          </c:extLst>
        </c:ser>
        <c:ser>
          <c:idx val="7"/>
          <c:order val="7"/>
          <c:tx>
            <c:strRef>
              <c:f>Sheet1!$EN$112</c:f>
              <c:strCache>
                <c:ptCount val="1"/>
                <c:pt idx="0">
                  <c:v>Call Out เหล็กเสริม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Sheet1!$EN$114</c:f>
              <c:numCache>
                <c:formatCode>General</c:formatCode>
                <c:ptCount val="1"/>
                <c:pt idx="0">
                  <c:v>-0.12583333333333327</c:v>
                </c:pt>
              </c:numCache>
            </c:numRef>
          </c:xVal>
          <c:yVal>
            <c:numRef>
              <c:f>Sheet1!$EO$114</c:f>
              <c:numCache>
                <c:formatCode>General</c:formatCode>
                <c:ptCount val="1"/>
                <c:pt idx="0">
                  <c:v>0.12000000000000001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F72-4649-8D2A-17BBAC76D0AF}"/>
            </c:ext>
          </c:extLst>
        </c:ser>
        <c:ser>
          <c:idx val="8"/>
          <c:order val="8"/>
          <c:tx>
            <c:strRef>
              <c:f>Sheet1!$EN$112</c:f>
              <c:strCache>
                <c:ptCount val="1"/>
                <c:pt idx="0">
                  <c:v>Call Out เหล็กเสริม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5"/>
            <c:bubble3D val="0"/>
            <c:spPr>
              <a:ln w="12700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3-BF72-4649-8D2A-17BBAC76D0AF}"/>
              </c:ext>
            </c:extLst>
          </c:dPt>
          <c:xVal>
            <c:numRef>
              <c:f>Sheet1!$EN$114:$EN$120</c:f>
              <c:numCache>
                <c:formatCode>General</c:formatCode>
                <c:ptCount val="7"/>
                <c:pt idx="0">
                  <c:v>-0.12583333333333327</c:v>
                </c:pt>
                <c:pt idx="1">
                  <c:v>0.12416666666666673</c:v>
                </c:pt>
                <c:pt idx="2">
                  <c:v>0.32416666666666671</c:v>
                </c:pt>
                <c:pt idx="3">
                  <c:v>#N/A</c:v>
                </c:pt>
                <c:pt idx="4">
                  <c:v>-2.5833333333333264E-2</c:v>
                </c:pt>
                <c:pt idx="5">
                  <c:v>0.22416666666666674</c:v>
                </c:pt>
                <c:pt idx="6">
                  <c:v>0.42416666666666669</c:v>
                </c:pt>
              </c:numCache>
            </c:numRef>
          </c:xVal>
          <c:yVal>
            <c:numRef>
              <c:f>Sheet1!$EO$114:$EO$120</c:f>
              <c:numCache>
                <c:formatCode>General</c:formatCode>
                <c:ptCount val="7"/>
                <c:pt idx="0">
                  <c:v>0.12000000000000001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#N/A</c:v>
                </c:pt>
                <c:pt idx="4">
                  <c:v>0.12000000000000001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F72-4649-8D2A-17BBAC76D0AF}"/>
            </c:ext>
          </c:extLst>
        </c:ser>
        <c:ser>
          <c:idx val="9"/>
          <c:order val="9"/>
          <c:tx>
            <c:strRef>
              <c:f>Sheet1!$EN$122</c:f>
              <c:strCache>
                <c:ptCount val="1"/>
                <c:pt idx="0">
                  <c:v>เหล็กรัดรอบฐาน</c:v>
                </c:pt>
              </c:strCache>
            </c:strRef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Sheet1!$EN$124:$EN$153</c:f>
              <c:numCache>
                <c:formatCode>General</c:formatCode>
                <c:ptCount val="30"/>
                <c:pt idx="0">
                  <c:v>-0.88400000000000001</c:v>
                </c:pt>
                <c:pt idx="1">
                  <c:v>0.88400000000000001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Sheet1!$EO$124:$EO$153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F72-4649-8D2A-17BBAC76D0AF}"/>
            </c:ext>
          </c:extLst>
        </c:ser>
        <c:ser>
          <c:idx val="10"/>
          <c:order val="10"/>
          <c:tx>
            <c:strRef>
              <c:f>Sheet1!$EQ$71:$ES$71</c:f>
              <c:strCache>
                <c:ptCount val="1"/>
                <c:pt idx="0">
                  <c:v>X Y 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1845D7-F3F7-4155-8433-088EE302B7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72-4649-8D2A-17BBAC76D0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4E1BFE-EC41-490C-953E-475DE77BAE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F72-4649-8D2A-17BBAC76D0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3DCE07-9089-4ED6-BCF9-03FC40CA43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72-4649-8D2A-17BBAC76D0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Sheet1!$EQ$72:$EQ$74</c:f>
              <c:numCache>
                <c:formatCode>General</c:formatCode>
                <c:ptCount val="3"/>
                <c:pt idx="0">
                  <c:v>1.25</c:v>
                </c:pt>
                <c:pt idx="1">
                  <c:v>0.95000000000000007</c:v>
                </c:pt>
                <c:pt idx="2">
                  <c:v>0.32416666666666671</c:v>
                </c:pt>
              </c:numCache>
            </c:numRef>
          </c:xVal>
          <c:yVal>
            <c:numRef>
              <c:f>Sheet1!$ER$72:$ER$74</c:f>
              <c:numCache>
                <c:formatCode>General</c:formatCode>
                <c:ptCount val="3"/>
                <c:pt idx="0">
                  <c:v>0.3</c:v>
                </c:pt>
                <c:pt idx="1">
                  <c:v>-0.4</c:v>
                </c:pt>
                <c:pt idx="2">
                  <c:v>1.1000000000000001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Sheet1!$ES$72:$ES$74</c15:f>
                <c15:dlblRangeCache>
                  <c:ptCount val="3"/>
                  <c:pt idx="0">
                    <c:v>t=60cm.</c:v>
                  </c:pt>
                  <c:pt idx="1">
                    <c:v> SAFE LOAD = 40 T/Pile</c:v>
                  </c:pt>
                  <c:pt idx="2">
                    <c:v>8-DB20#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BF72-4649-8D2A-17BBAC76D0AF}"/>
            </c:ext>
          </c:extLst>
        </c:ser>
        <c:ser>
          <c:idx val="11"/>
          <c:order val="11"/>
          <c:tx>
            <c:strRef>
              <c:f>Sheet1!$DC$6</c:f>
              <c:strCache>
                <c:ptCount val="1"/>
                <c:pt idx="0">
                  <c:v>Pile Cap Line X</c:v>
                </c:pt>
              </c:strCache>
            </c:strRef>
          </c:tx>
          <c:spPr>
            <a:ln w="15875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Sheet1!$DC$8:$DC$19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Sheet1!$DD$8:$DD$19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D2-4DAC-A543-B481E7996939}"/>
            </c:ext>
          </c:extLst>
        </c:ser>
        <c:ser>
          <c:idx val="12"/>
          <c:order val="12"/>
          <c:tx>
            <c:strRef>
              <c:f>Sheet1!$DB$21</c:f>
              <c:strCache>
                <c:ptCount val="1"/>
                <c:pt idx="0">
                  <c:v>เว้นเสาเข็ม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Sheet1!$DC$21:$DC$29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Sheet1!$DD$21:$DD$29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D2-4DAC-A543-B481E7996939}"/>
            </c:ext>
          </c:extLst>
        </c:ser>
        <c:ser>
          <c:idx val="13"/>
          <c:order val="13"/>
          <c:tx>
            <c:strRef>
              <c:f>Sheet1!$DC$31</c:f>
              <c:strCache>
                <c:ptCount val="1"/>
                <c:pt idx="0">
                  <c:v>เส้นเหล็กเสริม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Sheet1!$DC$33:$DC$37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Sheet1!$DD$33:$DD$37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D2-4DAC-A543-B481E7996939}"/>
            </c:ext>
          </c:extLst>
        </c:ser>
        <c:ser>
          <c:idx val="14"/>
          <c:order val="14"/>
          <c:tx>
            <c:strRef>
              <c:f>Sheet1!$DF$6</c:f>
              <c:strCache>
                <c:ptCount val="1"/>
                <c:pt idx="0">
                  <c:v>Pile Cap Line Y</c:v>
                </c:pt>
              </c:strCache>
            </c:strRef>
          </c:tx>
          <c:spPr>
            <a:ln w="15875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Sheet1!$DF$8:$DF$19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 formatCode="#,##0.000&quot;  N&quot;">
                  <c:v>#N/A</c:v>
                </c:pt>
                <c:pt idx="7" formatCode="#,##0.000&quot;  N&quot;">
                  <c:v>#N/A</c:v>
                </c:pt>
                <c:pt idx="8">
                  <c:v>#N/A</c:v>
                </c:pt>
                <c:pt idx="9" formatCode="#,##0.00">
                  <c:v>#N/A</c:v>
                </c:pt>
                <c:pt idx="10" formatCode="#,##0.00">
                  <c:v>#N/A</c:v>
                </c:pt>
                <c:pt idx="11" formatCode="#,##0.00">
                  <c:v>#N/A</c:v>
                </c:pt>
              </c:numCache>
            </c:numRef>
          </c:xVal>
          <c:yVal>
            <c:numRef>
              <c:f>Sheet1!$DG$8:$DG$19</c:f>
              <c:numCache>
                <c:formatCode>#,##0.000</c:formatCode>
                <c:ptCount val="12"/>
                <c:pt idx="0" formatCode="General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  <c:pt idx="5" formatCode="General">
                  <c:v>#N/A</c:v>
                </c:pt>
                <c:pt idx="6" formatCode="#,##0.000&quot;  N&quot;">
                  <c:v>#N/A</c:v>
                </c:pt>
                <c:pt idx="7" formatCode="#,##0.000&quot;  N&quot;">
                  <c:v>#N/A</c:v>
                </c:pt>
                <c:pt idx="8" formatCode="General">
                  <c:v>#N/A</c:v>
                </c:pt>
                <c:pt idx="9" formatCode="#,##0.00">
                  <c:v>#N/A</c:v>
                </c:pt>
                <c:pt idx="10" formatCode="#,##0.00">
                  <c:v>#N/A</c:v>
                </c:pt>
                <c:pt idx="11" formatCode="#,##0.000&quot;  N&quot;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D2-4DAC-A543-B481E7996939}"/>
            </c:ext>
          </c:extLst>
        </c:ser>
        <c:ser>
          <c:idx val="15"/>
          <c:order val="15"/>
          <c:tx>
            <c:strRef>
              <c:f>Sheet1!$DE$21</c:f>
              <c:strCache>
                <c:ptCount val="1"/>
                <c:pt idx="0">
                  <c:v>เว้นเสาเข็ม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Sheet1!$DF$21:$DF$29</c:f>
              <c:numCache>
                <c:formatCode>#,##0.000</c:formatCode>
                <c:ptCount val="9"/>
                <c:pt idx="0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</c:numCache>
            </c:numRef>
          </c:xVal>
          <c:yVal>
            <c:numRef>
              <c:f>Sheet1!$DG$21:$DG$29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D2-4DAC-A543-B481E7996939}"/>
            </c:ext>
          </c:extLst>
        </c:ser>
        <c:ser>
          <c:idx val="16"/>
          <c:order val="16"/>
          <c:tx>
            <c:strRef>
              <c:f>Sheet1!$DF$31</c:f>
              <c:strCache>
                <c:ptCount val="1"/>
                <c:pt idx="0">
                  <c:v>เส้นเหล็กเสริม</c:v>
                </c:pt>
              </c:strCache>
            </c:strRef>
          </c:tx>
          <c:spPr>
            <a:ln w="158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Sheet1!$DF$33:$DF$36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Sheet1!$DG$33:$DG$36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D2-4DAC-A543-B481E7996939}"/>
            </c:ext>
          </c:extLst>
        </c:ser>
        <c:ser>
          <c:idx val="17"/>
          <c:order val="17"/>
          <c:tx>
            <c:strRef>
              <c:f>Sheet1!$DL$7</c:f>
              <c:strCache>
                <c:ptCount val="1"/>
                <c:pt idx="0">
                  <c:v>ระยะ @ :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Sheet1!$DL$9:$DL$58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Sheet1!$DM$9:$DM$58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D2-4DAC-A543-B481E7996939}"/>
            </c:ext>
          </c:extLst>
        </c:ser>
        <c:ser>
          <c:idx val="18"/>
          <c:order val="18"/>
          <c:tx>
            <c:strRef>
              <c:f>Sheet1!$DC$39</c:f>
              <c:strCache>
                <c:ptCount val="1"/>
                <c:pt idx="0">
                  <c:v>เส้นเหล็กตอม่อ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Sheet1!$DC$41:$DC$47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Sheet1!$DD$41:$DD$47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D2-4DAC-A543-B481E7996939}"/>
            </c:ext>
          </c:extLst>
        </c:ser>
        <c:ser>
          <c:idx val="19"/>
          <c:order val="19"/>
          <c:tx>
            <c:strRef>
              <c:f>Sheet1!$DF$39</c:f>
              <c:strCache>
                <c:ptCount val="1"/>
                <c:pt idx="0">
                  <c:v>เส้นเหล็กปลอก</c:v>
                </c:pt>
              </c:strCache>
            </c:strRef>
          </c:tx>
          <c:spPr>
            <a:ln w="15875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Sheet1!$DF$41:$DF$57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Sheet1!$DG$41:$DG$57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D2-4DAC-A543-B481E7996939}"/>
            </c:ext>
          </c:extLst>
        </c:ser>
        <c:ser>
          <c:idx val="20"/>
          <c:order val="20"/>
          <c:tx>
            <c:strRef>
              <c:f>Sheet1!$DC$50</c:f>
              <c:strCache>
                <c:ptCount val="1"/>
                <c:pt idx="0">
                  <c:v>เหล็กรัดรอบฐาน</c:v>
                </c:pt>
              </c:strCache>
            </c:strRef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Sheet1!$DC$52:$DC$81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Sheet1!$DD$52:$DD$81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D2-4DAC-A543-B481E7996939}"/>
            </c:ext>
          </c:extLst>
        </c:ser>
        <c:ser>
          <c:idx val="21"/>
          <c:order val="21"/>
          <c:tx>
            <c:strRef>
              <c:f>Sheet1!$DF$60</c:f>
              <c:strCache>
                <c:ptCount val="1"/>
                <c:pt idx="0">
                  <c:v>DIMENSION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dPt>
            <c:idx val="5"/>
            <c:bubble3D val="0"/>
            <c:spPr>
              <a:ln w="9525">
                <a:solidFill>
                  <a:srgbClr val="FF0000"/>
                </a:solidFill>
                <a:headEnd type="triangle" w="sm" len="lg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1A-0DD2-4DAC-A543-B481E7996939}"/>
              </c:ext>
            </c:extLst>
          </c:dPt>
          <c:dPt>
            <c:idx val="9"/>
            <c:bubble3D val="0"/>
            <c:spPr>
              <a:ln w="9525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C-0DD2-4DAC-A543-B481E7996939}"/>
              </c:ext>
            </c:extLst>
          </c:dPt>
          <c:dPt>
            <c:idx val="10"/>
            <c:bubble3D val="0"/>
            <c:spPr>
              <a:ln w="9525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E-0DD2-4DAC-A543-B481E7996939}"/>
              </c:ext>
            </c:extLst>
          </c:dPt>
          <c:dPt>
            <c:idx val="11"/>
            <c:bubble3D val="0"/>
            <c:spPr>
              <a:ln w="9525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3-4250-43AF-9A13-F57660E340B7}"/>
              </c:ext>
            </c:extLst>
          </c:dPt>
          <c:dPt>
            <c:idx val="14"/>
            <c:bubble3D val="0"/>
            <c:spPr>
              <a:ln w="9525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3-0DD2-4DAC-A543-B481E7996939}"/>
              </c:ext>
            </c:extLst>
          </c:dPt>
          <c:dPt>
            <c:idx val="18"/>
            <c:bubble3D val="0"/>
            <c:spPr>
              <a:ln w="9525">
                <a:solidFill>
                  <a:srgbClr val="FF0000"/>
                </a:solidFill>
                <a:head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4-0DD2-4DAC-A543-B481E7996939}"/>
              </c:ext>
            </c:extLst>
          </c:dPt>
          <c:xVal>
            <c:numRef>
              <c:f>Sheet1!$DF$62:$DF$80</c:f>
              <c:numCache>
                <c:formatCode>#,##0.0000</c:formatCode>
                <c:ptCount val="19"/>
                <c:pt idx="0" formatCode="General">
                  <c:v>#N/A</c:v>
                </c:pt>
                <c:pt idx="1">
                  <c:v>#N/A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 formatCode="General">
                  <c:v>#N/A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#,##0.000">
                  <c:v>#N/A</c:v>
                </c:pt>
                <c:pt idx="10" formatCode="#,##0.000">
                  <c:v>#N/A</c:v>
                </c:pt>
                <c:pt idx="11" formatCode="#,##0.000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  <c:pt idx="15" formatCode="#,##0.000">
                  <c:v>#N/A</c:v>
                </c:pt>
                <c:pt idx="16" formatCode="General">
                  <c:v>#N/A</c:v>
                </c:pt>
                <c:pt idx="17" formatCode="General">
                  <c:v>#N/A</c:v>
                </c:pt>
                <c:pt idx="18" formatCode="#,##0.000">
                  <c:v>#N/A</c:v>
                </c:pt>
              </c:numCache>
            </c:numRef>
          </c:xVal>
          <c:yVal>
            <c:numRef>
              <c:f>Sheet1!$DG$62:$DG$80</c:f>
              <c:numCache>
                <c:formatCode>General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D2-4DAC-A543-B481E7996939}"/>
            </c:ext>
          </c:extLst>
        </c:ser>
        <c:ser>
          <c:idx val="22"/>
          <c:order val="22"/>
          <c:tx>
            <c:strRef>
              <c:f>Sheet1!$DF$60</c:f>
              <c:strCache>
                <c:ptCount val="1"/>
                <c:pt idx="0">
                  <c:v>DIMENSION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Sheet1!$DF$62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Sheet1!$DG$62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D2-4DAC-A543-B481E7996939}"/>
            </c:ext>
          </c:extLst>
        </c:ser>
        <c:ser>
          <c:idx val="23"/>
          <c:order val="23"/>
          <c:tx>
            <c:strRef>
              <c:f>Sheet1!$DJ$61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D2-4DAC-A543-B481E79969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D2-4DAC-A543-B481E79969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0-0DD2-4DAC-A543-B481E79969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D2-4DAC-A543-B481E7996939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 anchorCtr="0">
                <a:spAutoFit/>
              </a:bodyPr>
              <a:lstStyle/>
              <a:p>
                <a:pPr algn="l"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Sheet1!$DH$62:$DH$65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 formatCode="#,##0.000">
                  <c:v>#N/A</c:v>
                </c:pt>
                <c:pt idx="3" formatCode="#,##0.000">
                  <c:v>#N/A</c:v>
                </c:pt>
              </c:numCache>
            </c:numRef>
          </c:xVal>
          <c:yVal>
            <c:numRef>
              <c:f>Sheet1!$DI$62:$DI$65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Sheet1!$DJ$62:$DJ$65</c15:f>
                <c15:dlblRangeCache>
                  <c:ptCount val="4"/>
                  <c:pt idx="0">
                    <c:v>SD-40  DB20 @ 0.125m.</c:v>
                  </c:pt>
                  <c:pt idx="1">
                    <c:v>SD-40  DB20 @ 0.13m.</c:v>
                  </c:pt>
                  <c:pt idx="2">
                    <c:v>t = 0.60m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0DD2-4DAC-A543-B481E7996939}"/>
            </c:ext>
          </c:extLst>
        </c:ser>
        <c:ser>
          <c:idx val="24"/>
          <c:order val="24"/>
          <c:tx>
            <c:strRef>
              <c:f>Sheet1!$EM$62</c:f>
              <c:strCache>
                <c:ptCount val="1"/>
                <c:pt idx="0">
                  <c:v>EFFECTIVE DEPTH : D  =</c:v>
                </c:pt>
              </c:strCache>
            </c:strRef>
          </c:tx>
          <c:spPr>
            <a:ln w="12700">
              <a:solidFill>
                <a:srgbClr val="FF0000"/>
              </a:solidFill>
              <a:headEnd type="triangle" w="sm" len="med"/>
              <a:tailEnd type="triangle" w="sm" len="med"/>
            </a:ln>
          </c:spPr>
          <c:marker>
            <c:symbol val="none"/>
          </c:marker>
          <c:xVal>
            <c:numRef>
              <c:f>Sheet1!$EM$64:$EM$65</c:f>
              <c:numCache>
                <c:formatCode>General</c:formatCode>
                <c:ptCount val="2"/>
                <c:pt idx="0">
                  <c:v>-0.57499999999999996</c:v>
                </c:pt>
                <c:pt idx="1">
                  <c:v>-0.57499999999999996</c:v>
                </c:pt>
              </c:numCache>
            </c:numRef>
          </c:xVal>
          <c:yVal>
            <c:numRef>
              <c:f>Sheet1!$EN$64:$EN$65</c:f>
              <c:numCache>
                <c:formatCode>General</c:formatCode>
                <c:ptCount val="2"/>
                <c:pt idx="0">
                  <c:v>0.6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274-4798-BB12-E151FC53BCBB}"/>
            </c:ext>
          </c:extLst>
        </c:ser>
        <c:ser>
          <c:idx val="25"/>
          <c:order val="25"/>
          <c:tx>
            <c:strRef>
              <c:f>Sheet1!$EO$66</c:f>
              <c:strCache>
                <c:ptCount val="1"/>
                <c:pt idx="0">
                  <c:v>D=45.50cm.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2A5941-510B-43AE-8E37-476744EFB1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74-4798-BB12-E151FC53BCB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Sheet1!$EM$66</c:f>
              <c:numCache>
                <c:formatCode>General</c:formatCode>
                <c:ptCount val="1"/>
                <c:pt idx="0">
                  <c:v>-0.57499999999999996</c:v>
                </c:pt>
              </c:numCache>
            </c:numRef>
          </c:xVal>
          <c:yVal>
            <c:numRef>
              <c:f>Sheet1!$EN$66</c:f>
              <c:numCache>
                <c:formatCode>General</c:formatCode>
                <c:ptCount val="1"/>
                <c:pt idx="0">
                  <c:v>0.35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Sheet1!$EO$66</c15:f>
                <c15:dlblRangeCache>
                  <c:ptCount val="1"/>
                  <c:pt idx="0">
                    <c:v>D=45.50cm.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1274-4798-BB12-E151FC53BCBB}"/>
            </c:ext>
          </c:extLst>
        </c:ser>
        <c:ser>
          <c:idx val="26"/>
          <c:order val="26"/>
          <c:tx>
            <c:strRef>
              <c:f>Sheet1!$DL$72</c:f>
              <c:strCache>
                <c:ptCount val="1"/>
                <c:pt idx="0">
                  <c:v>EFFECTIVE DEPTH  F2</c:v>
                </c:pt>
              </c:strCache>
            </c:strRef>
          </c:tx>
          <c:spPr>
            <a:ln w="12700">
              <a:solidFill>
                <a:srgbClr val="FF0000"/>
              </a:solidFill>
              <a:headEnd type="triangle" w="sm" len="med"/>
              <a:tailEnd type="triangle" w="sm" len="med"/>
            </a:ln>
          </c:spPr>
          <c:marker>
            <c:symbol val="none"/>
          </c:marker>
          <c:xVal>
            <c:numRef>
              <c:f>Sheet1!$DL$80:$DL$84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Sheet1!$DM$80:$DM$84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274-4798-BB12-E151FC53BCBB}"/>
            </c:ext>
          </c:extLst>
        </c:ser>
        <c:ser>
          <c:idx val="27"/>
          <c:order val="27"/>
          <c:tx>
            <c:strRef>
              <c:f>Sheet1!$DN$85:$DN$86</c:f>
              <c:strCache>
                <c:ptCount val="2"/>
                <c:pt idx="0">
                  <c:v>#N/A</c:v>
                </c:pt>
                <c:pt idx="1">
                  <c:v>#N/A</c:v>
                </c:pt>
              </c:strCache>
            </c:strRef>
          </c:tx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74-4798-BB12-E151FC53BC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74-4798-BB12-E151FC53BCB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050" b="1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Sheet1!$DL$85:$DL$86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Sheet1!$DM$85:$DM$86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Sheet1!$DN$85:$DN$86</c15:f>
                <c15:dlblRangeCache>
                  <c:ptCount val="2"/>
                  <c:pt idx="0">
                    <c:v>#N/A</c:v>
                  </c:pt>
                  <c:pt idx="1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C-1274-4798-BB12-E151FC53BCBB}"/>
            </c:ext>
          </c:extLst>
        </c:ser>
        <c:ser>
          <c:idx val="28"/>
          <c:order val="28"/>
          <c:tx>
            <c:strRef>
              <c:f>Sheet1!$OU$14</c:f>
              <c:strCache>
                <c:ptCount val="1"/>
                <c:pt idx="0">
                  <c:v>PILE CAP LINE DOWNWARD CAGE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Sheet1!$OU$16:$OU$30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Sheet1!$OV$16:$OV$30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E84-4895-85CF-5FAFE32AB15F}"/>
            </c:ext>
          </c:extLst>
        </c:ser>
        <c:ser>
          <c:idx val="29"/>
          <c:order val="29"/>
          <c:tx>
            <c:strRef>
              <c:f>Sheet1!$OX$14</c:f>
              <c:strCache>
                <c:ptCount val="1"/>
                <c:pt idx="0">
                  <c:v>เสาเข็ม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Sheet1!$OX$16:$OX$19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Sheet1!$OY$16:$OY$19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E84-4895-85CF-5FAFE32AB15F}"/>
            </c:ext>
          </c:extLst>
        </c:ser>
        <c:ser>
          <c:idx val="30"/>
          <c:order val="30"/>
          <c:tx>
            <c:strRef>
              <c:f>Sheet1!$OU$32</c:f>
              <c:strCache>
                <c:ptCount val="1"/>
                <c:pt idx="0">
                  <c:v>Dimension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C-8E84-4895-85CF-5FAFE32AB15F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1B-8E84-4895-85CF-5FAFE32AB15F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1D-8E84-4895-85CF-5FAFE32AB15F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med" len="lg"/>
              </a:ln>
            </c:spPr>
            <c:extLst>
              <c:ext xmlns:c16="http://schemas.microsoft.com/office/drawing/2014/chart" uri="{C3380CC4-5D6E-409C-BE32-E72D297353CC}">
                <c16:uniqueId val="{0000001E-8E84-4895-85CF-5FAFE32AB15F}"/>
              </c:ext>
            </c:extLst>
          </c:dPt>
          <c:dPt>
            <c:idx val="9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0-8E84-4895-85CF-5FAFE32AB15F}"/>
              </c:ext>
            </c:extLst>
          </c:dPt>
          <c:dPt>
            <c:idx val="10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1-8E84-4895-85CF-5FAFE32AB15F}"/>
              </c:ext>
            </c:extLst>
          </c:dPt>
          <c:dPt>
            <c:idx val="17"/>
            <c:bubble3D val="0"/>
            <c:spPr>
              <a:ln w="12700">
                <a:solidFill>
                  <a:srgbClr val="FF0000"/>
                </a:solidFill>
                <a:headEnd type="triangle" w="sm" len="lg"/>
              </a:ln>
            </c:spPr>
            <c:extLst>
              <c:ext xmlns:c16="http://schemas.microsoft.com/office/drawing/2014/chart" uri="{C3380CC4-5D6E-409C-BE32-E72D297353CC}">
                <c16:uniqueId val="{00000026-8E84-4895-85CF-5FAFE32AB15F}"/>
              </c:ext>
            </c:extLst>
          </c:dPt>
          <c:dPt>
            <c:idx val="20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2E-8E84-4895-85CF-5FAFE32AB15F}"/>
              </c:ext>
            </c:extLst>
          </c:dPt>
          <c:dPt>
            <c:idx val="2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2F-8E84-4895-85CF-5FAFE32AB15F}"/>
              </c:ext>
            </c:extLst>
          </c:dPt>
          <c:xVal>
            <c:numRef>
              <c:f>Sheet1!$OU$34:$OU$55</c:f>
              <c:numCache>
                <c:formatCode>General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xVal>
          <c:yVal>
            <c:numRef>
              <c:f>Sheet1!$OV$34:$OV$55</c:f>
              <c:numCache>
                <c:formatCode>General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E84-4895-85CF-5FAFE32AB15F}"/>
            </c:ext>
          </c:extLst>
        </c:ser>
        <c:ser>
          <c:idx val="31"/>
          <c:order val="31"/>
          <c:tx>
            <c:strRef>
              <c:f>Sheet1!$OX$21</c:f>
              <c:strCache>
                <c:ptCount val="1"/>
                <c:pt idx="0">
                  <c:v>เหล็กเมน CASE 1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Sheet1!$OX$23:$OX$32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Sheet1!$OY$23:$OY$32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E84-4895-85CF-5FAFE32AB15F}"/>
            </c:ext>
          </c:extLst>
        </c:ser>
        <c:ser>
          <c:idx val="32"/>
          <c:order val="32"/>
          <c:tx>
            <c:strRef>
              <c:f>Sheet1!$OX$21</c:f>
              <c:strCache>
                <c:ptCount val="1"/>
                <c:pt idx="0">
                  <c:v>เหล็กเมน CASE 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Sheet1!$PG$15:$PG$34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Sheet1!$PH$15:$PH$34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E84-4895-85CF-5FAFE32AB15F}"/>
            </c:ext>
          </c:extLst>
        </c:ser>
        <c:ser>
          <c:idx val="33"/>
          <c:order val="33"/>
          <c:tx>
            <c:strRef>
              <c:f>Sheet1!$OX$34</c:f>
              <c:strCache>
                <c:ptCount val="1"/>
                <c:pt idx="0">
                  <c:v>เหล็กเสาตอม่อ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Sheet1!$OX$36:$OX$42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xVal>
          <c:yVal>
            <c:numRef>
              <c:f>Sheet1!$OY$36:$OY$42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E84-4895-85CF-5FAFE32AB15F}"/>
            </c:ext>
          </c:extLst>
        </c:ser>
        <c:ser>
          <c:idx val="34"/>
          <c:order val="34"/>
          <c:tx>
            <c:strRef>
              <c:f>Sheet1!$PE$36</c:f>
              <c:strCache>
                <c:ptCount val="1"/>
                <c:pt idx="0">
                  <c:v>เหล็กปลอกเสา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Sheet1!$PE$38:$PE$52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Sheet1!$PG$38:$PG$52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E84-4895-85CF-5FAFE32AB15F}"/>
            </c:ext>
          </c:extLst>
        </c:ser>
        <c:ser>
          <c:idx val="35"/>
          <c:order val="35"/>
          <c:tx>
            <c:strRef>
              <c:f>Sheet1!$OT$46</c:f>
              <c:strCache>
                <c:ptCount val="1"/>
                <c:pt idx="0">
                  <c:v>เหล็ก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12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Sheet1!$OU$46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Sheet1!$OV$46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E84-4895-85CF-5FAFE32AB15F}"/>
            </c:ext>
          </c:extLst>
        </c:ser>
        <c:ser>
          <c:idx val="36"/>
          <c:order val="36"/>
          <c:tx>
            <c:strRef>
              <c:f>Sheet1!$OR$35</c:f>
              <c:strCache>
                <c:ptCount val="1"/>
                <c:pt idx="0">
                  <c:v>Label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9-8E84-4895-85CF-5FAFE32AB1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8-8E84-4895-85CF-5FAFE32AB1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84-4895-85CF-5FAFE32AB1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84-4895-85CF-5FAFE32AB1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84-4895-85CF-5FAFE32AB15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Sheet1!$OP$36:$OP$40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Sheet1!$OQ$36:$OQ$40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Sheet1!$OR$36:$OR$40</c15:f>
                <c15:dlblRangeCache>
                  <c:ptCount val="5"/>
                  <c:pt idx="0">
                    <c:v>SD-40  DB20 @ 0.13m.</c:v>
                  </c:pt>
                  <c:pt idx="1">
                    <c:v> SAFE LOAD = 40 T/Pile</c:v>
                  </c:pt>
                  <c:pt idx="2">
                    <c:v>#N/A</c:v>
                  </c:pt>
                  <c:pt idx="3">
                    <c:v>t=60.00cm</c:v>
                  </c:pt>
                  <c:pt idx="4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8E84-4895-85CF-5FAFE32AB15F}"/>
            </c:ext>
          </c:extLst>
        </c:ser>
        <c:ser>
          <c:idx val="37"/>
          <c:order val="37"/>
          <c:tx>
            <c:strRef>
              <c:f>Sheet1!$PA$21</c:f>
              <c:strCache>
                <c:ptCount val="1"/>
                <c:pt idx="0">
                  <c:v>เหล็กเมน CASE 2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Sheet1!$PA$23:$PA$28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Sheet1!$PB$23:$PB$28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E84-4895-85CF-5FAFE32AB15F}"/>
            </c:ext>
          </c:extLst>
        </c:ser>
        <c:ser>
          <c:idx val="38"/>
          <c:order val="38"/>
          <c:tx>
            <c:strRef>
              <c:f>Sheet1!$PI$14</c:f>
              <c:strCache>
                <c:ptCount val="1"/>
                <c:pt idx="0">
                  <c:v>Y2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Sheet1!$PG$15:$PG$34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Sheet1!$PI$15:$PI$34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E84-4895-85CF-5FAFE32AB15F}"/>
            </c:ext>
          </c:extLst>
        </c:ser>
        <c:ser>
          <c:idx val="39"/>
          <c:order val="39"/>
          <c:tx>
            <c:strRef>
              <c:f>Sheet1!$MT$29</c:f>
              <c:strCache>
                <c:ptCount val="1"/>
                <c:pt idx="0">
                  <c:v>PILE CAP LINE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Sheet1!$MT$31:$MT$42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Sheet1!$MU$31:$MU$42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E84-4895-85CF-5FAFE32AB15F}"/>
            </c:ext>
          </c:extLst>
        </c:ser>
        <c:ser>
          <c:idx val="40"/>
          <c:order val="40"/>
          <c:tx>
            <c:strRef>
              <c:f>Sheet1!$MW$29</c:f>
              <c:strCache>
                <c:ptCount val="1"/>
                <c:pt idx="0">
                  <c:v>PILE LINE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Sheet1!$MW$31:$MW$44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_(* #,##0.00_);_(* \(#,##0.00\);_(* &quot;-&quot;??_);_(@_)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xVal>
          <c:yVal>
            <c:numRef>
              <c:f>Sheet1!$MX$31:$MX$44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_(* #,##0.00_);_(* \(#,##0.00\);_(* &quot;-&quot;??_);_(@_)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E84-4895-85CF-5FAFE32AB15F}"/>
            </c:ext>
          </c:extLst>
        </c:ser>
        <c:ser>
          <c:idx val="41"/>
          <c:order val="41"/>
          <c:tx>
            <c:strRef>
              <c:f>Sheet1!$MU$46</c:f>
              <c:strCache>
                <c:ptCount val="1"/>
                <c:pt idx="0">
                  <c:v>เหล็กเมน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Sheet1!$MU$48:$MU$51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Sheet1!$MV$48:$MV$51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E84-4895-85CF-5FAFE32AB15F}"/>
            </c:ext>
          </c:extLst>
        </c:ser>
        <c:ser>
          <c:idx val="42"/>
          <c:order val="42"/>
          <c:tx>
            <c:strRef>
              <c:f>Sheet1!$MZ$29</c:f>
              <c:strCache>
                <c:ptCount val="1"/>
                <c:pt idx="0">
                  <c:v>เหล็ก =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Sheet1!$NB$34:$NB$68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xVal>
          <c:yVal>
            <c:numRef>
              <c:f>Sheet1!$NC$34:$NC$68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E84-4895-85CF-5FAFE32AB15F}"/>
            </c:ext>
          </c:extLst>
        </c:ser>
        <c:ser>
          <c:idx val="43"/>
          <c:order val="43"/>
          <c:tx>
            <c:strRef>
              <c:f>Sheet1!$MZ$29</c:f>
              <c:strCache>
                <c:ptCount val="1"/>
                <c:pt idx="0">
                  <c:v>เหล็ก =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Sheet1!$ND$34:$ND$68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xVal>
          <c:yVal>
            <c:numRef>
              <c:f>Sheet1!$NE$34:$NE$68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E84-4895-85CF-5FAFE32AB15F}"/>
            </c:ext>
          </c:extLst>
        </c:ser>
        <c:ser>
          <c:idx val="44"/>
          <c:order val="44"/>
          <c:tx>
            <c:strRef>
              <c:f>Sheet1!$MU$53</c:f>
              <c:strCache>
                <c:ptCount val="1"/>
                <c:pt idx="0">
                  <c:v>เหล็กตอม่อ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Sheet1!$MU$55:$MU$80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 formatCode="_(* #,##0.00_);_(* \(#,##0.00\);_(* &quot;-&quot;??_);_(@_)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 formatCode="_(* #,##0.00_);_(* \(#,##0.00\);_(* &quot;-&quot;??_);_(@_)">
                  <c:v>#N/A</c:v>
                </c:pt>
                <c:pt idx="16">
                  <c:v>#N/A</c:v>
                </c:pt>
                <c:pt idx="17" formatCode="_(* #,##0.00_);_(* \(#,##0.00\);_(* &quot;-&quot;??_);_(@_)">
                  <c:v>#N/A</c:v>
                </c:pt>
                <c:pt idx="18" formatCode="_(* #,##0.00_);_(* \(#,##0.00\);_(* &quot;-&quot;??_);_(@_)">
                  <c:v>#N/A</c:v>
                </c:pt>
                <c:pt idx="19">
                  <c:v>#N/A</c:v>
                </c:pt>
                <c:pt idx="20" formatCode="_(* #,##0.00_);_(* \(#,##0.00\);_(* &quot;-&quot;??_);_(@_)">
                  <c:v>#N/A</c:v>
                </c:pt>
                <c:pt idx="21" formatCode="_(* #,##0.00_);_(* \(#,##0.00\);_(* &quot;-&quot;??_);_(@_)">
                  <c:v>#N/A</c:v>
                </c:pt>
                <c:pt idx="22">
                  <c:v>#N/A</c:v>
                </c:pt>
                <c:pt idx="23" formatCode="_(* #,##0.00_);_(* \(#,##0.00\);_(* &quot;-&quot;??_);_(@_)">
                  <c:v>#N/A</c:v>
                </c:pt>
                <c:pt idx="24" formatCode="_(* #,##0.00_);_(* \(#,##0.00\);_(* &quot;-&quot;??_);_(@_)">
                  <c:v>#N/A</c:v>
                </c:pt>
                <c:pt idx="25">
                  <c:v>#N/A</c:v>
                </c:pt>
              </c:numCache>
            </c:numRef>
          </c:xVal>
          <c:yVal>
            <c:numRef>
              <c:f>Sheet1!$MV$55:$MV$80</c:f>
              <c:numCache>
                <c:formatCode>General</c:formatCode>
                <c:ptCount val="26"/>
                <c:pt idx="0" formatCode="_(* #,##0.00_);_(* \(#,##0.00\);_(* &quot;-&quot;??_);_(@_)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_(* #,##0.00_);_(* \(#,##0.00\);_(* &quot;-&quot;??_);_(@_)">
                  <c:v>#N/A</c:v>
                </c:pt>
                <c:pt idx="5" formatCode="_(* #,##0.00_);_(* \(#,##0.00\);_(* &quot;-&quot;??_);_(@_)">
                  <c:v>#N/A</c:v>
                </c:pt>
                <c:pt idx="6" formatCode="_(* #,##0.00_);_(* \(#,##0.00\);_(* &quot;-&quot;??_);_(@_)">
                  <c:v>#N/A</c:v>
                </c:pt>
                <c:pt idx="7">
                  <c:v>#N/A</c:v>
                </c:pt>
                <c:pt idx="8" formatCode="_(* #,##0.00_);_(* \(#,##0.00\);_(* &quot;-&quot;??_);_(@_)">
                  <c:v>#N/A</c:v>
                </c:pt>
                <c:pt idx="9" formatCode="_(* #,##0.00_);_(* \(#,##0.00\);_(* &quot;-&quot;??_);_(@_)">
                  <c:v>#N/A</c:v>
                </c:pt>
                <c:pt idx="10">
                  <c:v>#N/A</c:v>
                </c:pt>
                <c:pt idx="11" formatCode="_(* #,##0.00_);_(* \(#,##0.00\);_(* &quot;-&quot;??_);_(@_)">
                  <c:v>#N/A</c:v>
                </c:pt>
                <c:pt idx="12" formatCode="_(* #,##0.00_);_(* \(#,##0.00\);_(* &quot;-&quot;??_);_(@_)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  <c:pt idx="15" formatCode="_(* #,##0.00_);_(* \(#,##0.00\);_(* &quot;-&quot;??_);_(@_)">
                  <c:v>#N/A</c:v>
                </c:pt>
                <c:pt idx="16">
                  <c:v>#N/A</c:v>
                </c:pt>
                <c:pt idx="17" formatCode="_(* #,##0.00_);_(* \(#,##0.00\);_(* &quot;-&quot;??_);_(@_)">
                  <c:v>#N/A</c:v>
                </c:pt>
                <c:pt idx="18" formatCode="_(* #,##0.00_);_(* \(#,##0.00\);_(* &quot;-&quot;??_);_(@_)">
                  <c:v>#N/A</c:v>
                </c:pt>
                <c:pt idx="19">
                  <c:v>#N/A</c:v>
                </c:pt>
                <c:pt idx="20" formatCode="_(* #,##0.00_);_(* \(#,##0.00\);_(* &quot;-&quot;??_);_(@_)">
                  <c:v>#N/A</c:v>
                </c:pt>
                <c:pt idx="21" formatCode="_(* #,##0.00_);_(* \(#,##0.00\);_(* &quot;-&quot;??_);_(@_)">
                  <c:v>#N/A</c:v>
                </c:pt>
                <c:pt idx="22">
                  <c:v>#N/A</c:v>
                </c:pt>
                <c:pt idx="23" formatCode="_(* #,##0.00_);_(* \(#,##0.00\);_(* &quot;-&quot;??_);_(@_)">
                  <c:v>#N/A</c:v>
                </c:pt>
                <c:pt idx="24" formatCode="_(* #,##0.00_);_(* \(#,##0.00\);_(* &quot;-&quot;??_);_(@_)">
                  <c:v>#N/A</c:v>
                </c:pt>
                <c:pt idx="2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E84-4895-85CF-5FAFE32AB15F}"/>
            </c:ext>
          </c:extLst>
        </c:ser>
        <c:ser>
          <c:idx val="45"/>
          <c:order val="45"/>
          <c:tx>
            <c:strRef>
              <c:f>Sheet1!$MW$53</c:f>
              <c:strCache>
                <c:ptCount val="1"/>
                <c:pt idx="0">
                  <c:v>เหล็กรัดรอบ</c:v>
                </c:pt>
              </c:strCache>
            </c:strRef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Sheet1!$MW$55:$MW$84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Sheet1!$MX$55:$MX$84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E84-4895-85CF-5FAFE32AB15F}"/>
            </c:ext>
          </c:extLst>
        </c:ser>
        <c:ser>
          <c:idx val="46"/>
          <c:order val="46"/>
          <c:tx>
            <c:strRef>
              <c:f>Sheet1!$NG$33</c:f>
              <c:strCache>
                <c:ptCount val="1"/>
                <c:pt idx="0">
                  <c:v>DIMENSION F3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A-8E84-4895-85CF-5FAFE32AB15F}"/>
              </c:ext>
            </c:extLst>
          </c:dPt>
          <c:dPt>
            <c:idx val="2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39-8E84-4895-85CF-5FAFE32AB15F}"/>
              </c:ext>
            </c:extLst>
          </c:dPt>
          <c:dPt>
            <c:idx val="3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B-8E84-4895-85CF-5FAFE32AB15F}"/>
              </c:ext>
            </c:extLst>
          </c:dPt>
          <c:dPt>
            <c:idx val="6"/>
            <c:bubble3D val="0"/>
            <c:spPr>
              <a:ln w="12700">
                <a:solidFill>
                  <a:srgbClr val="FF0000"/>
                </a:solidFill>
                <a:headEnd type="triangle" w="sm" len="med"/>
                <a:tailEnd type="triangle" w="sm" len="med"/>
              </a:ln>
            </c:spPr>
            <c:extLst>
              <c:ext xmlns:c16="http://schemas.microsoft.com/office/drawing/2014/chart" uri="{C3380CC4-5D6E-409C-BE32-E72D297353CC}">
                <c16:uniqueId val="{0000003D-8E84-4895-85CF-5FAFE32AB15F}"/>
              </c:ext>
            </c:extLst>
          </c:dPt>
          <c:dPt>
            <c:idx val="7"/>
            <c:bubble3D val="0"/>
            <c:spPr>
              <a:ln w="12700">
                <a:solidFill>
                  <a:srgbClr val="FF0000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3C-8E84-4895-85CF-5FAFE32AB15F}"/>
              </c:ext>
            </c:extLst>
          </c:dPt>
          <c:dPt>
            <c:idx val="14"/>
            <c:bubble3D val="0"/>
            <c:spPr>
              <a:ln w="12700">
                <a:solidFill>
                  <a:srgbClr val="FF0000"/>
                </a:solidFill>
                <a:headEnd type="triangle" w="sm" len="lg"/>
              </a:ln>
            </c:spPr>
            <c:extLst>
              <c:ext xmlns:c16="http://schemas.microsoft.com/office/drawing/2014/chart" uri="{C3380CC4-5D6E-409C-BE32-E72D297353CC}">
                <c16:uniqueId val="{0000003F-8E84-4895-85CF-5FAFE32AB15F}"/>
              </c:ext>
            </c:extLst>
          </c:dPt>
          <c:xVal>
            <c:numRef>
              <c:f>Sheet1!$NH$35:$NH$49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xVal>
          <c:yVal>
            <c:numRef>
              <c:f>Sheet1!$NI$35:$NI$49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_(* #,##0.00_);_(* \(#,##0.00\);_(* &quot;-&quot;??_);_(@_)">
                  <c:v>#N/A</c:v>
                </c:pt>
                <c:pt idx="11" formatCode="_(* #,##0.00_);_(* \(#,##0.00\);_(* &quot;-&quot;??_);_(@_)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_(* #,##0.00_);_(* \(#,##0.00\);_(* &quot;-&quot;??_);_(@_)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E84-4895-85CF-5FAFE32AB15F}"/>
            </c:ext>
          </c:extLst>
        </c:ser>
        <c:ser>
          <c:idx val="47"/>
          <c:order val="47"/>
          <c:tx>
            <c:strRef>
              <c:f>Sheet1!$NG$33</c:f>
              <c:strCache>
                <c:ptCount val="1"/>
                <c:pt idx="0">
                  <c:v>DIMENSION F3</c:v>
                </c:pt>
              </c:strCache>
            </c:strRef>
          </c:tx>
          <c:spPr>
            <a:ln w="38100">
              <a:noFill/>
            </a:ln>
          </c:spPr>
          <c:marker>
            <c:symbol val="circle"/>
            <c:size val="11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Sheet1!$NH$44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Sheet1!$NI$44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E84-4895-85CF-5FAFE32AB15F}"/>
            </c:ext>
          </c:extLst>
        </c:ser>
        <c:ser>
          <c:idx val="48"/>
          <c:order val="48"/>
          <c:tx>
            <c:strRef>
              <c:f>Sheet1!$NG$33</c:f>
              <c:strCache>
                <c:ptCount val="1"/>
                <c:pt idx="0">
                  <c:v>DIMENSION F3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84-4895-85CF-5FAFE32AB1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84-4895-85CF-5FAFE32AB15F}"/>
                </c:ext>
              </c:extLst>
            </c:dLbl>
            <c:dLbl>
              <c:idx val="2"/>
              <c:layout>
                <c:manualLayout>
                  <c:x val="1.5151519670579715E-2"/>
                  <c:y val="7.9999966404213488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2-8E84-4895-85CF-5FAFE32AB15F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r">
                      <a:defRPr sz="1100">
                        <a:latin typeface="TH SarabunPSK" panose="020B0500040200020003" pitchFamily="34" charset="-34"/>
                        <a:cs typeface="TH SarabunPSK" panose="020B0500040200020003" pitchFamily="34" charset="-34"/>
                      </a:defRPr>
                    </a:pP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1"/>
                </c:ext>
                <c:ext xmlns:c16="http://schemas.microsoft.com/office/drawing/2014/chart" uri="{C3380CC4-5D6E-409C-BE32-E72D297353CC}">
                  <c16:uniqueId val="{00000041-8E84-4895-85CF-5FAFE32AB15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TH SarabunPSK" panose="020B0500040200020003" pitchFamily="34" charset="-34"/>
                    <a:cs typeface="TH SarabunPSK" panose="020B0500040200020003" pitchFamily="34" charset="-34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Sheet1!$NJ$35:$NJ$38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Sheet1!$NK$35:$NK$38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_(* #,##0.00_);_(* \(#,##0.00\);_(* &quot;-&quot;??_);_(@_)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Sheet1!$NL$35:$NL$38</c15:f>
                <c15:dlblRangeCache>
                  <c:ptCount val="4"/>
                  <c:pt idx="0">
                    <c:v>t=60.00cm.</c:v>
                  </c:pt>
                  <c:pt idx="1">
                    <c:v>#N/A</c:v>
                  </c:pt>
                  <c:pt idx="2">
                    <c:v>I-Pile 30 x 30 SAFE LOAD = 40 T/Pile</c:v>
                  </c:pt>
                  <c:pt idx="3">
                    <c:v>SD-40  DB20 @ 0.13m.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0-8E84-4895-85CF-5FAFE32AB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377240"/>
        <c:axId val="854395240"/>
      </c:scatterChart>
      <c:valAx>
        <c:axId val="854377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4395240"/>
        <c:crosses val="autoZero"/>
        <c:crossBetween val="midCat"/>
        <c:majorUnit val="0.25"/>
      </c:valAx>
      <c:valAx>
        <c:axId val="8543952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5437724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00B050"/>
              </a:solidFill>
              <a:tailEnd type="triangle"/>
            </a:ln>
          </c:spPr>
          <c:marker>
            <c:symbol val="none"/>
          </c:marker>
          <c:xVal>
            <c:numRef>
              <c:f>Sheet1!$BK$20:$BK$24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Sheet1!$BL$20:$BL$24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FB-4F73-9504-B335F4549CC3}"/>
            </c:ext>
          </c:extLst>
        </c:ser>
        <c:ser>
          <c:idx val="1"/>
          <c:order val="1"/>
          <c:tx>
            <c:strRef>
              <c:f>Sheet1!$AY$14</c:f>
              <c:strCache>
                <c:ptCount val="1"/>
                <c:pt idx="0">
                  <c:v>FOOTING DIRECTION</c:v>
                </c:pt>
              </c:strCache>
            </c:strRef>
          </c:tx>
          <c:spPr>
            <a:ln>
              <a:solidFill>
                <a:srgbClr val="FF0000"/>
              </a:solidFill>
              <a:headEnd type="none"/>
              <a:tailEnd type="triangle"/>
            </a:ln>
          </c:spPr>
          <c:marker>
            <c:symbol val="none"/>
          </c:marker>
          <c:xVal>
            <c:numRef>
              <c:f>Sheet1!$BK$27:$BK$31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1</c:v>
                </c:pt>
              </c:numCache>
            </c:numRef>
          </c:xVal>
          <c:yVal>
            <c:numRef>
              <c:f>Sheet1!$BL$27:$BL$31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FB-4F73-9504-B335F4549CC3}"/>
            </c:ext>
          </c:extLst>
        </c:ser>
        <c:ser>
          <c:idx val="2"/>
          <c:order val="2"/>
          <c:tx>
            <c:strRef>
              <c:f>Sheet1!$BM$33:$BM$34</c:f>
              <c:strCache>
                <c:ptCount val="2"/>
                <c:pt idx="0">
                  <c:v>E,X</c:v>
                </c:pt>
                <c:pt idx="1">
                  <c:v>N,Y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E17296-D1E9-4489-BBA6-09107B88C7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2FB-4F73-9504-B335F4549C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1AC590-9192-4D81-B031-7FDFB61054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2FB-4F73-9504-B335F4549C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Sheet1!$BK$33:$BK$34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Sheet1!$BL$33:$BL$34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Sheet1!$BM$33:$BM$34</c15:f>
                <c15:dlblRangeCache>
                  <c:ptCount val="2"/>
                  <c:pt idx="0">
                    <c:v>E,X</c:v>
                  </c:pt>
                  <c:pt idx="1">
                    <c:v>N,Y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A2FB-4F73-9504-B335F4549CC3}"/>
            </c:ext>
          </c:extLst>
        </c:ser>
        <c:ser>
          <c:idx val="3"/>
          <c:order val="3"/>
          <c:tx>
            <c:strRef>
              <c:f>Sheet1!$BN$7:$BN$8</c:f>
              <c:strCache>
                <c:ptCount val="2"/>
                <c:pt idx="0">
                  <c:v>0</c:v>
                </c:pt>
                <c:pt idx="1">
                  <c:v>0</c:v>
                </c:pt>
              </c:strCache>
            </c:strRef>
          </c:tx>
          <c:marker>
            <c:symbol val="square"/>
            <c:size val="7"/>
            <c:spPr>
              <a:noFill/>
              <a:ln w="19050">
                <a:solidFill>
                  <a:srgbClr val="0000FF"/>
                </a:solidFill>
              </a:ln>
            </c:spPr>
          </c:marker>
          <c:xVal>
            <c:numRef>
              <c:f>Sheet1!$BN$7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Sheet1!$BN$8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FB-4F73-9504-B335F4549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596320"/>
        <c:axId val="1163599200"/>
      </c:scatterChart>
      <c:valAx>
        <c:axId val="1163596320"/>
        <c:scaling>
          <c:orientation val="minMax"/>
          <c:max val="1.2"/>
          <c:min val="-0.5"/>
        </c:scaling>
        <c:delete val="1"/>
        <c:axPos val="b"/>
        <c:numFmt formatCode="General" sourceLinked="1"/>
        <c:majorTickMark val="out"/>
        <c:minorTickMark val="none"/>
        <c:tickLblPos val="nextTo"/>
        <c:crossAx val="1163599200"/>
        <c:crosses val="autoZero"/>
        <c:crossBetween val="midCat"/>
      </c:valAx>
      <c:valAx>
        <c:axId val="1163599200"/>
        <c:scaling>
          <c:orientation val="minMax"/>
          <c:max val="1.2"/>
          <c:min val="-0.5"/>
        </c:scaling>
        <c:delete val="1"/>
        <c:axPos val="l"/>
        <c:numFmt formatCode="General" sourceLinked="1"/>
        <c:majorTickMark val="out"/>
        <c:minorTickMark val="none"/>
        <c:tickLblPos val="nextTo"/>
        <c:crossAx val="11635963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7" dropStyle="combo" dx="22" fmlaLink="$AS$57" fmlaRange="$AT$49:$AT$55" noThreeD="1" sel="6" val="0"/>
</file>

<file path=xl/ctrlProps/ctrlProp2.xml><?xml version="1.0" encoding="utf-8"?>
<formControlPr xmlns="http://schemas.microsoft.com/office/spreadsheetml/2009/9/main" objectType="Drop" dropLines="7" dropStyle="combo" dx="22" fmlaLink="$AS$58" fmlaRange="$AT$49:$AT$55" noThreeD="1" sel="6" val="0"/>
</file>

<file path=xl/ctrlProps/ctrlProp3.xml><?xml version="1.0" encoding="utf-8"?>
<formControlPr xmlns="http://schemas.microsoft.com/office/spreadsheetml/2009/9/main" objectType="Drop" dropLines="2" dropStyle="combo" dx="22" fmlaLink="$AW$14" fmlaRange="$AW$15:$AW$16" noThreeD="1" sel="1" val="0"/>
</file>

<file path=xl/ctrlProps/ctrlProp4.xml><?xml version="1.0" encoding="utf-8"?>
<formControlPr xmlns="http://schemas.microsoft.com/office/spreadsheetml/2009/9/main" objectType="CheckBox" fmlaLink="$SG$64" lockText="1" noThreeD="1"/>
</file>

<file path=xl/ctrlProps/ctrlProp5.xml><?xml version="1.0" encoding="utf-8"?>
<formControlPr xmlns="http://schemas.microsoft.com/office/spreadsheetml/2009/9/main" objectType="CheckBox" fmlaLink="$FL$24" lockText="1" noThreeD="1"/>
</file>

<file path=xl/ctrlProps/ctrlProp6.xml><?xml version="1.0" encoding="utf-8"?>
<formControlPr xmlns="http://schemas.microsoft.com/office/spreadsheetml/2009/9/main" objectType="CheckBox" fmlaLink="$FL$25" lockText="1" noThreeD="1"/>
</file>

<file path=xl/ctrlProps/ctrlProp7.xml><?xml version="1.0" encoding="utf-8"?>
<formControlPr xmlns="http://schemas.microsoft.com/office/spreadsheetml/2009/9/main" objectType="CheckBox" checked="Checked" fmlaLink="$FL$26" lockText="1" noThreeD="1"/>
</file>

<file path=xl/ctrlProps/ctrlProp8.xml><?xml version="1.0" encoding="utf-8"?>
<formControlPr xmlns="http://schemas.microsoft.com/office/spreadsheetml/2009/9/main" objectType="CheckBox" checked="Checked" fmlaLink="$FL$27" lockText="1" noThreeD="1"/>
</file>

<file path=xl/ctrlProps/ctrlProp9.xml><?xml version="1.0" encoding="utf-8"?>
<formControlPr xmlns="http://schemas.microsoft.com/office/spreadsheetml/2009/9/main" objectType="CheckBox" fmlaLink="$FL$28" lockText="1" noThreeD="1"/>
</file>

<file path=xl/ctrlProps/ctrlProp10.xml><?xml version="1.0" encoding="utf-8"?>
<formControlPr xmlns="http://schemas.microsoft.com/office/spreadsheetml/2009/9/main" objectType="CheckBox" fmlaLink="$FL$29" lockText="1" noThreeD="1"/>
</file>

<file path=xl/ctrlProps/ctrlProp11.xml><?xml version="1.0" encoding="utf-8"?>
<formControlPr xmlns="http://schemas.microsoft.com/office/spreadsheetml/2009/9/main" objectType="CheckBox" fmlaLink="$FJ$24" lockText="1" noThreeD="1"/>
</file>

<file path=xl/ctrlProps/ctrlProp12.xml><?xml version="1.0" encoding="utf-8"?>
<formControlPr xmlns="http://schemas.microsoft.com/office/spreadsheetml/2009/9/main" objectType="Drop" dropLines="6" dropStyle="combo" dx="22" fmlaLink="$FO$23" fmlaRange="$FP$24:$FP$29" noThreeD="1" sel="6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$JM$11" lockText="1" noThreeD="1"/>
</file>

<file path=xl/ctrlProps/ctrlProp15.xml><?xml version="1.0" encoding="utf-8"?>
<formControlPr xmlns="http://schemas.microsoft.com/office/spreadsheetml/2009/9/main" objectType="Drop" dropLines="2" dropStyle="combo" dx="22" fmlaLink="$OT$8" fmlaRange="$OU$9:$OU$10" noThreeD="1" sel="1" val="0"/>
</file>

<file path=xl/ctrlProps/ctrlProp16.xml><?xml version="1.0" encoding="utf-8"?>
<formControlPr xmlns="http://schemas.microsoft.com/office/spreadsheetml/2009/9/main" objectType="Drop" dropLines="3" dropStyle="combo" dx="22" fmlaLink="$SG$9" fmlaRange="$SF$10:$SF$12" noThreeD="1" sel="2" val="0"/>
</file>

<file path=xl/ctrlProps/ctrlProp17.xml><?xml version="1.0" encoding="utf-8"?>
<formControlPr xmlns="http://schemas.microsoft.com/office/spreadsheetml/2009/9/main" objectType="CheckBox" fmlaLink="$SG$65" lockText="1" noThreeD="1"/>
</file>

<file path=xl/ctrlProps/ctrlProp18.xml><?xml version="1.0" encoding="utf-8"?>
<formControlPr xmlns="http://schemas.microsoft.com/office/spreadsheetml/2009/9/main" objectType="CheckBox" fmlaLink="$SG$66" lockText="1" noThreeD="1"/>
</file>

<file path=xl/ctrlProps/ctrlProp19.xml><?xml version="1.0" encoding="utf-8"?>
<formControlPr xmlns="http://schemas.microsoft.com/office/spreadsheetml/2009/9/main" objectType="CheckBox" fmlaLink="$SG$67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$CO$17" lockText="1" noThreeD="1"/>
</file>

<file path=xl/ctrlProps/ctrlProp23.xml><?xml version="1.0" encoding="utf-8"?>
<formControlPr xmlns="http://schemas.microsoft.com/office/spreadsheetml/2009/9/main" objectType="CheckBox" fmlaLink="$CO$18" lockText="1" noThreeD="1"/>
</file>

<file path=xl/ctrlProps/ctrlProp24.xml><?xml version="1.0" encoding="utf-8"?>
<formControlPr xmlns="http://schemas.microsoft.com/office/spreadsheetml/2009/9/main" objectType="CheckBox" checked="Checked" fmlaLink="$CO$19" lockText="1" noThreeD="1"/>
</file>

<file path=xl/ctrlProps/ctrlProp25.xml><?xml version="1.0" encoding="utf-8"?>
<formControlPr xmlns="http://schemas.microsoft.com/office/spreadsheetml/2009/9/main" objectType="CheckBox" fmlaLink="$CO$20" lockText="1" noThreeD="1"/>
</file>

<file path=xl/ctrlProps/ctrlProp26.xml><?xml version="1.0" encoding="utf-8"?>
<formControlPr xmlns="http://schemas.microsoft.com/office/spreadsheetml/2009/9/main" objectType="CheckBox" checked="Checked" fmlaLink="$CO$21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Drop" dropLines="2" dropStyle="combo" dx="22" fmlaLink="$BP$22" fmlaRange="$BQ$23:$BQ$24" noThreeD="1" sel="1" val="0"/>
</file>

<file path=xl/ctrlProps/ctrlProp35.xml><?xml version="1.0" encoding="utf-8"?>
<formControlPr xmlns="http://schemas.microsoft.com/office/spreadsheetml/2009/9/main" objectType="Drop" dropLines="5" dropStyle="combo" dx="22" fmlaLink="$BK$6" fmlaRange="$BK$7:$BK$11" noThreeD="1" sel="5" val="0"/>
</file>

<file path=xl/ctrlProps/ctrlProp36.xml><?xml version="1.0" encoding="utf-8"?>
<formControlPr xmlns="http://schemas.microsoft.com/office/spreadsheetml/2009/9/main" objectType="Drop" dropLines="22" dropStyle="combo" dx="22" fmlaLink="$GY$6" fmlaRange="$GY$7:$GY$28" noThreeD="1" sel="4" val="0"/>
</file>

<file path=xl/ctrlProps/ctrlProp37.xml><?xml version="1.0" encoding="utf-8"?>
<formControlPr xmlns="http://schemas.microsoft.com/office/spreadsheetml/2009/9/main" objectType="Drop" dropLines="2" dropStyle="combo" dx="22" fmlaLink="$AX$14" fmlaRange="$AX$15:$AX$16" noThreeD="1" sel="2" val="0"/>
</file>

<file path=xl/ctrlProps/ctrlProp38.xml><?xml version="1.0" encoding="utf-8"?>
<formControlPr xmlns="http://schemas.microsoft.com/office/spreadsheetml/2009/9/main" objectType="CheckBox" checked="Checked" fmlaLink="$BE$7" lockText="1" noThreeD="1"/>
</file>

<file path=xl/ctrlProps/ctrlProp39.xml><?xml version="1.0" encoding="utf-8"?>
<formControlPr xmlns="http://schemas.microsoft.com/office/spreadsheetml/2009/9/main" objectType="CheckBox" checked="Checked" fmlaLink="$BE$8" lockText="1" noThreeD="1"/>
</file>

<file path=xl/ctrlProps/ctrlProp40.xml><?xml version="1.0" encoding="utf-8"?>
<formControlPr xmlns="http://schemas.microsoft.com/office/spreadsheetml/2009/9/main" objectType="Drop" dropLines="7" dropStyle="combo" dx="22" fmlaLink="$AS$59" fmlaRange="$AS$49:$AS$55" noThreeD="1" sel="4" val="0"/>
</file>

<file path=xl/ctrlProps/ctrlProp41.xml><?xml version="1.0" encoding="utf-8"?>
<formControlPr xmlns="http://schemas.microsoft.com/office/spreadsheetml/2009/9/main" objectType="CheckBox" checked="Checked" fmlaLink="$AQ$58" lockText="1" noThreeD="1"/>
</file>

<file path=xl/ctrlProps/ctrlProp42.xml><?xml version="1.0" encoding="utf-8"?>
<formControlPr xmlns="http://schemas.microsoft.com/office/spreadsheetml/2009/9/main" objectType="CheckBox" checked="Checked" fmlaLink="$NP$7" lockText="1" noThreeD="1"/>
</file>

<file path=xl/ctrlProps/ctrlProp43.xml><?xml version="1.0" encoding="utf-8"?>
<formControlPr xmlns="http://schemas.microsoft.com/office/spreadsheetml/2009/9/main" objectType="CheckBox" fmlaLink="$SA$79" lockText="1" noThreeD="1"/>
</file>

<file path=xl/ctrlProps/ctrlProp44.xml><?xml version="1.0" encoding="utf-8"?>
<formControlPr xmlns="http://schemas.microsoft.com/office/spreadsheetml/2009/9/main" objectType="CheckBox" checked="Checked" fmlaLink="$BE$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6</xdr:row>
      <xdr:rowOff>0</xdr:rowOff>
    </xdr:from>
    <xdr:to>
      <xdr:col>6</xdr:col>
      <xdr:colOff>0</xdr:colOff>
      <xdr:row>22</xdr:row>
      <xdr:rowOff>22186</xdr:rowOff>
    </xdr:to>
    <xdr:graphicFrame macro="">
      <xdr:nvGraphicFramePr>
        <xdr:cNvPr id="2" name="Design_Drawing_Char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</xdr:row>
          <xdr:rowOff>85725</xdr:rowOff>
        </xdr:from>
        <xdr:to>
          <xdr:col>1</xdr:col>
          <xdr:colOff>333375</xdr:colOff>
          <xdr:row>7</xdr:row>
          <xdr:rowOff>133350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PILE DIVEATION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7</xdr:row>
          <xdr:rowOff>133350</xdr:rowOff>
        </xdr:from>
        <xdr:to>
          <xdr:col>1</xdr:col>
          <xdr:colOff>333375</xdr:colOff>
          <xdr:row>8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DIMENSION</a:t>
              </a:r>
            </a:p>
          </xdr:txBody>
        </xdr:sp>
        <xdr:clientData fLocksWithSheet="0"/>
      </xdr:twoCellAnchor>
    </mc:Choice>
    <mc:Fallback/>
  </mc:AlternateContent>
  <xdr:twoCellAnchor>
    <xdr:from>
      <xdr:col>0</xdr:col>
      <xdr:colOff>0</xdr:colOff>
      <xdr:row>22</xdr:row>
      <xdr:rowOff>0</xdr:rowOff>
    </xdr:from>
    <xdr:to>
      <xdr:col>6</xdr:col>
      <xdr:colOff>0</xdr:colOff>
      <xdr:row>38</xdr:row>
      <xdr:rowOff>0</xdr:rowOff>
    </xdr:to>
    <xdr:graphicFrame macro="">
      <xdr:nvGraphicFramePr>
        <xdr:cNvPr id="4" name="Modify_Drawing_Chart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1</xdr:col>
      <xdr:colOff>379535</xdr:colOff>
      <xdr:row>38</xdr:row>
      <xdr:rowOff>152400</xdr:rowOff>
    </xdr:to>
    <xdr:graphicFrame macro="">
      <xdr:nvGraphicFramePr>
        <xdr:cNvPr id="5" name="แผนภูมิ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54</xdr:row>
          <xdr:rowOff>19050</xdr:rowOff>
        </xdr:from>
        <xdr:to>
          <xdr:col>16</xdr:col>
          <xdr:colOff>285750</xdr:colOff>
          <xdr:row>55</xdr:row>
          <xdr:rowOff>19050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56</xdr:row>
          <xdr:rowOff>19050</xdr:rowOff>
        </xdr:from>
        <xdr:to>
          <xdr:col>16</xdr:col>
          <xdr:colOff>285750</xdr:colOff>
          <xdr:row>56</xdr:row>
          <xdr:rowOff>209550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50</xdr:row>
      <xdr:rowOff>238124</xdr:rowOff>
    </xdr:from>
    <xdr:to>
      <xdr:col>5</xdr:col>
      <xdr:colOff>628649</xdr:colOff>
      <xdr:row>62</xdr:row>
      <xdr:rowOff>0</xdr:rowOff>
    </xdr:to>
    <xdr:graphicFrame macro="">
      <xdr:nvGraphicFramePr>
        <xdr:cNvPr id="6" name="Section_Drawing_Ch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6</xdr:col>
          <xdr:colOff>0</xdr:colOff>
          <xdr:row>63</xdr:row>
          <xdr:rowOff>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9525</xdr:rowOff>
        </xdr:from>
        <xdr:to>
          <xdr:col>3</xdr:col>
          <xdr:colOff>0</xdr:colOff>
          <xdr:row>62</xdr:row>
          <xdr:rowOff>200025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PERIMETER REINFORCEMENT  &gt;&gt;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63</xdr:row>
          <xdr:rowOff>9525</xdr:rowOff>
        </xdr:from>
        <xdr:to>
          <xdr:col>16</xdr:col>
          <xdr:colOff>0</xdr:colOff>
          <xdr:row>64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347382</xdr:colOff>
      <xdr:row>17</xdr:row>
      <xdr:rowOff>100854</xdr:rowOff>
    </xdr:from>
    <xdr:to>
      <xdr:col>12</xdr:col>
      <xdr:colOff>459442</xdr:colOff>
      <xdr:row>55</xdr:row>
      <xdr:rowOff>123265</xdr:rowOff>
    </xdr:to>
    <xdr:grpSp>
      <xdr:nvGrpSpPr>
        <xdr:cNvPr id="11" name="GROUP_TEXT_1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414182" y="3434604"/>
          <a:ext cx="6522385" cy="7928161"/>
          <a:chOff x="12853147" y="3148853"/>
          <a:chExt cx="5670177" cy="7575176"/>
        </a:xfrm>
      </xdr:grpSpPr>
      <xdr:sp macro="" textlink="">
        <xdr:nvSpPr>
          <xdr:cNvPr id="7" name="BOX_DETAILS_1" hidden="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853147" y="3148853"/>
            <a:ext cx="5670177" cy="7575176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  <a:effectLst>
            <a:outerShdw blurRad="50800" dist="3810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กล่องข้อความ 7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253882" y="3350558"/>
            <a:ext cx="3059206" cy="3473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Description of Variables</a:t>
            </a:r>
          </a:p>
        </xdr:txBody>
      </xdr:sp>
      <xdr:sp macro="" textlink="">
        <xdr:nvSpPr>
          <xdr:cNvPr id="9" name="กล่องข้อความ 8" hidden="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3077265" y="3944470"/>
            <a:ext cx="5221940" cy="12774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Ri = P  ----------------------------------------------------------------------------------①</a:t>
            </a:r>
          </a:p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Rxi = P/2 ± (My/Lx)  ---------------------------------------------------------------②</a:t>
            </a:r>
          </a:p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Ryi = P/2 ± (Mx/Ly)  ---------------------------------------------------------------③</a:t>
            </a:r>
          </a:p>
          <a:p>
            <a:pPr algn="l"/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Ri = P/n + (Mx·Yi / </a:t>
            </a:r>
            <a:r>
              <a:rPr lang="el-GR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Σ</a:t>
            </a:r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Yi²) + (My·Xi / </a:t>
            </a:r>
            <a:r>
              <a:rPr lang="el-GR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Σ</a:t>
            </a:r>
            <a:r>
              <a:rPr lang="en-US" sz="16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Xi²)  ----------------------------------④</a:t>
            </a:r>
            <a:endParaRPr lang="en-US" sz="1600" b="1"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0" name="กล่องข้อความ 9" hidden="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3077265" y="5266764"/>
            <a:ext cx="5221940" cy="52219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Symbol</a:t>
            </a:r>
            <a:r>
              <a:rPr lang="th-TH" sz="20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</a:t>
            </a:r>
            <a:r>
              <a:rPr lang="th-TH" sz="2000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 </a:t>
            </a:r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Description</a:t>
            </a:r>
            <a:r>
              <a:rPr lang="th-TH" sz="20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</a:t>
            </a:r>
            <a:r>
              <a:rPr lang="th-TH" sz="2000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       </a:t>
            </a:r>
            <a:r>
              <a:rPr lang="en-US" sz="2000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       </a:t>
            </a:r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Unit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Ri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Axial reaction force in</a:t>
            </a:r>
            <a:r>
              <a:rPr lang="th-TH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pile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i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Ton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P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Total vertical axial load acting </a:t>
            </a:r>
            <a:endParaRPr lang="th-TH" sz="2000">
              <a:latin typeface="TH SarabunPSK" panose="020B0500040200020003" pitchFamily="34" charset="-34"/>
              <a:cs typeface="TH SarabunPSK" panose="020B0500040200020003" pitchFamily="34" charset="-34"/>
            </a:endParaRPr>
          </a:p>
          <a:p>
            <a:r>
              <a:rPr lang="th-TH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on the pile groupTon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n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Number of piles in the pile group-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Mx</a:t>
            </a:r>
            <a:r>
              <a:rPr lang="th-TH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Bending moment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about                           Ton·m</a:t>
            </a:r>
            <a:endParaRPr lang="th-TH" sz="2000">
              <a:solidFill>
                <a:schemeClr val="dk1"/>
              </a:solidFill>
              <a:latin typeface="TH SarabunPSK" panose="020B0500040200020003" pitchFamily="34" charset="-34"/>
              <a:ea typeface="+mn-ea"/>
              <a:cs typeface="TH SarabunPSK" panose="020B0500040200020003" pitchFamily="34" charset="-34"/>
            </a:endParaRP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the X-axis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(P × ey)</a:t>
            </a:r>
            <a:endParaRPr lang="en-US" sz="2000">
              <a:latin typeface="TH SarabunPSK" panose="020B0500040200020003" pitchFamily="34" charset="-34"/>
              <a:cs typeface="TH SarabunPSK" panose="020B0500040200020003" pitchFamily="34" charset="-34"/>
            </a:endParaRP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My         </a:t>
            </a:r>
            <a:r>
              <a:rPr lang="en-US" sz="2000" b="1" baseline="0">
                <a:latin typeface="TH SarabunPSK" panose="020B0500040200020003" pitchFamily="34" charset="-34"/>
                <a:cs typeface="TH SarabunPSK" panose="020B0500040200020003" pitchFamily="34" charset="-34"/>
              </a:rPr>
              <a:t>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Bending moment about                          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Ton·m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the Y-axis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(P × ex)</a:t>
            </a:r>
            <a:endParaRPr lang="en-US" sz="2000">
              <a:latin typeface="TH SarabunPSK" panose="020B0500040200020003" pitchFamily="34" charset="-34"/>
              <a:cs typeface="TH SarabunPSK" panose="020B0500040200020003" pitchFamily="34" charset="-34"/>
            </a:endParaRP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Xi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X-coordinate of pile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i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measured                   m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from the pile group centroid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Yi   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Y-coordinate of pile </a:t>
            </a:r>
            <a:r>
              <a:rPr lang="en-US" sz="2000" i="1">
                <a:latin typeface="TH SarabunPSK" panose="020B0500040200020003" pitchFamily="34" charset="-34"/>
                <a:cs typeface="TH SarabunPSK" panose="020B0500040200020003" pitchFamily="34" charset="-34"/>
              </a:rPr>
              <a:t>i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measured                   m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from the pile group centroid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ΣXi²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Sum of the squared                                  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m²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X-coordinates of all piles</a:t>
            </a:r>
          </a:p>
          <a:p>
            <a:r>
              <a:rPr lang="en-US" sz="2000" b="1">
                <a:latin typeface="TH SarabunPSK" panose="020B0500040200020003" pitchFamily="34" charset="-34"/>
                <a:cs typeface="TH SarabunPSK" panose="020B0500040200020003" pitchFamily="34" charset="-34"/>
              </a:rPr>
              <a:t>ΣYi²         </a:t>
            </a:r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Sum of the squared                                   </a:t>
            </a:r>
            <a:r>
              <a:rPr lang="en-US" sz="2000">
                <a:solidFill>
                  <a:schemeClr val="dk1"/>
                </a:solidFill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m²</a:t>
            </a:r>
          </a:p>
          <a:p>
            <a:r>
              <a:rPr lang="en-US" sz="2000">
                <a:latin typeface="TH SarabunPSK" panose="020B0500040200020003" pitchFamily="34" charset="-34"/>
                <a:cs typeface="TH SarabunPSK" panose="020B0500040200020003" pitchFamily="34" charset="-34"/>
              </a:rPr>
              <a:t>               Y-coordinates of all piles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40</xdr:row>
          <xdr:rowOff>66675</xdr:rowOff>
        </xdr:from>
        <xdr:to>
          <xdr:col>16</xdr:col>
          <xdr:colOff>276225</xdr:colOff>
          <xdr:row>40</xdr:row>
          <xdr:rowOff>209550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41</xdr:row>
          <xdr:rowOff>57150</xdr:rowOff>
        </xdr:from>
        <xdr:to>
          <xdr:col>16</xdr:col>
          <xdr:colOff>276225</xdr:colOff>
          <xdr:row>41</xdr:row>
          <xdr:rowOff>200025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42</xdr:row>
          <xdr:rowOff>57150</xdr:rowOff>
        </xdr:from>
        <xdr:to>
          <xdr:col>16</xdr:col>
          <xdr:colOff>266700</xdr:colOff>
          <xdr:row>42</xdr:row>
          <xdr:rowOff>200025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43</xdr:row>
          <xdr:rowOff>47625</xdr:rowOff>
        </xdr:from>
        <xdr:to>
          <xdr:col>16</xdr:col>
          <xdr:colOff>266700</xdr:colOff>
          <xdr:row>43</xdr:row>
          <xdr:rowOff>190500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44</xdr:row>
          <xdr:rowOff>57150</xdr:rowOff>
        </xdr:from>
        <xdr:to>
          <xdr:col>16</xdr:col>
          <xdr:colOff>266700</xdr:colOff>
          <xdr:row>44</xdr:row>
          <xdr:rowOff>200025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45</xdr:row>
          <xdr:rowOff>57150</xdr:rowOff>
        </xdr:from>
        <xdr:to>
          <xdr:col>16</xdr:col>
          <xdr:colOff>266700</xdr:colOff>
          <xdr:row>45</xdr:row>
          <xdr:rowOff>200025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39</xdr:row>
          <xdr:rowOff>57150</xdr:rowOff>
        </xdr:from>
        <xdr:to>
          <xdr:col>15</xdr:col>
          <xdr:colOff>590550</xdr:colOff>
          <xdr:row>39</xdr:row>
          <xdr:rowOff>200025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39</xdr:row>
          <xdr:rowOff>0</xdr:rowOff>
        </xdr:from>
        <xdr:to>
          <xdr:col>20</xdr:col>
          <xdr:colOff>0</xdr:colOff>
          <xdr:row>40</xdr:row>
          <xdr:rowOff>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43</xdr:row>
          <xdr:rowOff>0</xdr:rowOff>
        </xdr:from>
        <xdr:to>
          <xdr:col>20</xdr:col>
          <xdr:colOff>0</xdr:colOff>
          <xdr:row>46</xdr:row>
          <xdr:rowOff>0</xdr:rowOff>
        </xdr:to>
        <xdr:sp macro="" textlink="">
          <xdr:nvSpPr>
            <xdr:cNvPr id="1055" name="CLEAR_BT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9900"/>
                  </a:solidFill>
                  <a:latin typeface="TH SarabunPSK"/>
                  <a:cs typeface="TH SarabunPSK"/>
                </a:rPr>
                <a:t>RESET NODE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30</xdr:row>
          <xdr:rowOff>0</xdr:rowOff>
        </xdr:from>
        <xdr:to>
          <xdr:col>16</xdr:col>
          <xdr:colOff>552450</xdr:colOff>
          <xdr:row>31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2</xdr:col>
          <xdr:colOff>247650</xdr:colOff>
          <xdr:row>24</xdr:row>
          <xdr:rowOff>47625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CRITICAL LINE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20</xdr:col>
          <xdr:colOff>0</xdr:colOff>
          <xdr:row>51</xdr:row>
          <xdr:rowOff>0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85725</xdr:rowOff>
        </xdr:from>
        <xdr:to>
          <xdr:col>17</xdr:col>
          <xdr:colOff>390525</xdr:colOff>
          <xdr:row>5</xdr:row>
          <xdr:rowOff>0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64</xdr:row>
          <xdr:rowOff>57150</xdr:rowOff>
        </xdr:from>
        <xdr:to>
          <xdr:col>16</xdr:col>
          <xdr:colOff>0</xdr:colOff>
          <xdr:row>65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65</xdr:row>
          <xdr:rowOff>57150</xdr:rowOff>
        </xdr:from>
        <xdr:to>
          <xdr:col>16</xdr:col>
          <xdr:colOff>0</xdr:colOff>
          <xdr:row>66</xdr:row>
          <xdr:rowOff>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66</xdr:row>
          <xdr:rowOff>57150</xdr:rowOff>
        </xdr:from>
        <xdr:to>
          <xdr:col>16</xdr:col>
          <xdr:colOff>0</xdr:colOff>
          <xdr:row>67</xdr:row>
          <xdr:rowOff>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0</xdr:colOff>
      <xdr:row>17</xdr:row>
      <xdr:rowOff>38100</xdr:rowOff>
    </xdr:from>
    <xdr:to>
      <xdr:col>1</xdr:col>
      <xdr:colOff>379535</xdr:colOff>
      <xdr:row>22</xdr:row>
      <xdr:rowOff>0</xdr:rowOff>
    </xdr:to>
    <xdr:graphicFrame macro="">
      <xdr:nvGraphicFramePr>
        <xdr:cNvPr id="12" name="แผนภูมิ 11">
          <a:extLst>
            <a:ext uri="{FF2B5EF4-FFF2-40B4-BE49-F238E27FC236}">
              <a16:creationId xmlns:a16="http://schemas.microsoft.com/office/drawing/2014/main" id="{EBE2866F-7C42-425C-B029-7432ED0EF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22</xdr:row>
          <xdr:rowOff>0</xdr:rowOff>
        </xdr:from>
        <xdr:to>
          <xdr:col>6</xdr:col>
          <xdr:colOff>0</xdr:colOff>
          <xdr:row>23</xdr:row>
          <xdr:rowOff>47625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MOMENT DIRECTIONOMENT DIRECTION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2</xdr:col>
          <xdr:colOff>247650</xdr:colOff>
          <xdr:row>23</xdr:row>
          <xdr:rowOff>47625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eelawadee"/>
                  <a:cs typeface="Leelawadee"/>
                </a:rPr>
                <a:t>NEW CG. PILE GROUP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0</xdr:colOff>
          <xdr:row>0</xdr:row>
          <xdr:rowOff>0</xdr:rowOff>
        </xdr:from>
        <xdr:to>
          <xdr:col>45</xdr:col>
          <xdr:colOff>0</xdr:colOff>
          <xdr:row>2</xdr:row>
          <xdr:rowOff>200025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Error Re-Check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0</xdr:row>
          <xdr:rowOff>0</xdr:rowOff>
        </xdr:from>
        <xdr:to>
          <xdr:col>48</xdr:col>
          <xdr:colOff>0</xdr:colOff>
          <xdr:row>3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CELL AREA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17</xdr:row>
          <xdr:rowOff>0</xdr:rowOff>
        </xdr:from>
        <xdr:to>
          <xdr:col>17</xdr:col>
          <xdr:colOff>552450</xdr:colOff>
          <xdr:row>18</xdr:row>
          <xdr:rowOff>19050</xdr:rowOff>
        </xdr:to>
        <xdr:sp macro="" textlink="">
          <xdr:nvSpPr>
            <xdr:cNvPr id="1067" name="PCX-01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18</xdr:row>
          <xdr:rowOff>0</xdr:rowOff>
        </xdr:from>
        <xdr:to>
          <xdr:col>17</xdr:col>
          <xdr:colOff>552450</xdr:colOff>
          <xdr:row>19</xdr:row>
          <xdr:rowOff>19050</xdr:rowOff>
        </xdr:to>
        <xdr:sp macro="" textlink="">
          <xdr:nvSpPr>
            <xdr:cNvPr id="1068" name="PCX-02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19</xdr:row>
          <xdr:rowOff>0</xdr:rowOff>
        </xdr:from>
        <xdr:to>
          <xdr:col>17</xdr:col>
          <xdr:colOff>552450</xdr:colOff>
          <xdr:row>20</xdr:row>
          <xdr:rowOff>19050</xdr:rowOff>
        </xdr:to>
        <xdr:sp macro="" textlink="">
          <xdr:nvSpPr>
            <xdr:cNvPr id="1069" name="PCX-0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20</xdr:row>
          <xdr:rowOff>0</xdr:rowOff>
        </xdr:from>
        <xdr:to>
          <xdr:col>17</xdr:col>
          <xdr:colOff>552450</xdr:colOff>
          <xdr:row>21</xdr:row>
          <xdr:rowOff>19050</xdr:rowOff>
        </xdr:to>
        <xdr:sp macro="" textlink="">
          <xdr:nvSpPr>
            <xdr:cNvPr id="1070" name="PCX-04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21</xdr:row>
          <xdr:rowOff>0</xdr:rowOff>
        </xdr:from>
        <xdr:to>
          <xdr:col>17</xdr:col>
          <xdr:colOff>552450</xdr:colOff>
          <xdr:row>22</xdr:row>
          <xdr:rowOff>19050</xdr:rowOff>
        </xdr:to>
        <xdr:sp macro="" textlink="">
          <xdr:nvSpPr>
            <xdr:cNvPr id="1071" name="PCX-0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0</xdr:row>
          <xdr:rowOff>0</xdr:rowOff>
        </xdr:from>
        <xdr:to>
          <xdr:col>50</xdr:col>
          <xdr:colOff>523875</xdr:colOff>
          <xdr:row>3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Fine Zero In chart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829234</xdr:colOff>
      <xdr:row>0</xdr:row>
      <xdr:rowOff>0</xdr:rowOff>
    </xdr:from>
    <xdr:to>
      <xdr:col>36</xdr:col>
      <xdr:colOff>605116</xdr:colOff>
      <xdr:row>70</xdr:row>
      <xdr:rowOff>0</xdr:rowOff>
    </xdr:to>
    <xdr:pic>
      <xdr:nvPicPr>
        <xdr:cNvPr id="15" name="รูปภาพ 14">
          <a:extLst>
            <a:ext uri="{FF2B5EF4-FFF2-40B4-BE49-F238E27FC236}">
              <a16:creationId xmlns:a16="http://schemas.microsoft.com/office/drawing/2014/main" id="{21166AB1-B5E1-F970-A343-097C298C8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3293" y="0"/>
          <a:ext cx="10735235" cy="145900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16</xdr:row>
          <xdr:rowOff>114300</xdr:rowOff>
        </xdr:from>
        <xdr:to>
          <xdr:col>30</xdr:col>
          <xdr:colOff>0</xdr:colOff>
          <xdr:row>42</xdr:row>
          <xdr:rowOff>0</xdr:rowOff>
        </xdr:to>
        <xdr:sp macro="" textlink="">
          <xdr:nvSpPr>
            <xdr:cNvPr id="1073" name="TextBox1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52</xdr:row>
          <xdr:rowOff>0</xdr:rowOff>
        </xdr:from>
        <xdr:to>
          <xdr:col>30</xdr:col>
          <xdr:colOff>0</xdr:colOff>
          <xdr:row>54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ngsanaUPC"/>
                  <a:cs typeface="AngsanaUPC"/>
                </a:rPr>
                <a:t>REFRESH NEWS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247650</xdr:colOff>
          <xdr:row>52</xdr:row>
          <xdr:rowOff>0</xdr:rowOff>
        </xdr:from>
        <xdr:to>
          <xdr:col>25</xdr:col>
          <xdr:colOff>0</xdr:colOff>
          <xdr:row>54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ngsanaUPC"/>
                  <a:cs typeface="AngsanaUPC"/>
                </a:rPr>
                <a:t>คู่มือการใช้โปรแกรมและบทความ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42</xdr:row>
          <xdr:rowOff>0</xdr:rowOff>
        </xdr:from>
        <xdr:to>
          <xdr:col>30</xdr:col>
          <xdr:colOff>0</xdr:colOff>
          <xdr:row>48</xdr:row>
          <xdr:rowOff>0</xdr:rowOff>
        </xdr:to>
        <xdr:sp macro="" textlink="">
          <xdr:nvSpPr>
            <xdr:cNvPr id="1076" name="TextBox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48</xdr:row>
          <xdr:rowOff>0</xdr:rowOff>
        </xdr:from>
        <xdr:to>
          <xdr:col>30</xdr:col>
          <xdr:colOff>0</xdr:colOff>
          <xdr:row>52</xdr:row>
          <xdr:rowOff>0</xdr:rowOff>
        </xdr:to>
        <xdr:sp macro="" textlink="">
          <xdr:nvSpPr>
            <xdr:cNvPr id="1078" name="CommentSent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48</xdr:row>
          <xdr:rowOff>0</xdr:rowOff>
        </xdr:from>
        <xdr:to>
          <xdr:col>28</xdr:col>
          <xdr:colOff>0</xdr:colOff>
          <xdr:row>50</xdr:row>
          <xdr:rowOff>0</xdr:rowOff>
        </xdr:to>
        <xdr:sp macro="" textlink="">
          <xdr:nvSpPr>
            <xdr:cNvPr id="1079" name="TextBox3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50</xdr:row>
          <xdr:rowOff>0</xdr:rowOff>
        </xdr:from>
        <xdr:to>
          <xdr:col>28</xdr:col>
          <xdr:colOff>0</xdr:colOff>
          <xdr:row>52</xdr:row>
          <xdr:rowOff>0</xdr:rowOff>
        </xdr:to>
        <xdr:sp macro="" textlink="">
          <xdr:nvSpPr>
            <xdr:cNvPr id="1084" name="AttachButt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190500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ลบค่าพิกัดตอม่อ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ลบหมายเลขเสาเข็ม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ลบค่าพิกัดเสาเข็มฐานราก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35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ngsanaUPC"/>
                  <a:cs typeface="AngsanaUPC"/>
                </a:rPr>
                <a:t>ลบค่าพิกัดเสาเข็มตอกแซม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19</xdr:col>
          <xdr:colOff>0</xdr:colOff>
          <xdr:row>6</xdr:row>
          <xdr:rowOff>0</xdr:rowOff>
        </xdr:to>
        <xdr:sp macro="" textlink="">
          <xdr:nvSpPr>
            <xdr:cNvPr id="1090" name="Drop Dow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536062</xdr:colOff>
      <xdr:row>41</xdr:row>
      <xdr:rowOff>47204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D41B87FE-BA28-4E0C-8F74-C72A1898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4462" cy="12153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9" Type="http://schemas.openxmlformats.org/officeDocument/2006/relationships/ctrlProp" Target="../ctrlProps/ctrlProp26.xml"/><Relationship Id="rId21" Type="http://schemas.openxmlformats.org/officeDocument/2006/relationships/ctrlProp" Target="../ctrlProps/ctrlProp8.xml"/><Relationship Id="rId34" Type="http://schemas.openxmlformats.org/officeDocument/2006/relationships/ctrlProp" Target="../ctrlProps/ctrlProp21.xml"/><Relationship Id="rId42" Type="http://schemas.openxmlformats.org/officeDocument/2006/relationships/ctrlProp" Target="../ctrlProps/ctrlProp29.xml"/><Relationship Id="rId47" Type="http://schemas.openxmlformats.org/officeDocument/2006/relationships/ctrlProp" Target="../ctrlProps/ctrlProp34.xml"/><Relationship Id="rId50" Type="http://schemas.openxmlformats.org/officeDocument/2006/relationships/ctrlProp" Target="../ctrlProps/ctrlProp37.xml"/><Relationship Id="rId55" Type="http://schemas.openxmlformats.org/officeDocument/2006/relationships/ctrlProp" Target="../ctrlProps/ctrlProp4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33" Type="http://schemas.openxmlformats.org/officeDocument/2006/relationships/ctrlProp" Target="../ctrlProps/ctrlProp20.xml"/><Relationship Id="rId38" Type="http://schemas.openxmlformats.org/officeDocument/2006/relationships/ctrlProp" Target="../ctrlProps/ctrlProp25.xml"/><Relationship Id="rId46" Type="http://schemas.openxmlformats.org/officeDocument/2006/relationships/ctrlProp" Target="../ctrlProps/ctrlProp3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41" Type="http://schemas.openxmlformats.org/officeDocument/2006/relationships/ctrlProp" Target="../ctrlProps/ctrlProp28.xml"/><Relationship Id="rId54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32" Type="http://schemas.openxmlformats.org/officeDocument/2006/relationships/ctrlProp" Target="../ctrlProps/ctrlProp19.xml"/><Relationship Id="rId37" Type="http://schemas.openxmlformats.org/officeDocument/2006/relationships/ctrlProp" Target="../ctrlProps/ctrlProp24.xml"/><Relationship Id="rId40" Type="http://schemas.openxmlformats.org/officeDocument/2006/relationships/ctrlProp" Target="../ctrlProps/ctrlProp27.xml"/><Relationship Id="rId45" Type="http://schemas.openxmlformats.org/officeDocument/2006/relationships/ctrlProp" Target="../ctrlProps/ctrlProp32.xml"/><Relationship Id="rId53" Type="http://schemas.openxmlformats.org/officeDocument/2006/relationships/ctrlProp" Target="../ctrlProps/ctrlProp40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36" Type="http://schemas.openxmlformats.org/officeDocument/2006/relationships/ctrlProp" Target="../ctrlProps/ctrlProp23.xml"/><Relationship Id="rId49" Type="http://schemas.openxmlformats.org/officeDocument/2006/relationships/ctrlProp" Target="../ctrlProps/ctrlProp36.xml"/><Relationship Id="rId57" Type="http://schemas.openxmlformats.org/officeDocument/2006/relationships/ctrlProp" Target="../ctrlProps/ctrlProp44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31" Type="http://schemas.openxmlformats.org/officeDocument/2006/relationships/ctrlProp" Target="../ctrlProps/ctrlProp18.xml"/><Relationship Id="rId44" Type="http://schemas.openxmlformats.org/officeDocument/2006/relationships/ctrlProp" Target="../ctrlProps/ctrlProp31.xml"/><Relationship Id="rId52" Type="http://schemas.openxmlformats.org/officeDocument/2006/relationships/ctrlProp" Target="../ctrlProps/ctrlProp3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Relationship Id="rId35" Type="http://schemas.openxmlformats.org/officeDocument/2006/relationships/ctrlProp" Target="../ctrlProps/ctrlProp22.xml"/><Relationship Id="rId43" Type="http://schemas.openxmlformats.org/officeDocument/2006/relationships/ctrlProp" Target="../ctrlProps/ctrlProp30.xml"/><Relationship Id="rId48" Type="http://schemas.openxmlformats.org/officeDocument/2006/relationships/ctrlProp" Target="../ctrlProps/ctrlProp35.xml"/><Relationship Id="rId56" Type="http://schemas.openxmlformats.org/officeDocument/2006/relationships/ctrlProp" Target="../ctrlProps/ctrlProp43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8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ADTSpreadsheet" TargetMode="External"/><Relationship Id="rId2" Type="http://schemas.openxmlformats.org/officeDocument/2006/relationships/hyperlink" Target="https://www.facebook.com/kaengdrawing" TargetMode="External"/><Relationship Id="rId1" Type="http://schemas.openxmlformats.org/officeDocument/2006/relationships/hyperlink" Target="http://www.adtspreadshee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99100-29CC-4A7C-B445-8AA2975407D4}">
  <sheetPr codeName="Sheet6"/>
  <dimension ref="A1:VB374"/>
  <sheetViews>
    <sheetView topLeftCell="A24" zoomScaleNormal="100" zoomScaleSheetLayoutView="100" workbookViewId="0">
      <selection activeCell="A5" sqref="A5:O70"/>
    </sheetView>
  </sheetViews>
  <sheetFormatPr defaultRowHeight="18.75" x14ac:dyDescent="0.5"/>
  <cols>
    <col min="1" max="2" width="8" style="2" customWidth="1"/>
    <col min="3" max="3" width="12" style="2" customWidth="1"/>
    <col min="4" max="5" width="6.42578125" style="2" customWidth="1"/>
    <col min="6" max="6" width="9.42578125" style="2" customWidth="1"/>
    <col min="7" max="11" width="9.140625" style="2" customWidth="1"/>
    <col min="12" max="12" width="16.140625" style="2" customWidth="1"/>
    <col min="13" max="13" width="7.28515625" style="2" customWidth="1"/>
    <col min="14" max="15" width="9.5703125" style="2" customWidth="1"/>
    <col min="16" max="16" width="9.140625" style="2"/>
    <col min="17" max="20" width="12.42578125" style="2" customWidth="1"/>
    <col min="21" max="31" width="9.140625" style="2"/>
    <col min="32" max="32" width="15.85546875" style="2" customWidth="1"/>
    <col min="33" max="40" width="9.140625" style="2"/>
    <col min="41" max="41" width="9.140625" style="2" customWidth="1"/>
    <col min="42" max="43" width="9.140625" style="311" hidden="1" customWidth="1"/>
    <col min="44" max="44" width="9.28515625" style="311" hidden="1" customWidth="1"/>
    <col min="45" max="45" width="12.7109375" style="311" hidden="1" customWidth="1"/>
    <col min="46" max="48" width="9.140625" style="311" hidden="1" customWidth="1"/>
    <col min="49" max="49" width="9.28515625" style="311" hidden="1" customWidth="1"/>
    <col min="50" max="50" width="10.28515625" style="311" hidden="1" customWidth="1"/>
    <col min="51" max="53" width="8.5703125" style="311" hidden="1" customWidth="1"/>
    <col min="54" max="56" width="9.28515625" style="311" hidden="1" customWidth="1"/>
    <col min="57" max="63" width="9.140625" style="311" hidden="1" customWidth="1"/>
    <col min="64" max="64" width="17" style="311" hidden="1" customWidth="1"/>
    <col min="65" max="68" width="9.140625" style="311" hidden="1" customWidth="1"/>
    <col min="69" max="69" width="25.5703125" style="311" hidden="1" customWidth="1"/>
    <col min="70" max="72" width="9.140625" style="311" hidden="1" customWidth="1"/>
    <col min="73" max="73" width="11.140625" style="311" hidden="1" customWidth="1"/>
    <col min="74" max="74" width="11" style="311" hidden="1" customWidth="1"/>
    <col min="75" max="75" width="9.85546875" style="311" hidden="1" customWidth="1"/>
    <col min="76" max="77" width="9.140625" style="311" hidden="1" customWidth="1"/>
    <col min="78" max="78" width="11" style="311" hidden="1" customWidth="1"/>
    <col min="79" max="94" width="11.140625" style="311" hidden="1" customWidth="1"/>
    <col min="95" max="95" width="15" style="311" hidden="1" customWidth="1"/>
    <col min="96" max="109" width="11.140625" style="311" hidden="1" customWidth="1"/>
    <col min="110" max="110" width="14" style="311" hidden="1" customWidth="1"/>
    <col min="111" max="114" width="11.140625" style="311" hidden="1" customWidth="1"/>
    <col min="115" max="115" width="5.7109375" style="311" hidden="1" customWidth="1"/>
    <col min="116" max="119" width="11.140625" style="311" hidden="1" customWidth="1"/>
    <col min="120" max="120" width="9.140625" style="311" hidden="1" customWidth="1"/>
    <col min="121" max="121" width="11" style="311" hidden="1" customWidth="1"/>
    <col min="122" max="122" width="11.140625" style="311" hidden="1" customWidth="1"/>
    <col min="123" max="127" width="9.140625" style="311" hidden="1" customWidth="1"/>
    <col min="128" max="128" width="12.28515625" style="311" hidden="1" customWidth="1"/>
    <col min="129" max="151" width="9.140625" style="311" hidden="1" customWidth="1"/>
    <col min="152" max="152" width="14.85546875" style="311" hidden="1" customWidth="1"/>
    <col min="153" max="153" width="15.28515625" style="311" hidden="1" customWidth="1"/>
    <col min="154" max="155" width="14.85546875" style="311" hidden="1" customWidth="1"/>
    <col min="156" max="158" width="16.5703125" style="311" hidden="1" customWidth="1"/>
    <col min="159" max="159" width="15.5703125" style="311" hidden="1" customWidth="1"/>
    <col min="160" max="165" width="9.140625" style="311" hidden="1" customWidth="1"/>
    <col min="166" max="166" width="13.5703125" style="311" hidden="1" customWidth="1"/>
    <col min="167" max="170" width="9.140625" style="311" hidden="1" customWidth="1"/>
    <col min="171" max="171" width="12.28515625" style="311" hidden="1" customWidth="1"/>
    <col min="172" max="172" width="12.85546875" style="311" hidden="1" customWidth="1"/>
    <col min="173" max="206" width="9.140625" style="311" hidden="1" customWidth="1"/>
    <col min="207" max="207" width="15.5703125" style="311" hidden="1" customWidth="1"/>
    <col min="208" max="218" width="9.140625" style="311" hidden="1" customWidth="1"/>
    <col min="219" max="221" width="9.140625" style="310" hidden="1" customWidth="1"/>
    <col min="222" max="319" width="9.140625" style="311" hidden="1" customWidth="1"/>
    <col min="320" max="345" width="10.28515625" style="311" hidden="1" customWidth="1"/>
    <col min="346" max="347" width="1.85546875" style="311" hidden="1" customWidth="1"/>
    <col min="348" max="375" width="9.140625" style="311" hidden="1" customWidth="1"/>
    <col min="376" max="376" width="9.85546875" style="311" hidden="1" customWidth="1"/>
    <col min="377" max="378" width="9.140625" style="311" hidden="1" customWidth="1"/>
    <col min="379" max="380" width="11.42578125" style="311" hidden="1" customWidth="1"/>
    <col min="381" max="396" width="9.140625" style="311" hidden="1" customWidth="1"/>
    <col min="397" max="397" width="16.85546875" style="311" hidden="1" customWidth="1"/>
    <col min="398" max="447" width="9.140625" style="311" hidden="1" customWidth="1"/>
    <col min="448" max="448" width="10.28515625" style="311" hidden="1" customWidth="1"/>
    <col min="449" max="481" width="9.140625" style="311" hidden="1" customWidth="1"/>
    <col min="482" max="491" width="17.28515625" style="311" hidden="1" customWidth="1"/>
    <col min="492" max="492" width="13.28515625" style="311" hidden="1" customWidth="1"/>
    <col min="493" max="508" width="9.140625" style="311" hidden="1" customWidth="1"/>
    <col min="509" max="509" width="7.28515625" style="218" customWidth="1"/>
    <col min="510" max="556" width="9.140625" style="218"/>
    <col min="557" max="573" width="9.140625" style="214"/>
    <col min="574" max="16384" width="9.140625" style="2"/>
  </cols>
  <sheetData>
    <row r="1" spans="1:574" s="1" customFormat="1" ht="15.75" customHeight="1" x14ac:dyDescent="0.5">
      <c r="A1" s="5" t="s">
        <v>0</v>
      </c>
      <c r="B1" s="592" t="s">
        <v>630</v>
      </c>
      <c r="C1" s="592"/>
      <c r="D1" s="592"/>
      <c r="E1" s="592"/>
      <c r="F1" s="592"/>
      <c r="G1" s="592"/>
      <c r="H1" s="592"/>
      <c r="I1" s="592"/>
      <c r="J1" s="6"/>
      <c r="K1" s="7" t="s">
        <v>1</v>
      </c>
      <c r="L1" s="592" t="s">
        <v>633</v>
      </c>
      <c r="M1" s="592"/>
      <c r="N1" s="592"/>
      <c r="O1" s="592"/>
      <c r="P1" s="745" t="s">
        <v>473</v>
      </c>
      <c r="Q1" s="745"/>
      <c r="R1" s="745"/>
      <c r="S1" s="745"/>
      <c r="T1" s="745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9"/>
      <c r="AM1" s="9"/>
      <c r="AN1" s="9"/>
      <c r="AO1" s="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09"/>
      <c r="BB1" s="309"/>
      <c r="BC1" s="309"/>
      <c r="BD1" s="309"/>
      <c r="BE1" s="309"/>
      <c r="BF1" s="309"/>
      <c r="BG1" s="309"/>
      <c r="BH1" s="309"/>
      <c r="BI1" s="309"/>
      <c r="BJ1" s="309"/>
      <c r="BK1" s="309"/>
      <c r="BL1" s="309"/>
      <c r="BM1" s="309"/>
      <c r="BN1" s="309"/>
      <c r="BO1" s="309"/>
      <c r="BP1" s="309"/>
      <c r="BQ1" s="309"/>
      <c r="BR1" s="309"/>
      <c r="BS1" s="309"/>
      <c r="BT1" s="309"/>
      <c r="BU1" s="309"/>
      <c r="BV1" s="309"/>
      <c r="BW1" s="309"/>
      <c r="BX1" s="309"/>
      <c r="BY1" s="309"/>
      <c r="BZ1" s="309"/>
      <c r="CA1" s="309"/>
      <c r="CB1" s="309"/>
      <c r="CC1" s="309"/>
      <c r="CD1" s="309"/>
      <c r="CE1" s="309"/>
      <c r="CF1" s="309"/>
      <c r="CG1" s="309"/>
      <c r="CH1" s="309"/>
      <c r="CI1" s="309"/>
      <c r="CJ1" s="309"/>
      <c r="CK1" s="309"/>
      <c r="CL1" s="309"/>
      <c r="CM1" s="309"/>
      <c r="CN1" s="309"/>
      <c r="CO1" s="309"/>
      <c r="CP1" s="309"/>
      <c r="CQ1" s="309"/>
      <c r="CR1" s="309"/>
      <c r="CS1" s="309"/>
      <c r="CT1" s="309"/>
      <c r="CU1" s="309"/>
      <c r="CV1" s="309"/>
      <c r="CW1" s="309"/>
      <c r="CX1" s="309"/>
      <c r="CY1" s="309"/>
      <c r="CZ1" s="309"/>
      <c r="DA1" s="309"/>
      <c r="DB1" s="309"/>
      <c r="DC1" s="309"/>
      <c r="DD1" s="309"/>
      <c r="DE1" s="309"/>
      <c r="DF1" s="309"/>
      <c r="DG1" s="309"/>
      <c r="DH1" s="309"/>
      <c r="DI1" s="309"/>
      <c r="DJ1" s="309"/>
      <c r="DK1" s="309"/>
      <c r="DL1" s="309"/>
      <c r="DM1" s="309"/>
      <c r="DN1" s="309"/>
      <c r="DO1" s="309"/>
      <c r="DP1" s="309"/>
      <c r="DQ1" s="309"/>
      <c r="DR1" s="309"/>
      <c r="DS1" s="309"/>
      <c r="DT1" s="309"/>
      <c r="DU1" s="309"/>
      <c r="DV1" s="309"/>
      <c r="DW1" s="309"/>
      <c r="DX1" s="309"/>
      <c r="DY1" s="309"/>
      <c r="DZ1" s="309"/>
      <c r="EA1" s="309"/>
      <c r="EB1" s="309"/>
      <c r="EC1" s="309"/>
      <c r="ED1" s="309"/>
      <c r="EE1" s="309"/>
      <c r="EF1" s="309"/>
      <c r="EG1" s="309"/>
      <c r="EH1" s="309"/>
      <c r="EI1" s="309"/>
      <c r="EJ1" s="309"/>
      <c r="EK1" s="309"/>
      <c r="EL1" s="309"/>
      <c r="EM1" s="309"/>
      <c r="EN1" s="309"/>
      <c r="EO1" s="309"/>
      <c r="EP1" s="309"/>
      <c r="EQ1" s="309"/>
      <c r="ER1" s="309"/>
      <c r="ES1" s="309"/>
      <c r="ET1" s="309"/>
      <c r="EU1" s="309"/>
      <c r="EV1" s="309"/>
      <c r="EW1" s="309"/>
      <c r="EX1" s="309"/>
      <c r="EY1" s="309"/>
      <c r="EZ1" s="309"/>
      <c r="FA1" s="309"/>
      <c r="FB1" s="309"/>
      <c r="FC1" s="309"/>
      <c r="FD1" s="309"/>
      <c r="FE1" s="309"/>
      <c r="FF1" s="309"/>
      <c r="FG1" s="309"/>
      <c r="FH1" s="309"/>
      <c r="FI1" s="309"/>
      <c r="FJ1" s="309"/>
      <c r="FK1" s="309"/>
      <c r="FL1" s="309"/>
      <c r="FM1" s="309"/>
      <c r="FN1" s="309"/>
      <c r="FO1" s="309"/>
      <c r="FP1" s="309"/>
      <c r="FQ1" s="309"/>
      <c r="FR1" s="309"/>
      <c r="FS1" s="309"/>
      <c r="FT1" s="309"/>
      <c r="FU1" s="309"/>
      <c r="FV1" s="309"/>
      <c r="FW1" s="309"/>
      <c r="FX1" s="309"/>
      <c r="FY1" s="309"/>
      <c r="FZ1" s="309"/>
      <c r="GA1" s="309"/>
      <c r="GB1" s="309"/>
      <c r="GC1" s="309"/>
      <c r="GD1" s="309"/>
      <c r="GE1" s="309"/>
      <c r="GF1" s="309"/>
      <c r="GG1" s="309"/>
      <c r="GH1" s="309"/>
      <c r="GI1" s="309"/>
      <c r="GJ1" s="309"/>
      <c r="GK1" s="309"/>
      <c r="GL1" s="309"/>
      <c r="GM1" s="309"/>
      <c r="GN1" s="309"/>
      <c r="GO1" s="309"/>
      <c r="GP1" s="309"/>
      <c r="GQ1" s="309"/>
      <c r="GR1" s="309"/>
      <c r="GS1" s="309"/>
      <c r="GT1" s="309"/>
      <c r="GU1" s="309"/>
      <c r="GV1" s="309"/>
      <c r="GW1" s="309"/>
      <c r="GX1" s="309"/>
      <c r="GY1" s="309"/>
      <c r="GZ1" s="309"/>
      <c r="HA1" s="309"/>
      <c r="HB1" s="309"/>
      <c r="HC1" s="309"/>
      <c r="HD1" s="309"/>
      <c r="HE1" s="309"/>
      <c r="HF1" s="309"/>
      <c r="HG1" s="309"/>
      <c r="HH1" s="309"/>
      <c r="HI1" s="309"/>
      <c r="HJ1" s="309"/>
      <c r="HK1" s="310"/>
      <c r="HL1" s="310"/>
      <c r="HM1" s="310"/>
      <c r="HN1" s="309"/>
      <c r="HO1" s="309"/>
      <c r="HP1" s="309"/>
      <c r="HQ1" s="309"/>
      <c r="HR1" s="309"/>
      <c r="HS1" s="309"/>
      <c r="HT1" s="309"/>
      <c r="HU1" s="309"/>
      <c r="HV1" s="309"/>
      <c r="HW1" s="309"/>
      <c r="HX1" s="309"/>
      <c r="HY1" s="309"/>
      <c r="HZ1" s="309"/>
      <c r="IA1" s="309"/>
      <c r="IB1" s="309"/>
      <c r="IC1" s="309"/>
      <c r="ID1" s="309"/>
      <c r="IE1" s="309"/>
      <c r="IF1" s="309"/>
      <c r="IG1" s="309"/>
      <c r="IH1" s="309"/>
      <c r="II1" s="309"/>
      <c r="IJ1" s="309"/>
      <c r="IK1" s="309"/>
      <c r="IL1" s="309"/>
      <c r="IM1" s="309"/>
      <c r="IN1" s="309"/>
      <c r="IO1" s="309"/>
      <c r="IP1" s="309"/>
      <c r="IQ1" s="309"/>
      <c r="IR1" s="309"/>
      <c r="IS1" s="309"/>
      <c r="IT1" s="309"/>
      <c r="IU1" s="309"/>
      <c r="IV1" s="309"/>
      <c r="IW1" s="309"/>
      <c r="IX1" s="309"/>
      <c r="IY1" s="309"/>
      <c r="IZ1" s="309"/>
      <c r="JA1" s="309"/>
      <c r="JB1" s="309"/>
      <c r="JC1" s="309"/>
      <c r="JD1" s="309"/>
      <c r="JE1" s="309"/>
      <c r="JF1" s="309"/>
      <c r="JG1" s="309"/>
      <c r="JH1" s="309"/>
      <c r="JI1" s="309"/>
      <c r="JJ1" s="309"/>
      <c r="JK1" s="309"/>
      <c r="JL1" s="309"/>
      <c r="JM1" s="309"/>
      <c r="JN1" s="309"/>
      <c r="JO1" s="309"/>
      <c r="JP1" s="309"/>
      <c r="JQ1" s="309"/>
      <c r="JR1" s="309"/>
      <c r="JS1" s="309"/>
      <c r="JT1" s="309"/>
      <c r="JU1" s="309"/>
      <c r="JV1" s="309"/>
      <c r="JW1" s="309"/>
      <c r="JX1" s="309"/>
      <c r="JY1" s="309"/>
      <c r="JZ1" s="309"/>
      <c r="KA1" s="309"/>
      <c r="KB1" s="309"/>
      <c r="KC1" s="309"/>
      <c r="KD1" s="309"/>
      <c r="KE1" s="309"/>
      <c r="KF1" s="309"/>
      <c r="KG1" s="309"/>
      <c r="KH1" s="309"/>
      <c r="KI1" s="309"/>
      <c r="KJ1" s="309"/>
      <c r="KK1" s="309"/>
      <c r="KL1" s="309"/>
      <c r="KM1" s="309"/>
      <c r="KN1" s="309"/>
      <c r="KO1" s="309"/>
      <c r="KP1" s="309"/>
      <c r="KQ1" s="309"/>
      <c r="KR1" s="309"/>
      <c r="KS1" s="309"/>
      <c r="KT1" s="309"/>
      <c r="KU1" s="309"/>
      <c r="KV1" s="309"/>
      <c r="KW1" s="309"/>
      <c r="KX1" s="309"/>
      <c r="KY1" s="309"/>
      <c r="KZ1" s="309"/>
      <c r="LA1" s="309"/>
      <c r="LB1" s="309"/>
      <c r="LC1" s="309"/>
      <c r="LD1" s="309"/>
      <c r="LE1" s="309"/>
      <c r="LF1" s="309"/>
      <c r="LG1" s="309"/>
      <c r="LH1" s="309"/>
      <c r="LI1" s="309"/>
      <c r="LJ1" s="309"/>
      <c r="LK1" s="309"/>
      <c r="LL1" s="309"/>
      <c r="LM1" s="309"/>
      <c r="LN1" s="309"/>
      <c r="LO1" s="309"/>
      <c r="LP1" s="309"/>
      <c r="LQ1" s="309"/>
      <c r="LR1" s="309"/>
      <c r="LS1" s="309"/>
      <c r="LT1" s="309"/>
      <c r="LU1" s="309"/>
      <c r="LV1" s="309"/>
      <c r="LW1" s="309"/>
      <c r="LX1" s="309"/>
      <c r="LY1" s="309"/>
      <c r="LZ1" s="309"/>
      <c r="MA1" s="309"/>
      <c r="MB1" s="309"/>
      <c r="MC1" s="309"/>
      <c r="MD1" s="309"/>
      <c r="ME1" s="309"/>
      <c r="MF1" s="309"/>
      <c r="MG1" s="309"/>
      <c r="MH1" s="309"/>
      <c r="MI1" s="309"/>
      <c r="MJ1" s="309"/>
      <c r="MK1" s="309"/>
      <c r="ML1" s="309"/>
      <c r="MM1" s="309"/>
      <c r="MN1" s="309"/>
      <c r="MO1" s="309"/>
      <c r="MP1" s="309"/>
      <c r="MQ1" s="309"/>
      <c r="MR1" s="309"/>
      <c r="MS1" s="309"/>
      <c r="MT1" s="309"/>
      <c r="MU1" s="309"/>
      <c r="MV1" s="309"/>
      <c r="MW1" s="309"/>
      <c r="MX1" s="309"/>
      <c r="MY1" s="309"/>
      <c r="MZ1" s="309"/>
      <c r="NA1" s="309"/>
      <c r="NB1" s="309"/>
      <c r="NC1" s="309"/>
      <c r="ND1" s="309"/>
      <c r="NE1" s="309"/>
      <c r="NF1" s="309"/>
      <c r="NG1" s="309"/>
      <c r="NH1" s="309"/>
      <c r="NI1" s="309"/>
      <c r="NJ1" s="309"/>
      <c r="NK1" s="309"/>
      <c r="NL1" s="309"/>
      <c r="NM1" s="309"/>
      <c r="NN1" s="309"/>
      <c r="NO1" s="309"/>
      <c r="NP1" s="309"/>
      <c r="NQ1" s="309"/>
      <c r="NR1" s="309"/>
      <c r="NS1" s="309"/>
      <c r="NT1" s="309"/>
      <c r="NU1" s="309"/>
      <c r="NV1" s="309"/>
      <c r="NW1" s="309"/>
      <c r="NX1" s="309"/>
      <c r="NY1" s="309"/>
      <c r="NZ1" s="309"/>
      <c r="OA1" s="309"/>
      <c r="OB1" s="309"/>
      <c r="OC1" s="309"/>
      <c r="OD1" s="309"/>
      <c r="OE1" s="309"/>
      <c r="OF1" s="309"/>
      <c r="OG1" s="309"/>
      <c r="OH1" s="309"/>
      <c r="OI1" s="309"/>
      <c r="OJ1" s="309"/>
      <c r="OK1" s="309"/>
      <c r="OL1" s="309"/>
      <c r="OM1" s="309"/>
      <c r="ON1" s="309"/>
      <c r="OO1" s="309"/>
      <c r="OP1" s="309"/>
      <c r="OQ1" s="309"/>
      <c r="OR1" s="309"/>
      <c r="OS1" s="309"/>
      <c r="OT1" s="309"/>
      <c r="OU1" s="309"/>
      <c r="OV1" s="309"/>
      <c r="OW1" s="309"/>
      <c r="OX1" s="309"/>
      <c r="OY1" s="309"/>
      <c r="OZ1" s="309"/>
      <c r="PA1" s="309"/>
      <c r="PB1" s="309"/>
      <c r="PC1" s="309"/>
      <c r="PD1" s="309"/>
      <c r="PE1" s="309"/>
      <c r="PF1" s="309"/>
      <c r="PG1" s="309"/>
      <c r="PH1" s="309"/>
      <c r="PI1" s="309"/>
      <c r="PJ1" s="309"/>
      <c r="PK1" s="309"/>
      <c r="PL1" s="309"/>
      <c r="PM1" s="309"/>
      <c r="PN1" s="309"/>
      <c r="PO1" s="309"/>
      <c r="PP1" s="309"/>
      <c r="PQ1" s="309"/>
      <c r="PR1" s="309"/>
      <c r="PS1" s="309"/>
      <c r="PT1" s="309"/>
      <c r="PU1" s="309"/>
      <c r="PV1" s="309"/>
      <c r="PW1" s="309"/>
      <c r="PX1" s="309"/>
      <c r="PY1" s="309"/>
      <c r="PZ1" s="309"/>
      <c r="QA1" s="309"/>
      <c r="QB1" s="309"/>
      <c r="QC1" s="309"/>
      <c r="QD1" s="309"/>
      <c r="QE1" s="309"/>
      <c r="QF1" s="309"/>
      <c r="QG1" s="309"/>
      <c r="QH1" s="309"/>
      <c r="QI1" s="309"/>
      <c r="QJ1" s="309"/>
      <c r="QK1" s="309"/>
      <c r="QL1" s="309"/>
      <c r="QM1" s="309"/>
      <c r="QN1" s="309"/>
      <c r="QO1" s="309"/>
      <c r="QP1" s="309"/>
      <c r="QQ1" s="309"/>
      <c r="QR1" s="309"/>
      <c r="QS1" s="309"/>
      <c r="QT1" s="309"/>
      <c r="QU1" s="309"/>
      <c r="QV1" s="309"/>
      <c r="QW1" s="309"/>
      <c r="QX1" s="309"/>
      <c r="QY1" s="309"/>
      <c r="QZ1" s="309"/>
      <c r="RA1" s="309"/>
      <c r="RB1" s="309"/>
      <c r="RC1" s="309"/>
      <c r="RD1" s="309"/>
      <c r="RE1" s="309"/>
      <c r="RF1" s="309"/>
      <c r="RG1" s="309"/>
      <c r="RH1" s="309"/>
      <c r="RI1" s="309"/>
      <c r="RJ1" s="309"/>
      <c r="RK1" s="309"/>
      <c r="RL1" s="309"/>
      <c r="RM1" s="309"/>
      <c r="RN1" s="309"/>
      <c r="RO1" s="309"/>
      <c r="RP1" s="309"/>
      <c r="RQ1" s="309"/>
      <c r="RR1" s="309"/>
      <c r="RS1" s="309"/>
      <c r="RT1" s="309"/>
      <c r="RU1" s="309"/>
      <c r="RV1" s="309"/>
      <c r="RW1" s="309"/>
      <c r="RX1" s="309"/>
      <c r="RY1" s="309"/>
      <c r="RZ1" s="309"/>
      <c r="SA1" s="309"/>
      <c r="SB1" s="309"/>
      <c r="SC1" s="309"/>
      <c r="SD1" s="309"/>
      <c r="SE1" s="309"/>
      <c r="SF1" s="309"/>
      <c r="SG1" s="309"/>
      <c r="SH1" s="309"/>
      <c r="SI1" s="309"/>
      <c r="SJ1" s="309"/>
      <c r="SK1" s="309"/>
      <c r="SL1" s="309"/>
      <c r="SM1" s="309"/>
      <c r="SN1" s="309"/>
      <c r="SO1" s="217"/>
      <c r="SP1" s="217"/>
      <c r="SQ1" s="217"/>
      <c r="SR1" s="217"/>
      <c r="SS1" s="217"/>
      <c r="ST1" s="217"/>
      <c r="SU1" s="217"/>
      <c r="SV1" s="217"/>
      <c r="SW1" s="217"/>
      <c r="SX1" s="217"/>
      <c r="SY1" s="217"/>
      <c r="SZ1" s="217"/>
      <c r="TA1" s="217"/>
      <c r="TB1" s="217"/>
      <c r="TC1" s="217"/>
      <c r="TD1" s="217"/>
      <c r="TE1" s="217"/>
      <c r="TF1" s="217"/>
      <c r="TG1" s="217"/>
      <c r="TH1" s="217"/>
      <c r="TI1" s="217"/>
      <c r="TJ1" s="217"/>
      <c r="TK1" s="217"/>
      <c r="TL1" s="217"/>
      <c r="TM1" s="217"/>
      <c r="TN1" s="217"/>
      <c r="TO1" s="217"/>
      <c r="TP1" s="217"/>
      <c r="TQ1" s="217"/>
      <c r="TR1" s="217"/>
      <c r="TS1" s="217"/>
      <c r="TT1" s="217"/>
      <c r="TU1" s="217"/>
      <c r="TV1" s="217"/>
      <c r="TW1" s="217"/>
      <c r="TX1" s="217"/>
      <c r="TY1" s="217"/>
      <c r="TZ1" s="217"/>
      <c r="UA1" s="217"/>
      <c r="UB1" s="217"/>
      <c r="UC1" s="217"/>
      <c r="UD1" s="217"/>
      <c r="UE1" s="217"/>
      <c r="UF1" s="217"/>
      <c r="UG1" s="217"/>
      <c r="UH1" s="217"/>
      <c r="UI1" s="217"/>
      <c r="UJ1" s="217"/>
      <c r="UK1" s="213"/>
      <c r="UL1" s="213"/>
      <c r="UM1" s="213"/>
      <c r="UN1" s="213"/>
      <c r="UO1" s="213"/>
      <c r="UP1" s="213"/>
      <c r="UQ1" s="213"/>
      <c r="UR1" s="213"/>
      <c r="US1" s="213"/>
      <c r="UT1" s="213"/>
      <c r="UU1" s="213"/>
      <c r="UV1" s="213"/>
      <c r="UW1" s="213"/>
      <c r="UX1" s="213"/>
      <c r="UY1" s="213"/>
      <c r="UZ1" s="213"/>
      <c r="VA1" s="213"/>
    </row>
    <row r="2" spans="1:574" s="1" customFormat="1" ht="15.75" customHeight="1" x14ac:dyDescent="0.5">
      <c r="A2" s="5" t="s">
        <v>2</v>
      </c>
      <c r="B2" s="626" t="s">
        <v>631</v>
      </c>
      <c r="C2" s="626"/>
      <c r="D2" s="626"/>
      <c r="E2" s="626"/>
      <c r="F2" s="626"/>
      <c r="G2" s="626"/>
      <c r="H2" s="626"/>
      <c r="I2" s="626"/>
      <c r="J2" s="6"/>
      <c r="K2" s="7" t="s">
        <v>3</v>
      </c>
      <c r="L2" s="592" t="s">
        <v>634</v>
      </c>
      <c r="M2" s="592"/>
      <c r="N2" s="592"/>
      <c r="O2" s="592"/>
      <c r="P2" s="745"/>
      <c r="Q2" s="745"/>
      <c r="R2" s="745"/>
      <c r="S2" s="745"/>
      <c r="T2" s="745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9"/>
      <c r="AM2" s="9"/>
      <c r="AN2" s="9"/>
      <c r="AO2" s="9"/>
      <c r="AP2" s="309"/>
      <c r="AQ2" s="309"/>
      <c r="AR2" s="309"/>
      <c r="AS2" s="309"/>
      <c r="AT2" s="309"/>
      <c r="AU2" s="309"/>
      <c r="AV2" s="309"/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09"/>
      <c r="BL2" s="309"/>
      <c r="BM2" s="309"/>
      <c r="BN2" s="309"/>
      <c r="BO2" s="309"/>
      <c r="BP2" s="309"/>
      <c r="BQ2" s="309"/>
      <c r="BR2" s="309"/>
      <c r="BS2" s="309"/>
      <c r="BT2" s="309"/>
      <c r="BU2" s="309"/>
      <c r="BV2" s="309"/>
      <c r="BW2" s="309"/>
      <c r="BX2" s="309"/>
      <c r="BY2" s="309"/>
      <c r="BZ2" s="309"/>
      <c r="CA2" s="309"/>
      <c r="CB2" s="309"/>
      <c r="CC2" s="309"/>
      <c r="CD2" s="309"/>
      <c r="CE2" s="309"/>
      <c r="CF2" s="309"/>
      <c r="CG2" s="309"/>
      <c r="CH2" s="309"/>
      <c r="CI2" s="309"/>
      <c r="CJ2" s="309"/>
      <c r="CK2" s="309"/>
      <c r="CL2" s="309"/>
      <c r="CM2" s="309"/>
      <c r="CN2" s="309"/>
      <c r="CO2" s="309"/>
      <c r="CP2" s="309"/>
      <c r="CQ2" s="309"/>
      <c r="CR2" s="309"/>
      <c r="CS2" s="309"/>
      <c r="CT2" s="309"/>
      <c r="CU2" s="309"/>
      <c r="CV2" s="309"/>
      <c r="CW2" s="309"/>
      <c r="CX2" s="309"/>
      <c r="CY2" s="309"/>
      <c r="CZ2" s="309"/>
      <c r="DA2" s="309"/>
      <c r="DB2" s="309"/>
      <c r="DC2" s="309"/>
      <c r="DD2" s="309"/>
      <c r="DE2" s="309"/>
      <c r="DF2" s="309"/>
      <c r="DG2" s="309"/>
      <c r="DH2" s="309"/>
      <c r="DI2" s="309"/>
      <c r="DJ2" s="309"/>
      <c r="DK2" s="309"/>
      <c r="DL2" s="309"/>
      <c r="DM2" s="309"/>
      <c r="DN2" s="309"/>
      <c r="DO2" s="309"/>
      <c r="DP2" s="309"/>
      <c r="DQ2" s="309"/>
      <c r="DR2" s="309"/>
      <c r="DS2" s="309"/>
      <c r="DT2" s="309"/>
      <c r="DU2" s="309"/>
      <c r="DV2" s="309"/>
      <c r="DW2" s="309"/>
      <c r="DX2" s="309"/>
      <c r="DY2" s="309"/>
      <c r="DZ2" s="309"/>
      <c r="EA2" s="309"/>
      <c r="EB2" s="309"/>
      <c r="EC2" s="309"/>
      <c r="ED2" s="309"/>
      <c r="EE2" s="309"/>
      <c r="EF2" s="309"/>
      <c r="EG2" s="309"/>
      <c r="EH2" s="309"/>
      <c r="EI2" s="309"/>
      <c r="EJ2" s="309"/>
      <c r="EK2" s="309"/>
      <c r="EL2" s="309"/>
      <c r="EM2" s="309"/>
      <c r="EN2" s="309"/>
      <c r="EO2" s="309"/>
      <c r="EP2" s="309"/>
      <c r="EQ2" s="309"/>
      <c r="ER2" s="309"/>
      <c r="ES2" s="309"/>
      <c r="ET2" s="309"/>
      <c r="EU2" s="309"/>
      <c r="EV2" s="309"/>
      <c r="EW2" s="309"/>
      <c r="EX2" s="309"/>
      <c r="EY2" s="309"/>
      <c r="EZ2" s="309"/>
      <c r="FA2" s="309"/>
      <c r="FB2" s="309"/>
      <c r="FC2" s="309"/>
      <c r="FD2" s="309"/>
      <c r="FE2" s="309"/>
      <c r="FF2" s="309"/>
      <c r="FG2" s="309"/>
      <c r="FH2" s="309"/>
      <c r="FI2" s="309"/>
      <c r="FJ2" s="309"/>
      <c r="FK2" s="309"/>
      <c r="FL2" s="309"/>
      <c r="FM2" s="309"/>
      <c r="FN2" s="309"/>
      <c r="FO2" s="309"/>
      <c r="FP2" s="309"/>
      <c r="FQ2" s="309"/>
      <c r="FR2" s="309"/>
      <c r="FS2" s="309"/>
      <c r="FT2" s="309"/>
      <c r="FU2" s="309"/>
      <c r="FV2" s="309"/>
      <c r="FW2" s="309"/>
      <c r="FX2" s="309"/>
      <c r="FY2" s="309"/>
      <c r="FZ2" s="309"/>
      <c r="GA2" s="309"/>
      <c r="GB2" s="309"/>
      <c r="GC2" s="309"/>
      <c r="GD2" s="309"/>
      <c r="GE2" s="309"/>
      <c r="GF2" s="309"/>
      <c r="GG2" s="309"/>
      <c r="GH2" s="309"/>
      <c r="GI2" s="309"/>
      <c r="GJ2" s="309"/>
      <c r="GK2" s="309"/>
      <c r="GL2" s="309"/>
      <c r="GM2" s="309"/>
      <c r="GN2" s="309"/>
      <c r="GO2" s="309"/>
      <c r="GP2" s="309"/>
      <c r="GQ2" s="309"/>
      <c r="GR2" s="309"/>
      <c r="GS2" s="309"/>
      <c r="GT2" s="309"/>
      <c r="GU2" s="309"/>
      <c r="GV2" s="309"/>
      <c r="GW2" s="309"/>
      <c r="GX2" s="309"/>
      <c r="GY2" s="309"/>
      <c r="GZ2" s="309"/>
      <c r="HA2" s="309"/>
      <c r="HB2" s="309"/>
      <c r="HC2" s="309"/>
      <c r="HD2" s="309"/>
      <c r="HE2" s="309"/>
      <c r="HF2" s="309"/>
      <c r="HG2" s="309"/>
      <c r="HH2" s="309"/>
      <c r="HI2" s="309"/>
      <c r="HJ2" s="309"/>
      <c r="HK2" s="310"/>
      <c r="HL2" s="310"/>
      <c r="HM2" s="310"/>
      <c r="HN2" s="309"/>
      <c r="HO2" s="309"/>
      <c r="HP2" s="309"/>
      <c r="HQ2" s="309"/>
      <c r="HR2" s="309"/>
      <c r="HS2" s="309"/>
      <c r="HT2" s="309"/>
      <c r="HU2" s="309"/>
      <c r="HV2" s="309"/>
      <c r="HW2" s="309"/>
      <c r="HX2" s="309"/>
      <c r="HY2" s="309"/>
      <c r="HZ2" s="309"/>
      <c r="IA2" s="309"/>
      <c r="IB2" s="309"/>
      <c r="IC2" s="309"/>
      <c r="ID2" s="309"/>
      <c r="IE2" s="309"/>
      <c r="IF2" s="309"/>
      <c r="IG2" s="309"/>
      <c r="IH2" s="309"/>
      <c r="II2" s="309"/>
      <c r="IJ2" s="309"/>
      <c r="IK2" s="309"/>
      <c r="IL2" s="309"/>
      <c r="IM2" s="309"/>
      <c r="IN2" s="309"/>
      <c r="IO2" s="309"/>
      <c r="IP2" s="309"/>
      <c r="IQ2" s="309"/>
      <c r="IR2" s="309"/>
      <c r="IS2" s="309"/>
      <c r="IT2" s="309"/>
      <c r="IU2" s="309"/>
      <c r="IV2" s="309"/>
      <c r="IW2" s="309"/>
      <c r="IX2" s="309"/>
      <c r="IY2" s="309"/>
      <c r="IZ2" s="309"/>
      <c r="JA2" s="309"/>
      <c r="JB2" s="309"/>
      <c r="JC2" s="309"/>
      <c r="JD2" s="309"/>
      <c r="JE2" s="309"/>
      <c r="JF2" s="309"/>
      <c r="JG2" s="309"/>
      <c r="JH2" s="309"/>
      <c r="JI2" s="309"/>
      <c r="JJ2" s="309"/>
      <c r="JK2" s="309"/>
      <c r="JL2" s="309"/>
      <c r="JM2" s="309"/>
      <c r="JN2" s="309"/>
      <c r="JO2" s="309"/>
      <c r="JP2" s="309"/>
      <c r="JQ2" s="309"/>
      <c r="JR2" s="309"/>
      <c r="JS2" s="309"/>
      <c r="JT2" s="309"/>
      <c r="JU2" s="309"/>
      <c r="JV2" s="309"/>
      <c r="JW2" s="309"/>
      <c r="JX2" s="309"/>
      <c r="JY2" s="309"/>
      <c r="JZ2" s="309"/>
      <c r="KA2" s="309"/>
      <c r="KB2" s="309"/>
      <c r="KC2" s="309"/>
      <c r="KD2" s="309"/>
      <c r="KE2" s="309"/>
      <c r="KF2" s="309"/>
      <c r="KG2" s="309"/>
      <c r="KH2" s="309"/>
      <c r="KI2" s="309"/>
      <c r="KJ2" s="309"/>
      <c r="KK2" s="309"/>
      <c r="KL2" s="309"/>
      <c r="KM2" s="309"/>
      <c r="KN2" s="309"/>
      <c r="KO2" s="309"/>
      <c r="KP2" s="309"/>
      <c r="KQ2" s="309"/>
      <c r="KR2" s="309"/>
      <c r="KS2" s="309"/>
      <c r="KT2" s="309"/>
      <c r="KU2" s="309"/>
      <c r="KV2" s="309"/>
      <c r="KW2" s="309"/>
      <c r="KX2" s="309"/>
      <c r="KY2" s="309"/>
      <c r="KZ2" s="309"/>
      <c r="LA2" s="309"/>
      <c r="LB2" s="309"/>
      <c r="LC2" s="309"/>
      <c r="LD2" s="309"/>
      <c r="LE2" s="309"/>
      <c r="LF2" s="309"/>
      <c r="LG2" s="309"/>
      <c r="LH2" s="309"/>
      <c r="LI2" s="309"/>
      <c r="LJ2" s="309"/>
      <c r="LK2" s="309"/>
      <c r="LL2" s="309"/>
      <c r="LM2" s="309"/>
      <c r="LN2" s="309"/>
      <c r="LO2" s="309"/>
      <c r="LP2" s="309"/>
      <c r="LQ2" s="309"/>
      <c r="LR2" s="309"/>
      <c r="LS2" s="309"/>
      <c r="LT2" s="309"/>
      <c r="LU2" s="309"/>
      <c r="LV2" s="309"/>
      <c r="LW2" s="309"/>
      <c r="LX2" s="309"/>
      <c r="LY2" s="309"/>
      <c r="LZ2" s="309"/>
      <c r="MA2" s="309"/>
      <c r="MB2" s="309"/>
      <c r="MC2" s="309"/>
      <c r="MD2" s="309"/>
      <c r="ME2" s="309"/>
      <c r="MF2" s="309"/>
      <c r="MG2" s="309"/>
      <c r="MH2" s="309"/>
      <c r="MI2" s="309"/>
      <c r="MJ2" s="309"/>
      <c r="MK2" s="309"/>
      <c r="ML2" s="309"/>
      <c r="MM2" s="309"/>
      <c r="MN2" s="309"/>
      <c r="MO2" s="309"/>
      <c r="MP2" s="309"/>
      <c r="MQ2" s="309"/>
      <c r="MR2" s="309"/>
      <c r="MS2" s="309"/>
      <c r="MT2" s="309"/>
      <c r="MU2" s="309"/>
      <c r="MV2" s="309"/>
      <c r="MW2" s="309"/>
      <c r="MX2" s="309"/>
      <c r="MY2" s="309"/>
      <c r="MZ2" s="309"/>
      <c r="NA2" s="309"/>
      <c r="NB2" s="309"/>
      <c r="NC2" s="309"/>
      <c r="ND2" s="309"/>
      <c r="NE2" s="309"/>
      <c r="NF2" s="309"/>
      <c r="NG2" s="309"/>
      <c r="NH2" s="309"/>
      <c r="NI2" s="309"/>
      <c r="NJ2" s="309"/>
      <c r="NK2" s="309"/>
      <c r="NL2" s="309"/>
      <c r="NM2" s="309"/>
      <c r="NN2" s="309"/>
      <c r="NO2" s="309"/>
      <c r="NP2" s="309"/>
      <c r="NQ2" s="309"/>
      <c r="NR2" s="309"/>
      <c r="NS2" s="309"/>
      <c r="NT2" s="309"/>
      <c r="NU2" s="309"/>
      <c r="NV2" s="309"/>
      <c r="NW2" s="309"/>
      <c r="NX2" s="309"/>
      <c r="NY2" s="309"/>
      <c r="NZ2" s="309"/>
      <c r="OA2" s="309"/>
      <c r="OB2" s="309"/>
      <c r="OC2" s="309"/>
      <c r="OD2" s="309"/>
      <c r="OE2" s="309"/>
      <c r="OF2" s="309"/>
      <c r="OG2" s="309"/>
      <c r="OH2" s="309"/>
      <c r="OI2" s="309"/>
      <c r="OJ2" s="309"/>
      <c r="OK2" s="309"/>
      <c r="OL2" s="309"/>
      <c r="OM2" s="309"/>
      <c r="ON2" s="309"/>
      <c r="OO2" s="309"/>
      <c r="OP2" s="309"/>
      <c r="OQ2" s="309"/>
      <c r="OR2" s="309"/>
      <c r="OS2" s="309"/>
      <c r="OT2" s="309"/>
      <c r="OU2" s="309"/>
      <c r="OV2" s="309"/>
      <c r="OW2" s="309"/>
      <c r="OX2" s="309"/>
      <c r="OY2" s="309"/>
      <c r="OZ2" s="309"/>
      <c r="PA2" s="309"/>
      <c r="PB2" s="309"/>
      <c r="PC2" s="309"/>
      <c r="PD2" s="309"/>
      <c r="PE2" s="309"/>
      <c r="PF2" s="309"/>
      <c r="PG2" s="309"/>
      <c r="PH2" s="309"/>
      <c r="PI2" s="309"/>
      <c r="PJ2" s="309"/>
      <c r="PK2" s="309"/>
      <c r="PL2" s="309"/>
      <c r="PM2" s="309"/>
      <c r="PN2" s="309"/>
      <c r="PO2" s="309"/>
      <c r="PP2" s="309"/>
      <c r="PQ2" s="309"/>
      <c r="PR2" s="309"/>
      <c r="PS2" s="309"/>
      <c r="PT2" s="309"/>
      <c r="PU2" s="309"/>
      <c r="PV2" s="309"/>
      <c r="PW2" s="309"/>
      <c r="PX2" s="309"/>
      <c r="PY2" s="309"/>
      <c r="PZ2" s="309"/>
      <c r="QA2" s="309"/>
      <c r="QB2" s="309"/>
      <c r="QC2" s="309"/>
      <c r="QD2" s="309"/>
      <c r="QE2" s="309"/>
      <c r="QF2" s="309"/>
      <c r="QG2" s="309"/>
      <c r="QH2" s="309"/>
      <c r="QI2" s="309"/>
      <c r="QJ2" s="309"/>
      <c r="QK2" s="309"/>
      <c r="QL2" s="309"/>
      <c r="QM2" s="309"/>
      <c r="QN2" s="309"/>
      <c r="QO2" s="309"/>
      <c r="QP2" s="309"/>
      <c r="QQ2" s="309"/>
      <c r="QR2" s="309"/>
      <c r="QS2" s="309"/>
      <c r="QT2" s="309"/>
      <c r="QU2" s="309"/>
      <c r="QV2" s="309"/>
      <c r="QW2" s="309"/>
      <c r="QX2" s="309"/>
      <c r="QY2" s="309"/>
      <c r="QZ2" s="309"/>
      <c r="RA2" s="309"/>
      <c r="RB2" s="309"/>
      <c r="RC2" s="309"/>
      <c r="RD2" s="309"/>
      <c r="RE2" s="309"/>
      <c r="RF2" s="309"/>
      <c r="RG2" s="309"/>
      <c r="RH2" s="309"/>
      <c r="RI2" s="309"/>
      <c r="RJ2" s="309"/>
      <c r="RK2" s="309"/>
      <c r="RL2" s="309"/>
      <c r="RM2" s="309"/>
      <c r="RN2" s="309"/>
      <c r="RO2" s="309"/>
      <c r="RP2" s="309"/>
      <c r="RQ2" s="309"/>
      <c r="RR2" s="309"/>
      <c r="RS2" s="309"/>
      <c r="RT2" s="309"/>
      <c r="RU2" s="309"/>
      <c r="RV2" s="309"/>
      <c r="RW2" s="309"/>
      <c r="RX2" s="309"/>
      <c r="RY2" s="309"/>
      <c r="RZ2" s="309"/>
      <c r="SA2" s="309"/>
      <c r="SB2" s="309"/>
      <c r="SC2" s="309"/>
      <c r="SD2" s="309"/>
      <c r="SE2" s="309"/>
      <c r="SF2" s="309"/>
      <c r="SG2" s="309"/>
      <c r="SH2" s="309"/>
      <c r="SI2" s="309"/>
      <c r="SJ2" s="309"/>
      <c r="SK2" s="309"/>
      <c r="SL2" s="309"/>
      <c r="SM2" s="309"/>
      <c r="SN2" s="309"/>
      <c r="SO2" s="217"/>
      <c r="SP2" s="217"/>
      <c r="SQ2" s="217"/>
      <c r="SR2" s="217"/>
      <c r="SS2" s="217"/>
      <c r="ST2" s="217"/>
      <c r="SU2" s="217"/>
      <c r="SV2" s="217"/>
      <c r="SW2" s="217"/>
      <c r="SX2" s="217"/>
      <c r="SY2" s="217"/>
      <c r="SZ2" s="217"/>
      <c r="TA2" s="217"/>
      <c r="TB2" s="217"/>
      <c r="TC2" s="217"/>
      <c r="TD2" s="217"/>
      <c r="TE2" s="217"/>
      <c r="TF2" s="217"/>
      <c r="TG2" s="217"/>
      <c r="TH2" s="217"/>
      <c r="TI2" s="217"/>
      <c r="TJ2" s="217"/>
      <c r="TK2" s="217"/>
      <c r="TL2" s="217"/>
      <c r="TM2" s="217"/>
      <c r="TN2" s="217"/>
      <c r="TO2" s="217"/>
      <c r="TP2" s="217"/>
      <c r="TQ2" s="217"/>
      <c r="TR2" s="217"/>
      <c r="TS2" s="217"/>
      <c r="TT2" s="217"/>
      <c r="TU2" s="217"/>
      <c r="TV2" s="217"/>
      <c r="TW2" s="217"/>
      <c r="TX2" s="217"/>
      <c r="TY2" s="217"/>
      <c r="TZ2" s="217"/>
      <c r="UA2" s="217"/>
      <c r="UB2" s="217"/>
      <c r="UC2" s="217"/>
      <c r="UD2" s="217"/>
      <c r="UE2" s="217"/>
      <c r="UF2" s="217"/>
      <c r="UG2" s="217"/>
      <c r="UH2" s="217"/>
      <c r="UI2" s="217"/>
      <c r="UJ2" s="217"/>
      <c r="UK2" s="213"/>
      <c r="UL2" s="213"/>
      <c r="UM2" s="213"/>
      <c r="UN2" s="213"/>
      <c r="UO2" s="213"/>
      <c r="UP2" s="213"/>
      <c r="UQ2" s="213"/>
      <c r="UR2" s="213"/>
      <c r="US2" s="213"/>
      <c r="UT2" s="213"/>
      <c r="UU2" s="213"/>
      <c r="UV2" s="213"/>
      <c r="UW2" s="213"/>
      <c r="UX2" s="213"/>
      <c r="UY2" s="213"/>
      <c r="UZ2" s="213"/>
      <c r="VA2" s="213"/>
    </row>
    <row r="3" spans="1:574" s="1" customFormat="1" ht="15.75" x14ac:dyDescent="0.5">
      <c r="A3" s="5" t="s">
        <v>4</v>
      </c>
      <c r="B3" s="592" t="s">
        <v>632</v>
      </c>
      <c r="C3" s="592"/>
      <c r="D3" s="592"/>
      <c r="E3" s="592"/>
      <c r="F3" s="592"/>
      <c r="G3" s="592"/>
      <c r="H3" s="592"/>
      <c r="I3" s="592"/>
      <c r="J3" s="592"/>
      <c r="K3" s="7" t="s">
        <v>5</v>
      </c>
      <c r="L3" s="593">
        <f ca="1">NOW()</f>
        <v>46301.665372453703</v>
      </c>
      <c r="M3" s="593"/>
      <c r="N3" s="593"/>
      <c r="O3" s="593"/>
      <c r="P3" s="745"/>
      <c r="Q3" s="745"/>
      <c r="R3" s="745"/>
      <c r="S3" s="745"/>
      <c r="T3" s="745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9"/>
      <c r="AM3" s="9"/>
      <c r="AN3" s="9"/>
      <c r="AO3" s="9"/>
      <c r="AP3" s="309"/>
      <c r="AQ3" s="309"/>
      <c r="AR3" s="309"/>
      <c r="AS3" s="309"/>
      <c r="AT3" s="309"/>
      <c r="AU3" s="309"/>
      <c r="AV3" s="309"/>
      <c r="AW3" s="309"/>
      <c r="AX3" s="309"/>
      <c r="AY3" s="309"/>
      <c r="AZ3" s="309"/>
      <c r="BA3" s="309"/>
      <c r="BB3" s="309"/>
      <c r="BC3" s="309"/>
      <c r="BD3" s="309"/>
      <c r="BE3" s="309"/>
      <c r="BF3" s="309"/>
      <c r="BG3" s="309"/>
      <c r="BH3" s="309"/>
      <c r="BI3" s="309"/>
      <c r="BJ3" s="309"/>
      <c r="BK3" s="309"/>
      <c r="BL3" s="309"/>
      <c r="BM3" s="309"/>
      <c r="BN3" s="309"/>
      <c r="BO3" s="309"/>
      <c r="BP3" s="309"/>
      <c r="BQ3" s="309"/>
      <c r="BR3" s="309"/>
      <c r="BS3" s="309"/>
      <c r="BT3" s="309"/>
      <c r="BU3" s="309"/>
      <c r="BV3" s="309"/>
      <c r="BW3" s="309"/>
      <c r="BX3" s="309"/>
      <c r="BY3" s="309"/>
      <c r="BZ3" s="309"/>
      <c r="CA3" s="309"/>
      <c r="CB3" s="309"/>
      <c r="CC3" s="309"/>
      <c r="CD3" s="309"/>
      <c r="CE3" s="309"/>
      <c r="CF3" s="309"/>
      <c r="CG3" s="309"/>
      <c r="CH3" s="309"/>
      <c r="CI3" s="309"/>
      <c r="CJ3" s="309"/>
      <c r="CK3" s="309"/>
      <c r="CL3" s="309"/>
      <c r="CM3" s="309"/>
      <c r="CN3" s="309"/>
      <c r="CO3" s="309"/>
      <c r="CP3" s="309"/>
      <c r="CQ3" s="309"/>
      <c r="CR3" s="309"/>
      <c r="CS3" s="309"/>
      <c r="CT3" s="309"/>
      <c r="CU3" s="309"/>
      <c r="CV3" s="309"/>
      <c r="CW3" s="309"/>
      <c r="CX3" s="309"/>
      <c r="CY3" s="309"/>
      <c r="CZ3" s="309"/>
      <c r="DA3" s="309"/>
      <c r="DB3" s="309"/>
      <c r="DC3" s="309"/>
      <c r="DD3" s="309"/>
      <c r="DE3" s="309"/>
      <c r="DF3" s="309"/>
      <c r="DG3" s="309"/>
      <c r="DH3" s="309"/>
      <c r="DI3" s="309"/>
      <c r="DJ3" s="309"/>
      <c r="DK3" s="309"/>
      <c r="DL3" s="309"/>
      <c r="DM3" s="309"/>
      <c r="DN3" s="309"/>
      <c r="DO3" s="309"/>
      <c r="DP3" s="309"/>
      <c r="DQ3" s="309"/>
      <c r="DR3" s="309"/>
      <c r="DS3" s="309"/>
      <c r="DT3" s="309"/>
      <c r="DU3" s="309"/>
      <c r="DV3" s="309"/>
      <c r="DW3" s="309"/>
      <c r="DX3" s="309"/>
      <c r="DY3" s="309"/>
      <c r="DZ3" s="309"/>
      <c r="EA3" s="309"/>
      <c r="EB3" s="309"/>
      <c r="EC3" s="309"/>
      <c r="ED3" s="309"/>
      <c r="EE3" s="309"/>
      <c r="EF3" s="309"/>
      <c r="EG3" s="309"/>
      <c r="EH3" s="309"/>
      <c r="EI3" s="309"/>
      <c r="EJ3" s="309"/>
      <c r="EK3" s="309"/>
      <c r="EL3" s="309"/>
      <c r="EM3" s="309"/>
      <c r="EN3" s="309"/>
      <c r="EO3" s="309"/>
      <c r="EP3" s="309"/>
      <c r="EQ3" s="309"/>
      <c r="ER3" s="309"/>
      <c r="ES3" s="309"/>
      <c r="ET3" s="309"/>
      <c r="EU3" s="309"/>
      <c r="EV3" s="309"/>
      <c r="EW3" s="309"/>
      <c r="EX3" s="309"/>
      <c r="EY3" s="309"/>
      <c r="EZ3" s="309"/>
      <c r="FA3" s="309"/>
      <c r="FB3" s="309"/>
      <c r="FC3" s="309"/>
      <c r="FD3" s="309"/>
      <c r="FE3" s="309"/>
      <c r="FF3" s="309"/>
      <c r="FG3" s="309"/>
      <c r="FH3" s="309"/>
      <c r="FI3" s="309"/>
      <c r="FJ3" s="309"/>
      <c r="FK3" s="309"/>
      <c r="FL3" s="309"/>
      <c r="FM3" s="309"/>
      <c r="FN3" s="309"/>
      <c r="FO3" s="309"/>
      <c r="FP3" s="309"/>
      <c r="FQ3" s="309"/>
      <c r="FR3" s="309"/>
      <c r="FS3" s="309"/>
      <c r="FT3" s="309"/>
      <c r="FU3" s="309"/>
      <c r="FV3" s="309"/>
      <c r="FW3" s="309"/>
      <c r="FX3" s="309"/>
      <c r="FY3" s="309"/>
      <c r="FZ3" s="309"/>
      <c r="GA3" s="309"/>
      <c r="GB3" s="309"/>
      <c r="GC3" s="309"/>
      <c r="GD3" s="309"/>
      <c r="GE3" s="309"/>
      <c r="GF3" s="309"/>
      <c r="GG3" s="309"/>
      <c r="GH3" s="309"/>
      <c r="GI3" s="309"/>
      <c r="GJ3" s="309"/>
      <c r="GK3" s="309"/>
      <c r="GL3" s="309"/>
      <c r="GM3" s="309"/>
      <c r="GN3" s="309"/>
      <c r="GO3" s="309"/>
      <c r="GP3" s="309"/>
      <c r="GQ3" s="309"/>
      <c r="GR3" s="309"/>
      <c r="GS3" s="309"/>
      <c r="GT3" s="309"/>
      <c r="GU3" s="309"/>
      <c r="GV3" s="309"/>
      <c r="GW3" s="309"/>
      <c r="GX3" s="309"/>
      <c r="GY3" s="309"/>
      <c r="GZ3" s="309"/>
      <c r="HA3" s="309"/>
      <c r="HB3" s="309"/>
      <c r="HC3" s="309"/>
      <c r="HD3" s="309"/>
      <c r="HE3" s="309"/>
      <c r="HF3" s="309"/>
      <c r="HG3" s="309"/>
      <c r="HH3" s="309"/>
      <c r="HI3" s="309"/>
      <c r="HJ3" s="309"/>
      <c r="HK3" s="310"/>
      <c r="HL3" s="310"/>
      <c r="HM3" s="310"/>
      <c r="HN3" s="309"/>
      <c r="HO3" s="309"/>
      <c r="HP3" s="309"/>
      <c r="HQ3" s="309"/>
      <c r="HR3" s="309"/>
      <c r="HS3" s="309"/>
      <c r="HT3" s="309"/>
      <c r="HU3" s="309"/>
      <c r="HV3" s="309"/>
      <c r="HW3" s="309"/>
      <c r="HX3" s="309"/>
      <c r="HY3" s="309"/>
      <c r="HZ3" s="309"/>
      <c r="IA3" s="309"/>
      <c r="IB3" s="309"/>
      <c r="IC3" s="309"/>
      <c r="ID3" s="309"/>
      <c r="IE3" s="309"/>
      <c r="IF3" s="309"/>
      <c r="IG3" s="309"/>
      <c r="IH3" s="309"/>
      <c r="II3" s="309"/>
      <c r="IJ3" s="309"/>
      <c r="IK3" s="309"/>
      <c r="IL3" s="309"/>
      <c r="IM3" s="309"/>
      <c r="IN3" s="309"/>
      <c r="IO3" s="309"/>
      <c r="IP3" s="309"/>
      <c r="IQ3" s="309"/>
      <c r="IR3" s="309"/>
      <c r="IS3" s="309"/>
      <c r="IT3" s="309"/>
      <c r="IU3" s="309"/>
      <c r="IV3" s="309"/>
      <c r="IW3" s="309"/>
      <c r="IX3" s="309"/>
      <c r="IY3" s="309"/>
      <c r="IZ3" s="309"/>
      <c r="JA3" s="309"/>
      <c r="JB3" s="309"/>
      <c r="JC3" s="309"/>
      <c r="JD3" s="309"/>
      <c r="JE3" s="309"/>
      <c r="JF3" s="309"/>
      <c r="JG3" s="309"/>
      <c r="JH3" s="309"/>
      <c r="JI3" s="309"/>
      <c r="JJ3" s="309"/>
      <c r="JK3" s="309"/>
      <c r="JL3" s="309"/>
      <c r="JM3" s="309"/>
      <c r="JN3" s="309"/>
      <c r="JO3" s="309"/>
      <c r="JP3" s="309"/>
      <c r="JQ3" s="309"/>
      <c r="JR3" s="309"/>
      <c r="JS3" s="309"/>
      <c r="JT3" s="309"/>
      <c r="JU3" s="309"/>
      <c r="JV3" s="309"/>
      <c r="JW3" s="309"/>
      <c r="JX3" s="309"/>
      <c r="JY3" s="309"/>
      <c r="JZ3" s="309"/>
      <c r="KA3" s="309"/>
      <c r="KB3" s="309"/>
      <c r="KC3" s="309"/>
      <c r="KD3" s="309"/>
      <c r="KE3" s="309"/>
      <c r="KF3" s="309"/>
      <c r="KG3" s="309"/>
      <c r="KH3" s="309"/>
      <c r="KI3" s="309"/>
      <c r="KJ3" s="309"/>
      <c r="KK3" s="309"/>
      <c r="KL3" s="309"/>
      <c r="KM3" s="309"/>
      <c r="KN3" s="309"/>
      <c r="KO3" s="309"/>
      <c r="KP3" s="309"/>
      <c r="KQ3" s="309"/>
      <c r="KR3" s="309"/>
      <c r="KS3" s="309"/>
      <c r="KT3" s="309"/>
      <c r="KU3" s="309"/>
      <c r="KV3" s="309"/>
      <c r="KW3" s="309"/>
      <c r="KX3" s="309"/>
      <c r="KY3" s="309"/>
      <c r="KZ3" s="309"/>
      <c r="LA3" s="309"/>
      <c r="LB3" s="309"/>
      <c r="LC3" s="309"/>
      <c r="LD3" s="309"/>
      <c r="LE3" s="309"/>
      <c r="LF3" s="309"/>
      <c r="LG3" s="309"/>
      <c r="LH3" s="309"/>
      <c r="LI3" s="309"/>
      <c r="LJ3" s="309"/>
      <c r="LK3" s="309"/>
      <c r="LL3" s="309"/>
      <c r="LM3" s="309"/>
      <c r="LN3" s="309"/>
      <c r="LO3" s="309"/>
      <c r="LP3" s="309"/>
      <c r="LQ3" s="309"/>
      <c r="LR3" s="309"/>
      <c r="LS3" s="309"/>
      <c r="LT3" s="309"/>
      <c r="LU3" s="309"/>
      <c r="LV3" s="309"/>
      <c r="LW3" s="309"/>
      <c r="LX3" s="309"/>
      <c r="LY3" s="309"/>
      <c r="LZ3" s="309"/>
      <c r="MA3" s="309"/>
      <c r="MB3" s="309"/>
      <c r="MC3" s="309"/>
      <c r="MD3" s="309"/>
      <c r="ME3" s="309"/>
      <c r="MF3" s="309"/>
      <c r="MG3" s="309"/>
      <c r="MH3" s="309"/>
      <c r="MI3" s="309"/>
      <c r="MJ3" s="309"/>
      <c r="MK3" s="309"/>
      <c r="ML3" s="309"/>
      <c r="MM3" s="309"/>
      <c r="MN3" s="309"/>
      <c r="MO3" s="309"/>
      <c r="MP3" s="309"/>
      <c r="MQ3" s="309"/>
      <c r="MR3" s="309"/>
      <c r="MS3" s="309"/>
      <c r="MT3" s="309"/>
      <c r="MU3" s="309"/>
      <c r="MV3" s="309"/>
      <c r="MW3" s="309"/>
      <c r="MX3" s="309"/>
      <c r="MY3" s="309"/>
      <c r="MZ3" s="309"/>
      <c r="NA3" s="309"/>
      <c r="NB3" s="309"/>
      <c r="NC3" s="309"/>
      <c r="ND3" s="309"/>
      <c r="NE3" s="309"/>
      <c r="NF3" s="309"/>
      <c r="NG3" s="309"/>
      <c r="NH3" s="309"/>
      <c r="NI3" s="309"/>
      <c r="NJ3" s="309"/>
      <c r="NK3" s="309"/>
      <c r="NL3" s="309"/>
      <c r="NM3" s="309"/>
      <c r="NN3" s="309"/>
      <c r="NO3" s="309"/>
      <c r="NP3" s="309"/>
      <c r="NQ3" s="309"/>
      <c r="NR3" s="309"/>
      <c r="NS3" s="309"/>
      <c r="NT3" s="309"/>
      <c r="NU3" s="309"/>
      <c r="NV3" s="309"/>
      <c r="NW3" s="309"/>
      <c r="NX3" s="309"/>
      <c r="NY3" s="309"/>
      <c r="NZ3" s="309"/>
      <c r="OA3" s="309"/>
      <c r="OB3" s="309"/>
      <c r="OC3" s="309"/>
      <c r="OD3" s="309"/>
      <c r="OE3" s="309"/>
      <c r="OF3" s="309"/>
      <c r="OG3" s="309"/>
      <c r="OH3" s="309"/>
      <c r="OI3" s="309"/>
      <c r="OJ3" s="309"/>
      <c r="OK3" s="309"/>
      <c r="OL3" s="309"/>
      <c r="OM3" s="309"/>
      <c r="ON3" s="309"/>
      <c r="OO3" s="309"/>
      <c r="OP3" s="309"/>
      <c r="OQ3" s="309"/>
      <c r="OR3" s="309"/>
      <c r="OS3" s="309"/>
      <c r="OT3" s="309"/>
      <c r="OU3" s="309"/>
      <c r="OV3" s="309"/>
      <c r="OW3" s="309"/>
      <c r="OX3" s="309"/>
      <c r="OY3" s="309"/>
      <c r="OZ3" s="309"/>
      <c r="PA3" s="309"/>
      <c r="PB3" s="309"/>
      <c r="PC3" s="309"/>
      <c r="PD3" s="309"/>
      <c r="PE3" s="309"/>
      <c r="PF3" s="309"/>
      <c r="PG3" s="309"/>
      <c r="PH3" s="309"/>
      <c r="PI3" s="309"/>
      <c r="PJ3" s="309"/>
      <c r="PK3" s="309"/>
      <c r="PL3" s="309"/>
      <c r="PM3" s="309"/>
      <c r="PN3" s="309"/>
      <c r="PO3" s="309"/>
      <c r="PP3" s="309"/>
      <c r="PQ3" s="309"/>
      <c r="PR3" s="309"/>
      <c r="PS3" s="309"/>
      <c r="PT3" s="309"/>
      <c r="PU3" s="309"/>
      <c r="PV3" s="309"/>
      <c r="PW3" s="309"/>
      <c r="PX3" s="309"/>
      <c r="PY3" s="309"/>
      <c r="PZ3" s="309"/>
      <c r="QA3" s="309"/>
      <c r="QB3" s="309"/>
      <c r="QC3" s="309"/>
      <c r="QD3" s="309"/>
      <c r="QE3" s="309"/>
      <c r="QF3" s="309"/>
      <c r="QG3" s="309"/>
      <c r="QH3" s="309"/>
      <c r="QI3" s="309"/>
      <c r="QJ3" s="309"/>
      <c r="QK3" s="309"/>
      <c r="QL3" s="309"/>
      <c r="QM3" s="309"/>
      <c r="QN3" s="309"/>
      <c r="QO3" s="309"/>
      <c r="QP3" s="309"/>
      <c r="QQ3" s="309"/>
      <c r="QR3" s="309"/>
      <c r="QS3" s="309"/>
      <c r="QT3" s="309"/>
      <c r="QU3" s="309"/>
      <c r="QV3" s="309"/>
      <c r="QW3" s="309"/>
      <c r="QX3" s="309"/>
      <c r="QY3" s="309"/>
      <c r="QZ3" s="309"/>
      <c r="RA3" s="309"/>
      <c r="RB3" s="309"/>
      <c r="RC3" s="309"/>
      <c r="RD3" s="309"/>
      <c r="RE3" s="309"/>
      <c r="RF3" s="309"/>
      <c r="RG3" s="309"/>
      <c r="RH3" s="309"/>
      <c r="RI3" s="309"/>
      <c r="RJ3" s="309"/>
      <c r="RK3" s="309"/>
      <c r="RL3" s="309"/>
      <c r="RM3" s="309"/>
      <c r="RN3" s="309"/>
      <c r="RO3" s="309"/>
      <c r="RP3" s="309"/>
      <c r="RQ3" s="309"/>
      <c r="RR3" s="309"/>
      <c r="RS3" s="309"/>
      <c r="RT3" s="309"/>
      <c r="RU3" s="309"/>
      <c r="RV3" s="309"/>
      <c r="RW3" s="309"/>
      <c r="RX3" s="309"/>
      <c r="RY3" s="309"/>
      <c r="RZ3" s="309"/>
      <c r="SA3" s="309"/>
      <c r="SB3" s="309"/>
      <c r="SC3" s="309"/>
      <c r="SD3" s="309"/>
      <c r="SE3" s="309"/>
      <c r="SF3" s="309"/>
      <c r="SG3" s="309"/>
      <c r="SH3" s="309"/>
      <c r="SI3" s="309"/>
      <c r="SJ3" s="309"/>
      <c r="SK3" s="309"/>
      <c r="SL3" s="309"/>
      <c r="SM3" s="309"/>
      <c r="SN3" s="309"/>
      <c r="SO3" s="217"/>
      <c r="SP3" s="217"/>
      <c r="SQ3" s="217"/>
      <c r="SR3" s="217"/>
      <c r="SS3" s="217"/>
      <c r="ST3" s="217"/>
      <c r="SU3" s="217"/>
      <c r="SV3" s="217"/>
      <c r="SW3" s="217"/>
      <c r="SX3" s="217"/>
      <c r="SY3" s="217"/>
      <c r="SZ3" s="217"/>
      <c r="TA3" s="217"/>
      <c r="TB3" s="217"/>
      <c r="TC3" s="217"/>
      <c r="TD3" s="217"/>
      <c r="TE3" s="217"/>
      <c r="TF3" s="217"/>
      <c r="TG3" s="217"/>
      <c r="TH3" s="217"/>
      <c r="TI3" s="217"/>
      <c r="TJ3" s="217"/>
      <c r="TK3" s="217"/>
      <c r="TL3" s="217"/>
      <c r="TM3" s="217"/>
      <c r="TN3" s="217"/>
      <c r="TO3" s="217"/>
      <c r="TP3" s="217"/>
      <c r="TQ3" s="217"/>
      <c r="TR3" s="217"/>
      <c r="TS3" s="217"/>
      <c r="TT3" s="217"/>
      <c r="TU3" s="217"/>
      <c r="TV3" s="217"/>
      <c r="TW3" s="217"/>
      <c r="TX3" s="217"/>
      <c r="TY3" s="217"/>
      <c r="TZ3" s="217"/>
      <c r="UA3" s="217"/>
      <c r="UB3" s="217"/>
      <c r="UC3" s="217"/>
      <c r="UD3" s="217"/>
      <c r="UE3" s="217"/>
      <c r="UF3" s="217"/>
      <c r="UG3" s="217"/>
      <c r="UH3" s="217"/>
      <c r="UI3" s="217"/>
      <c r="UJ3" s="217"/>
      <c r="UK3" s="213"/>
      <c r="UL3" s="213"/>
      <c r="UM3" s="213"/>
      <c r="UN3" s="213"/>
      <c r="UO3" s="213"/>
      <c r="UP3" s="213"/>
      <c r="UQ3" s="213"/>
      <c r="UR3" s="213"/>
      <c r="US3" s="213"/>
      <c r="UT3" s="213"/>
      <c r="UU3" s="213"/>
      <c r="UV3" s="213"/>
      <c r="UW3" s="213"/>
      <c r="UX3" s="213"/>
      <c r="UY3" s="213"/>
      <c r="UZ3" s="213"/>
      <c r="VA3" s="213"/>
    </row>
    <row r="4" spans="1:574" ht="5.0999999999999996" customHeight="1" thickBot="1" x14ac:dyDescent="0.5500000000000000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45"/>
      <c r="Q4" s="745"/>
      <c r="R4" s="745"/>
      <c r="S4" s="745"/>
      <c r="T4" s="745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  <c r="AM4" s="12"/>
      <c r="AN4" s="12"/>
      <c r="AO4" s="12"/>
    </row>
    <row r="5" spans="1:574" ht="26.25" customHeight="1" thickTop="1" x14ac:dyDescent="0.5">
      <c r="A5" s="569" t="str" cm="1">
        <f t="array" ref="A5">INDEX(SG10:SG12,SG9)</f>
        <v>FOOTING F5 DEVIATION RE-CHECK CALCULATION REPORT</v>
      </c>
      <c r="B5" s="569"/>
      <c r="C5" s="569"/>
      <c r="D5" s="569"/>
      <c r="E5" s="569"/>
      <c r="F5" s="569"/>
      <c r="G5" s="569"/>
      <c r="H5" s="569"/>
      <c r="I5" s="569"/>
      <c r="J5" s="569"/>
      <c r="K5" s="569"/>
      <c r="L5" s="569"/>
      <c r="M5" s="569"/>
      <c r="N5" s="569"/>
      <c r="O5" s="569"/>
      <c r="P5" s="13"/>
      <c r="Q5" s="13"/>
      <c r="R5" s="13"/>
      <c r="S5" s="13"/>
      <c r="T5" s="13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2"/>
      <c r="AM5" s="12"/>
      <c r="AN5" s="12"/>
      <c r="AO5" s="12"/>
    </row>
    <row r="6" spans="1:574" ht="19.5" customHeight="1" thickBot="1" x14ac:dyDescent="0.5">
      <c r="A6" s="594" t="str" cm="1">
        <f t="array" ref="A6">INDEX(SG16:SG18,SG9)</f>
        <v>AFTER MODIFICATION</v>
      </c>
      <c r="B6" s="594"/>
      <c r="C6" s="594"/>
      <c r="D6" s="594"/>
      <c r="E6" s="594"/>
      <c r="F6" s="594"/>
      <c r="G6" s="594"/>
      <c r="H6" s="594"/>
      <c r="I6" s="594"/>
      <c r="J6" s="594"/>
      <c r="K6" s="594"/>
      <c r="L6" s="594"/>
      <c r="M6" s="594"/>
      <c r="N6" s="594"/>
      <c r="O6" s="594"/>
      <c r="P6" s="13"/>
      <c r="Q6" s="13"/>
      <c r="R6" s="13"/>
      <c r="S6" s="13"/>
      <c r="T6" s="13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2"/>
      <c r="AM6" s="12"/>
      <c r="AN6" s="12"/>
      <c r="AO6" s="12"/>
      <c r="BJ6" s="312"/>
      <c r="BK6" s="313">
        <v>5</v>
      </c>
      <c r="BL6" s="313" t="s">
        <v>9</v>
      </c>
      <c r="BT6" s="311" t="s">
        <v>10</v>
      </c>
      <c r="CZ6" s="314" t="s">
        <v>275</v>
      </c>
      <c r="DA6" s="315">
        <f>F51/100</f>
        <v>0.6</v>
      </c>
      <c r="DC6" s="311" t="s">
        <v>284</v>
      </c>
      <c r="DD6" s="311" t="b">
        <f>IF(CP13=TRUE,AND(BY20=TRUE,AY15=TRUE),"")</f>
        <v>0</v>
      </c>
      <c r="DF6" s="311" t="s">
        <v>285</v>
      </c>
      <c r="DG6" s="311" t="b">
        <f>IF(AND(CP13=TRUE,CU11=TRUE),AND(BY20=TRUE,AY16=TRUE),FALSE)</f>
        <v>0</v>
      </c>
      <c r="DH6" s="311">
        <f>AX14</f>
        <v>2</v>
      </c>
      <c r="DL6" s="311" t="s">
        <v>286</v>
      </c>
      <c r="DM6" s="311">
        <f>IF(BY20=TRUE,IF(G56="Temp.",N55,N57),0)</f>
        <v>0</v>
      </c>
      <c r="FG6" s="679" t="s">
        <v>379</v>
      </c>
      <c r="FH6" s="679"/>
      <c r="FI6" s="679"/>
      <c r="FJ6" s="679"/>
      <c r="FK6" s="679"/>
      <c r="FL6" s="679"/>
      <c r="FM6" s="679"/>
      <c r="FN6" s="679"/>
      <c r="FO6" s="679"/>
      <c r="FP6" s="679"/>
      <c r="FQ6" s="679"/>
      <c r="FR6" s="679"/>
      <c r="FS6" s="679"/>
      <c r="FT6" s="679"/>
      <c r="FU6" s="679"/>
      <c r="FV6" s="679"/>
      <c r="FW6" s="679"/>
      <c r="FX6" s="679"/>
      <c r="FY6" s="679"/>
      <c r="FZ6" s="679"/>
      <c r="GA6" s="679"/>
      <c r="GB6" s="679"/>
      <c r="GC6" s="679"/>
      <c r="GD6" s="679"/>
      <c r="GE6" s="679"/>
      <c r="GF6" s="679"/>
      <c r="GG6" s="679"/>
      <c r="GH6" s="679"/>
      <c r="GI6" s="679"/>
      <c r="GJ6" s="679"/>
      <c r="GK6" s="679"/>
      <c r="GL6" s="679"/>
      <c r="GM6" s="679"/>
      <c r="GN6" s="679"/>
      <c r="GO6" s="679"/>
      <c r="GP6" s="679"/>
      <c r="GQ6" s="679"/>
      <c r="GY6" s="316">
        <v>4</v>
      </c>
      <c r="GZ6" s="316" t="s">
        <v>352</v>
      </c>
      <c r="HA6" s="316" t="s">
        <v>388</v>
      </c>
      <c r="HB6" s="316" t="s">
        <v>82</v>
      </c>
      <c r="HC6" s="316" t="s">
        <v>389</v>
      </c>
      <c r="HD6" s="316" t="s">
        <v>390</v>
      </c>
      <c r="HE6" s="316" t="s">
        <v>391</v>
      </c>
      <c r="HK6" s="683" t="s">
        <v>363</v>
      </c>
      <c r="HL6" s="683"/>
      <c r="HM6" s="683"/>
      <c r="HN6" s="683"/>
      <c r="HO6" s="683"/>
      <c r="HP6" s="683"/>
      <c r="HQ6" s="683"/>
      <c r="HR6" s="683"/>
      <c r="HS6" s="683"/>
      <c r="HT6" s="683"/>
      <c r="HU6" s="683"/>
      <c r="HV6" s="683"/>
      <c r="HW6" s="683"/>
      <c r="HX6" s="683"/>
      <c r="HY6" s="683"/>
      <c r="HZ6" s="683"/>
      <c r="IA6" s="683"/>
      <c r="IB6" s="683"/>
      <c r="IC6" s="683"/>
      <c r="IE6" s="683" t="s">
        <v>582</v>
      </c>
      <c r="IF6" s="683"/>
      <c r="IG6" s="683"/>
      <c r="IH6" s="683"/>
      <c r="II6" s="683"/>
      <c r="IJ6" s="683"/>
      <c r="IK6" s="683"/>
      <c r="IL6" s="683"/>
      <c r="IM6" s="683"/>
      <c r="IN6" s="683"/>
      <c r="IO6" s="683"/>
      <c r="IP6" s="683"/>
      <c r="IQ6" s="683"/>
      <c r="IR6" s="683"/>
      <c r="IS6" s="683"/>
      <c r="IT6" s="683"/>
      <c r="IU6" s="683"/>
      <c r="IV6" s="683"/>
      <c r="IW6" s="683"/>
      <c r="IY6" s="679" t="s">
        <v>378</v>
      </c>
      <c r="IZ6" s="679"/>
      <c r="JA6" s="679"/>
      <c r="JB6" s="679"/>
      <c r="JC6" s="679"/>
      <c r="JD6" s="679"/>
      <c r="JF6" s="679" t="s">
        <v>405</v>
      </c>
      <c r="JG6" s="679"/>
      <c r="JH6" s="679"/>
      <c r="JI6" s="679"/>
      <c r="JJ6" s="679"/>
      <c r="JK6" s="679"/>
      <c r="JM6" s="311" t="s">
        <v>410</v>
      </c>
      <c r="LH6" s="534" t="s">
        <v>423</v>
      </c>
      <c r="LI6" s="534"/>
      <c r="LJ6" s="534"/>
      <c r="LK6" s="534"/>
      <c r="LL6" s="534"/>
      <c r="LM6" s="534"/>
      <c r="LN6" s="534"/>
      <c r="LO6" s="534"/>
      <c r="LP6" s="534"/>
      <c r="LQ6" s="534"/>
      <c r="LR6" s="534"/>
      <c r="LS6" s="534"/>
      <c r="LT6" s="534"/>
      <c r="LU6" s="534"/>
      <c r="LV6" s="534"/>
      <c r="LW6" s="534"/>
      <c r="LX6" s="534"/>
      <c r="LY6" s="534"/>
      <c r="LZ6" s="534"/>
      <c r="MA6" s="534"/>
      <c r="MB6" s="534"/>
      <c r="MC6" s="534"/>
      <c r="MD6" s="534"/>
      <c r="ME6" s="534"/>
      <c r="MF6" s="534"/>
      <c r="MG6" s="534"/>
      <c r="MH6" s="534"/>
      <c r="MI6" s="534"/>
      <c r="MJ6" s="534"/>
      <c r="MK6" s="534"/>
      <c r="ML6" s="534"/>
      <c r="MM6" s="534"/>
      <c r="MN6" s="534"/>
      <c r="MO6" s="534"/>
      <c r="MP6" s="534"/>
      <c r="MQ6" s="534"/>
      <c r="MW6" s="311" t="s">
        <v>477</v>
      </c>
      <c r="MX6" s="313" t="s">
        <v>48</v>
      </c>
      <c r="MY6" s="313" t="s">
        <v>49</v>
      </c>
      <c r="OA6" s="311" t="s">
        <v>238</v>
      </c>
    </row>
    <row r="7" spans="1:574" ht="15" customHeight="1" thickTop="1" x14ac:dyDescent="0.45">
      <c r="G7" s="595" t="s">
        <v>6</v>
      </c>
      <c r="H7" s="596"/>
      <c r="I7" s="596"/>
      <c r="J7" s="596"/>
      <c r="K7" s="557" t="s">
        <v>7</v>
      </c>
      <c r="L7" s="558"/>
      <c r="M7" s="597" t="s">
        <v>8</v>
      </c>
      <c r="N7" s="597"/>
      <c r="O7" s="598"/>
      <c r="P7" s="13"/>
      <c r="Q7" s="13"/>
      <c r="R7" s="13"/>
      <c r="S7" s="13"/>
      <c r="T7" s="13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2"/>
      <c r="AM7" s="12"/>
      <c r="AN7" s="12"/>
      <c r="AO7" s="12"/>
      <c r="AW7" s="311" t="s">
        <v>299</v>
      </c>
      <c r="BE7" s="310" t="b">
        <v>1</v>
      </c>
      <c r="BF7" s="311" t="s">
        <v>12</v>
      </c>
      <c r="BJ7" s="312">
        <v>1</v>
      </c>
      <c r="BK7" s="313" t="s">
        <v>13</v>
      </c>
      <c r="BL7" s="318" t="b">
        <f>IF($BK$6=1,TRUE,FALSE)</f>
        <v>0</v>
      </c>
      <c r="BM7" s="318" t="b">
        <f>IF($BK$6&gt;=BJ7,TRUE,FALSE)</f>
        <v>1</v>
      </c>
      <c r="BN7" s="312">
        <v>0</v>
      </c>
      <c r="BT7" s="311" cm="1">
        <f t="array" ref="BT7">INDEX(GZ7:GZ28,GY6)/100</f>
        <v>0.3</v>
      </c>
      <c r="BW7" s="311" t="s">
        <v>15</v>
      </c>
      <c r="CO7" s="318" t="s">
        <v>545</v>
      </c>
      <c r="CZ7" s="314" t="s">
        <v>276</v>
      </c>
      <c r="DA7" s="315" t="b">
        <f>IF(BY20=TRUE,IF(AY15=TRUE,CW56,CQ55))</f>
        <v>0</v>
      </c>
      <c r="DC7" s="313" t="s">
        <v>48</v>
      </c>
      <c r="DD7" s="313" t="s">
        <v>49</v>
      </c>
      <c r="DF7" s="313" t="s">
        <v>48</v>
      </c>
      <c r="DG7" s="313" t="s">
        <v>49</v>
      </c>
      <c r="DH7" s="319" t="s">
        <v>268</v>
      </c>
      <c r="DI7" s="320">
        <f>IF(HE51=TRUE,HA52,HC52)-Q10</f>
        <v>-0.95</v>
      </c>
      <c r="DL7" s="311" t="s">
        <v>287</v>
      </c>
      <c r="DM7" s="311" t="e">
        <f>IF(AY16=TRUE,(DF35-DF34)/DM6,(DC35-DC34)/DM6)</f>
        <v>#N/A</v>
      </c>
      <c r="EC7" s="310">
        <v>0.05</v>
      </c>
      <c r="ED7" s="310">
        <v>0.3</v>
      </c>
      <c r="EE7" s="310"/>
      <c r="EF7" s="321"/>
      <c r="EG7" s="310"/>
      <c r="EH7" s="310"/>
      <c r="EI7" s="310"/>
      <c r="EJ7" s="310"/>
      <c r="EK7" s="310"/>
      <c r="EL7" s="310"/>
      <c r="EU7" s="310" t="s">
        <v>68</v>
      </c>
      <c r="EV7" s="310" t="b">
        <f>BL9</f>
        <v>0</v>
      </c>
      <c r="EW7" s="310"/>
      <c r="GW7" s="322" t="str">
        <f>IF(Q18&lt;&gt;"",G26,G19)</f>
        <v>P1</v>
      </c>
      <c r="GX7" s="314">
        <v>1</v>
      </c>
      <c r="GY7" s="316" t="s">
        <v>14</v>
      </c>
      <c r="GZ7" s="323">
        <v>18</v>
      </c>
      <c r="HA7" s="316">
        <v>60</v>
      </c>
      <c r="HB7" s="316">
        <v>75</v>
      </c>
      <c r="HC7" s="316">
        <v>30</v>
      </c>
      <c r="HD7" s="316">
        <v>70</v>
      </c>
      <c r="HE7" s="316">
        <v>55</v>
      </c>
      <c r="HF7" s="316"/>
      <c r="KN7" s="312"/>
      <c r="KZ7" s="310" t="e">
        <v>#N/A</v>
      </c>
      <c r="LA7" s="310" t="e">
        <v>#N/A</v>
      </c>
      <c r="LC7" s="311" t="s">
        <v>18</v>
      </c>
      <c r="LH7" s="311">
        <v>0.05</v>
      </c>
      <c r="LI7" s="311">
        <v>0.6</v>
      </c>
      <c r="LO7" s="311">
        <v>0.05</v>
      </c>
      <c r="LP7" s="311">
        <v>0.6</v>
      </c>
      <c r="LV7" s="311">
        <v>0.05</v>
      </c>
      <c r="LW7" s="311">
        <v>0.6</v>
      </c>
      <c r="MC7" s="311">
        <v>0.05</v>
      </c>
      <c r="MD7" s="311">
        <v>0.6</v>
      </c>
      <c r="MX7" s="324">
        <f>M11</f>
        <v>0</v>
      </c>
      <c r="MY7" s="319">
        <f>M10</f>
        <v>0</v>
      </c>
      <c r="NO7" s="314" t="s">
        <v>427</v>
      </c>
      <c r="NP7" s="318" t="b">
        <v>1</v>
      </c>
      <c r="NR7" s="314" t="s">
        <v>428</v>
      </c>
      <c r="NS7" s="325" t="b">
        <f>IF(CP13=TRUE,AND(OR(BL10=TRUE,BL11=TRUE),NP7=TRUE),FALSE)</f>
        <v>1</v>
      </c>
      <c r="NT7" s="529" t="s">
        <v>430</v>
      </c>
      <c r="NU7" s="530"/>
      <c r="NV7" s="530" t="s">
        <v>431</v>
      </c>
      <c r="NW7" s="530"/>
      <c r="NZ7" s="312"/>
      <c r="OA7" s="529" t="s">
        <v>430</v>
      </c>
      <c r="OB7" s="530"/>
      <c r="OC7" s="530" t="s">
        <v>431</v>
      </c>
      <c r="OD7" s="530"/>
      <c r="OG7" s="312" t="s">
        <v>303</v>
      </c>
      <c r="PN7" s="311" t="s">
        <v>488</v>
      </c>
    </row>
    <row r="8" spans="1:574" ht="15" customHeight="1" x14ac:dyDescent="0.45">
      <c r="A8" s="14"/>
      <c r="G8" s="567" t="s">
        <v>510</v>
      </c>
      <c r="H8" s="568"/>
      <c r="I8" s="568"/>
      <c r="J8" s="15"/>
      <c r="K8" s="16"/>
      <c r="L8" s="16"/>
      <c r="M8" s="618">
        <v>40</v>
      </c>
      <c r="N8" s="618"/>
      <c r="O8" s="17" t="s">
        <v>11</v>
      </c>
      <c r="P8" s="13"/>
      <c r="Q8" s="755" t="s">
        <v>212</v>
      </c>
      <c r="R8" s="755"/>
      <c r="S8" s="13"/>
      <c r="T8" s="13"/>
      <c r="U8" s="18"/>
      <c r="V8" s="11"/>
      <c r="W8" s="11"/>
      <c r="X8" s="11"/>
      <c r="Y8" s="11"/>
      <c r="Z8" s="11"/>
      <c r="AA8" s="11"/>
      <c r="AB8" s="11"/>
      <c r="AC8" s="11"/>
      <c r="AD8" s="18"/>
      <c r="AE8" s="18"/>
      <c r="AF8" s="18"/>
      <c r="AG8" s="18"/>
      <c r="AH8" s="18"/>
      <c r="AI8" s="18"/>
      <c r="AJ8" s="18"/>
      <c r="AK8" s="18"/>
      <c r="AL8" s="19"/>
      <c r="AM8" s="19"/>
      <c r="AN8" s="19"/>
      <c r="AO8" s="19"/>
      <c r="AP8" s="312"/>
      <c r="AQ8" s="312"/>
      <c r="AR8" s="312" t="s">
        <v>538</v>
      </c>
      <c r="AS8" s="312" t="b">
        <f>IF(SG9=1,TRUE,FALSE)</f>
        <v>0</v>
      </c>
      <c r="AT8" s="312"/>
      <c r="AU8" s="312"/>
      <c r="AV8" s="313" t="s">
        <v>300</v>
      </c>
      <c r="AW8" s="313" t="s">
        <v>136</v>
      </c>
      <c r="AX8" s="312"/>
      <c r="AY8" s="312"/>
      <c r="AZ8" s="312"/>
      <c r="BA8" s="312"/>
      <c r="BB8" s="312"/>
      <c r="BC8" s="312"/>
      <c r="BD8" s="312"/>
      <c r="BE8" s="312" t="b">
        <v>1</v>
      </c>
      <c r="BF8" s="312" t="s">
        <v>18</v>
      </c>
      <c r="BG8" s="312"/>
      <c r="BH8" s="312"/>
      <c r="BI8" s="312"/>
      <c r="BJ8" s="312">
        <v>2</v>
      </c>
      <c r="BK8" s="313" t="s">
        <v>19</v>
      </c>
      <c r="BL8" s="318" t="b">
        <f>IF($BK$6=2,TRUE,FALSE)</f>
        <v>0</v>
      </c>
      <c r="BM8" s="318" t="b">
        <f>IF($BK$6&gt;=BJ8,TRUE,FALSE)</f>
        <v>1</v>
      </c>
      <c r="BN8" s="312">
        <v>0</v>
      </c>
      <c r="BO8" s="312"/>
      <c r="BP8" s="312"/>
      <c r="BQ8" s="312"/>
      <c r="BR8" s="312"/>
      <c r="BS8" s="312"/>
      <c r="BT8" s="313" t="s">
        <v>21</v>
      </c>
      <c r="BU8" s="313">
        <f>1*BT7</f>
        <v>0.3</v>
      </c>
      <c r="BV8" s="313" t="b">
        <f>IF(J16&gt;=BU8,TRUE,FALSE)</f>
        <v>1</v>
      </c>
      <c r="BW8" s="312" t="b">
        <f>IF(BV8=TRUE,FALSE,TRUE)</f>
        <v>0</v>
      </c>
      <c r="BX8" s="312"/>
      <c r="BY8" s="312"/>
      <c r="BZ8" s="312"/>
      <c r="CA8" s="312"/>
      <c r="CB8" s="312"/>
      <c r="CC8" s="312"/>
      <c r="CD8" s="312"/>
      <c r="CE8" s="312"/>
      <c r="CF8" s="312"/>
      <c r="CG8" s="312"/>
      <c r="CH8" s="312"/>
      <c r="CI8" s="312"/>
      <c r="CJ8" s="312"/>
      <c r="CK8" s="312"/>
      <c r="CL8" s="312"/>
      <c r="CM8" s="312"/>
      <c r="CN8" s="312"/>
      <c r="CO8" s="313">
        <f>IF(Q26&lt;&gt;"",Q26,"")</f>
        <v>-0.65</v>
      </c>
      <c r="CP8" s="313" t="b">
        <f>IF(AND(Q26&lt;&gt;"",R26&lt;&gt;"",BM7=TRUE),TRUE,FALSE)</f>
        <v>1</v>
      </c>
      <c r="CQ8" s="312"/>
      <c r="CR8" s="312"/>
      <c r="CS8" s="312"/>
      <c r="CT8" s="312"/>
      <c r="CU8" s="313" t="s">
        <v>581</v>
      </c>
      <c r="CV8" s="312"/>
      <c r="CW8" s="312"/>
      <c r="CX8" s="312"/>
      <c r="CY8" s="312"/>
      <c r="CZ8" s="314" t="s">
        <v>277</v>
      </c>
      <c r="DA8" s="326" t="e">
        <f>IF(BY20=TRUE,IF(CU34=TRUE,CK24,CK21),#N/A)</f>
        <v>#N/A</v>
      </c>
      <c r="DB8" s="312"/>
      <c r="DC8" s="282" t="e">
        <f>IF(DD6=TRUE,-CZ15,#N/A)</f>
        <v>#N/A</v>
      </c>
      <c r="DD8" s="282" t="e">
        <f>IF(DD6=TRUE,DA6,#N/A)</f>
        <v>#N/A</v>
      </c>
      <c r="DE8" s="312"/>
      <c r="DF8" s="282" t="e">
        <f>IF(DG6=TRUE,DI7,#N/A)</f>
        <v>#N/A</v>
      </c>
      <c r="DG8" s="282" t="e">
        <f>IF(DG6=TRUE,DA6,#N/A)</f>
        <v>#N/A</v>
      </c>
      <c r="DH8" s="311" t="s">
        <v>269</v>
      </c>
      <c r="DI8" s="327">
        <f>IF(HE51=TRUE,HA51,HC51)-Q10</f>
        <v>0.95</v>
      </c>
      <c r="DJ8" s="312"/>
      <c r="DK8" s="318"/>
      <c r="DL8" s="313" t="s">
        <v>48</v>
      </c>
      <c r="DM8" s="313" t="s">
        <v>49</v>
      </c>
      <c r="DN8" s="312"/>
      <c r="DO8" s="312"/>
      <c r="DP8" s="312"/>
      <c r="DQ8" s="312"/>
      <c r="DR8" s="312"/>
      <c r="DS8" s="312"/>
      <c r="DT8" s="312"/>
      <c r="DU8" s="312"/>
      <c r="DV8" s="312"/>
      <c r="DW8" s="312"/>
      <c r="DX8" s="312"/>
      <c r="DY8" s="312"/>
      <c r="DZ8" s="312"/>
      <c r="EA8" s="312"/>
      <c r="EB8" s="312"/>
      <c r="EC8" s="328" t="s">
        <v>48</v>
      </c>
      <c r="ED8" s="328" t="s">
        <v>49</v>
      </c>
      <c r="EE8" s="328" t="s">
        <v>48</v>
      </c>
      <c r="EF8" s="328" t="s">
        <v>49</v>
      </c>
      <c r="EG8" s="328" t="s">
        <v>48</v>
      </c>
      <c r="EH8" s="328" t="s">
        <v>49</v>
      </c>
      <c r="EI8" s="328" t="s">
        <v>48</v>
      </c>
      <c r="EJ8" s="328" t="s">
        <v>49</v>
      </c>
      <c r="EK8" s="328" t="s">
        <v>50</v>
      </c>
      <c r="EL8" s="310"/>
      <c r="EM8" s="312"/>
      <c r="EN8" s="312"/>
      <c r="EO8" s="312"/>
      <c r="EP8" s="312"/>
      <c r="EQ8" s="312"/>
      <c r="ER8" s="312"/>
      <c r="ES8" s="312"/>
      <c r="ET8" s="312"/>
      <c r="EU8" s="310" t="s">
        <v>72</v>
      </c>
      <c r="EV8" s="310" t="s">
        <v>73</v>
      </c>
      <c r="EW8" s="310" t="s">
        <v>70</v>
      </c>
      <c r="EX8" s="312"/>
      <c r="EY8" s="312"/>
      <c r="EZ8" s="312"/>
      <c r="FA8" s="312"/>
      <c r="FB8" s="312"/>
      <c r="FC8" s="312"/>
      <c r="FD8" s="312"/>
      <c r="FE8" s="312"/>
      <c r="FF8" s="312"/>
      <c r="FG8" s="312"/>
      <c r="FH8" s="312"/>
      <c r="FI8" s="312"/>
      <c r="FJ8" s="312"/>
      <c r="FK8" s="312"/>
      <c r="FL8" s="312"/>
      <c r="FM8" s="312"/>
      <c r="FN8" s="312"/>
      <c r="FO8" s="312"/>
      <c r="FP8" s="312"/>
      <c r="FQ8" s="312"/>
      <c r="FR8" s="312"/>
      <c r="FS8" s="312"/>
      <c r="FT8" s="312"/>
      <c r="FU8" s="312"/>
      <c r="FV8" s="312"/>
      <c r="FW8" s="312"/>
      <c r="FX8" s="312"/>
      <c r="FY8" s="312"/>
      <c r="FZ8" s="312"/>
      <c r="GA8" s="312"/>
      <c r="GB8" s="312"/>
      <c r="GC8" s="312"/>
      <c r="GD8" s="312"/>
      <c r="GE8" s="312"/>
      <c r="GF8" s="312"/>
      <c r="GG8" s="312"/>
      <c r="GH8" s="312"/>
      <c r="GI8" s="312"/>
      <c r="GJ8" s="312"/>
      <c r="GK8" s="312"/>
      <c r="GL8" s="312"/>
      <c r="GM8" s="312"/>
      <c r="GN8" s="312"/>
      <c r="GO8" s="312"/>
      <c r="GP8" s="312"/>
      <c r="GQ8" s="312"/>
      <c r="GR8" s="312"/>
      <c r="GS8" s="312"/>
      <c r="GT8" s="312"/>
      <c r="GU8" s="312"/>
      <c r="GV8" s="312"/>
      <c r="GW8" s="322" t="str">
        <f t="shared" ref="GW8:GW11" si="0">IF(Q19&lt;&gt;"",G27,G20)</f>
        <v>P2</v>
      </c>
      <c r="GX8" s="314">
        <v>2</v>
      </c>
      <c r="GY8" s="316" t="s">
        <v>20</v>
      </c>
      <c r="GZ8" s="323">
        <v>22</v>
      </c>
      <c r="HA8" s="316">
        <v>65</v>
      </c>
      <c r="HB8" s="316">
        <v>85</v>
      </c>
      <c r="HC8" s="316">
        <v>50</v>
      </c>
      <c r="HD8" s="316">
        <v>80</v>
      </c>
      <c r="HE8" s="316">
        <v>70</v>
      </c>
      <c r="HF8" s="316"/>
      <c r="HG8" s="312"/>
      <c r="HH8" s="312"/>
      <c r="HI8" s="312"/>
      <c r="HJ8" s="312"/>
      <c r="HK8" s="329"/>
      <c r="HL8" s="329"/>
      <c r="HM8" s="329"/>
      <c r="HN8" s="312"/>
      <c r="HO8" s="312"/>
      <c r="HP8" s="312"/>
      <c r="HQ8" s="312"/>
      <c r="HR8" s="312"/>
      <c r="HS8" s="312"/>
      <c r="HT8" s="312"/>
      <c r="HU8" s="312"/>
      <c r="HV8" s="312"/>
      <c r="HW8" s="312"/>
      <c r="HX8" s="312"/>
      <c r="HY8" s="312"/>
      <c r="HZ8" s="312"/>
      <c r="IA8" s="312"/>
      <c r="IB8" s="312"/>
      <c r="IC8" s="312"/>
      <c r="ID8" s="312"/>
      <c r="IE8" s="312"/>
      <c r="IF8" s="312"/>
      <c r="IG8" s="312" t="b">
        <f>AND($GY$6=22,$BM$7=TRUE,$BE$7=TRUE,CU11=TRUE)</f>
        <v>0</v>
      </c>
      <c r="IH8" s="312"/>
      <c r="II8" s="312"/>
      <c r="IJ8" s="312"/>
      <c r="IK8" s="312"/>
      <c r="IL8" s="312"/>
      <c r="IM8" s="312"/>
      <c r="IN8" s="312"/>
      <c r="IO8" s="312"/>
      <c r="IP8" s="312"/>
      <c r="IQ8" s="312"/>
      <c r="IR8" s="312"/>
      <c r="IS8" s="312"/>
      <c r="IT8" s="312"/>
      <c r="IU8" s="312"/>
      <c r="IV8" s="312"/>
      <c r="IW8" s="312"/>
      <c r="IX8" s="312"/>
      <c r="IY8" s="312"/>
      <c r="IZ8" s="312"/>
      <c r="JA8" s="312"/>
      <c r="JB8" s="312"/>
      <c r="JC8" s="312"/>
      <c r="JD8" s="312"/>
      <c r="JE8" s="312"/>
      <c r="JF8" s="312"/>
      <c r="JG8" s="312"/>
      <c r="JH8" s="312"/>
      <c r="JI8" s="312"/>
      <c r="JJ8" s="312"/>
      <c r="JK8" s="312"/>
      <c r="JL8" s="312"/>
      <c r="JP8" s="312"/>
      <c r="JQ8" s="312"/>
      <c r="JR8" s="312"/>
      <c r="JS8" s="312"/>
      <c r="JT8" s="312"/>
      <c r="JU8" s="312"/>
      <c r="JV8" s="312"/>
      <c r="JW8" s="312"/>
      <c r="JX8" s="312"/>
      <c r="JY8" s="312"/>
      <c r="JZ8" s="312"/>
      <c r="KA8" s="312"/>
      <c r="KB8" s="312"/>
      <c r="KC8" s="312"/>
      <c r="KD8" s="312"/>
      <c r="KE8" s="312"/>
      <c r="KF8" s="312"/>
      <c r="KG8" s="312"/>
      <c r="KH8" s="312"/>
      <c r="KI8" s="312"/>
      <c r="KJ8" s="312"/>
      <c r="KK8" s="312"/>
      <c r="KL8" s="312"/>
      <c r="KN8" s="534" t="s">
        <v>422</v>
      </c>
      <c r="KO8" s="534"/>
      <c r="KP8" s="534"/>
      <c r="KQ8" s="534"/>
      <c r="KR8" s="534"/>
      <c r="KS8" s="534"/>
      <c r="KT8" s="534"/>
      <c r="KU8" s="534"/>
      <c r="KV8" s="534"/>
      <c r="KW8" s="534"/>
      <c r="KX8" s="312"/>
      <c r="KY8" s="312"/>
      <c r="KZ8" s="310" t="e">
        <v>#N/A</v>
      </c>
      <c r="LA8" s="310" t="e">
        <v>#N/A</v>
      </c>
      <c r="LB8" s="312"/>
      <c r="LC8" s="313" t="str">
        <f>GP44</f>
        <v>F5</v>
      </c>
      <c r="LD8" s="313" t="str">
        <f t="shared" ref="LD8:LE8" si="1">GQ44</f>
        <v>X</v>
      </c>
      <c r="LE8" s="313" t="str">
        <f t="shared" si="1"/>
        <v>Y</v>
      </c>
      <c r="LF8" s="312"/>
      <c r="LG8" s="330" t="s">
        <v>320</v>
      </c>
      <c r="LH8" s="313" t="s">
        <v>48</v>
      </c>
      <c r="LI8" s="313" t="s">
        <v>49</v>
      </c>
      <c r="LJ8" s="313" t="s">
        <v>48</v>
      </c>
      <c r="LK8" s="313" t="s">
        <v>49</v>
      </c>
      <c r="LL8" s="313" t="s">
        <v>139</v>
      </c>
      <c r="LM8" s="312"/>
      <c r="LN8" s="330" t="s">
        <v>321</v>
      </c>
      <c r="LO8" s="331" t="s">
        <v>48</v>
      </c>
      <c r="LP8" s="331" t="s">
        <v>49</v>
      </c>
      <c r="LQ8" s="331" t="s">
        <v>48</v>
      </c>
      <c r="LR8" s="331" t="s">
        <v>49</v>
      </c>
      <c r="LS8" s="331" t="s">
        <v>139</v>
      </c>
      <c r="LT8" s="312"/>
      <c r="LU8" s="330" t="s">
        <v>323</v>
      </c>
      <c r="LV8" s="313" t="s">
        <v>48</v>
      </c>
      <c r="LW8" s="313" t="s">
        <v>49</v>
      </c>
      <c r="LX8" s="313" t="s">
        <v>48</v>
      </c>
      <c r="LY8" s="313" t="s">
        <v>49</v>
      </c>
      <c r="LZ8" s="313" t="s">
        <v>139</v>
      </c>
      <c r="MA8" s="312"/>
      <c r="MB8" s="330" t="s">
        <v>322</v>
      </c>
      <c r="MC8" s="313" t="s">
        <v>48</v>
      </c>
      <c r="MD8" s="313" t="s">
        <v>49</v>
      </c>
      <c r="ME8" s="313" t="s">
        <v>48</v>
      </c>
      <c r="MF8" s="313" t="s">
        <v>49</v>
      </c>
      <c r="MG8" s="313" t="s">
        <v>139</v>
      </c>
      <c r="MH8" s="312"/>
      <c r="MI8" s="332" t="str">
        <f>EU17</f>
        <v>Y-AXIS</v>
      </c>
      <c r="MJ8" s="313" t="s">
        <v>48</v>
      </c>
      <c r="MK8" s="313" t="s">
        <v>49</v>
      </c>
      <c r="ML8" s="313" t="s">
        <v>48</v>
      </c>
      <c r="MM8" s="313" t="s">
        <v>49</v>
      </c>
      <c r="MN8" s="313" t="s">
        <v>139</v>
      </c>
      <c r="MO8" s="312"/>
      <c r="MP8" s="312"/>
      <c r="MQ8" s="312"/>
      <c r="MR8" s="312"/>
      <c r="MS8" s="312"/>
      <c r="MT8" s="312"/>
      <c r="MU8" s="311" t="s">
        <v>474</v>
      </c>
      <c r="MV8" s="312"/>
      <c r="MW8" s="313" t="s">
        <v>475</v>
      </c>
      <c r="MX8" s="313">
        <f>F51/100</f>
        <v>0.6</v>
      </c>
      <c r="MY8" s="313" t="s">
        <v>476</v>
      </c>
      <c r="MZ8" s="312"/>
      <c r="NA8" s="312"/>
      <c r="NB8" s="312"/>
      <c r="NC8" s="312"/>
      <c r="ND8" s="312"/>
      <c r="NE8" s="312"/>
      <c r="NF8" s="312"/>
      <c r="NG8" s="312"/>
      <c r="NH8" s="312"/>
      <c r="NI8" s="312"/>
      <c r="NJ8" s="312"/>
      <c r="NK8" s="312"/>
      <c r="NL8" s="312"/>
      <c r="NM8" s="312"/>
      <c r="NN8" s="312"/>
      <c r="NO8" s="312"/>
      <c r="NP8" s="312"/>
      <c r="NQ8" s="312"/>
      <c r="NR8" s="312"/>
      <c r="NS8" s="313"/>
      <c r="NT8" s="313" t="s">
        <v>48</v>
      </c>
      <c r="NU8" s="313" t="s">
        <v>49</v>
      </c>
      <c r="NV8" s="313" t="s">
        <v>48</v>
      </c>
      <c r="NW8" s="313" t="s">
        <v>49</v>
      </c>
      <c r="NX8" s="313" t="s">
        <v>330</v>
      </c>
      <c r="NY8" s="313"/>
      <c r="NZ8" s="312"/>
      <c r="OA8" s="313" t="s">
        <v>48</v>
      </c>
      <c r="OB8" s="313" t="s">
        <v>49</v>
      </c>
      <c r="OC8" s="313" t="s">
        <v>48</v>
      </c>
      <c r="OD8" s="313" t="s">
        <v>49</v>
      </c>
      <c r="OE8" s="312"/>
      <c r="OF8" s="312" t="s">
        <v>432</v>
      </c>
      <c r="OG8" s="312" t="s">
        <v>435</v>
      </c>
      <c r="OH8" s="312"/>
      <c r="OI8" s="312"/>
      <c r="OJ8" s="312"/>
      <c r="OK8" s="312"/>
      <c r="OL8" s="312"/>
      <c r="OM8" s="312"/>
      <c r="ON8" s="312"/>
      <c r="OO8" s="312"/>
      <c r="OP8" s="312"/>
      <c r="OQ8" s="312"/>
      <c r="OR8" s="312"/>
      <c r="OS8" s="312"/>
      <c r="OT8" s="312">
        <v>1</v>
      </c>
      <c r="OU8" s="312" t="s">
        <v>451</v>
      </c>
      <c r="OV8" s="312" t="b">
        <f>IF(CP13=TRUE,IF(BK6=1,TRUE,FALSE),FALSE)</f>
        <v>0</v>
      </c>
      <c r="OW8" s="312"/>
      <c r="OX8" s="312"/>
      <c r="OY8" s="312"/>
      <c r="OZ8" s="312"/>
      <c r="PA8" s="312"/>
      <c r="PB8" s="312"/>
      <c r="PC8" s="312"/>
      <c r="PD8" s="312"/>
      <c r="PE8" s="312"/>
      <c r="PF8" s="312"/>
      <c r="PG8" s="312"/>
      <c r="PH8" s="312"/>
      <c r="PI8" s="312"/>
      <c r="PJ8" s="312"/>
      <c r="PK8" s="312"/>
      <c r="PL8" s="312"/>
      <c r="PM8" s="312"/>
      <c r="PN8" s="312" t="s">
        <v>523</v>
      </c>
      <c r="PO8" s="312" t="b">
        <f>OR(BL10=TRUE,BL11=TRUE)</f>
        <v>1</v>
      </c>
      <c r="PP8" s="312"/>
      <c r="PQ8" s="312"/>
      <c r="PR8" s="312"/>
      <c r="PS8" s="312"/>
      <c r="PT8" s="312"/>
      <c r="PU8" s="312"/>
      <c r="PV8" s="312"/>
      <c r="PW8" s="312"/>
      <c r="PX8" s="312"/>
      <c r="PY8" s="312"/>
      <c r="PZ8" s="312" t="s">
        <v>234</v>
      </c>
      <c r="QA8" s="312"/>
      <c r="QB8" s="312"/>
      <c r="QC8" s="312"/>
      <c r="QD8" s="312"/>
      <c r="QE8" s="312"/>
      <c r="QF8" s="312"/>
      <c r="QG8" s="312"/>
      <c r="QH8" s="312"/>
      <c r="QI8" s="312"/>
      <c r="QJ8" s="312"/>
      <c r="QK8" s="312"/>
      <c r="QL8" s="312"/>
      <c r="QM8" s="312"/>
      <c r="QN8" s="312"/>
      <c r="QO8" s="312"/>
      <c r="QP8" s="312"/>
      <c r="QQ8" s="312"/>
      <c r="QR8" s="312"/>
      <c r="QS8" s="312"/>
      <c r="QT8" s="312"/>
      <c r="QU8" s="312"/>
      <c r="QV8" s="312"/>
      <c r="QW8" s="312"/>
      <c r="QX8" s="312"/>
      <c r="QY8" s="312"/>
      <c r="QZ8" s="312"/>
      <c r="RA8" s="312"/>
      <c r="RB8" s="312"/>
      <c r="RC8" s="312"/>
      <c r="RD8" s="312"/>
      <c r="RE8" s="312"/>
      <c r="RF8" s="312"/>
      <c r="RG8" s="312"/>
      <c r="RH8" s="312"/>
      <c r="RI8" s="312"/>
      <c r="RJ8" s="312"/>
      <c r="RK8" s="312"/>
      <c r="RL8" s="312"/>
      <c r="RM8" s="312"/>
      <c r="RN8" s="312"/>
      <c r="RO8" s="312"/>
      <c r="RP8" s="312"/>
      <c r="RQ8" s="312"/>
      <c r="RR8" s="312"/>
      <c r="RS8" s="312"/>
      <c r="RT8" s="312"/>
      <c r="RU8" s="312"/>
      <c r="RV8" s="312"/>
      <c r="RW8" s="312"/>
      <c r="RX8" s="312"/>
      <c r="RY8" s="312"/>
      <c r="RZ8" s="312"/>
      <c r="SA8" s="312"/>
      <c r="SB8" s="312"/>
      <c r="SC8" s="312"/>
      <c r="SD8" s="312"/>
      <c r="SE8" s="312"/>
      <c r="SF8" s="312"/>
      <c r="SG8" s="312"/>
      <c r="SH8" s="312"/>
      <c r="SI8" s="312"/>
      <c r="SJ8" s="312"/>
      <c r="SK8" s="312"/>
      <c r="SL8" s="312"/>
      <c r="SM8" s="312"/>
      <c r="SN8" s="312"/>
      <c r="SO8" s="219"/>
      <c r="SP8" s="219"/>
      <c r="SQ8" s="219"/>
      <c r="SR8" s="219"/>
      <c r="SS8" s="219"/>
      <c r="ST8" s="219"/>
      <c r="SU8" s="219"/>
      <c r="SV8" s="219"/>
      <c r="SW8" s="219"/>
      <c r="SX8" s="219"/>
      <c r="SY8" s="219"/>
      <c r="SZ8" s="219"/>
      <c r="TA8" s="219"/>
      <c r="TB8" s="219"/>
      <c r="TC8" s="219"/>
      <c r="TD8" s="219"/>
      <c r="TE8" s="219"/>
      <c r="TF8" s="219"/>
      <c r="TG8" s="219"/>
      <c r="TH8" s="219"/>
      <c r="TI8" s="219"/>
      <c r="TJ8" s="219"/>
      <c r="TK8" s="219"/>
      <c r="TL8" s="219"/>
      <c r="TM8" s="219"/>
      <c r="TN8" s="219"/>
      <c r="TO8" s="219"/>
      <c r="TP8" s="219"/>
      <c r="TQ8" s="219"/>
      <c r="TR8" s="219"/>
      <c r="TS8" s="219"/>
      <c r="TT8" s="219"/>
      <c r="TU8" s="219"/>
      <c r="TV8" s="219"/>
      <c r="TW8" s="219"/>
      <c r="TX8" s="219"/>
      <c r="TY8" s="219"/>
      <c r="TZ8" s="219"/>
      <c r="UA8" s="219"/>
      <c r="UB8" s="219"/>
      <c r="UC8" s="219"/>
      <c r="UD8" s="219"/>
      <c r="UE8" s="219"/>
      <c r="UF8" s="219"/>
      <c r="UG8" s="219"/>
      <c r="UH8" s="219"/>
      <c r="UI8" s="219"/>
      <c r="UJ8" s="219"/>
      <c r="UK8" s="215"/>
      <c r="UL8" s="215"/>
      <c r="UM8" s="215"/>
      <c r="UN8" s="215"/>
      <c r="UO8" s="215"/>
      <c r="UP8" s="215"/>
      <c r="UQ8" s="215"/>
      <c r="UR8" s="215"/>
      <c r="US8" s="215"/>
      <c r="UT8" s="215"/>
      <c r="UU8" s="215"/>
      <c r="UV8" s="215"/>
      <c r="UW8" s="215"/>
      <c r="UX8" s="215"/>
      <c r="UY8" s="215"/>
      <c r="UZ8" s="215"/>
      <c r="VA8" s="215"/>
      <c r="VB8" s="3"/>
    </row>
    <row r="9" spans="1:574" s="3" customFormat="1" ht="15" customHeight="1" x14ac:dyDescent="0.45">
      <c r="B9" s="2"/>
      <c r="C9" s="2"/>
      <c r="D9" s="20"/>
      <c r="E9" s="20"/>
      <c r="F9" s="21"/>
      <c r="G9" s="559" t="s">
        <v>16</v>
      </c>
      <c r="H9" s="560"/>
      <c r="I9" s="560"/>
      <c r="J9" s="619"/>
      <c r="K9" s="22" t="str">
        <f>IF(GY6=22,"D =","")</f>
        <v/>
      </c>
      <c r="L9" s="195">
        <v>35</v>
      </c>
      <c r="M9" s="560" t="s">
        <v>17</v>
      </c>
      <c r="N9" s="560"/>
      <c r="O9" s="619"/>
      <c r="P9" s="23"/>
      <c r="Q9" s="24" t="s">
        <v>82</v>
      </c>
      <c r="R9" s="24" t="s">
        <v>84</v>
      </c>
      <c r="S9" s="23"/>
      <c r="T9" s="23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2"/>
      <c r="AM9" s="12"/>
      <c r="AN9" s="12"/>
      <c r="AO9" s="12"/>
      <c r="AP9" s="311"/>
      <c r="AQ9" s="311"/>
      <c r="AR9" s="311" t="s">
        <v>539</v>
      </c>
      <c r="AS9" s="311" t="b">
        <f>IF(SG9=2,TRUE,FALSE)</f>
        <v>1</v>
      </c>
      <c r="AT9" s="311"/>
      <c r="AU9" s="311"/>
      <c r="AV9" s="333" t="b">
        <f>IF(M36="",FALSE,IF(ABS(M36)&lt;=$BF$16,TRUE,FALSE))</f>
        <v>1</v>
      </c>
      <c r="AW9" s="333" t="b">
        <f>IF(M36="",FALSE,IF(AV9=FALSE,TRUE,FALSE))</f>
        <v>0</v>
      </c>
      <c r="AX9" s="312"/>
      <c r="AY9" s="311"/>
      <c r="AZ9" s="311"/>
      <c r="BA9" s="311"/>
      <c r="BB9" s="311"/>
      <c r="BC9" s="311"/>
      <c r="BD9" s="311"/>
      <c r="BE9" s="311" t="b">
        <v>1</v>
      </c>
      <c r="BF9" s="311" t="s">
        <v>264</v>
      </c>
      <c r="BG9" s="311"/>
      <c r="BH9" s="311"/>
      <c r="BI9" s="311"/>
      <c r="BJ9" s="312">
        <v>3</v>
      </c>
      <c r="BK9" s="313" t="s">
        <v>24</v>
      </c>
      <c r="BL9" s="318" t="b">
        <f>IF($BK$6=3,TRUE,FALSE)</f>
        <v>0</v>
      </c>
      <c r="BM9" s="318" t="b">
        <f>IF($BK$6&gt;=BJ9,TRUE,FALSE)</f>
        <v>1</v>
      </c>
      <c r="BN9" s="312"/>
      <c r="BO9" s="311"/>
      <c r="BP9" s="311"/>
      <c r="BQ9" s="311"/>
      <c r="BR9" s="311"/>
      <c r="BS9" s="311"/>
      <c r="BT9" s="313" t="s">
        <v>26</v>
      </c>
      <c r="BU9" s="313">
        <f>BT7*3</f>
        <v>0.89999999999999991</v>
      </c>
      <c r="BV9" s="318" t="b">
        <f>IF(J15&gt;=BU9,TRUE,FALSE)</f>
        <v>1</v>
      </c>
      <c r="BW9" s="312" t="b">
        <f>IF(BV9=TRUE,FALSE,TRUE)</f>
        <v>0</v>
      </c>
      <c r="BX9" s="311"/>
      <c r="BY9" s="311"/>
      <c r="BZ9" s="311"/>
      <c r="CA9" s="311"/>
      <c r="CB9" s="311"/>
      <c r="CC9" s="311"/>
      <c r="CD9" s="311"/>
      <c r="CE9" s="311"/>
      <c r="CF9" s="311"/>
      <c r="CG9" s="311"/>
      <c r="CH9" s="311"/>
      <c r="CI9" s="311"/>
      <c r="CJ9" s="311"/>
      <c r="CK9" s="311"/>
      <c r="CL9" s="311"/>
      <c r="CM9" s="311"/>
      <c r="CN9" s="311"/>
      <c r="CO9" s="313">
        <f t="shared" ref="CO9:CO12" si="2">IF(Q27&lt;&gt;"",Q27,"")</f>
        <v>0.65</v>
      </c>
      <c r="CP9" s="313" t="b">
        <f>IF(AND(Q27&lt;&gt;"",R27&lt;&gt;"",BM8=TRUE),TRUE,FALSE)</f>
        <v>1</v>
      </c>
      <c r="CQ9" s="311"/>
      <c r="CR9" s="311"/>
      <c r="CS9" s="311" t="s">
        <v>13</v>
      </c>
      <c r="CT9" s="311" t="b">
        <f>IF(AND($CU$10=1,$CU$9=1),TRUE,FALSE)</f>
        <v>0</v>
      </c>
      <c r="CU9" s="318">
        <f>COUNTIF(CP8:CP12,TRUE)</f>
        <v>5</v>
      </c>
      <c r="CV9" s="311"/>
      <c r="CW9" s="311"/>
      <c r="CX9" s="311"/>
      <c r="CY9" s="311"/>
      <c r="CZ9" s="314" t="s">
        <v>278</v>
      </c>
      <c r="DA9" s="326" t="e">
        <f>IF(BY20=TRUE,IF(CU34=TRUE,CK25,CK22),#N/A)</f>
        <v>#N/A</v>
      </c>
      <c r="DB9" s="311"/>
      <c r="DC9" s="282" t="e">
        <f>DC8</f>
        <v>#N/A</v>
      </c>
      <c r="DD9" s="282" t="e">
        <f>DD8-DA6</f>
        <v>#N/A</v>
      </c>
      <c r="DE9" s="311"/>
      <c r="DF9" s="283" t="e">
        <f>DF8</f>
        <v>#N/A</v>
      </c>
      <c r="DG9" s="287" t="e">
        <f>DG8-DA6</f>
        <v>#N/A</v>
      </c>
      <c r="DH9" s="335" t="s">
        <v>475</v>
      </c>
      <c r="DI9" s="311"/>
      <c r="DJ9" s="311"/>
      <c r="DK9" s="313">
        <v>1</v>
      </c>
      <c r="DL9" s="283" t="e">
        <f>IF(BY20=TRUE,IF(DG6=TRUE,DF33+0.1,DC33+0.1),#N/A)</f>
        <v>#N/A</v>
      </c>
      <c r="DM9" s="291" t="e">
        <f>IF(DK9&lt;=$DM$6,(G52/100)+0.05,#N/A)</f>
        <v>#N/A</v>
      </c>
      <c r="DN9" s="311"/>
      <c r="DO9" s="311"/>
      <c r="DP9" s="311"/>
      <c r="DQ9" s="311"/>
      <c r="DR9" s="311"/>
      <c r="DS9" s="311"/>
      <c r="DT9" s="311"/>
      <c r="DU9" s="311"/>
      <c r="DV9" s="311"/>
      <c r="DW9" s="311"/>
      <c r="DX9" s="311"/>
      <c r="DY9" s="311"/>
      <c r="DZ9" s="311"/>
      <c r="EA9" s="311"/>
      <c r="EB9" s="311"/>
      <c r="EC9" s="336">
        <f>DZ26</f>
        <v>-0.95</v>
      </c>
      <c r="ED9" s="337">
        <f>EA26+EC7</f>
        <v>1</v>
      </c>
      <c r="EE9" s="336">
        <f>DZ26</f>
        <v>-0.95</v>
      </c>
      <c r="EF9" s="336">
        <f>ED9+ED7/2</f>
        <v>1.1499999999999999</v>
      </c>
      <c r="EG9" s="336">
        <f>DZ27+ED7/2</f>
        <v>1.0999999999999999</v>
      </c>
      <c r="EH9" s="336">
        <f>EA26</f>
        <v>0.95</v>
      </c>
      <c r="EI9" s="338">
        <f>DZ26+(DZ27-DZ26)/2</f>
        <v>0</v>
      </c>
      <c r="EJ9" s="336">
        <f>ED10</f>
        <v>1.5550000000000002</v>
      </c>
      <c r="EK9" s="339">
        <f>DZ27-DZ26</f>
        <v>1.9</v>
      </c>
      <c r="EL9" s="310"/>
      <c r="EM9" s="311"/>
      <c r="EN9" s="311"/>
      <c r="EO9" s="311"/>
      <c r="EP9" s="311"/>
      <c r="EQ9" s="311"/>
      <c r="ER9" s="311"/>
      <c r="ES9" s="311"/>
      <c r="ET9" s="311"/>
      <c r="EU9" s="310"/>
      <c r="EV9" s="340" t="e">
        <f>IF(EV7=TRUE,$M$10,#N/A)</f>
        <v>#N/A</v>
      </c>
      <c r="EW9" s="341" t="e">
        <f>IF(EV7=TRUE,$M$11,#N/A)</f>
        <v>#N/A</v>
      </c>
      <c r="EX9" s="311"/>
      <c r="EY9" s="311"/>
      <c r="EZ9" s="311"/>
      <c r="FA9" s="311"/>
      <c r="FB9" s="311"/>
      <c r="FC9" s="311"/>
      <c r="FD9" s="311"/>
      <c r="FE9" s="311"/>
      <c r="FF9" s="311"/>
      <c r="FG9" s="311"/>
      <c r="FH9" s="311"/>
      <c r="FI9" s="311"/>
      <c r="FJ9" s="311"/>
      <c r="FK9" s="311"/>
      <c r="FL9" s="311"/>
      <c r="FM9" s="311"/>
      <c r="FN9" s="311"/>
      <c r="FO9" s="311"/>
      <c r="FP9" s="311"/>
      <c r="FQ9" s="311"/>
      <c r="FR9" s="311"/>
      <c r="FS9" s="311"/>
      <c r="FT9" s="311"/>
      <c r="FU9" s="311"/>
      <c r="FV9" s="311"/>
      <c r="FW9" s="311"/>
      <c r="FX9" s="311"/>
      <c r="FY9" s="311"/>
      <c r="FZ9" s="311"/>
      <c r="GA9" s="311"/>
      <c r="GB9" s="311"/>
      <c r="GC9" s="311"/>
      <c r="GD9" s="311"/>
      <c r="GE9" s="311"/>
      <c r="GF9" s="311"/>
      <c r="GG9" s="311"/>
      <c r="GH9" s="311"/>
      <c r="GI9" s="311"/>
      <c r="GJ9" s="311"/>
      <c r="GK9" s="311"/>
      <c r="GL9" s="311"/>
      <c r="GM9" s="311"/>
      <c r="GN9" s="311"/>
      <c r="GO9" s="311"/>
      <c r="GP9" s="311"/>
      <c r="GQ9" s="311"/>
      <c r="GR9" s="311"/>
      <c r="GS9" s="311"/>
      <c r="GT9" s="311"/>
      <c r="GU9" s="311"/>
      <c r="GV9" s="311"/>
      <c r="GW9" s="322" t="str">
        <f t="shared" si="0"/>
        <v>P3</v>
      </c>
      <c r="GX9" s="314">
        <v>3</v>
      </c>
      <c r="GY9" s="316" t="s">
        <v>25</v>
      </c>
      <c r="GZ9" s="323">
        <v>26</v>
      </c>
      <c r="HA9" s="316">
        <v>65</v>
      </c>
      <c r="HB9" s="316">
        <v>85</v>
      </c>
      <c r="HC9" s="316">
        <v>90</v>
      </c>
      <c r="HD9" s="316">
        <v>90</v>
      </c>
      <c r="HE9" s="316">
        <v>85</v>
      </c>
      <c r="HF9" s="316"/>
      <c r="HG9" s="311"/>
      <c r="HH9" s="311"/>
      <c r="HI9" s="311"/>
      <c r="HJ9" s="311"/>
      <c r="HK9" s="342" t="s">
        <v>353</v>
      </c>
      <c r="HL9" s="342" t="s">
        <v>354</v>
      </c>
      <c r="HM9" s="342" t="b">
        <f>AND(GY6=22,BM7=TRUE)</f>
        <v>0</v>
      </c>
      <c r="HN9" s="311"/>
      <c r="HO9" s="342" t="s">
        <v>353</v>
      </c>
      <c r="HP9" s="342" t="s">
        <v>360</v>
      </c>
      <c r="HQ9" s="342" t="b">
        <f>AND(GY6=22,BM8=TRUE)</f>
        <v>0</v>
      </c>
      <c r="HR9" s="311"/>
      <c r="HS9" s="342" t="s">
        <v>353</v>
      </c>
      <c r="HT9" s="342" t="s">
        <v>361</v>
      </c>
      <c r="HU9" s="342" t="b">
        <f>AND(GY6=22,BM9=TRUE)</f>
        <v>0</v>
      </c>
      <c r="HV9" s="311"/>
      <c r="HW9" s="342" t="s">
        <v>353</v>
      </c>
      <c r="HX9" s="342" t="s">
        <v>362</v>
      </c>
      <c r="HY9" s="342" t="b">
        <f>AND(GY6=22,BM10=TRUE)</f>
        <v>0</v>
      </c>
      <c r="HZ9" s="311"/>
      <c r="IA9" s="342" t="s">
        <v>353</v>
      </c>
      <c r="IB9" s="342" t="s">
        <v>362</v>
      </c>
      <c r="IC9" s="342" t="b">
        <f>AND(GY6=22,BM11=TRUE)</f>
        <v>0</v>
      </c>
      <c r="ID9" s="311"/>
      <c r="IE9" s="342" t="s">
        <v>353</v>
      </c>
      <c r="IF9" s="342" t="s">
        <v>364</v>
      </c>
      <c r="IG9" s="342" t="b">
        <f>AND($GY$6=22,$BM$7=TRUE,$BE$7=TRUE,CP8=TRUE)</f>
        <v>0</v>
      </c>
      <c r="IH9" s="311"/>
      <c r="II9" s="342" t="s">
        <v>353</v>
      </c>
      <c r="IJ9" s="342" t="s">
        <v>365</v>
      </c>
      <c r="IK9" s="342" t="b">
        <f>AND($GY$6=22,$BM$8=TRUE,$BE$7=TRUE,CP9=TRUE)</f>
        <v>0</v>
      </c>
      <c r="IL9" s="311"/>
      <c r="IM9" s="342" t="s">
        <v>353</v>
      </c>
      <c r="IN9" s="342" t="s">
        <v>366</v>
      </c>
      <c r="IO9" s="342" t="b">
        <f>AND($GY$6=22,$BM$9=TRUE,$BE$7=TRUE,CP10=TRUE)</f>
        <v>0</v>
      </c>
      <c r="IP9" s="311"/>
      <c r="IQ9" s="342" t="s">
        <v>353</v>
      </c>
      <c r="IR9" s="342" t="s">
        <v>367</v>
      </c>
      <c r="IS9" s="342" t="b">
        <f>AND($GY$6=22,$BM$10=TRUE,$BE$7=TRUE,CP11=TRUE)</f>
        <v>0</v>
      </c>
      <c r="IT9" s="311"/>
      <c r="IU9" s="342" t="s">
        <v>353</v>
      </c>
      <c r="IV9" s="342" t="s">
        <v>368</v>
      </c>
      <c r="IW9" s="342" t="b">
        <f>AND($GY$6=22,$BM$11=TRUE,$BE$7=TRUE,CP12=TRUE)</f>
        <v>0</v>
      </c>
      <c r="IX9" s="311"/>
      <c r="IY9" s="312" t="s">
        <v>369</v>
      </c>
      <c r="IZ9" s="312">
        <v>1.4999999999999999E-2</v>
      </c>
      <c r="JA9" s="311"/>
      <c r="JB9" s="311"/>
      <c r="JC9" s="311"/>
      <c r="JD9" s="311"/>
      <c r="JE9" s="311"/>
      <c r="JF9" s="311"/>
      <c r="JG9" s="311"/>
      <c r="JH9" s="311"/>
      <c r="JI9" s="311"/>
      <c r="JJ9" s="311"/>
      <c r="JK9" s="311"/>
      <c r="JL9" s="311"/>
      <c r="JM9" s="342" t="s">
        <v>353</v>
      </c>
      <c r="JN9" s="342" t="s">
        <v>411</v>
      </c>
      <c r="JO9" s="342" t="b">
        <f>AND(AZ32=TRUE,GY6=22,JM11=TRUE)</f>
        <v>0</v>
      </c>
      <c r="JP9" s="311"/>
      <c r="JQ9" s="342" t="s">
        <v>353</v>
      </c>
      <c r="JR9" s="342" t="s">
        <v>412</v>
      </c>
      <c r="JS9" s="342" t="b">
        <f>AND(AZ32=TRUE,AZ33=TRUE,GY6=22,JM11=TRUE)</f>
        <v>0</v>
      </c>
      <c r="JT9" s="311"/>
      <c r="JU9" s="342" t="s">
        <v>353</v>
      </c>
      <c r="JV9" s="342" t="s">
        <v>412</v>
      </c>
      <c r="JW9" s="342" t="b">
        <f>AND(AZ32=TRUE,AZ33=TRUE,AZ34=TRUE,GY6=22,JM11=TRUE)</f>
        <v>0</v>
      </c>
      <c r="JX9" s="311"/>
      <c r="JY9" s="342" t="s">
        <v>353</v>
      </c>
      <c r="JZ9" s="313" t="s">
        <v>371</v>
      </c>
      <c r="KA9" s="343" t="b">
        <f>AND(AZ32=TRUE,$GY$6&gt;=$GX$14,$GY$6&lt;=$GX$20,JM11=TRUE)</f>
        <v>0</v>
      </c>
      <c r="KB9" s="313" t="s">
        <v>106</v>
      </c>
      <c r="KC9" s="263" t="e">
        <f>JZ11-($IZ$10/2)+$IZ$9</f>
        <v>#N/A</v>
      </c>
      <c r="KD9" s="263" t="e">
        <f>KA11+$IZ$10/2</f>
        <v>#N/A</v>
      </c>
      <c r="KE9" s="311"/>
      <c r="KF9" s="311"/>
      <c r="KG9" s="344" t="s">
        <v>48</v>
      </c>
      <c r="KH9" s="345" t="s">
        <v>49</v>
      </c>
      <c r="KI9" s="311"/>
      <c r="KJ9" s="311"/>
      <c r="KK9" s="311"/>
      <c r="KL9" s="311"/>
      <c r="KM9" s="311"/>
      <c r="KN9" s="312">
        <v>0.05</v>
      </c>
      <c r="KO9" s="311">
        <v>0.6</v>
      </c>
      <c r="KP9" s="311"/>
      <c r="KQ9" s="311"/>
      <c r="KR9" s="311"/>
      <c r="KS9" s="311"/>
      <c r="KT9" s="311"/>
      <c r="KU9" s="311"/>
      <c r="KV9" s="311"/>
      <c r="KW9" s="311"/>
      <c r="KX9" s="311"/>
      <c r="KY9" s="311"/>
      <c r="KZ9" s="310" t="e">
        <v>#N/A</v>
      </c>
      <c r="LA9" s="310" t="e">
        <v>#N/A</v>
      </c>
      <c r="LB9" s="531" t="s">
        <v>117</v>
      </c>
      <c r="LC9" s="346" t="str" cm="1">
        <f t="array" ref="LC9:LC25">_xlfn.ANCHORARRAY(GP45)</f>
        <v>C2</v>
      </c>
      <c r="LD9" s="346" cm="1">
        <f t="array" ref="LD9:LD25">GQ45:GQ61</f>
        <v>-1.2999999999999998</v>
      </c>
      <c r="LE9" s="346" cm="1">
        <f t="array" ref="LE9:LE25">GR45:GR61</f>
        <v>0.95</v>
      </c>
      <c r="LF9" s="311"/>
      <c r="LG9" s="312"/>
      <c r="LH9" s="347" t="e">
        <f>ON53-LH7</f>
        <v>#N/A</v>
      </c>
      <c r="LI9" s="347" t="e">
        <f>OO53</f>
        <v>#N/A</v>
      </c>
      <c r="LJ9" s="318" t="e">
        <f>LH10</f>
        <v>#N/A</v>
      </c>
      <c r="LK9" s="318" t="e">
        <f>LI10+(LI11-LI10)/2</f>
        <v>#N/A</v>
      </c>
      <c r="LL9" s="347" t="e">
        <f>LI11-LI10</f>
        <v>#N/A</v>
      </c>
      <c r="LM9" s="311"/>
      <c r="LN9" s="311"/>
      <c r="LO9" s="318" t="e">
        <f>ON54-LO7</f>
        <v>#N/A</v>
      </c>
      <c r="LP9" s="318" t="e">
        <f>OO54</f>
        <v>#N/A</v>
      </c>
      <c r="LQ9" s="318">
        <f>LO10</f>
        <v>-1.9</v>
      </c>
      <c r="LR9" s="318" t="e">
        <f>LP10+(LP11-LP10)/2</f>
        <v>#N/A</v>
      </c>
      <c r="LS9" s="347" t="e">
        <f>LP11-LP10</f>
        <v>#N/A</v>
      </c>
      <c r="LT9" s="311"/>
      <c r="LU9" s="311"/>
      <c r="LV9" s="318">
        <f>ON50</f>
        <v>-1.2999999999999998</v>
      </c>
      <c r="LW9" s="318">
        <f>OO49+LV7</f>
        <v>-0.89999999999999991</v>
      </c>
      <c r="LX9" s="318">
        <f>LV10+(LV11-LV10)/2</f>
        <v>0</v>
      </c>
      <c r="LY9" s="318">
        <f>LW10</f>
        <v>1.58</v>
      </c>
      <c r="LZ9" s="347">
        <f>LV11-LV10</f>
        <v>2.5999999999999996</v>
      </c>
      <c r="MA9" s="311"/>
      <c r="MB9" s="311"/>
      <c r="MC9" s="318">
        <f>ON51</f>
        <v>1.2999999999999998</v>
      </c>
      <c r="MD9" s="318">
        <f>OO51+MC7</f>
        <v>1</v>
      </c>
      <c r="ME9" s="318" t="e">
        <f>MC10+(MC11-MC10)/2</f>
        <v>#N/A</v>
      </c>
      <c r="MF9" s="318">
        <f>MD10</f>
        <v>1.69</v>
      </c>
      <c r="MG9" s="347" t="e">
        <f>MC11-MC10</f>
        <v>#N/A</v>
      </c>
      <c r="MH9" s="311"/>
      <c r="MI9" s="311"/>
      <c r="MJ9" s="263" t="e" cm="1">
        <f t="array" ref="MJ9:MK45">IF(BK6=3,_xlfn.SWITCH(EU17,
"Y-AXIS-T",LH9:LI45,
"Y-AXIS-B",LO9:LP45,
"X-AXIS-L",LV9:LW45,
"X-AXIS-R",MC9:MD45,
""),MP9:MQ45)</f>
        <v>#N/A</v>
      </c>
      <c r="MK9" s="263" t="e">
        <v>#N/A</v>
      </c>
      <c r="ML9" s="263" t="e" cm="1">
        <f t="array" ref="ML9:MM45">IF(BK6=3,_xlfn.SWITCH(EU17,
"Y-AXIS-T",LJ9:LL45,
"Y-AXIS-B",LQ9:LS45,
"X-AXIS-L",LX9:LZ45,
"X-AXIS-R",ME9:MG45,
""),MP9:MQ45)</f>
        <v>#N/A</v>
      </c>
      <c r="MM9" s="263" t="e">
        <v>#N/A</v>
      </c>
      <c r="MN9" s="347"/>
      <c r="MO9" s="311"/>
      <c r="MP9" s="311" t="e">
        <v>#N/A</v>
      </c>
      <c r="MQ9" s="311" t="e">
        <v>#N/A</v>
      </c>
      <c r="MR9" s="311"/>
      <c r="MS9" s="311"/>
      <c r="MT9" s="311"/>
      <c r="MU9" s="311"/>
      <c r="MV9" s="311"/>
      <c r="MW9" s="311"/>
      <c r="MX9" s="311"/>
      <c r="MY9" s="311"/>
      <c r="MZ9" s="311"/>
      <c r="NA9" s="311"/>
      <c r="NB9" s="311"/>
      <c r="NC9" s="311"/>
      <c r="ND9" s="311"/>
      <c r="NE9" s="311"/>
      <c r="NF9" s="311"/>
      <c r="NG9" s="311"/>
      <c r="NH9" s="311"/>
      <c r="NI9" s="311"/>
      <c r="NJ9" s="311"/>
      <c r="NK9" s="311"/>
      <c r="NL9" s="311"/>
      <c r="NM9" s="311"/>
      <c r="NN9" s="311"/>
      <c r="NO9" s="311"/>
      <c r="NP9" s="311"/>
      <c r="NQ9" s="311"/>
      <c r="NR9" s="311"/>
      <c r="NS9" s="318" t="s">
        <v>320</v>
      </c>
      <c r="NT9" s="313">
        <f>IF(NS7=TRUE,NP12,#N/A)</f>
        <v>-0.2</v>
      </c>
      <c r="NU9" s="313">
        <f>IF(NS7=TRUE,NO12,#N/A)</f>
        <v>0.2</v>
      </c>
      <c r="NV9" s="313">
        <f>IF(NS7=TRUE,INDEX($J$26:$J$30,MATCH(NW9,$H$26:$H$30,0)),#N/A)</f>
        <v>-0.65</v>
      </c>
      <c r="NW9" s="348">
        <f>IF(NS7=TRUE,MAX(H27,H29),#N/A)</f>
        <v>0.65</v>
      </c>
      <c r="NX9" s="334">
        <f>ABS(ABS(NU9)-ABS(NW9))</f>
        <v>0.45</v>
      </c>
      <c r="NY9" s="318" t="b">
        <f>IF(NX9=MAX($NX$9:$NX$10),TRUE,FALSE)</f>
        <v>1</v>
      </c>
      <c r="NZ9" s="312" t="s">
        <v>433</v>
      </c>
      <c r="OA9" s="524">
        <f>IF(NY9=TRUE,NT9,NT10)</f>
        <v>-0.2</v>
      </c>
      <c r="OB9" s="524">
        <f>IF(NY9=TRUE,NU9,NU10)</f>
        <v>0.2</v>
      </c>
      <c r="OC9" s="524">
        <f>IF(NY9=TRUE,NV9,NV10)</f>
        <v>-0.65</v>
      </c>
      <c r="OD9" s="524">
        <f>IF(NY9=TRUE,NW9,NW10)</f>
        <v>0.65</v>
      </c>
      <c r="OE9" s="524" t="str">
        <f>INDEX(_xlfn.ANCHORARRAY(NO28),MATCH((OC9+OD9),NP28:NP32,0))</f>
        <v>P2</v>
      </c>
      <c r="OF9" s="524">
        <f>INDEX(M44:M48,MATCH(OE9,_xlfn.ANCHORARRAY(G44),0))</f>
        <v>0</v>
      </c>
      <c r="OG9" s="526">
        <f>(OF9*NZ10)</f>
        <v>0</v>
      </c>
      <c r="OH9" s="311"/>
      <c r="OI9" s="311"/>
      <c r="OJ9" s="311"/>
      <c r="OK9" s="311"/>
      <c r="OL9" s="328" t="s">
        <v>66</v>
      </c>
      <c r="OM9" s="328" t="b">
        <f>BL7</f>
        <v>0</v>
      </c>
      <c r="ON9" s="310"/>
      <c r="OO9" s="311"/>
      <c r="OP9" s="311"/>
      <c r="OQ9" s="311"/>
      <c r="OR9" s="311"/>
      <c r="OS9" s="311"/>
      <c r="OT9" s="311" t="b">
        <f>IF(BK6=1,IF(OT8=1,TRUE,FALSE),FALSE)</f>
        <v>0</v>
      </c>
      <c r="OU9" s="349" t="s">
        <v>449</v>
      </c>
      <c r="OV9" s="311"/>
      <c r="OW9" s="311"/>
      <c r="OX9" s="311"/>
      <c r="OY9" s="311"/>
      <c r="OZ9" s="311"/>
      <c r="PA9" s="311"/>
      <c r="PB9" s="311"/>
      <c r="PC9" s="311"/>
      <c r="PD9" s="311"/>
      <c r="PE9" s="311"/>
      <c r="PF9" s="311"/>
      <c r="PG9" s="311"/>
      <c r="PH9" s="311"/>
      <c r="PI9" s="311"/>
      <c r="PJ9" s="311"/>
      <c r="PK9" s="311"/>
      <c r="PL9" s="311"/>
      <c r="PM9" s="311"/>
      <c r="PN9" s="311" t="s">
        <v>19</v>
      </c>
      <c r="PO9" s="311" t="b">
        <f>BL8</f>
        <v>0</v>
      </c>
      <c r="PP9" s="311"/>
      <c r="PQ9" s="311"/>
      <c r="PR9" s="311"/>
      <c r="PS9" s="342" t="s">
        <v>353</v>
      </c>
      <c r="PT9" s="342" t="s">
        <v>354</v>
      </c>
      <c r="PU9" s="342" t="b">
        <f>IF(CP13=TRUE,PO10,FALSE)</f>
        <v>0</v>
      </c>
      <c r="PV9" s="311"/>
      <c r="PW9" s="311"/>
      <c r="PX9" s="311"/>
      <c r="PY9" s="311"/>
      <c r="PZ9" s="311" t="s">
        <v>522</v>
      </c>
      <c r="QA9" s="311">
        <f>IF(CP13=TRUE,C51/100/2,#N/A)</f>
        <v>0.22749999999999995</v>
      </c>
      <c r="QB9" s="311"/>
      <c r="QC9" s="311"/>
      <c r="QD9" s="311"/>
      <c r="QE9" s="311"/>
      <c r="QF9" s="311"/>
      <c r="QG9" s="311"/>
      <c r="QH9" s="311"/>
      <c r="QI9" s="311"/>
      <c r="QJ9" s="311"/>
      <c r="QK9" s="311"/>
      <c r="QL9" s="311"/>
      <c r="QM9" s="311"/>
      <c r="QN9" s="311"/>
      <c r="QO9" s="311"/>
      <c r="QP9" s="311"/>
      <c r="QQ9" s="311"/>
      <c r="QR9" s="311"/>
      <c r="QS9" s="311"/>
      <c r="QT9" s="311"/>
      <c r="QU9" s="311"/>
      <c r="QV9" s="517" t="s">
        <v>524</v>
      </c>
      <c r="QW9" s="517"/>
      <c r="QX9" s="517"/>
      <c r="QY9" s="311"/>
      <c r="QZ9" s="311"/>
      <c r="RA9" s="311"/>
      <c r="RB9" s="311"/>
      <c r="RC9" s="311"/>
      <c r="RD9" s="311"/>
      <c r="RE9" s="311"/>
      <c r="RF9" s="311"/>
      <c r="RG9" s="311"/>
      <c r="RH9" s="311"/>
      <c r="RI9" s="311"/>
      <c r="RJ9" s="311"/>
      <c r="RK9" s="311"/>
      <c r="RL9" s="311"/>
      <c r="RM9" s="311"/>
      <c r="RN9" s="311"/>
      <c r="RO9" s="311"/>
      <c r="RP9" s="311"/>
      <c r="RQ9" s="311"/>
      <c r="RR9" s="311"/>
      <c r="RS9" s="311"/>
      <c r="RT9" s="311"/>
      <c r="RU9" s="311"/>
      <c r="RV9" s="311"/>
      <c r="RW9" s="311"/>
      <c r="RX9" s="311"/>
      <c r="RY9" s="311"/>
      <c r="RZ9" s="311"/>
      <c r="SA9" s="311"/>
      <c r="SB9" s="311"/>
      <c r="SC9" s="311"/>
      <c r="SD9" s="311"/>
      <c r="SE9" s="311"/>
      <c r="SF9" s="311"/>
      <c r="SG9" s="311">
        <v>2</v>
      </c>
      <c r="SH9" s="311"/>
      <c r="SI9" s="311"/>
      <c r="SJ9" s="311"/>
      <c r="SK9" s="311"/>
      <c r="SL9" s="311"/>
      <c r="SM9" s="311"/>
      <c r="SN9" s="311"/>
      <c r="SO9" s="218"/>
      <c r="SP9" s="218"/>
      <c r="SQ9" s="218"/>
      <c r="SR9" s="218"/>
      <c r="SS9" s="218"/>
      <c r="ST9" s="218"/>
      <c r="SU9" s="218"/>
      <c r="SV9" s="218"/>
      <c r="SW9" s="218"/>
      <c r="SX9" s="218"/>
      <c r="SY9" s="218"/>
      <c r="SZ9" s="218"/>
      <c r="TA9" s="218"/>
      <c r="TB9" s="218"/>
      <c r="TC9" s="218"/>
      <c r="TD9" s="218"/>
      <c r="TE9" s="218"/>
      <c r="TF9" s="218"/>
      <c r="TG9" s="218"/>
      <c r="TH9" s="218"/>
      <c r="TI9" s="218"/>
      <c r="TJ9" s="218"/>
      <c r="TK9" s="218"/>
      <c r="TL9" s="218"/>
      <c r="TM9" s="218"/>
      <c r="TN9" s="218"/>
      <c r="TO9" s="218"/>
      <c r="TP9" s="218"/>
      <c r="TQ9" s="218"/>
      <c r="TR9" s="218"/>
      <c r="TS9" s="218"/>
      <c r="TT9" s="218"/>
      <c r="TU9" s="218"/>
      <c r="TV9" s="218"/>
      <c r="TW9" s="218"/>
      <c r="TX9" s="218"/>
      <c r="TY9" s="218"/>
      <c r="TZ9" s="218"/>
      <c r="UA9" s="218"/>
      <c r="UB9" s="218"/>
      <c r="UC9" s="218"/>
      <c r="UD9" s="218"/>
      <c r="UE9" s="218"/>
      <c r="UF9" s="218"/>
      <c r="UG9" s="218"/>
      <c r="UH9" s="218"/>
      <c r="UI9" s="218"/>
      <c r="UJ9" s="218"/>
      <c r="UK9" s="214"/>
      <c r="UL9" s="214"/>
      <c r="UM9" s="214"/>
      <c r="UN9" s="214"/>
      <c r="UO9" s="214"/>
      <c r="UP9" s="214"/>
      <c r="UQ9" s="214"/>
      <c r="UR9" s="214"/>
      <c r="US9" s="214"/>
      <c r="UT9" s="214"/>
      <c r="UU9" s="214"/>
      <c r="UV9" s="214"/>
      <c r="UW9" s="214"/>
      <c r="UX9" s="214"/>
      <c r="UY9" s="214"/>
      <c r="UZ9" s="214"/>
      <c r="VA9" s="214"/>
      <c r="VB9" s="2"/>
    </row>
    <row r="10" spans="1:574" ht="15" customHeight="1" x14ac:dyDescent="0.45">
      <c r="A10" s="25"/>
      <c r="B10" s="21"/>
      <c r="C10" s="21"/>
      <c r="D10" s="21"/>
      <c r="E10" s="21"/>
      <c r="F10" s="21"/>
      <c r="G10" s="620" t="s">
        <v>22</v>
      </c>
      <c r="H10" s="621"/>
      <c r="I10" s="622"/>
      <c r="J10" s="599" t="s">
        <v>49</v>
      </c>
      <c r="K10" s="600"/>
      <c r="L10" s="26" t="s">
        <v>23</v>
      </c>
      <c r="M10" s="623">
        <f>IF(Q10="",0,Q10)</f>
        <v>0</v>
      </c>
      <c r="N10" s="624"/>
      <c r="O10" s="625"/>
      <c r="P10" s="13"/>
      <c r="Q10" s="208">
        <v>0</v>
      </c>
      <c r="R10" s="209">
        <v>0</v>
      </c>
      <c r="S10" s="13"/>
      <c r="T10" s="13"/>
      <c r="U10" s="18"/>
      <c r="V10" s="11"/>
      <c r="W10" s="11"/>
      <c r="X10" s="11"/>
      <c r="Y10" s="11"/>
      <c r="Z10" s="11"/>
      <c r="AA10" s="11"/>
      <c r="AB10" s="11"/>
      <c r="AC10" s="11"/>
      <c r="AD10" s="11"/>
      <c r="AE10" s="18"/>
      <c r="AF10" s="18"/>
      <c r="AG10" s="18"/>
      <c r="AH10" s="18"/>
      <c r="AI10" s="18"/>
      <c r="AJ10" s="18"/>
      <c r="AK10" s="18"/>
      <c r="AL10" s="19"/>
      <c r="AM10" s="19"/>
      <c r="AN10" s="19"/>
      <c r="AO10" s="19"/>
      <c r="AP10" s="312"/>
      <c r="AQ10" s="312"/>
      <c r="AR10" s="312"/>
      <c r="AS10" s="312"/>
      <c r="AT10" s="312"/>
      <c r="AU10" s="312"/>
      <c r="AV10" s="350" t="b">
        <f>IF(M38="",FALSE,IF(ABS(M38)&lt;=$BF$16,TRUE,FALSE))</f>
        <v>1</v>
      </c>
      <c r="AW10" s="333" t="b">
        <f>IF(M38="",FALSE,IF(AV10=FALSE,TRUE,FALSE))</f>
        <v>0</v>
      </c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2"/>
      <c r="BI10" s="312"/>
      <c r="BJ10" s="312">
        <v>4</v>
      </c>
      <c r="BK10" s="313" t="s">
        <v>29</v>
      </c>
      <c r="BL10" s="318" t="b">
        <f>IF($BK$6=4,TRUE,FALSE)</f>
        <v>0</v>
      </c>
      <c r="BM10" s="318" t="b">
        <f>IF($BK$6&gt;=BJ10,TRUE,FALSE)</f>
        <v>1</v>
      </c>
      <c r="BN10" s="312"/>
      <c r="BO10" s="312"/>
      <c r="BP10" s="312"/>
      <c r="BQ10" s="312"/>
      <c r="BR10" s="312"/>
      <c r="BS10" s="312"/>
      <c r="BT10" s="312"/>
      <c r="BU10" s="312"/>
      <c r="BV10" s="312"/>
      <c r="BW10" s="312"/>
      <c r="BX10" s="312"/>
      <c r="BY10" s="312"/>
      <c r="BZ10" s="312"/>
      <c r="CA10" s="312"/>
      <c r="CB10" s="312"/>
      <c r="CC10" s="312"/>
      <c r="CD10" s="312"/>
      <c r="CE10" s="312"/>
      <c r="CF10" s="312"/>
      <c r="CG10" s="312"/>
      <c r="CH10" s="312"/>
      <c r="CI10" s="312"/>
      <c r="CJ10" s="312"/>
      <c r="CK10" s="312"/>
      <c r="CL10" s="312"/>
      <c r="CM10" s="312"/>
      <c r="CN10" s="312"/>
      <c r="CO10" s="313">
        <f t="shared" si="2"/>
        <v>-0.65</v>
      </c>
      <c r="CP10" s="313" t="b">
        <f>IF(AND(Q28&lt;&gt;"",R28&lt;&gt;"",BM9=TRUE),TRUE,FALSE)</f>
        <v>1</v>
      </c>
      <c r="CQ10" s="312"/>
      <c r="CR10" s="312"/>
      <c r="CS10" s="311" t="s">
        <v>19</v>
      </c>
      <c r="CT10" s="311" t="b">
        <f>IF(AND($CU$10=2,$CU$9=2),TRUE,FALSE)</f>
        <v>0</v>
      </c>
      <c r="CU10" s="318">
        <f>BK6</f>
        <v>5</v>
      </c>
      <c r="CV10" s="312"/>
      <c r="CW10" s="312"/>
      <c r="CX10" s="312"/>
      <c r="CY10" s="312"/>
      <c r="CZ10" s="314" t="s">
        <v>279</v>
      </c>
      <c r="DA10" s="312" t="e">
        <f>IF(BY20=TRUE,IF(AY15=TRUE,CN28,BZ22-CR37),#N/A)</f>
        <v>#N/A</v>
      </c>
      <c r="DB10" s="312"/>
      <c r="DC10" s="282" t="e">
        <f>IF(DD6=TRUE,+CZ16,#N/A)</f>
        <v>#N/A</v>
      </c>
      <c r="DD10" s="282" t="e">
        <f>DD9</f>
        <v>#N/A</v>
      </c>
      <c r="DE10" s="312"/>
      <c r="DF10" s="282" t="e">
        <f>IF(DG6=TRUE,DI8,#N/A)</f>
        <v>#N/A</v>
      </c>
      <c r="DG10" s="288" t="e">
        <f>DG9</f>
        <v>#N/A</v>
      </c>
      <c r="DH10" s="335" t="s">
        <v>267</v>
      </c>
      <c r="DI10" s="312"/>
      <c r="DJ10" s="312"/>
      <c r="DK10" s="313">
        <v>2</v>
      </c>
      <c r="DL10" s="282" t="e">
        <f>IF(DK10&lt;=$DM$6,DL9+$DM$7,#N/A)</f>
        <v>#N/A</v>
      </c>
      <c r="DM10" s="291" t="e">
        <f>IF(DK10&lt;=$DM$6,DM9,#N/A)</f>
        <v>#N/A</v>
      </c>
      <c r="DN10" s="312"/>
      <c r="DO10" s="312"/>
      <c r="DP10" s="312"/>
      <c r="DQ10" s="312"/>
      <c r="DR10" s="312"/>
      <c r="DS10" s="312"/>
      <c r="DT10" s="312"/>
      <c r="DU10" s="312"/>
      <c r="DV10" s="312"/>
      <c r="DW10" s="312"/>
      <c r="DX10" s="312"/>
      <c r="DY10" s="312"/>
      <c r="DZ10" s="312"/>
      <c r="EA10" s="312"/>
      <c r="EB10" s="312"/>
      <c r="EC10" s="336">
        <f>EC9</f>
        <v>-0.95</v>
      </c>
      <c r="ED10" s="337">
        <f>ED9+ED7*1.85</f>
        <v>1.5550000000000002</v>
      </c>
      <c r="EE10" s="351">
        <f>MIN(DY46,DY47)</f>
        <v>-0.65</v>
      </c>
      <c r="EF10" s="336">
        <f>EF9</f>
        <v>1.1499999999999999</v>
      </c>
      <c r="EG10" s="336">
        <f>EG9</f>
        <v>1.0999999999999999</v>
      </c>
      <c r="EH10" s="338">
        <f>MAX(DZ46:DZ49)</f>
        <v>0.65</v>
      </c>
      <c r="EI10" s="336">
        <f>EC15</f>
        <v>1.5249999999999999</v>
      </c>
      <c r="EJ10" s="338">
        <f>EA27-(EA27-EA28)/2</f>
        <v>0</v>
      </c>
      <c r="EK10" s="339">
        <f>EA27-EA28</f>
        <v>1.9</v>
      </c>
      <c r="EL10" s="310"/>
      <c r="EM10" s="312"/>
      <c r="EN10" s="312"/>
      <c r="EO10" s="312"/>
      <c r="EP10" s="312"/>
      <c r="EQ10" s="312"/>
      <c r="ER10" s="312"/>
      <c r="ES10" s="312"/>
      <c r="ET10" s="312"/>
      <c r="EU10" s="314" t="s">
        <v>316</v>
      </c>
      <c r="EV10" s="352">
        <f>J16</f>
        <v>0.3</v>
      </c>
      <c r="EW10" s="312"/>
      <c r="EX10" s="312"/>
      <c r="EY10" s="312"/>
      <c r="EZ10" s="312"/>
      <c r="FA10" s="312"/>
      <c r="FB10" s="312"/>
      <c r="FC10" s="312"/>
      <c r="FD10" s="312"/>
      <c r="FE10" s="312"/>
      <c r="FF10" s="312"/>
      <c r="FG10" s="312"/>
      <c r="FH10" s="312"/>
      <c r="FI10" s="312"/>
      <c r="FJ10" s="312"/>
      <c r="FK10" s="312"/>
      <c r="FL10" s="312"/>
      <c r="FM10" s="312"/>
      <c r="FN10" s="312"/>
      <c r="FO10" s="312"/>
      <c r="FP10" s="312"/>
      <c r="FQ10" s="312"/>
      <c r="FR10" s="312"/>
      <c r="FS10" s="312"/>
      <c r="FT10" s="312"/>
      <c r="FU10" s="312"/>
      <c r="FV10" s="312"/>
      <c r="FW10" s="312"/>
      <c r="FX10" s="312"/>
      <c r="FY10" s="312"/>
      <c r="FZ10" s="312"/>
      <c r="GA10" s="312"/>
      <c r="GB10" s="312"/>
      <c r="GC10" s="312"/>
      <c r="GD10" s="312"/>
      <c r="GE10" s="312"/>
      <c r="GF10" s="312"/>
      <c r="GG10" s="312"/>
      <c r="GH10" s="312"/>
      <c r="GI10" s="312"/>
      <c r="GJ10" s="312"/>
      <c r="GK10" s="312"/>
      <c r="GL10" s="312"/>
      <c r="GM10" s="312"/>
      <c r="GN10" s="312"/>
      <c r="GO10" s="312"/>
      <c r="GP10" s="312"/>
      <c r="GQ10" s="312"/>
      <c r="GR10" s="312"/>
      <c r="GS10" s="312"/>
      <c r="GT10" s="312"/>
      <c r="GU10" s="312"/>
      <c r="GV10" s="312"/>
      <c r="GW10" s="322" t="str">
        <f t="shared" si="0"/>
        <v>P4</v>
      </c>
      <c r="GX10" s="314">
        <v>4</v>
      </c>
      <c r="GY10" s="316" t="s">
        <v>30</v>
      </c>
      <c r="GZ10" s="323">
        <v>30</v>
      </c>
      <c r="HA10" s="316">
        <v>75</v>
      </c>
      <c r="HB10" s="316">
        <v>105</v>
      </c>
      <c r="HC10" s="316">
        <v>90</v>
      </c>
      <c r="HD10" s="316">
        <v>100</v>
      </c>
      <c r="HE10" s="316">
        <v>100</v>
      </c>
      <c r="HF10" s="316"/>
      <c r="HG10" s="312"/>
      <c r="HH10" s="312"/>
      <c r="HI10" s="312"/>
      <c r="HJ10" s="312"/>
      <c r="HK10" s="342" t="s">
        <v>355</v>
      </c>
      <c r="HL10" s="342" t="s">
        <v>48</v>
      </c>
      <c r="HM10" s="342" t="s">
        <v>49</v>
      </c>
      <c r="HN10" s="312"/>
      <c r="HO10" s="342" t="s">
        <v>355</v>
      </c>
      <c r="HP10" s="342" t="s">
        <v>48</v>
      </c>
      <c r="HQ10" s="342" t="s">
        <v>49</v>
      </c>
      <c r="HR10" s="312"/>
      <c r="HS10" s="342" t="s">
        <v>355</v>
      </c>
      <c r="HT10" s="342" t="s">
        <v>48</v>
      </c>
      <c r="HU10" s="342" t="s">
        <v>49</v>
      </c>
      <c r="HV10" s="312"/>
      <c r="HW10" s="342" t="s">
        <v>355</v>
      </c>
      <c r="HX10" s="342" t="s">
        <v>48</v>
      </c>
      <c r="HY10" s="342" t="s">
        <v>49</v>
      </c>
      <c r="HZ10" s="312"/>
      <c r="IA10" s="342" t="s">
        <v>355</v>
      </c>
      <c r="IB10" s="342" t="s">
        <v>48</v>
      </c>
      <c r="IC10" s="342" t="s">
        <v>49</v>
      </c>
      <c r="ID10" s="312"/>
      <c r="IE10" s="342" t="s">
        <v>355</v>
      </c>
      <c r="IF10" s="342" t="s">
        <v>48</v>
      </c>
      <c r="IG10" s="342" t="s">
        <v>49</v>
      </c>
      <c r="IH10" s="312"/>
      <c r="II10" s="342" t="s">
        <v>355</v>
      </c>
      <c r="IJ10" s="342" t="s">
        <v>48</v>
      </c>
      <c r="IK10" s="342" t="s">
        <v>49</v>
      </c>
      <c r="IL10" s="312"/>
      <c r="IM10" s="342" t="s">
        <v>355</v>
      </c>
      <c r="IN10" s="342" t="s">
        <v>48</v>
      </c>
      <c r="IO10" s="342" t="s">
        <v>49</v>
      </c>
      <c r="IP10" s="312"/>
      <c r="IQ10" s="342" t="s">
        <v>355</v>
      </c>
      <c r="IR10" s="342" t="s">
        <v>48</v>
      </c>
      <c r="IS10" s="342" t="s">
        <v>49</v>
      </c>
      <c r="IT10" s="312"/>
      <c r="IU10" s="342" t="s">
        <v>355</v>
      </c>
      <c r="IV10" s="342" t="s">
        <v>48</v>
      </c>
      <c r="IW10" s="342" t="s">
        <v>49</v>
      </c>
      <c r="IX10" s="312"/>
      <c r="IY10" s="312" t="s">
        <v>370</v>
      </c>
      <c r="IZ10" s="312" cm="1">
        <f t="array" ref="IZ10">INDEX(GZ7:GZ28,GY6)/100</f>
        <v>0.3</v>
      </c>
      <c r="JA10" s="312"/>
      <c r="JB10" s="312"/>
      <c r="JC10" s="312"/>
      <c r="JD10" s="312"/>
      <c r="JE10" s="312"/>
      <c r="JF10" s="312"/>
      <c r="JG10" s="312"/>
      <c r="JH10" s="312"/>
      <c r="JI10" s="312"/>
      <c r="JJ10" s="312"/>
      <c r="JK10" s="312"/>
      <c r="JL10" s="312"/>
      <c r="JM10" s="342" t="s">
        <v>355</v>
      </c>
      <c r="JN10" s="342" t="s">
        <v>48</v>
      </c>
      <c r="JO10" s="342" t="s">
        <v>49</v>
      </c>
      <c r="JP10" s="312"/>
      <c r="JQ10" s="342" t="s">
        <v>355</v>
      </c>
      <c r="JR10" s="342" t="s">
        <v>48</v>
      </c>
      <c r="JS10" s="342" t="s">
        <v>49</v>
      </c>
      <c r="JT10" s="312"/>
      <c r="JU10" s="342" t="s">
        <v>355</v>
      </c>
      <c r="JV10" s="342" t="s">
        <v>48</v>
      </c>
      <c r="JW10" s="342" t="s">
        <v>49</v>
      </c>
      <c r="JX10" s="312"/>
      <c r="JY10" s="342" t="s">
        <v>355</v>
      </c>
      <c r="JZ10" s="342" t="s">
        <v>48</v>
      </c>
      <c r="KA10" s="353" t="s">
        <v>49</v>
      </c>
      <c r="KB10" s="313" t="s">
        <v>144</v>
      </c>
      <c r="KC10" s="263" t="e">
        <f>JZ11+($IZ$10/2)-$IZ$9</f>
        <v>#N/A</v>
      </c>
      <c r="KD10" s="263" t="e">
        <f>KD9</f>
        <v>#N/A</v>
      </c>
      <c r="KE10" s="312"/>
      <c r="KF10" s="313" t="b">
        <f>AND($JM$11=TRUE,AZ32=TRUE)</f>
        <v>1</v>
      </c>
      <c r="KG10" s="249">
        <f>IF(KF10=TRUE,R33,#N/A)</f>
        <v>-1</v>
      </c>
      <c r="KH10" s="249">
        <f>IF(KF10=TRUE,Q33,#N/A)</f>
        <v>0.65</v>
      </c>
      <c r="KI10" s="354">
        <f>IF(H49&lt;&gt;"",IF(BI66&lt;&gt;"",TRUNC(BI66,2),""),"")</f>
        <v>36</v>
      </c>
      <c r="KJ10" s="355"/>
      <c r="KK10" s="355"/>
      <c r="KL10" s="355"/>
      <c r="KM10" s="312"/>
      <c r="KN10" s="756" t="s">
        <v>234</v>
      </c>
      <c r="KO10" s="756"/>
      <c r="KP10" s="756"/>
      <c r="KQ10" s="756"/>
      <c r="KR10" s="318" t="b">
        <f>AND(BK6=2,BE8=TRUE,AX14=1)</f>
        <v>0</v>
      </c>
      <c r="KS10" s="756" t="s">
        <v>235</v>
      </c>
      <c r="KT10" s="756"/>
      <c r="KU10" s="756"/>
      <c r="KV10" s="756"/>
      <c r="KW10" s="356" t="b">
        <f>AND(BK6=2,BE8=TRUE,AX14=2)</f>
        <v>0</v>
      </c>
      <c r="KX10" s="355"/>
      <c r="KY10" s="355"/>
      <c r="KZ10" s="310" t="e">
        <v>#N/A</v>
      </c>
      <c r="LA10" s="310" t="e">
        <v>#N/A</v>
      </c>
      <c r="LB10" s="531"/>
      <c r="LC10" s="346" t="str">
        <v>C3</v>
      </c>
      <c r="LD10" s="346">
        <v>1.2999999999999998</v>
      </c>
      <c r="LE10" s="346">
        <v>0.95</v>
      </c>
      <c r="LF10" s="312"/>
      <c r="LG10" s="312"/>
      <c r="LH10" s="347" t="e">
        <f>LH9-LI7*1.25</f>
        <v>#N/A</v>
      </c>
      <c r="LI10" s="347" t="e">
        <f>LI9</f>
        <v>#N/A</v>
      </c>
      <c r="LJ10" s="313" t="e">
        <f>LH14</f>
        <v>#N/A</v>
      </c>
      <c r="LK10" s="313" t="e">
        <f>LI14+(LI15-LI14)/2</f>
        <v>#N/A</v>
      </c>
      <c r="LL10" s="347" t="e">
        <f>LI15-LI14</f>
        <v>#N/A</v>
      </c>
      <c r="LM10" s="312"/>
      <c r="LN10" s="312"/>
      <c r="LO10" s="313">
        <f>ON49-LP7</f>
        <v>-1.9</v>
      </c>
      <c r="LP10" s="313" t="e">
        <f>LP9</f>
        <v>#N/A</v>
      </c>
      <c r="LQ10" s="313">
        <f>LO14</f>
        <v>-1.6999999999999997</v>
      </c>
      <c r="LR10" s="313" t="e">
        <f>LP14+(LP15-LP14)/2</f>
        <v>#N/A</v>
      </c>
      <c r="LS10" s="347" t="e">
        <f>LP15-LP14</f>
        <v>#N/A</v>
      </c>
      <c r="LT10" s="312"/>
      <c r="LU10" s="312"/>
      <c r="LV10" s="313">
        <f>LV9</f>
        <v>-1.2999999999999998</v>
      </c>
      <c r="LW10" s="313">
        <f>OO51+LW7*1.05</f>
        <v>1.58</v>
      </c>
      <c r="LX10" s="313">
        <f>LV14+(LV15-LV14)/2</f>
        <v>-0.64999999999999991</v>
      </c>
      <c r="LY10" s="313">
        <f>LW14</f>
        <v>1.4</v>
      </c>
      <c r="LZ10" s="347">
        <f>LV15-LV14</f>
        <v>1.2999999999999998</v>
      </c>
      <c r="MA10" s="312"/>
      <c r="MB10" s="312"/>
      <c r="MC10" s="313">
        <f>MC9</f>
        <v>1.2999999999999998</v>
      </c>
      <c r="MD10" s="313">
        <f>MD9+MD7*1.15</f>
        <v>1.69</v>
      </c>
      <c r="ME10" s="313">
        <f>MC14+(MC15-MC14)/2</f>
        <v>0.64999999999999991</v>
      </c>
      <c r="MF10" s="313">
        <f>MD14</f>
        <v>1.48</v>
      </c>
      <c r="MG10" s="347">
        <f>MC15-MC14</f>
        <v>-1.2999999999999998</v>
      </c>
      <c r="MH10" s="312"/>
      <c r="MI10" s="312"/>
      <c r="MJ10" s="249" t="e">
        <v>#N/A</v>
      </c>
      <c r="MK10" s="249" t="e">
        <v>#N/A</v>
      </c>
      <c r="ML10" s="249" t="e">
        <v>#N/A</v>
      </c>
      <c r="MM10" s="249" t="e">
        <v>#N/A</v>
      </c>
      <c r="MN10" s="347"/>
      <c r="MO10" s="312"/>
      <c r="MP10" s="311" t="e">
        <v>#N/A</v>
      </c>
      <c r="MQ10" s="311" t="e">
        <v>#N/A</v>
      </c>
      <c r="MT10" s="313">
        <f>AX14</f>
        <v>2</v>
      </c>
      <c r="MU10" s="524" t="s">
        <v>106</v>
      </c>
      <c r="MV10" s="524"/>
      <c r="MW10" s="524" t="s">
        <v>144</v>
      </c>
      <c r="MX10" s="524"/>
      <c r="MY10" s="524" t="s">
        <v>149</v>
      </c>
      <c r="MZ10" s="524"/>
      <c r="NA10" s="312"/>
      <c r="NB10" s="312"/>
      <c r="NC10" s="312"/>
      <c r="ND10" s="312"/>
      <c r="NE10" s="312"/>
      <c r="NF10" s="312"/>
      <c r="NG10" s="312"/>
      <c r="NK10" s="312"/>
      <c r="NL10" s="312" t="s">
        <v>535</v>
      </c>
      <c r="NM10" s="312"/>
      <c r="NN10" s="312"/>
      <c r="NO10" s="312"/>
      <c r="NP10" s="312"/>
      <c r="NQ10" s="312"/>
      <c r="NR10" s="312"/>
      <c r="NS10" s="318" t="s">
        <v>321</v>
      </c>
      <c r="NT10" s="313">
        <f>NT9</f>
        <v>-0.2</v>
      </c>
      <c r="NU10" s="313">
        <f>IF(NS7=TRUE,NO14,#N/A)</f>
        <v>-0.2</v>
      </c>
      <c r="NV10" s="313">
        <f>IF(NS7=TRUE,INDEX($J$26:$J$30,MATCH(NW10,$H$26:$H$30,0)),#N/A)</f>
        <v>-0.65</v>
      </c>
      <c r="NW10" s="348">
        <f>IF(NS7=TRUE,MIN(H26,H28),#N/A)</f>
        <v>-0.65</v>
      </c>
      <c r="NX10" s="334">
        <f>ABS(ABS(NU10)-ABS(NW10))</f>
        <v>0.45</v>
      </c>
      <c r="NY10" s="318" t="b">
        <f>IF(NX10=MAX($NX$9:$NX$10),TRUE,FALSE)</f>
        <v>1</v>
      </c>
      <c r="NZ10" s="357">
        <f>ABS(NT20-NT19)</f>
        <v>0.45</v>
      </c>
      <c r="OA10" s="525"/>
      <c r="OB10" s="525"/>
      <c r="OC10" s="525"/>
      <c r="OD10" s="525"/>
      <c r="OE10" s="525"/>
      <c r="OF10" s="525"/>
      <c r="OG10" s="527"/>
      <c r="OH10" s="312"/>
      <c r="OI10" s="312"/>
      <c r="OJ10" s="312"/>
      <c r="OK10" s="312"/>
      <c r="OL10" s="328" t="s">
        <v>72</v>
      </c>
      <c r="OM10" s="328" t="s">
        <v>73</v>
      </c>
      <c r="ON10" s="328" t="s">
        <v>70</v>
      </c>
      <c r="OO10" s="312"/>
      <c r="OP10" s="312"/>
      <c r="OQ10" s="312"/>
      <c r="OR10" s="312"/>
      <c r="OS10" s="312"/>
      <c r="OT10" s="312" t="b">
        <f>IF(BK6=1,IF(OT8=2,TRUE,FALSE),FALSE)</f>
        <v>0</v>
      </c>
      <c r="OU10" s="349" t="s">
        <v>450</v>
      </c>
      <c r="OV10" s="312"/>
      <c r="OW10" s="312"/>
      <c r="OX10" s="312"/>
      <c r="OY10" s="312"/>
      <c r="OZ10" s="312"/>
      <c r="PA10" s="312"/>
      <c r="PB10" s="312"/>
      <c r="PC10" s="312"/>
      <c r="PD10" s="312"/>
      <c r="PE10" s="312"/>
      <c r="PF10" s="312"/>
      <c r="PG10" s="312"/>
      <c r="PH10" s="312"/>
      <c r="PI10" s="312"/>
      <c r="PJ10" s="312"/>
      <c r="PK10" s="312"/>
      <c r="PL10" s="312"/>
      <c r="PM10" s="312"/>
      <c r="PN10" s="312" t="s">
        <v>24</v>
      </c>
      <c r="PO10" s="312" t="b">
        <f>AND(BL9=TRUE,NP7=TRUE)</f>
        <v>0</v>
      </c>
      <c r="PP10" s="312"/>
      <c r="PQ10" s="312"/>
      <c r="PR10" s="312"/>
      <c r="PS10" s="342" t="s">
        <v>355</v>
      </c>
      <c r="PT10" s="342" t="s">
        <v>48</v>
      </c>
      <c r="PU10" s="342" t="s">
        <v>49</v>
      </c>
      <c r="PV10" s="312"/>
      <c r="PW10" s="312" t="str" cm="1">
        <f t="array" ref="PW10:PY15">NN11:NP16</f>
        <v>เสาตอม่อ</v>
      </c>
      <c r="PX10" s="358">
        <v>0</v>
      </c>
      <c r="PY10" s="326">
        <v>0</v>
      </c>
      <c r="PZ10" s="312"/>
      <c r="QA10" s="312"/>
      <c r="QB10" s="312"/>
      <c r="QC10" s="312"/>
      <c r="QD10" s="312"/>
      <c r="QE10" s="312"/>
      <c r="QF10" s="312"/>
      <c r="QG10" s="312"/>
      <c r="QH10" s="312"/>
      <c r="QI10" s="312"/>
      <c r="QJ10" s="312"/>
      <c r="QK10" s="312"/>
      <c r="QL10" s="312"/>
      <c r="QM10" s="312"/>
      <c r="QN10" s="312"/>
      <c r="QO10" s="312"/>
      <c r="QP10" s="312"/>
      <c r="QQ10" s="312"/>
      <c r="QR10" s="312"/>
      <c r="QS10" s="312"/>
      <c r="QT10" s="312"/>
      <c r="QU10" s="312"/>
      <c r="QV10" s="359" t="str" cm="1">
        <f t="array" ref="QV10:QX21">GP44:GR55</f>
        <v>F5</v>
      </c>
      <c r="QW10" s="359" t="str">
        <v>X</v>
      </c>
      <c r="QX10" s="359" t="str">
        <v>Y</v>
      </c>
      <c r="QY10" s="312"/>
      <c r="QZ10" s="312"/>
      <c r="RA10" s="679" t="s">
        <v>489</v>
      </c>
      <c r="RB10" s="679"/>
      <c r="RC10" s="312"/>
      <c r="RD10" s="312"/>
      <c r="RE10" s="312"/>
      <c r="RF10" s="312"/>
      <c r="RG10" s="312"/>
      <c r="RH10" s="312"/>
      <c r="RI10" s="312"/>
      <c r="RJ10" s="312"/>
      <c r="RK10" s="312"/>
      <c r="RL10" s="312"/>
      <c r="RM10" s="312" t="s">
        <v>526</v>
      </c>
      <c r="RN10" s="312"/>
      <c r="RO10" s="312"/>
      <c r="RP10" s="312"/>
      <c r="RQ10" s="312"/>
      <c r="RR10" s="312"/>
      <c r="RS10" s="312"/>
      <c r="RT10" s="312"/>
      <c r="RU10" s="312"/>
      <c r="RV10" s="312"/>
      <c r="RW10" s="312"/>
      <c r="RX10" s="312"/>
      <c r="RY10" s="312"/>
      <c r="RZ10" s="312"/>
      <c r="SA10" s="312"/>
      <c r="SB10" s="312"/>
      <c r="SC10" s="312"/>
      <c r="SD10" s="312"/>
      <c r="SE10" s="312"/>
      <c r="SF10" s="311" t="s">
        <v>538</v>
      </c>
      <c r="SG10" s="311" t="str" cm="1">
        <f t="array" ref="SG10">"FOOTING "&amp;INDEX(BK7:BK11,BK6)&amp;" DEVIATION CHECK CALCULATION REPORT"</f>
        <v>FOOTING F5 DEVIATION CHECK CALCULATION REPORT</v>
      </c>
      <c r="SM10" s="312"/>
      <c r="SN10" s="312"/>
      <c r="SO10" s="219"/>
      <c r="SP10" s="219"/>
      <c r="SQ10" s="219"/>
      <c r="SR10" s="219"/>
      <c r="SS10" s="219"/>
      <c r="ST10" s="219"/>
      <c r="SU10" s="219"/>
      <c r="SV10" s="219"/>
      <c r="SW10" s="219"/>
      <c r="SX10" s="219"/>
      <c r="SY10" s="219"/>
      <c r="SZ10" s="219"/>
      <c r="TA10" s="219"/>
      <c r="TB10" s="219"/>
      <c r="TC10" s="219"/>
      <c r="TD10" s="219"/>
      <c r="TE10" s="219"/>
      <c r="TF10" s="219"/>
      <c r="TG10" s="219"/>
      <c r="TH10" s="219"/>
      <c r="TI10" s="219"/>
      <c r="TJ10" s="219"/>
      <c r="TK10" s="219"/>
      <c r="TL10" s="219"/>
      <c r="TM10" s="219"/>
      <c r="TN10" s="219"/>
      <c r="TO10" s="219"/>
      <c r="TP10" s="219"/>
      <c r="TQ10" s="219"/>
      <c r="TR10" s="219"/>
      <c r="TS10" s="219"/>
      <c r="TT10" s="219"/>
      <c r="TU10" s="219"/>
      <c r="TV10" s="219"/>
      <c r="TW10" s="219"/>
      <c r="TX10" s="219"/>
      <c r="TY10" s="219"/>
      <c r="TZ10" s="219"/>
      <c r="UA10" s="219"/>
      <c r="UB10" s="219"/>
      <c r="UC10" s="219"/>
      <c r="UD10" s="219"/>
      <c r="UE10" s="219"/>
      <c r="UF10" s="219"/>
      <c r="UG10" s="219"/>
      <c r="UH10" s="219"/>
      <c r="UI10" s="219"/>
      <c r="UJ10" s="219"/>
      <c r="UK10" s="215"/>
      <c r="UL10" s="215"/>
      <c r="UM10" s="215"/>
      <c r="UN10" s="215"/>
      <c r="UO10" s="215"/>
      <c r="UP10" s="215"/>
      <c r="UQ10" s="215"/>
      <c r="UR10" s="215"/>
      <c r="US10" s="215"/>
      <c r="UT10" s="215"/>
      <c r="UU10" s="215"/>
      <c r="UV10" s="215"/>
      <c r="UW10" s="215"/>
      <c r="UX10" s="215"/>
      <c r="UY10" s="215"/>
      <c r="UZ10" s="215"/>
      <c r="VA10" s="215"/>
      <c r="VB10" s="3"/>
    </row>
    <row r="11" spans="1:574" s="3" customFormat="1" ht="15" customHeight="1" x14ac:dyDescent="0.45">
      <c r="A11" s="28"/>
      <c r="B11" s="28"/>
      <c r="C11" s="28"/>
      <c r="D11" s="28"/>
      <c r="E11" s="28"/>
      <c r="F11" s="21"/>
      <c r="G11" s="605" t="s">
        <v>27</v>
      </c>
      <c r="H11" s="606"/>
      <c r="I11" s="607"/>
      <c r="J11" s="601" t="s">
        <v>48</v>
      </c>
      <c r="K11" s="602"/>
      <c r="L11" s="29" t="s">
        <v>28</v>
      </c>
      <c r="M11" s="556">
        <f>IF(R10="",0,R10)</f>
        <v>0</v>
      </c>
      <c r="N11" s="608"/>
      <c r="O11" s="609"/>
      <c r="P11" s="23"/>
      <c r="Q11" s="23"/>
      <c r="R11" s="23"/>
      <c r="S11" s="23"/>
      <c r="T11" s="23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2"/>
      <c r="AM11" s="12"/>
      <c r="AN11" s="12"/>
      <c r="AO11" s="12"/>
      <c r="AP11" s="311"/>
      <c r="AQ11" s="311"/>
      <c r="AR11" s="311"/>
      <c r="AS11" s="311"/>
      <c r="AT11" s="311"/>
      <c r="AU11" s="311"/>
      <c r="AV11" s="311"/>
      <c r="AW11" s="311"/>
      <c r="AX11" s="311"/>
      <c r="AY11" s="311"/>
      <c r="AZ11" s="311"/>
      <c r="BA11" s="311"/>
      <c r="BB11" s="311"/>
      <c r="BC11" s="311"/>
      <c r="BD11" s="311"/>
      <c r="BE11" s="311"/>
      <c r="BF11" s="311"/>
      <c r="BG11" s="311"/>
      <c r="BH11" s="311"/>
      <c r="BI11" s="311"/>
      <c r="BJ11" s="312">
        <v>5</v>
      </c>
      <c r="BK11" s="313" t="s">
        <v>34</v>
      </c>
      <c r="BL11" s="318" t="b">
        <f>IF($BK$6=5,TRUE,FALSE)</f>
        <v>1</v>
      </c>
      <c r="BM11" s="318" t="b">
        <f>IF($BK$6&gt;=BJ11,TRUE,FALSE)</f>
        <v>1</v>
      </c>
      <c r="BN11" s="312"/>
      <c r="BO11" s="311"/>
      <c r="BP11" s="311"/>
      <c r="BQ11" s="311"/>
      <c r="BR11" s="311"/>
      <c r="BS11" s="311"/>
      <c r="BT11" s="360" t="s">
        <v>36</v>
      </c>
      <c r="BU11" s="311"/>
      <c r="BV11" s="311"/>
      <c r="BW11" s="311"/>
      <c r="BX11" s="311"/>
      <c r="BY11" s="311"/>
      <c r="BZ11" s="311"/>
      <c r="CA11" s="311"/>
      <c r="CB11" s="311"/>
      <c r="CC11" s="311"/>
      <c r="CD11" s="311"/>
      <c r="CE11" s="311"/>
      <c r="CF11" s="311"/>
      <c r="CG11" s="311"/>
      <c r="CH11" s="311"/>
      <c r="CI11" s="311"/>
      <c r="CJ11" s="311"/>
      <c r="CK11" s="311"/>
      <c r="CL11" s="311"/>
      <c r="CM11" s="311"/>
      <c r="CN11" s="311"/>
      <c r="CO11" s="313">
        <f t="shared" si="2"/>
        <v>0.65</v>
      </c>
      <c r="CP11" s="313" t="b">
        <f>IF(AND(Q29&lt;&gt;"",R29&lt;&gt;"",BM10=TRUE),TRUE,FALSE)</f>
        <v>1</v>
      </c>
      <c r="CQ11" s="311"/>
      <c r="CR11" s="311"/>
      <c r="CS11" s="311" t="s">
        <v>24</v>
      </c>
      <c r="CT11" s="311" t="b">
        <f>IF(AND($CU$10=3,$CU$9=3),TRUE,FALSE)</f>
        <v>0</v>
      </c>
      <c r="CU11" s="318" t="b">
        <f>IF(CU9=CU10,TRUE,FALSE)</f>
        <v>1</v>
      </c>
      <c r="CV11" s="311"/>
      <c r="CW11" s="311"/>
      <c r="CX11" s="311"/>
      <c r="CY11" s="311"/>
      <c r="CZ11" s="314" t="s">
        <v>280</v>
      </c>
      <c r="DA11" s="311" t="e">
        <f>IF(BY20=TRUE,IF(AY15=TRUE,CN29,BZ22+CR38),#N/A)</f>
        <v>#N/A</v>
      </c>
      <c r="DB11" s="311"/>
      <c r="DC11" s="282" t="e">
        <f>DC10</f>
        <v>#N/A</v>
      </c>
      <c r="DD11" s="282" t="e">
        <f>DD8</f>
        <v>#N/A</v>
      </c>
      <c r="DE11" s="311"/>
      <c r="DF11" s="283" t="e">
        <f>DF10</f>
        <v>#N/A</v>
      </c>
      <c r="DG11" s="283" t="e">
        <f>DG8</f>
        <v>#N/A</v>
      </c>
      <c r="DH11" s="311"/>
      <c r="DI11" s="311"/>
      <c r="DJ11" s="311"/>
      <c r="DK11" s="313">
        <v>3</v>
      </c>
      <c r="DL11" s="282" t="e">
        <f t="shared" ref="DL11:DL58" si="3">IF(DK11&lt;=$DM$6,DL10+$DM$7,#N/A)</f>
        <v>#N/A</v>
      </c>
      <c r="DM11" s="291" t="e">
        <f t="shared" ref="DM11:DM58" si="4">IF(DK11&lt;=$DM$6,DM10,#N/A)</f>
        <v>#N/A</v>
      </c>
      <c r="DN11" s="311"/>
      <c r="DO11" s="311"/>
      <c r="DP11" s="311"/>
      <c r="DQ11" s="311"/>
      <c r="DR11" s="311"/>
      <c r="DS11" s="311"/>
      <c r="DT11" s="311"/>
      <c r="DU11" s="311"/>
      <c r="DV11" s="311"/>
      <c r="DW11" s="311"/>
      <c r="DX11" s="311"/>
      <c r="DY11" s="311"/>
      <c r="DZ11" s="311"/>
      <c r="EA11" s="311"/>
      <c r="EB11" s="311"/>
      <c r="EC11" s="336">
        <f>DZ27</f>
        <v>0.95</v>
      </c>
      <c r="ED11" s="337">
        <f>ED10</f>
        <v>1.5550000000000002</v>
      </c>
      <c r="EE11" s="351">
        <f>EE10</f>
        <v>-0.65</v>
      </c>
      <c r="EF11" s="338">
        <f>INDEX($DZ$46:$DZ$49,MATCH(EE11,$DY$46:$DY$49,0))</f>
        <v>-0.65</v>
      </c>
      <c r="EG11" s="338">
        <f>INDEX($DY$46:$DY$49,MATCH(EH11,$DZ$46:$DZ$49,0))</f>
        <v>-0.65</v>
      </c>
      <c r="EH11" s="338">
        <f>MAX(DZ46:DZ49)</f>
        <v>0.65</v>
      </c>
      <c r="EI11" s="336">
        <f>EG14</f>
        <v>1.0999999999999999</v>
      </c>
      <c r="EJ11" s="338">
        <f>EJ10</f>
        <v>0</v>
      </c>
      <c r="EK11" s="339">
        <f>MAX(DZ46:DZ49)-MIN(DZ46:DZ49)</f>
        <v>1.3</v>
      </c>
      <c r="EL11" s="310"/>
      <c r="EM11" s="311"/>
      <c r="EN11" s="311"/>
      <c r="EO11" s="311"/>
      <c r="EP11" s="311"/>
      <c r="EQ11" s="311"/>
      <c r="ER11" s="311"/>
      <c r="ES11" s="311"/>
      <c r="ET11" s="311"/>
      <c r="EU11" s="311" t="s">
        <v>317</v>
      </c>
      <c r="EV11" s="361">
        <f>J15</f>
        <v>1.3</v>
      </c>
      <c r="EW11" s="311"/>
      <c r="EX11" s="311"/>
      <c r="EY11" s="311"/>
      <c r="EZ11" s="311"/>
      <c r="FA11" s="311"/>
      <c r="FB11" s="311"/>
      <c r="FC11" s="311"/>
      <c r="FD11" s="311"/>
      <c r="FE11" s="311"/>
      <c r="FF11" s="311"/>
      <c r="FG11" s="311"/>
      <c r="FH11" s="311"/>
      <c r="FI11" s="311"/>
      <c r="FJ11" s="311"/>
      <c r="FK11" s="311"/>
      <c r="FL11" s="311"/>
      <c r="FM11" s="311"/>
      <c r="FN11" s="311"/>
      <c r="FO11" s="311"/>
      <c r="FP11" s="311"/>
      <c r="FQ11" s="311"/>
      <c r="FR11" s="311"/>
      <c r="FS11" s="311"/>
      <c r="FT11" s="311"/>
      <c r="FU11" s="311"/>
      <c r="FV11" s="311"/>
      <c r="FW11" s="311"/>
      <c r="FX11" s="311"/>
      <c r="FY11" s="311"/>
      <c r="FZ11" s="311"/>
      <c r="GA11" s="311"/>
      <c r="GB11" s="311"/>
      <c r="GC11" s="311"/>
      <c r="GD11" s="311"/>
      <c r="GE11" s="311"/>
      <c r="GF11" s="311"/>
      <c r="GG11" s="311"/>
      <c r="GH11" s="311"/>
      <c r="GI11" s="311"/>
      <c r="GJ11" s="311"/>
      <c r="GK11" s="311"/>
      <c r="GL11" s="311"/>
      <c r="GM11" s="311"/>
      <c r="GN11" s="311"/>
      <c r="GO11" s="311"/>
      <c r="GP11" s="311"/>
      <c r="GQ11" s="311"/>
      <c r="GR11" s="311"/>
      <c r="GS11" s="311"/>
      <c r="GT11" s="311"/>
      <c r="GU11" s="311"/>
      <c r="GV11" s="311"/>
      <c r="GW11" s="322" t="str">
        <f t="shared" si="0"/>
        <v>P5</v>
      </c>
      <c r="GX11" s="314">
        <v>5</v>
      </c>
      <c r="GY11" s="316" t="s">
        <v>35</v>
      </c>
      <c r="GZ11" s="323">
        <v>35</v>
      </c>
      <c r="HA11" s="316">
        <v>85</v>
      </c>
      <c r="HB11" s="316">
        <v>115</v>
      </c>
      <c r="HC11" s="316">
        <v>120</v>
      </c>
      <c r="HD11" s="316">
        <v>120</v>
      </c>
      <c r="HE11" s="316">
        <v>115</v>
      </c>
      <c r="HF11" s="316"/>
      <c r="HG11" s="311"/>
      <c r="HH11" s="311"/>
      <c r="HI11" s="311"/>
      <c r="HJ11" s="311"/>
      <c r="HK11" s="342"/>
      <c r="HL11" s="362" t="e">
        <f>IF(HM9=TRUE,$M$19,#N/A)</f>
        <v>#N/A</v>
      </c>
      <c r="HM11" s="362" t="e">
        <f>IF(HM9=TRUE,$J$19,#N/A)</f>
        <v>#N/A</v>
      </c>
      <c r="HN11" s="311"/>
      <c r="HO11" s="342"/>
      <c r="HP11" s="362" t="e">
        <f>IF($HQ$9=TRUE,$BP$55,#N/A)</f>
        <v>#N/A</v>
      </c>
      <c r="HQ11" s="362" t="e">
        <f>IF($HQ$9=TRUE,$BO$55,#N/A)</f>
        <v>#N/A</v>
      </c>
      <c r="HR11" s="311"/>
      <c r="HS11" s="342"/>
      <c r="HT11" s="362" t="e">
        <f>IF($HU$9=TRUE,$BP$56,#N/A)</f>
        <v>#N/A</v>
      </c>
      <c r="HU11" s="362" t="e">
        <f>IF($HU$9=TRUE,$BO$56,#N/A)</f>
        <v>#N/A</v>
      </c>
      <c r="HV11" s="311"/>
      <c r="HW11" s="342"/>
      <c r="HX11" s="362" t="e">
        <f>IF($HY$9=TRUE,$BP$57,#N/A)</f>
        <v>#N/A</v>
      </c>
      <c r="HY11" s="362" t="e">
        <f>IF($HY$9=TRUE,$BO$57,#N/A)</f>
        <v>#N/A</v>
      </c>
      <c r="HZ11" s="311"/>
      <c r="IA11" s="342"/>
      <c r="IB11" s="362" t="e">
        <f>IF($IC$9=TRUE,$BP$58,#N/A)</f>
        <v>#N/A</v>
      </c>
      <c r="IC11" s="362" t="e">
        <f>IF($IC$9=TRUE,$BO$58,#N/A)</f>
        <v>#N/A</v>
      </c>
      <c r="ID11" s="311"/>
      <c r="IE11" s="342"/>
      <c r="IF11" s="362" t="e">
        <f>IF($IG$9=TRUE,$J$26,#N/A)</f>
        <v>#N/A</v>
      </c>
      <c r="IG11" s="362" t="e">
        <f>IF($IG$9=TRUE,$H$26,#N/A)</f>
        <v>#N/A</v>
      </c>
      <c r="IH11" s="311"/>
      <c r="II11" s="342"/>
      <c r="IJ11" s="362" t="e">
        <f>IF(IK9=TRUE,$J$27,#N/A)</f>
        <v>#N/A</v>
      </c>
      <c r="IK11" s="362" t="e">
        <f>IF(IK9=TRUE,$H$27,#N/A)</f>
        <v>#N/A</v>
      </c>
      <c r="IL11" s="311"/>
      <c r="IM11" s="342"/>
      <c r="IN11" s="362" t="e">
        <f>IF(IO9=TRUE,$J$28,#N/A)</f>
        <v>#N/A</v>
      </c>
      <c r="IO11" s="362" t="e">
        <f>IF(IO9=TRUE,$H$28,#N/A)</f>
        <v>#N/A</v>
      </c>
      <c r="IP11" s="311"/>
      <c r="IQ11" s="342"/>
      <c r="IR11" s="362" t="e">
        <f>IF(IS9=TRUE,$J$29,#N/A)</f>
        <v>#N/A</v>
      </c>
      <c r="IS11" s="362" t="e">
        <f>IF(IS9=TRUE,$H$29,#N/A)</f>
        <v>#N/A</v>
      </c>
      <c r="IT11" s="311"/>
      <c r="IU11" s="342"/>
      <c r="IV11" s="362" t="e">
        <f>IF(IW9=TRUE,$J$30,#N/A)</f>
        <v>#N/A</v>
      </c>
      <c r="IW11" s="362" t="e">
        <f>IF(IW9=TRUE,$H$30,#N/A)</f>
        <v>#N/A</v>
      </c>
      <c r="IX11" s="311"/>
      <c r="IY11" s="311"/>
      <c r="IZ11" s="311"/>
      <c r="JA11" s="311"/>
      <c r="JB11" s="311"/>
      <c r="JC11" s="311"/>
      <c r="JD11" s="311"/>
      <c r="JE11" s="311"/>
      <c r="JF11" s="311"/>
      <c r="JG11" s="311"/>
      <c r="JH11" s="311"/>
      <c r="JI11" s="311"/>
      <c r="JJ11" s="311"/>
      <c r="JK11" s="311"/>
      <c r="JL11" s="311"/>
      <c r="JM11" s="342" t="b">
        <v>1</v>
      </c>
      <c r="JN11" s="262" t="e">
        <f>IF(JO9=TRUE,$J$31,#N/A)</f>
        <v>#N/A</v>
      </c>
      <c r="JO11" s="262" t="e">
        <f>IF(JO9=TRUE,$H$31,#N/A)</f>
        <v>#N/A</v>
      </c>
      <c r="JP11" s="311"/>
      <c r="JQ11" s="342"/>
      <c r="JR11" s="262" t="e">
        <f>IF(JS9=TRUE,$J$32,#N/A)</f>
        <v>#N/A</v>
      </c>
      <c r="JS11" s="262" t="e">
        <f>IF(JS9=TRUE,$H$32,#N/A)</f>
        <v>#N/A</v>
      </c>
      <c r="JT11" s="311"/>
      <c r="JU11" s="342"/>
      <c r="JV11" s="262" t="e">
        <f>IF(JW9=TRUE,$J$33,#N/A)</f>
        <v>#N/A</v>
      </c>
      <c r="JW11" s="262" t="e">
        <f>IF(JW9=TRUE,$H$33,#N/A)</f>
        <v>#N/A</v>
      </c>
      <c r="JX11" s="311"/>
      <c r="JY11" s="313" t="s">
        <v>72</v>
      </c>
      <c r="JZ11" s="362" t="e">
        <f>IF(KA9=TRUE,$J$31,#N/A)</f>
        <v>#N/A</v>
      </c>
      <c r="KA11" s="363" t="e">
        <f>IF(KA9=TRUE,$H$31,#N/A)</f>
        <v>#N/A</v>
      </c>
      <c r="KB11" s="313" t="s">
        <v>149</v>
      </c>
      <c r="KC11" s="263" t="e">
        <f>JZ11+($IZ$10/2)</f>
        <v>#N/A</v>
      </c>
      <c r="KD11" s="263" t="e">
        <f>KA11+($IZ$10/2)-$IZ$9</f>
        <v>#N/A</v>
      </c>
      <c r="KE11" s="311"/>
      <c r="KF11" s="313" t="b">
        <f>AND($JM$11=TRUE,AZ33=TRUE)</f>
        <v>1</v>
      </c>
      <c r="KG11" s="249">
        <f>IF(KF11=TRUE,R34,#N/A)</f>
        <v>1</v>
      </c>
      <c r="KH11" s="249">
        <f>IF(KF11=TRUE,Q34,#N/A)</f>
        <v>0.65</v>
      </c>
      <c r="KI11" s="354">
        <f>IF(H50&lt;&gt;"",IF(BI67&lt;&gt;"",TRUNC(BI67,2),""),"")</f>
        <v>36</v>
      </c>
      <c r="KJ11" s="355"/>
      <c r="KK11" s="355"/>
      <c r="KL11" s="355"/>
      <c r="KM11" s="310"/>
      <c r="KN11" s="354" t="s">
        <v>48</v>
      </c>
      <c r="KO11" s="354" t="s">
        <v>49</v>
      </c>
      <c r="KP11" s="354" t="s">
        <v>48</v>
      </c>
      <c r="KQ11" s="354" t="s">
        <v>49</v>
      </c>
      <c r="KR11" s="354" t="s">
        <v>139</v>
      </c>
      <c r="KS11" s="354" t="s">
        <v>48</v>
      </c>
      <c r="KT11" s="354" t="s">
        <v>49</v>
      </c>
      <c r="KU11" s="354" t="s">
        <v>48</v>
      </c>
      <c r="KV11" s="354" t="s">
        <v>49</v>
      </c>
      <c r="KW11" s="354" t="s">
        <v>139</v>
      </c>
      <c r="KX11" s="355"/>
      <c r="KY11" s="355"/>
      <c r="KZ11" s="310" t="e">
        <v>#N/A</v>
      </c>
      <c r="LA11" s="310" t="e">
        <v>#N/A</v>
      </c>
      <c r="LB11" s="310"/>
      <c r="LC11" s="346" t="e">
        <v>#N/A</v>
      </c>
      <c r="LD11" s="346" t="e">
        <v>#N/A</v>
      </c>
      <c r="LE11" s="346" t="e">
        <v>#N/A</v>
      </c>
      <c r="LF11" s="311"/>
      <c r="LG11" s="312"/>
      <c r="LH11" s="347" t="e">
        <f>LH10</f>
        <v>#N/A</v>
      </c>
      <c r="LI11" s="347">
        <f>OO49</f>
        <v>-0.95</v>
      </c>
      <c r="LJ11" s="318" t="e">
        <f>LH17</f>
        <v>#N/A</v>
      </c>
      <c r="LK11" s="318">
        <f>LI17+(LI18-LI17)/2</f>
        <v>-0.47499999999999998</v>
      </c>
      <c r="LL11" s="347">
        <f>LI18-LI17</f>
        <v>-0.95</v>
      </c>
      <c r="LM11" s="311"/>
      <c r="LN11" s="311"/>
      <c r="LO11" s="318">
        <f>LO10</f>
        <v>-1.9</v>
      </c>
      <c r="LP11" s="318">
        <f>OO50</f>
        <v>0.95</v>
      </c>
      <c r="LQ11" s="318">
        <f>LQ10</f>
        <v>-1.6999999999999997</v>
      </c>
      <c r="LR11" s="318">
        <f>LP17+(LP18-LP17)/2</f>
        <v>0.47499999999999998</v>
      </c>
      <c r="LS11" s="347">
        <f>LP18-LP17</f>
        <v>0.95</v>
      </c>
      <c r="LT11" s="311"/>
      <c r="LU11" s="311"/>
      <c r="LV11" s="318">
        <f>ON52</f>
        <v>1.2999999999999998</v>
      </c>
      <c r="LW11" s="318">
        <f>LW10</f>
        <v>1.58</v>
      </c>
      <c r="LX11" s="318">
        <f>LV17+(LV18-LV17)/2</f>
        <v>0.64999999999999991</v>
      </c>
      <c r="LY11" s="318">
        <f>LY10</f>
        <v>1.4</v>
      </c>
      <c r="LZ11" s="347">
        <f>LV18-LV17</f>
        <v>1.2999999999999998</v>
      </c>
      <c r="MA11" s="311"/>
      <c r="MB11" s="311"/>
      <c r="MC11" s="318" t="e">
        <f>ON53</f>
        <v>#N/A</v>
      </c>
      <c r="MD11" s="318">
        <f>MD10</f>
        <v>1.69</v>
      </c>
      <c r="ME11" s="318" t="e">
        <f>MC17+(MC18-MC17)/2</f>
        <v>#N/A</v>
      </c>
      <c r="MF11" s="318">
        <f>MF10</f>
        <v>1.48</v>
      </c>
      <c r="MG11" s="347" t="e">
        <f>MC18-MC17</f>
        <v>#N/A</v>
      </c>
      <c r="MH11" s="311"/>
      <c r="MI11" s="311"/>
      <c r="MJ11" s="263" t="e">
        <v>#N/A</v>
      </c>
      <c r="MK11" s="263" t="e">
        <v>#N/A</v>
      </c>
      <c r="ML11" s="263" t="e">
        <v>#N/A</v>
      </c>
      <c r="MM11" s="263" t="e">
        <v>#N/A</v>
      </c>
      <c r="MN11" s="347"/>
      <c r="MO11" s="311"/>
      <c r="MP11" s="311" t="e">
        <v>#N/A</v>
      </c>
      <c r="MQ11" s="311" t="e">
        <v>#N/A</v>
      </c>
      <c r="MR11" s="311"/>
      <c r="MS11" s="311"/>
      <c r="MT11" s="313">
        <f>AW14</f>
        <v>1</v>
      </c>
      <c r="MU11" s="313" t="s">
        <v>48</v>
      </c>
      <c r="MV11" s="313" t="s">
        <v>49</v>
      </c>
      <c r="MW11" s="313" t="s">
        <v>48</v>
      </c>
      <c r="MX11" s="313" t="s">
        <v>49</v>
      </c>
      <c r="MY11" s="313" t="s">
        <v>48</v>
      </c>
      <c r="MZ11" s="313" t="s">
        <v>49</v>
      </c>
      <c r="NA11" s="311"/>
      <c r="NB11" s="311"/>
      <c r="NC11" s="311"/>
      <c r="ND11" s="311"/>
      <c r="NE11" s="311"/>
      <c r="NF11" s="311"/>
      <c r="NG11" s="311"/>
      <c r="NH11" s="364"/>
      <c r="NI11" s="364"/>
      <c r="NJ11" s="364"/>
      <c r="NK11" s="311"/>
      <c r="NL11" s="279">
        <f>IF(AND(CP13=TRUE,BE7=TRUE,CU11=TRUE),IF(BL7=TRUE,H26,NO11+IF(M36="",0,M36)),#N/A)</f>
        <v>0</v>
      </c>
      <c r="NM11" s="311"/>
      <c r="NN11" s="311" t="s">
        <v>46</v>
      </c>
      <c r="NO11" s="256">
        <f>M10</f>
        <v>0</v>
      </c>
      <c r="NP11" s="255">
        <f>M11</f>
        <v>0</v>
      </c>
      <c r="NQ11" s="311"/>
      <c r="NR11" s="311"/>
      <c r="NS11" s="311"/>
      <c r="NT11" s="311"/>
      <c r="NU11" s="311"/>
      <c r="NV11" s="311"/>
      <c r="NW11" s="311"/>
      <c r="NX11" s="311"/>
      <c r="NY11" s="311"/>
      <c r="NZ11" s="312"/>
      <c r="OA11" s="311"/>
      <c r="OB11" s="311"/>
      <c r="OC11" s="311"/>
      <c r="OD11" s="311"/>
      <c r="OE11" s="311"/>
      <c r="OF11" s="311"/>
      <c r="OG11" s="221"/>
      <c r="OH11" s="311"/>
      <c r="OI11" s="311"/>
      <c r="OJ11" s="311"/>
      <c r="OK11" s="311"/>
      <c r="OL11" s="310"/>
      <c r="OM11" s="365" t="e">
        <f>IF(OM9=TRUE,$M$10,#N/A)</f>
        <v>#N/A</v>
      </c>
      <c r="ON11" s="366" t="e">
        <f>IF(OM9=TRUE,$M$11,#N/A)</f>
        <v>#N/A</v>
      </c>
      <c r="OO11" s="311"/>
      <c r="OP11" s="311"/>
      <c r="OQ11" s="311"/>
      <c r="OR11" s="311"/>
      <c r="OS11" s="311"/>
      <c r="OT11" s="311"/>
      <c r="OU11" s="311"/>
      <c r="OV11" s="311"/>
      <c r="OW11" s="311"/>
      <c r="OX11" s="311"/>
      <c r="OY11" s="311"/>
      <c r="OZ11" s="311"/>
      <c r="PA11" s="311"/>
      <c r="PB11" s="311"/>
      <c r="PC11" s="311"/>
      <c r="PD11" s="311"/>
      <c r="PE11" s="311"/>
      <c r="PF11" s="311"/>
      <c r="PG11" s="311"/>
      <c r="PH11" s="311"/>
      <c r="PI11" s="311"/>
      <c r="PJ11" s="311"/>
      <c r="PK11" s="311"/>
      <c r="PL11" s="311"/>
      <c r="PM11" s="311"/>
      <c r="PN11" s="311"/>
      <c r="PO11" s="311"/>
      <c r="PP11" s="311"/>
      <c r="PQ11" s="311"/>
      <c r="PR11" s="311"/>
      <c r="PS11" s="342"/>
      <c r="PT11" s="362" t="e">
        <f>IF(PU9=TRUE,M11,#N/A)</f>
        <v>#N/A</v>
      </c>
      <c r="PU11" s="362" t="e">
        <f>IF(PU9=TRUE,M10,#N/A)</f>
        <v>#N/A</v>
      </c>
      <c r="PV11" s="311"/>
      <c r="PW11" s="312">
        <v>1</v>
      </c>
      <c r="PX11" s="312">
        <v>0.2</v>
      </c>
      <c r="PY11" s="312">
        <v>-0.2</v>
      </c>
      <c r="PZ11" s="311"/>
      <c r="QA11" s="311"/>
      <c r="QB11" s="311"/>
      <c r="QC11" s="311"/>
      <c r="QD11" s="311"/>
      <c r="QE11" s="311"/>
      <c r="QF11" s="311"/>
      <c r="QG11" s="311"/>
      <c r="QH11" s="311"/>
      <c r="QI11" s="311"/>
      <c r="QJ11" s="311"/>
      <c r="QK11" s="311"/>
      <c r="QL11" s="311"/>
      <c r="QM11" s="311"/>
      <c r="QN11" s="311"/>
      <c r="QO11" s="311"/>
      <c r="QP11" s="311"/>
      <c r="QQ11" s="311"/>
      <c r="QR11" s="311"/>
      <c r="QS11" s="311"/>
      <c r="QT11" s="311"/>
      <c r="QU11" s="311"/>
      <c r="QV11" s="359" t="str">
        <v>C2</v>
      </c>
      <c r="QW11" s="367">
        <v>-1.2999999999999998</v>
      </c>
      <c r="QX11" s="367">
        <v>0.95</v>
      </c>
      <c r="QY11" s="311"/>
      <c r="QZ11" s="311"/>
      <c r="RA11" s="313" t="s">
        <v>48</v>
      </c>
      <c r="RB11" s="313" t="s">
        <v>49</v>
      </c>
      <c r="RC11" s="311"/>
      <c r="RD11" s="524" t="s">
        <v>518</v>
      </c>
      <c r="RE11" s="524"/>
      <c r="RF11" s="524"/>
      <c r="RG11" s="524"/>
      <c r="RH11" s="524"/>
      <c r="RI11" s="311"/>
      <c r="RJ11" s="311"/>
      <c r="RK11" s="311"/>
      <c r="RL11" s="311"/>
      <c r="RM11" s="311"/>
      <c r="RN11" s="311"/>
      <c r="RO11" s="311"/>
      <c r="RP11" s="311"/>
      <c r="RQ11" s="313" t="s">
        <v>19</v>
      </c>
      <c r="RR11" s="311"/>
      <c r="RS11" s="311"/>
      <c r="RT11" s="311"/>
      <c r="RU11" s="311"/>
      <c r="RV11" s="313" t="s">
        <v>24</v>
      </c>
      <c r="RW11" s="311"/>
      <c r="RX11" s="311"/>
      <c r="RY11" s="311"/>
      <c r="RZ11" s="311"/>
      <c r="SA11" s="311"/>
      <c r="SB11" s="311"/>
      <c r="SC11" s="311"/>
      <c r="SD11" s="311"/>
      <c r="SE11" s="311"/>
      <c r="SF11" s="311" t="s">
        <v>539</v>
      </c>
      <c r="SG11" s="349" t="str" cm="1">
        <f t="array" ref="SG11">"FOOTING "&amp;INDEX(BK7:BK11,BK6)&amp;" DEVIATION RE-CHECK CALCULATION REPORT"</f>
        <v>FOOTING F5 DEVIATION RE-CHECK CALCULATION REPORT</v>
      </c>
      <c r="SH11" s="312"/>
      <c r="SI11" s="312"/>
      <c r="SJ11" s="312"/>
      <c r="SK11" s="311"/>
      <c r="SL11" s="312"/>
      <c r="SM11" s="311"/>
      <c r="SN11" s="311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/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"/>
    </row>
    <row r="12" spans="1:574" ht="15" customHeight="1" x14ac:dyDescent="0.45">
      <c r="A12" s="28"/>
      <c r="B12" s="28"/>
      <c r="C12" s="28"/>
      <c r="D12" s="28"/>
      <c r="E12" s="28"/>
      <c r="G12" s="559" t="s">
        <v>31</v>
      </c>
      <c r="H12" s="560"/>
      <c r="I12" s="560"/>
      <c r="J12" s="560"/>
      <c r="K12" s="30"/>
      <c r="L12" s="610" t="s">
        <v>32</v>
      </c>
      <c r="M12" s="612" t="s">
        <v>33</v>
      </c>
      <c r="N12" s="613"/>
      <c r="O12" s="205">
        <v>0.4</v>
      </c>
      <c r="P12" s="13"/>
      <c r="Q12" s="757" t="s">
        <v>305</v>
      </c>
      <c r="R12" s="757"/>
      <c r="S12" s="13"/>
      <c r="T12" s="13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8"/>
      <c r="AF12" s="18"/>
      <c r="AG12" s="11"/>
      <c r="AH12" s="11"/>
      <c r="AI12" s="11"/>
      <c r="AJ12" s="11"/>
      <c r="AK12" s="11"/>
      <c r="AL12" s="12"/>
      <c r="AM12" s="12"/>
      <c r="AN12" s="12"/>
      <c r="AO12" s="12"/>
      <c r="BT12" s="360" t="s">
        <v>40</v>
      </c>
      <c r="CO12" s="313">
        <f t="shared" si="2"/>
        <v>0</v>
      </c>
      <c r="CP12" s="313" t="b">
        <f>IF(AND(Q30&lt;&gt;"",R30&lt;&gt;"",BM11=TRUE),TRUE,FALSE)</f>
        <v>1</v>
      </c>
      <c r="CS12" s="311" t="s">
        <v>29</v>
      </c>
      <c r="CT12" s="311" t="b">
        <f>IF(AND($CU$10=4,$CU$9=4),TRUE,FALSE)</f>
        <v>0</v>
      </c>
      <c r="CZ12" s="311" t="s">
        <v>282</v>
      </c>
      <c r="DA12" s="311">
        <f>F50/100</f>
        <v>7.4999999999999997E-2</v>
      </c>
      <c r="DC12" s="282" t="e">
        <v>#N/A</v>
      </c>
      <c r="DD12" s="282" t="e">
        <v>#N/A</v>
      </c>
      <c r="DF12" s="283" t="e">
        <v>#N/A</v>
      </c>
      <c r="DG12" s="283" t="e">
        <v>#N/A</v>
      </c>
      <c r="DK12" s="313">
        <v>4</v>
      </c>
      <c r="DL12" s="282" t="e">
        <f t="shared" si="3"/>
        <v>#N/A</v>
      </c>
      <c r="DM12" s="291" t="e">
        <f t="shared" si="4"/>
        <v>#N/A</v>
      </c>
      <c r="EC12" s="336">
        <f>EC11</f>
        <v>0.95</v>
      </c>
      <c r="ED12" s="337">
        <f>ED9</f>
        <v>1</v>
      </c>
      <c r="EE12" s="338" t="e">
        <v>#N/A</v>
      </c>
      <c r="EF12" s="338" t="e">
        <v>#N/A</v>
      </c>
      <c r="EG12" s="338" t="e">
        <v>#N/A</v>
      </c>
      <c r="EH12" s="338" t="e">
        <v>#N/A</v>
      </c>
      <c r="EI12" s="338">
        <f>EI9</f>
        <v>0</v>
      </c>
      <c r="EJ12" s="336">
        <f>EF9</f>
        <v>1.1499999999999999</v>
      </c>
      <c r="EK12" s="339">
        <f>MAX(DY46:DY49)-MIN(DY46:DY49)</f>
        <v>1.3</v>
      </c>
      <c r="EL12" s="310"/>
      <c r="EU12" s="314" t="s">
        <v>318</v>
      </c>
      <c r="EV12" s="311">
        <f>EV11/SQRT(3)</f>
        <v>0.75055534994651352</v>
      </c>
      <c r="GX12" s="314">
        <v>6</v>
      </c>
      <c r="GY12" s="316" t="s">
        <v>39</v>
      </c>
      <c r="GZ12" s="323">
        <v>40</v>
      </c>
      <c r="HA12" s="316">
        <v>110</v>
      </c>
      <c r="HB12" s="316">
        <v>140</v>
      </c>
      <c r="HC12" s="316">
        <v>120</v>
      </c>
      <c r="HD12" s="316">
        <v>160</v>
      </c>
      <c r="HE12" s="316">
        <v>120</v>
      </c>
      <c r="HF12" s="316"/>
      <c r="HK12" s="342" t="s">
        <v>356</v>
      </c>
      <c r="HL12" s="362">
        <f>$L$9/100/2</f>
        <v>0.17499999999999999</v>
      </c>
      <c r="HM12" s="342" t="s">
        <v>357</v>
      </c>
      <c r="HO12" s="342" t="s">
        <v>356</v>
      </c>
      <c r="HP12" s="362">
        <f>$L$9/100/2</f>
        <v>0.17499999999999999</v>
      </c>
      <c r="HQ12" s="342" t="s">
        <v>357</v>
      </c>
      <c r="HS12" s="342" t="s">
        <v>356</v>
      </c>
      <c r="HT12" s="362">
        <f>$L$9/100/2</f>
        <v>0.17499999999999999</v>
      </c>
      <c r="HU12" s="342" t="s">
        <v>357</v>
      </c>
      <c r="HW12" s="342" t="s">
        <v>356</v>
      </c>
      <c r="HX12" s="362">
        <f>$L$9/100/2</f>
        <v>0.17499999999999999</v>
      </c>
      <c r="HY12" s="342" t="s">
        <v>357</v>
      </c>
      <c r="IA12" s="342" t="s">
        <v>356</v>
      </c>
      <c r="IB12" s="362">
        <f>$L$9/100/2</f>
        <v>0.17499999999999999</v>
      </c>
      <c r="IC12" s="342" t="s">
        <v>357</v>
      </c>
      <c r="IE12" s="342" t="s">
        <v>356</v>
      </c>
      <c r="IF12" s="362">
        <f>$L$9/100/2</f>
        <v>0.17499999999999999</v>
      </c>
      <c r="IG12" s="342" t="s">
        <v>357</v>
      </c>
      <c r="II12" s="342" t="s">
        <v>356</v>
      </c>
      <c r="IJ12" s="362">
        <f>$L$9/100/2</f>
        <v>0.17499999999999999</v>
      </c>
      <c r="IK12" s="342" t="s">
        <v>357</v>
      </c>
      <c r="IM12" s="342" t="s">
        <v>356</v>
      </c>
      <c r="IN12" s="362">
        <f>$L$9/100/2</f>
        <v>0.17499999999999999</v>
      </c>
      <c r="IO12" s="342" t="s">
        <v>357</v>
      </c>
      <c r="IQ12" s="342" t="s">
        <v>356</v>
      </c>
      <c r="IR12" s="362">
        <f>$L$9/100/2</f>
        <v>0.17499999999999999</v>
      </c>
      <c r="IS12" s="342" t="s">
        <v>357</v>
      </c>
      <c r="IU12" s="342" t="s">
        <v>356</v>
      </c>
      <c r="IV12" s="362">
        <f>$L$9/100/2</f>
        <v>0.17499999999999999</v>
      </c>
      <c r="IW12" s="342" t="s">
        <v>357</v>
      </c>
      <c r="IY12" s="342" t="s">
        <v>353</v>
      </c>
      <c r="IZ12" s="313" t="s">
        <v>371</v>
      </c>
      <c r="JA12" s="343" t="b">
        <f>AND($GY$6&gt;=$GX$14,$GY$6&lt;=$GX$20,$BM$7=TRUE)</f>
        <v>0</v>
      </c>
      <c r="JB12" s="313" t="s">
        <v>106</v>
      </c>
      <c r="JC12" s="236" t="e">
        <f>IZ14-($IZ$10/2)+$IZ$9</f>
        <v>#N/A</v>
      </c>
      <c r="JD12" s="236" t="e">
        <f>JA14+$IZ$10/2</f>
        <v>#N/A</v>
      </c>
      <c r="JF12" s="342" t="s">
        <v>353</v>
      </c>
      <c r="JG12" s="313" t="s">
        <v>371</v>
      </c>
      <c r="JH12" s="343" t="b">
        <f>IF(CP13=TRUE,AND($GY$6&gt;=$GX$14,$GY$6&lt;=$GX$20,$BM$7=TRUE,$BE$7=TRUE,CU11=TRUE),FALSE)</f>
        <v>0</v>
      </c>
      <c r="JI12" s="313" t="s">
        <v>106</v>
      </c>
      <c r="JJ12" s="263" t="e">
        <f>JG14-($IZ$10/2)+$IZ$9</f>
        <v>#N/A</v>
      </c>
      <c r="JK12" s="263" t="e">
        <f>JH14+$IZ$10/2</f>
        <v>#N/A</v>
      </c>
      <c r="JM12" s="342" t="s">
        <v>356</v>
      </c>
      <c r="JN12" s="362">
        <f>$L$9/100/2</f>
        <v>0.17499999999999999</v>
      </c>
      <c r="JO12" s="342" t="s">
        <v>357</v>
      </c>
      <c r="JQ12" s="342" t="s">
        <v>356</v>
      </c>
      <c r="JR12" s="362">
        <f>$L$9/100/2</f>
        <v>0.17499999999999999</v>
      </c>
      <c r="JS12" s="342" t="s">
        <v>357</v>
      </c>
      <c r="JU12" s="342" t="s">
        <v>356</v>
      </c>
      <c r="JV12" s="362">
        <f>$L$9/100/2</f>
        <v>0.17499999999999999</v>
      </c>
      <c r="JW12" s="342" t="s">
        <v>357</v>
      </c>
      <c r="KB12" s="313" t="s">
        <v>152</v>
      </c>
      <c r="KC12" s="263" t="e">
        <f>KC11</f>
        <v>#N/A</v>
      </c>
      <c r="KD12" s="263" t="e">
        <f>KA11-($IZ$10/2)+$IZ$9</f>
        <v>#N/A</v>
      </c>
      <c r="KF12" s="313" t="b">
        <f>AND($JM$11=TRUE,AZ34=TRUE)</f>
        <v>0</v>
      </c>
      <c r="KG12" s="249" t="e">
        <f>IF(KF12=TRUE,R35,#N/A)</f>
        <v>#N/A</v>
      </c>
      <c r="KH12" s="249" t="e">
        <f>IF(KF12=TRUE,Q35,#N/A)</f>
        <v>#N/A</v>
      </c>
      <c r="KI12" s="354" t="str">
        <f>IF(H51&lt;&gt;"",IF(BI68&lt;&gt;"",TRUNC(BI68,2),""),"")</f>
        <v/>
      </c>
      <c r="KJ12" s="355"/>
      <c r="KK12" s="355"/>
      <c r="KL12" s="355"/>
      <c r="KM12" s="310"/>
      <c r="KN12" s="267" t="e">
        <f>IF(KR10=TRUE,ON50,#N/A)</f>
        <v>#N/A</v>
      </c>
      <c r="KO12" s="267" t="e">
        <f>IF(KR10=TRUE,OO50+KN9,#N/A)</f>
        <v>#N/A</v>
      </c>
      <c r="KP12" s="267" t="e">
        <f>KN13+(KN14-KN13)/2</f>
        <v>#N/A</v>
      </c>
      <c r="KQ12" s="267" t="e">
        <f>KO13</f>
        <v>#N/A</v>
      </c>
      <c r="KR12" s="347" t="e">
        <f>KN14-KN13</f>
        <v>#N/A</v>
      </c>
      <c r="KS12" s="267" t="e">
        <f>IF(KW10=TRUE,ON49-KN9,#N/A)</f>
        <v>#N/A</v>
      </c>
      <c r="KT12" s="267" t="e">
        <f>IF(KW10=TRUE,OO49,#N/A)</f>
        <v>#N/A</v>
      </c>
      <c r="KU12" s="267" t="e">
        <f>KS13</f>
        <v>#N/A</v>
      </c>
      <c r="KV12" s="267" t="e">
        <f>KT13+(KT14-KT13)/2</f>
        <v>#N/A</v>
      </c>
      <c r="KW12" s="347" t="e">
        <f>KT14-KT13</f>
        <v>#N/A</v>
      </c>
      <c r="KX12" s="355"/>
      <c r="KY12" s="355"/>
      <c r="KZ12" s="310" t="e">
        <v>#N/A</v>
      </c>
      <c r="LA12" s="310" t="e">
        <v>#N/A</v>
      </c>
      <c r="LB12" s="531" t="s">
        <v>119</v>
      </c>
      <c r="LC12" s="346" t="str">
        <v>C1</v>
      </c>
      <c r="LD12" s="346">
        <v>-1.2999999999999998</v>
      </c>
      <c r="LE12" s="346">
        <v>-0.95</v>
      </c>
      <c r="LG12" s="312"/>
      <c r="LH12" s="347">
        <f>ON49-LH7</f>
        <v>-1.3499999999999999</v>
      </c>
      <c r="LI12" s="347">
        <f>LI11</f>
        <v>-0.95</v>
      </c>
      <c r="LJ12" s="368" t="e">
        <f>LH20</f>
        <v>#N/A</v>
      </c>
      <c r="LK12" s="318" t="e">
        <f>LI24+(LI25-LI24)/2</f>
        <v>#N/A</v>
      </c>
      <c r="LL12" s="347" t="e">
        <f>LI25-LI24</f>
        <v>#N/A</v>
      </c>
      <c r="LO12" s="318">
        <f>ON50-LO7</f>
        <v>-1.3499999999999999</v>
      </c>
      <c r="LP12" s="318">
        <f>OO50</f>
        <v>0.95</v>
      </c>
      <c r="LQ12" s="368">
        <f>LO20</f>
        <v>-1.4999999999999998</v>
      </c>
      <c r="LR12" s="318" t="e">
        <f>LP20+(LP21-LP20)/2</f>
        <v>#N/A</v>
      </c>
      <c r="LS12" s="347" t="e">
        <f>LP21-LP20</f>
        <v>#N/A</v>
      </c>
      <c r="LV12" s="318">
        <f>LV11</f>
        <v>1.2999999999999998</v>
      </c>
      <c r="LW12" s="318">
        <f>OO52+LV7</f>
        <v>-0.89999999999999991</v>
      </c>
      <c r="LX12" s="318">
        <f>LV20+(LV21-LV20)/2</f>
        <v>0</v>
      </c>
      <c r="LY12" s="318">
        <f>LW20</f>
        <v>1.19</v>
      </c>
      <c r="LZ12" s="347">
        <f>LV21-LV20</f>
        <v>2.5999999999999996</v>
      </c>
      <c r="MC12" s="318" t="e">
        <f>MC11</f>
        <v>#N/A</v>
      </c>
      <c r="MD12" s="318" t="e">
        <f>OO53+MC7</f>
        <v>#N/A</v>
      </c>
      <c r="ME12" s="318">
        <f>MC20+(MC21-MC20)/2</f>
        <v>1.2999999999999998</v>
      </c>
      <c r="MF12" s="318">
        <f>MD20</f>
        <v>1.27</v>
      </c>
      <c r="MG12" s="347">
        <f>MC21-MC20</f>
        <v>0</v>
      </c>
      <c r="MJ12" s="263" t="e">
        <v>#N/A</v>
      </c>
      <c r="MK12" s="263" t="e">
        <v>#N/A</v>
      </c>
      <c r="ML12" s="263" t="e">
        <v>#N/A</v>
      </c>
      <c r="MM12" s="263" t="e">
        <v>#N/A</v>
      </c>
      <c r="MN12" s="347"/>
      <c r="MP12" s="311" t="e">
        <v>#N/A</v>
      </c>
      <c r="MQ12" s="311" t="e">
        <v>#N/A</v>
      </c>
      <c r="MS12" s="311">
        <v>1</v>
      </c>
      <c r="MT12" s="318" t="s">
        <v>320</v>
      </c>
      <c r="MU12" s="369">
        <f>J26</f>
        <v>-0.65</v>
      </c>
      <c r="MV12" s="348"/>
      <c r="MW12" s="369">
        <f>J27</f>
        <v>-0.65</v>
      </c>
      <c r="MX12" s="348"/>
      <c r="MY12" s="369">
        <f>J28</f>
        <v>0.65</v>
      </c>
      <c r="MZ12" s="348"/>
      <c r="NL12" s="278">
        <f>IF(AND(CP13=TRUE,BE7=TRUE,CU11=TRUE),IF(BL7=TRUE,J26,NP11+IF(M38="",0,M38)),#N/A)</f>
        <v>0</v>
      </c>
      <c r="NN12" s="312">
        <v>1</v>
      </c>
      <c r="NO12" s="249">
        <f>NO11+O12/2</f>
        <v>0.2</v>
      </c>
      <c r="NP12" s="249">
        <f>NP11-O13/2</f>
        <v>-0.2</v>
      </c>
      <c r="NS12" s="318" t="s">
        <v>322</v>
      </c>
      <c r="NT12" s="318">
        <f>IF(NS7=TRUE,NP12,#N/A)</f>
        <v>-0.2</v>
      </c>
      <c r="NU12" s="318">
        <f>IF(NS7=TRUE,NO14,#N/A)</f>
        <v>-0.2</v>
      </c>
      <c r="NV12" s="313">
        <f>IF(NS7=TRUE,MIN(J26,J27),#N/A)</f>
        <v>-0.65</v>
      </c>
      <c r="NW12" s="318">
        <f>IF(NS7=TRUE,INDEX($H$26:$H$30,MATCH(NV12,$J$26:$J$30,0)),#N/A)</f>
        <v>-0.65</v>
      </c>
      <c r="NX12" s="334">
        <f>ABS(ABS(NT12)-ABS(NW12))</f>
        <v>0.45</v>
      </c>
      <c r="NY12" s="318" t="b">
        <f>IF(NX12=MAX($NX$12:$NX$13),TRUE,FALSE)</f>
        <v>1</v>
      </c>
      <c r="NZ12" s="312" t="s">
        <v>434</v>
      </c>
      <c r="OA12" s="524">
        <f>IF(NY12=TRUE,NT12,NT13)</f>
        <v>-0.2</v>
      </c>
      <c r="OB12" s="524">
        <f>IF(NY12=TRUE,NU12,NU13)</f>
        <v>-0.2</v>
      </c>
      <c r="OC12" s="524">
        <f>IF(NY12=TRUE,NV12,NV13)</f>
        <v>-0.65</v>
      </c>
      <c r="OD12" s="524">
        <f>IF(NY12=TRUE,NW12,NW13)</f>
        <v>-0.65</v>
      </c>
      <c r="OE12" s="524" t="str">
        <f>INDEX(_xlfn.ANCHORARRAY(NO28),MATCH((OC12+OD12),NP28:NP32,0))</f>
        <v>P1</v>
      </c>
      <c r="OF12" s="524">
        <f>INDEX(M44:M48,MATCH(OE12,_xlfn.ANCHORARRAY(G44),0))</f>
        <v>36</v>
      </c>
      <c r="OG12" s="526">
        <f>(OF12*NZ13)</f>
        <v>16.2</v>
      </c>
      <c r="OL12" s="310"/>
      <c r="OM12" s="328" t="s">
        <v>48</v>
      </c>
      <c r="ON12" s="328" t="s">
        <v>49</v>
      </c>
      <c r="PE12" s="311" t="s">
        <v>268</v>
      </c>
      <c r="PF12" s="311" t="e">
        <f>IF(OT10=TRUE,OX25-OX24,PA26-PA25)</f>
        <v>#N/A</v>
      </c>
      <c r="PS12" s="342" t="s">
        <v>356</v>
      </c>
      <c r="PT12" s="370" t="e">
        <f>IF(BL9=TRUE,($C$51/100/2)+(MAX(O12:O13)/2),#N/A)</f>
        <v>#N/A</v>
      </c>
      <c r="PU12" s="342" t="s">
        <v>357</v>
      </c>
      <c r="PW12" s="312">
        <v>2</v>
      </c>
      <c r="PX12" s="312">
        <v>0.2</v>
      </c>
      <c r="PY12" s="312">
        <v>0.2</v>
      </c>
      <c r="QV12" s="359" t="str">
        <v>C3</v>
      </c>
      <c r="QW12" s="367">
        <v>1.2999999999999998</v>
      </c>
      <c r="QX12" s="367">
        <v>0.95</v>
      </c>
      <c r="RA12" s="263">
        <f>IF(OR(PO8=TRUE,PO9=TRUE),PY11-QA9,#N/A)</f>
        <v>-0.42749999999999999</v>
      </c>
      <c r="RB12" s="263">
        <f>IF(OR(PO8=TRUE,PO9=TRUE),PX11+QA9,#N/A)</f>
        <v>0.42749999999999999</v>
      </c>
      <c r="RD12" s="313" t="s">
        <v>514</v>
      </c>
      <c r="RE12" s="313" t="s">
        <v>515</v>
      </c>
      <c r="RF12" s="313" t="s">
        <v>516</v>
      </c>
      <c r="RG12" s="313" t="s">
        <v>517</v>
      </c>
      <c r="RH12" s="313" t="s">
        <v>519</v>
      </c>
      <c r="RM12" s="313" t="str">
        <f>"F"&amp;BK6</f>
        <v>F5</v>
      </c>
      <c r="RN12" s="313" t="s">
        <v>13</v>
      </c>
      <c r="RO12" s="313" t="s">
        <v>234</v>
      </c>
      <c r="RP12" s="313" t="s">
        <v>235</v>
      </c>
      <c r="RQ12" s="313" t="str">
        <f>IF(AX14=1,RO12,RP12)</f>
        <v>F2y</v>
      </c>
      <c r="RR12" s="313" t="s">
        <v>320</v>
      </c>
      <c r="RS12" s="313" t="s">
        <v>321</v>
      </c>
      <c r="RT12" s="313" t="s">
        <v>322</v>
      </c>
      <c r="RU12" s="313" t="s">
        <v>323</v>
      </c>
      <c r="RV12" s="313" t="str">
        <f>EU17</f>
        <v>Y-AXIS</v>
      </c>
      <c r="RW12" s="313" t="s">
        <v>338</v>
      </c>
      <c r="RX12" s="318" t="s">
        <v>238</v>
      </c>
      <c r="SF12" s="311" t="s">
        <v>544</v>
      </c>
      <c r="SG12" s="311" t="str" cm="1">
        <f t="array" ref="SG12">"FOOTING "&amp;INDEX(BK7:BK11,BK6)&amp;" CALCULATION DESIGN"</f>
        <v>FOOTING F5 CALCULATION DESIGN</v>
      </c>
    </row>
    <row r="13" spans="1:574" ht="15" customHeight="1" x14ac:dyDescent="0.45">
      <c r="A13" s="31"/>
      <c r="B13" s="31"/>
      <c r="C13" s="31"/>
      <c r="D13" s="32"/>
      <c r="E13" s="32"/>
      <c r="F13" s="21"/>
      <c r="G13" s="614" t="s">
        <v>37</v>
      </c>
      <c r="H13" s="615"/>
      <c r="I13" s="615"/>
      <c r="J13" s="33"/>
      <c r="K13" s="34"/>
      <c r="L13" s="611"/>
      <c r="M13" s="616" t="s">
        <v>38</v>
      </c>
      <c r="N13" s="617"/>
      <c r="O13" s="206">
        <v>0.4</v>
      </c>
      <c r="P13" s="13"/>
      <c r="Q13" s="35" t="s">
        <v>306</v>
      </c>
      <c r="R13" s="11"/>
      <c r="S13" s="13"/>
      <c r="T13" s="13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12"/>
      <c r="AN13" s="12"/>
      <c r="AO13" s="12"/>
      <c r="BF13" s="311" t="s">
        <v>43</v>
      </c>
      <c r="BG13" s="311" t="s">
        <v>44</v>
      </c>
      <c r="BK13" s="311" t="s">
        <v>82</v>
      </c>
      <c r="BL13" s="311" t="s">
        <v>84</v>
      </c>
      <c r="BW13" s="371">
        <f>M16</f>
        <v>180</v>
      </c>
      <c r="BX13" s="311" t="s">
        <v>47</v>
      </c>
      <c r="BZ13" s="311" t="s">
        <v>48</v>
      </c>
      <c r="CA13" s="311" t="s">
        <v>49</v>
      </c>
      <c r="CB13" s="311" t="s">
        <v>210</v>
      </c>
      <c r="CC13" s="311" t="s">
        <v>211</v>
      </c>
      <c r="CP13" s="318" t="b">
        <f>OR(CP8=TRUE,CP9=TRUE,CP10=TRUE,CP11=TRUE,CP12=TRUE)</f>
        <v>1</v>
      </c>
      <c r="CS13" s="311" t="s">
        <v>34</v>
      </c>
      <c r="CT13" s="311" t="b">
        <f>IF(AND($CU$10=5,$CU$9=5),TRUE,FALSE)</f>
        <v>1</v>
      </c>
      <c r="DC13" s="282" t="e">
        <f>DC8</f>
        <v>#N/A</v>
      </c>
      <c r="DD13" s="282" t="e">
        <f>DD8</f>
        <v>#N/A</v>
      </c>
      <c r="DF13" s="283" t="e">
        <f>DF8</f>
        <v>#N/A</v>
      </c>
      <c r="DG13" s="283" t="e">
        <f>DG8</f>
        <v>#N/A</v>
      </c>
      <c r="DK13" s="313">
        <v>5</v>
      </c>
      <c r="DL13" s="282" t="e">
        <f t="shared" si="3"/>
        <v>#N/A</v>
      </c>
      <c r="DM13" s="291" t="e">
        <f t="shared" si="4"/>
        <v>#N/A</v>
      </c>
      <c r="DQ13" s="311" t="s">
        <v>50</v>
      </c>
      <c r="DR13" s="311">
        <v>0.35</v>
      </c>
      <c r="EC13" s="338" t="e">
        <v>#N/A</v>
      </c>
      <c r="ED13" s="372" t="e">
        <v>#N/A</v>
      </c>
      <c r="EE13" s="351">
        <f>EE10</f>
        <v>-0.65</v>
      </c>
      <c r="EF13" s="351">
        <f>EF10</f>
        <v>1.1499999999999999</v>
      </c>
      <c r="EG13" s="336">
        <f>EG10</f>
        <v>1.0999999999999999</v>
      </c>
      <c r="EH13" s="336">
        <f>EH10</f>
        <v>0.65</v>
      </c>
      <c r="EI13" s="338">
        <f>DZ26+(MIN(DY46:DY49)-DZ26)/2</f>
        <v>-0.8</v>
      </c>
      <c r="EJ13" s="336">
        <f>EJ12</f>
        <v>1.1499999999999999</v>
      </c>
      <c r="EK13" s="373" t="s">
        <v>110</v>
      </c>
      <c r="EL13" s="321">
        <f>ROUNDUP(MIN(DY46:DY49)-DZ26,2)</f>
        <v>0.3</v>
      </c>
      <c r="EU13" s="314" t="s">
        <v>319</v>
      </c>
      <c r="EV13" s="311">
        <f>EV11/(2*SQRT(3))</f>
        <v>0.37527767497325676</v>
      </c>
      <c r="GX13" s="314">
        <v>7</v>
      </c>
      <c r="GY13" s="316" t="s">
        <v>45</v>
      </c>
      <c r="GZ13" s="323">
        <v>45</v>
      </c>
      <c r="HA13" s="316">
        <v>120</v>
      </c>
      <c r="HB13" s="316">
        <v>160</v>
      </c>
      <c r="HC13" s="316">
        <v>130</v>
      </c>
      <c r="HD13" s="316">
        <v>170</v>
      </c>
      <c r="HE13" s="316">
        <v>140</v>
      </c>
      <c r="HF13" s="316"/>
      <c r="HK13" s="342" t="s">
        <v>358</v>
      </c>
      <c r="HL13" s="342" t="s">
        <v>359</v>
      </c>
      <c r="HM13" s="342">
        <v>180</v>
      </c>
      <c r="HO13" s="342" t="s">
        <v>358</v>
      </c>
      <c r="HP13" s="342" t="s">
        <v>359</v>
      </c>
      <c r="HQ13" s="342">
        <v>180</v>
      </c>
      <c r="HS13" s="342" t="s">
        <v>358</v>
      </c>
      <c r="HT13" s="342" t="s">
        <v>359</v>
      </c>
      <c r="HU13" s="342">
        <v>180</v>
      </c>
      <c r="HW13" s="342" t="s">
        <v>358</v>
      </c>
      <c r="HX13" s="342" t="s">
        <v>359</v>
      </c>
      <c r="HY13" s="342">
        <v>180</v>
      </c>
      <c r="IA13" s="342" t="s">
        <v>358</v>
      </c>
      <c r="IB13" s="342" t="s">
        <v>359</v>
      </c>
      <c r="IC13" s="342">
        <v>180</v>
      </c>
      <c r="IE13" s="342" t="s">
        <v>358</v>
      </c>
      <c r="IF13" s="342" t="s">
        <v>359</v>
      </c>
      <c r="IG13" s="342">
        <v>180</v>
      </c>
      <c r="II13" s="342" t="s">
        <v>358</v>
      </c>
      <c r="IJ13" s="342" t="s">
        <v>359</v>
      </c>
      <c r="IK13" s="342">
        <v>180</v>
      </c>
      <c r="IM13" s="342" t="s">
        <v>358</v>
      </c>
      <c r="IN13" s="342" t="s">
        <v>359</v>
      </c>
      <c r="IO13" s="342">
        <v>180</v>
      </c>
      <c r="IQ13" s="342" t="s">
        <v>358</v>
      </c>
      <c r="IR13" s="342" t="s">
        <v>359</v>
      </c>
      <c r="IS13" s="342">
        <v>180</v>
      </c>
      <c r="IU13" s="342" t="s">
        <v>358</v>
      </c>
      <c r="IV13" s="342" t="s">
        <v>359</v>
      </c>
      <c r="IW13" s="342">
        <v>180</v>
      </c>
      <c r="IY13" s="342" t="s">
        <v>355</v>
      </c>
      <c r="IZ13" s="342" t="s">
        <v>48</v>
      </c>
      <c r="JA13" s="353" t="s">
        <v>49</v>
      </c>
      <c r="JB13" s="313" t="s">
        <v>144</v>
      </c>
      <c r="JC13" s="236" t="e">
        <f>IZ14+($IZ$10/2)-$IZ$9</f>
        <v>#N/A</v>
      </c>
      <c r="JD13" s="236" t="e">
        <f>JD12</f>
        <v>#N/A</v>
      </c>
      <c r="JF13" s="342" t="s">
        <v>355</v>
      </c>
      <c r="JG13" s="342" t="s">
        <v>48</v>
      </c>
      <c r="JH13" s="353" t="s">
        <v>49</v>
      </c>
      <c r="JI13" s="313" t="s">
        <v>144</v>
      </c>
      <c r="JJ13" s="263" t="e">
        <f>JG14+($IZ$10/2)-$IZ$9</f>
        <v>#N/A</v>
      </c>
      <c r="JK13" s="263" t="e">
        <f>JK12</f>
        <v>#N/A</v>
      </c>
      <c r="JM13" s="342" t="s">
        <v>358</v>
      </c>
      <c r="JN13" s="342" t="s">
        <v>359</v>
      </c>
      <c r="JO13" s="342">
        <v>180</v>
      </c>
      <c r="JQ13" s="342" t="s">
        <v>358</v>
      </c>
      <c r="JR13" s="342" t="s">
        <v>359</v>
      </c>
      <c r="JS13" s="342">
        <v>180</v>
      </c>
      <c r="JU13" s="342" t="s">
        <v>358</v>
      </c>
      <c r="JV13" s="342" t="s">
        <v>359</v>
      </c>
      <c r="JW13" s="342">
        <v>180</v>
      </c>
      <c r="KB13" s="313" t="s">
        <v>167</v>
      </c>
      <c r="KC13" s="263" t="e">
        <f>KC10</f>
        <v>#N/A</v>
      </c>
      <c r="KD13" s="263" t="e">
        <f>KA11-($IZ$10/2)</f>
        <v>#N/A</v>
      </c>
      <c r="KM13" s="310"/>
      <c r="KN13" s="267" t="e">
        <f>KN12</f>
        <v>#N/A</v>
      </c>
      <c r="KO13" s="268" t="e">
        <f>IF(KR10=TRUE,OO50+KO9,#N/A)</f>
        <v>#N/A</v>
      </c>
      <c r="KP13" s="267" t="e">
        <f>KN17+(KN18-KN17)/2</f>
        <v>#N/A</v>
      </c>
      <c r="KQ13" s="267" t="e">
        <f>KO17</f>
        <v>#N/A</v>
      </c>
      <c r="KR13" s="347" t="e">
        <f>KN18-KN17</f>
        <v>#N/A</v>
      </c>
      <c r="KS13" s="267" t="e">
        <f>IF(KW10=TRUE,ON49-KO9,#N/A)</f>
        <v>#N/A</v>
      </c>
      <c r="KT13" s="267" t="e">
        <f>KT12</f>
        <v>#N/A</v>
      </c>
      <c r="KU13" s="267" t="e">
        <f>KS17</f>
        <v>#N/A</v>
      </c>
      <c r="KV13" s="267" t="e">
        <f>KT17+(KT18-KT17)/2</f>
        <v>#N/A</v>
      </c>
      <c r="KW13" s="368" t="e">
        <f>KT18-KT17</f>
        <v>#N/A</v>
      </c>
      <c r="LB13" s="531"/>
      <c r="LC13" s="346" t="str">
        <v>C4</v>
      </c>
      <c r="LD13" s="346">
        <v>1.2999999999999998</v>
      </c>
      <c r="LE13" s="346">
        <v>-0.95</v>
      </c>
      <c r="LG13" s="312"/>
      <c r="LH13" s="347" t="e">
        <v>#N/A</v>
      </c>
      <c r="LI13" s="347" t="e">
        <v>#N/A</v>
      </c>
      <c r="LJ13" s="368" t="e">
        <f>LH20</f>
        <v>#N/A</v>
      </c>
      <c r="LK13" s="318" t="e">
        <f>LI20+(LI21-LI20)/2</f>
        <v>#N/A</v>
      </c>
      <c r="LL13" s="347" t="e">
        <f>LI21-LI20</f>
        <v>#N/A</v>
      </c>
      <c r="LO13" s="347" t="e">
        <v>#N/A</v>
      </c>
      <c r="LP13" s="347" t="e">
        <v>#N/A</v>
      </c>
      <c r="LQ13" s="368">
        <f>LO24</f>
        <v>-1.4999999999999998</v>
      </c>
      <c r="LR13" s="318">
        <f>LP24+(LP25-LP24)/2</f>
        <v>0</v>
      </c>
      <c r="LS13" s="347">
        <f>LP25-LP24</f>
        <v>1.9</v>
      </c>
      <c r="LV13" s="347" t="e">
        <v>#N/A</v>
      </c>
      <c r="LW13" s="347" t="e">
        <v>#N/A</v>
      </c>
      <c r="LX13" s="318">
        <f>LV24+(LV25-LV24)/2</f>
        <v>1.2999999999999998</v>
      </c>
      <c r="LY13" s="318">
        <f>LY12</f>
        <v>1.19</v>
      </c>
      <c r="LZ13" s="347">
        <f>LV25-LV24</f>
        <v>0</v>
      </c>
      <c r="MC13" s="347" t="e">
        <v>#N/A</v>
      </c>
      <c r="MD13" s="347" t="e">
        <v>#N/A</v>
      </c>
      <c r="ME13" s="318" t="e">
        <f>MC24+(MC25-MC24)/2</f>
        <v>#N/A</v>
      </c>
      <c r="MF13" s="318">
        <f>MF12</f>
        <v>1.27</v>
      </c>
      <c r="MG13" s="347" t="e">
        <f>MC25-MC24</f>
        <v>#N/A</v>
      </c>
      <c r="MJ13" s="263" t="e">
        <v>#N/A</v>
      </c>
      <c r="MK13" s="263" t="e">
        <v>#N/A</v>
      </c>
      <c r="ML13" s="263" t="e">
        <v>#N/A</v>
      </c>
      <c r="MM13" s="263" t="e">
        <v>#N/A</v>
      </c>
      <c r="MN13" s="347"/>
      <c r="MP13" s="311" t="e">
        <v>#N/A</v>
      </c>
      <c r="MQ13" s="311" t="e">
        <v>#N/A</v>
      </c>
      <c r="MS13" s="311">
        <v>2</v>
      </c>
      <c r="MT13" s="318" t="s">
        <v>321</v>
      </c>
      <c r="MU13" s="369">
        <f>J28</f>
        <v>0.65</v>
      </c>
      <c r="MV13" s="348"/>
      <c r="MW13" s="369">
        <f>J27</f>
        <v>-0.65</v>
      </c>
      <c r="MX13" s="348"/>
      <c r="MY13" s="369">
        <f>J26</f>
        <v>-0.65</v>
      </c>
      <c r="MZ13" s="348"/>
      <c r="NN13" s="312">
        <v>2</v>
      </c>
      <c r="NO13" s="249">
        <f>NO12</f>
        <v>0.2</v>
      </c>
      <c r="NP13" s="249">
        <f>NP11+O13/2</f>
        <v>0.2</v>
      </c>
      <c r="NS13" s="318" t="s">
        <v>323</v>
      </c>
      <c r="NT13" s="318">
        <f>IF(NS7=TRUE,NP13,#N/A)</f>
        <v>0.2</v>
      </c>
      <c r="NU13" s="318">
        <f>NU12</f>
        <v>-0.2</v>
      </c>
      <c r="NV13" s="313">
        <f>IF(NS7=TRUE,MAX(J28,J29),#N/A)</f>
        <v>0.65</v>
      </c>
      <c r="NW13" s="318">
        <f>IF(NS7=TRUE,INDEX($H$26:$H$30,MATCH(NV13,$J$26:$J$30,0)),#N/A)</f>
        <v>-0.65</v>
      </c>
      <c r="NX13" s="334">
        <f>ABS(ABS(NT13)-ABS(NW13))</f>
        <v>0.45</v>
      </c>
      <c r="NY13" s="318" t="b">
        <f>IF(NX13=MAX($NX$12:$NX$13),TRUE,FALSE)</f>
        <v>1</v>
      </c>
      <c r="NZ13" s="312">
        <f>ABS(NS24-NS25)</f>
        <v>0.45</v>
      </c>
      <c r="OA13" s="525"/>
      <c r="OB13" s="525"/>
      <c r="OC13" s="525"/>
      <c r="OD13" s="525"/>
      <c r="OE13" s="525"/>
      <c r="OF13" s="525"/>
      <c r="OG13" s="527"/>
      <c r="OM13" s="328">
        <v>0.05</v>
      </c>
      <c r="ON13" s="328">
        <v>0.6</v>
      </c>
      <c r="PE13" s="374" t="s">
        <v>457</v>
      </c>
      <c r="PF13" s="311" t="e">
        <f>PF12/PE14</f>
        <v>#N/A</v>
      </c>
      <c r="PG13" s="311" t="e">
        <f>PF13*(PE14-1)</f>
        <v>#N/A</v>
      </c>
      <c r="PH13" s="311" t="e">
        <f>PF12-PG13</f>
        <v>#N/A</v>
      </c>
      <c r="PN13" s="313" t="str" cm="1">
        <f t="array" ref="PN13:PN30">GP44:GP61</f>
        <v>F5</v>
      </c>
      <c r="PO13" s="313" t="str" cm="1">
        <f t="array" ref="PO13:PP30">GQ44:GR61</f>
        <v>X</v>
      </c>
      <c r="PP13" s="313" t="str">
        <v>Y</v>
      </c>
      <c r="PS13" s="342" t="s">
        <v>358</v>
      </c>
      <c r="PT13" s="342" t="s">
        <v>359</v>
      </c>
      <c r="PU13" s="342">
        <v>180</v>
      </c>
      <c r="PW13" s="312">
        <v>3</v>
      </c>
      <c r="PX13" s="312">
        <v>-0.2</v>
      </c>
      <c r="PY13" s="312">
        <v>0.2</v>
      </c>
      <c r="QV13" s="332" t="e">
        <v>#N/A</v>
      </c>
      <c r="QW13" s="375" t="e">
        <v>#N/A</v>
      </c>
      <c r="QX13" s="375" t="e">
        <v>#N/A</v>
      </c>
      <c r="RA13" s="263">
        <f>IF(OR(PO8=TRUE,PO9=TRUE),PY12+QA9,#N/A)</f>
        <v>0.42749999999999999</v>
      </c>
      <c r="RB13" s="263">
        <f>RB12</f>
        <v>0.42749999999999999</v>
      </c>
      <c r="RD13" s="313">
        <f>RB12-RB15</f>
        <v>0.85499999999999998</v>
      </c>
      <c r="RE13" s="313">
        <f>RB13-RB14</f>
        <v>0.85499999999999998</v>
      </c>
      <c r="RF13" s="313">
        <f>RA13-RA12</f>
        <v>0.85499999999999998</v>
      </c>
      <c r="RG13" s="313">
        <f>RA14-RA15</f>
        <v>0.85499999999999998</v>
      </c>
      <c r="RH13" s="313">
        <f>SUM(RD13:RG13)</f>
        <v>3.42</v>
      </c>
      <c r="RM13" s="313" t="s">
        <v>527</v>
      </c>
      <c r="RN13" s="347"/>
      <c r="RO13" s="376">
        <f>QF43</f>
        <v>36000</v>
      </c>
      <c r="RP13" s="376">
        <f>QR43</f>
        <v>36000</v>
      </c>
      <c r="RQ13" s="376" cm="1">
        <f t="array" ref="RQ13:RQ16">IF($RQ$12=$RO$12,RO13:RO16,RP13:RP16)</f>
        <v>36000</v>
      </c>
      <c r="RR13" s="347"/>
      <c r="RS13" s="347"/>
      <c r="RT13" s="347"/>
      <c r="RU13" s="347"/>
      <c r="RV13" s="347"/>
      <c r="RW13" s="377">
        <f>SUM(M44:N48)*1000</f>
        <v>108000</v>
      </c>
      <c r="RX13" s="333" cm="1">
        <f t="array" ref="RX13:RX16">_xlfn.SWITCH(RM12,
"F1",RN13:RN16,
"F2",_xlfn.ANCHORARRAY(RQ13),
"F3",RV13:RV16,
"F4",RW13:RW16,"F5",RW13:RW16,
"")</f>
        <v>108000</v>
      </c>
      <c r="SF13" s="312"/>
    </row>
    <row r="14" spans="1:574" ht="15" customHeight="1" x14ac:dyDescent="0.45">
      <c r="A14" s="25"/>
      <c r="B14" s="21"/>
      <c r="C14" s="21"/>
      <c r="D14" s="32"/>
      <c r="E14" s="32"/>
      <c r="F14" s="36"/>
      <c r="G14" s="559" t="s">
        <v>41</v>
      </c>
      <c r="H14" s="560"/>
      <c r="I14" s="560"/>
      <c r="J14" s="560"/>
      <c r="K14" s="560"/>
      <c r="L14" s="560"/>
      <c r="M14" s="561" t="s">
        <v>42</v>
      </c>
      <c r="N14" s="562"/>
      <c r="O14" s="563"/>
      <c r="P14" s="13"/>
      <c r="Q14" s="13"/>
      <c r="R14" s="13"/>
      <c r="S14" s="13"/>
      <c r="T14" s="13"/>
      <c r="U14" s="11"/>
      <c r="V14" s="11"/>
      <c r="W14" s="11"/>
      <c r="X14" s="11"/>
      <c r="Y14" s="11"/>
      <c r="Z14" s="11"/>
      <c r="AA14" s="11"/>
      <c r="AB14" s="11"/>
      <c r="AC14" s="11"/>
      <c r="AD14" s="18"/>
      <c r="AE14" s="18"/>
      <c r="AF14" s="18"/>
      <c r="AG14" s="11"/>
      <c r="AH14" s="11"/>
      <c r="AI14" s="11"/>
      <c r="AJ14" s="11"/>
      <c r="AK14" s="11"/>
      <c r="AL14" s="12"/>
      <c r="AM14" s="12"/>
      <c r="AN14" s="12"/>
      <c r="AO14" s="12"/>
      <c r="AU14" s="347" t="s">
        <v>58</v>
      </c>
      <c r="AV14" s="347" t="s">
        <v>62</v>
      </c>
      <c r="AW14" s="313">
        <v>1</v>
      </c>
      <c r="AX14" s="313">
        <v>2</v>
      </c>
      <c r="AY14" s="313" t="s">
        <v>53</v>
      </c>
      <c r="BD14" s="318" t="s">
        <v>52</v>
      </c>
      <c r="BE14" s="318" t="b">
        <f>IF(BK6&lt;=2,TRUE,FALSE)</f>
        <v>0</v>
      </c>
      <c r="BF14" s="311">
        <v>0.05</v>
      </c>
      <c r="BK14" s="311" t="b">
        <f>AND(Q26="",TRUE,Q27="",Q28="",Q29="",Q30="")</f>
        <v>0</v>
      </c>
      <c r="BL14" s="311" t="b">
        <f>AND(R26="",TRUE,R27="",R28="",R29="",R30="")</f>
        <v>0</v>
      </c>
      <c r="BX14" s="311" t="s">
        <v>54</v>
      </c>
      <c r="BY14" s="311" t="s">
        <v>55</v>
      </c>
      <c r="BZ14" s="250">
        <f>NP11-BX15-BX17</f>
        <v>-1.25</v>
      </c>
      <c r="CA14" s="253">
        <f>NO11</f>
        <v>0</v>
      </c>
      <c r="CB14" s="252">
        <f>NP11</f>
        <v>0</v>
      </c>
      <c r="CC14" s="253">
        <f>CA18</f>
        <v>-1.25</v>
      </c>
      <c r="CD14" s="319" t="str">
        <f>CB13&amp;" "&amp;O17</f>
        <v>DESIGN : X,Y</v>
      </c>
      <c r="CE14" s="319"/>
      <c r="CF14" s="319"/>
      <c r="CG14" s="319"/>
      <c r="CH14" s="319"/>
      <c r="CI14" s="319"/>
      <c r="CJ14" s="319"/>
      <c r="CK14" s="319"/>
      <c r="CL14" s="319"/>
      <c r="CM14" s="319"/>
      <c r="CN14" s="319"/>
      <c r="CO14" s="319"/>
      <c r="CP14" s="319"/>
      <c r="CQ14" s="319"/>
      <c r="CR14" s="319"/>
      <c r="CS14" s="319"/>
      <c r="CT14" s="319"/>
      <c r="CU14" s="319"/>
      <c r="CV14" s="319"/>
      <c r="CW14" s="319"/>
      <c r="CX14" s="319"/>
      <c r="CY14" s="319"/>
      <c r="CZ14" s="319"/>
      <c r="DA14" s="319"/>
      <c r="DB14" s="319"/>
      <c r="DC14" s="282" t="e">
        <f>IF(DD6=TRUE,NP11-BU8/2,#N/A)</f>
        <v>#N/A</v>
      </c>
      <c r="DD14" s="282" t="e">
        <f>DD13</f>
        <v>#N/A</v>
      </c>
      <c r="DE14" s="319"/>
      <c r="DF14" s="284" t="e">
        <f>IF(DG6=TRUE,-BU8/2,#N/A)</f>
        <v>#N/A</v>
      </c>
      <c r="DG14" s="284" t="e">
        <f>DG13</f>
        <v>#N/A</v>
      </c>
      <c r="DH14" s="319"/>
      <c r="DI14" s="319"/>
      <c r="DJ14" s="319"/>
      <c r="DK14" s="313">
        <v>6</v>
      </c>
      <c r="DL14" s="282" t="e">
        <f t="shared" si="3"/>
        <v>#N/A</v>
      </c>
      <c r="DM14" s="291" t="e">
        <f t="shared" si="4"/>
        <v>#N/A</v>
      </c>
      <c r="DN14" s="319"/>
      <c r="DO14" s="319"/>
      <c r="DQ14" s="250">
        <f>BZ14-DR13</f>
        <v>-1.6</v>
      </c>
      <c r="DR14" s="253">
        <f>CA14</f>
        <v>0</v>
      </c>
      <c r="DS14" s="378" t="str">
        <f>J11</f>
        <v>X</v>
      </c>
      <c r="EC14" s="336">
        <f>DZ27+EC7</f>
        <v>1</v>
      </c>
      <c r="ED14" s="337">
        <f>EA27</f>
        <v>0.95</v>
      </c>
      <c r="EE14" s="338">
        <f>MAX(DY46:DY49)</f>
        <v>0.65</v>
      </c>
      <c r="EF14" s="351">
        <f>EF13</f>
        <v>1.1499999999999999</v>
      </c>
      <c r="EG14" s="336">
        <f>EG13</f>
        <v>1.0999999999999999</v>
      </c>
      <c r="EH14" s="338">
        <f>MIN(DZ46:DZ49)</f>
        <v>-0.65</v>
      </c>
      <c r="EI14" s="338">
        <f>MAX(DY46:DY49)+(MAX(DZ26:DZ30)-MAX(DY46:DY49))/2</f>
        <v>0.8</v>
      </c>
      <c r="EJ14" s="336">
        <f>EJ13</f>
        <v>1.1499999999999999</v>
      </c>
      <c r="EK14" s="373" t="s">
        <v>116</v>
      </c>
      <c r="EL14" s="321">
        <f>ROUNDUP(MAX(DZ26:DZ30)-MAX(DY46:DY49),2)</f>
        <v>0.3</v>
      </c>
      <c r="GX14" s="314">
        <v>8</v>
      </c>
      <c r="GY14" s="316" t="s">
        <v>219</v>
      </c>
      <c r="GZ14" s="323">
        <v>18</v>
      </c>
      <c r="HA14" s="316">
        <v>18</v>
      </c>
      <c r="HB14" s="316">
        <v>12</v>
      </c>
      <c r="HC14" s="316">
        <v>13</v>
      </c>
      <c r="HD14" s="316">
        <v>17</v>
      </c>
      <c r="HE14" s="316">
        <v>1.5</v>
      </c>
      <c r="HF14" s="316"/>
      <c r="HK14" s="342">
        <v>0</v>
      </c>
      <c r="HL14" s="235" t="e">
        <f>IF($HM$9=TRUE,$HL$11+$HL$12*COS(HK14*PI()/$HM$13),#N/A)</f>
        <v>#N/A</v>
      </c>
      <c r="HM14" s="235" t="e">
        <f>IF($HM$9=TRUE,$HM$11+$HL$12*SIN(HK14*PI()/$HM$13),#N/A)</f>
        <v>#N/A</v>
      </c>
      <c r="HO14" s="342">
        <v>0</v>
      </c>
      <c r="HP14" s="235" t="e">
        <f>IF($HQ$9=TRUE,$HP$11+$HP$12*COS(HK14*PI()/$HQ$13),#N/A)</f>
        <v>#N/A</v>
      </c>
      <c r="HQ14" s="235" t="e">
        <f>IF($HQ$9=TRUE,$HQ$11+$HP$12*SIN(HK14*PI()/$HQ$13),#N/A)</f>
        <v>#N/A</v>
      </c>
      <c r="HS14" s="342">
        <v>0</v>
      </c>
      <c r="HT14" s="235" t="e">
        <f>IF($HU$9=TRUE,$HT$11+$HT$12*COS(HK14*PI()/$HU$13),#N/A)</f>
        <v>#N/A</v>
      </c>
      <c r="HU14" s="235" t="e">
        <f>IF($HU$9=TRUE,$HU$11+$HT$12*SIN(HK14*PI()/$HU$13),#N/A)</f>
        <v>#N/A</v>
      </c>
      <c r="HW14" s="342">
        <v>0</v>
      </c>
      <c r="HX14" s="235" t="e">
        <f>IF($HY$9=TRUE,$HX$11+$HX$12*COS(HK14*PI()/$HY$13),#N/A)</f>
        <v>#N/A</v>
      </c>
      <c r="HY14" s="235" t="e">
        <f>IF($HY$9=TRUE,$HY$11+$HX$12*SIN(HK14*PI()/$HY$13),#N/A)</f>
        <v>#N/A</v>
      </c>
      <c r="IA14" s="342">
        <v>0</v>
      </c>
      <c r="IB14" s="235" t="e">
        <f>IF($IC$9=TRUE,$IB$11+$IB$12*COS(HK14*PI()/$IC$13),#N/A)</f>
        <v>#N/A</v>
      </c>
      <c r="IC14" s="235" t="e">
        <f>IF($IC$9=TRUE,$IC$11+$IB$12*SIN(HK14*PI()/$IC$13),#N/A)</f>
        <v>#N/A</v>
      </c>
      <c r="IE14" s="342">
        <v>0</v>
      </c>
      <c r="IF14" s="262" t="e">
        <f>IF($IG$9=TRUE,$IF$11+$IF$12*COS(IE14*PI()/$IG$13),#N/A)</f>
        <v>#N/A</v>
      </c>
      <c r="IG14" s="262" t="e">
        <f>IF($IG$9=TRUE,$IG$11+$IF$12*SIN(IE14*PI()/$IG$13),#N/A)</f>
        <v>#N/A</v>
      </c>
      <c r="IH14" s="379"/>
      <c r="II14" s="362">
        <v>0</v>
      </c>
      <c r="IJ14" s="262" t="e">
        <f>IF($IK$9=TRUE,$IJ$11+$IJ$12*COS(IE14*PI()/$IK$13),#N/A)</f>
        <v>#N/A</v>
      </c>
      <c r="IK14" s="262" t="e">
        <f>IF($IK$9=TRUE,$IK$11+$IJ$12*SIN(IE14*PI()/$IK$13),#N/A)</f>
        <v>#N/A</v>
      </c>
      <c r="IL14" s="379"/>
      <c r="IM14" s="362">
        <v>0</v>
      </c>
      <c r="IN14" s="262" t="e">
        <f>IF($IO$9=TRUE,$IN$11+$IN$12*COS(IE14*PI()/$IO$13),#N/A)</f>
        <v>#N/A</v>
      </c>
      <c r="IO14" s="262" t="e">
        <f>IF($IO$9=TRUE,$IO$11+$IN$12*SIN(IE14*PI()/$IO$13),#N/A)</f>
        <v>#N/A</v>
      </c>
      <c r="IP14" s="379"/>
      <c r="IQ14" s="362">
        <v>0</v>
      </c>
      <c r="IR14" s="262" t="e">
        <f>IF($IS$9=TRUE,$IR$11+$IR$12*COS(IE14*PI()/$IS$13),#N/A)</f>
        <v>#N/A</v>
      </c>
      <c r="IS14" s="262" t="e">
        <f>IF($IS$9=TRUE,$IS$11+$IR$12*SIN(IE14*PI()/$IS$13),#N/A)</f>
        <v>#N/A</v>
      </c>
      <c r="IT14" s="379"/>
      <c r="IU14" s="362">
        <v>0</v>
      </c>
      <c r="IV14" s="262" t="e">
        <f>IF($IW$9=TRUE,$IV$11+$IV$12*COS(IE14*PI()/$IW$13),#N/A)</f>
        <v>#N/A</v>
      </c>
      <c r="IW14" s="262" t="e">
        <f>IF($IW$9=TRUE,$IW$11+$IV$12*SIN(IE14*PI()/$IW$13),#N/A)</f>
        <v>#N/A</v>
      </c>
      <c r="IY14" s="313" t="s">
        <v>72</v>
      </c>
      <c r="IZ14" s="362" t="e">
        <f>IF(JA12=TRUE,$M$19,#N/A)</f>
        <v>#N/A</v>
      </c>
      <c r="JA14" s="363" t="e">
        <f>IF(JA12=TRUE,$J$19,#N/A)</f>
        <v>#N/A</v>
      </c>
      <c r="JB14" s="313" t="s">
        <v>149</v>
      </c>
      <c r="JC14" s="236" t="e">
        <f>IZ14+($IZ$10/2)</f>
        <v>#N/A</v>
      </c>
      <c r="JD14" s="236" t="e">
        <f>JA14+($IZ$10/2)-$IZ$9</f>
        <v>#N/A</v>
      </c>
      <c r="JF14" s="313" t="s">
        <v>72</v>
      </c>
      <c r="JG14" s="362" t="e">
        <f>IF(JH12=TRUE,$J$26,#N/A)</f>
        <v>#N/A</v>
      </c>
      <c r="JH14" s="363" t="e">
        <f>IF(JH12=TRUE,$H$26,#N/A)</f>
        <v>#N/A</v>
      </c>
      <c r="JI14" s="313" t="s">
        <v>149</v>
      </c>
      <c r="JJ14" s="263" t="e">
        <f>JG14+($IZ$10/2)</f>
        <v>#N/A</v>
      </c>
      <c r="JK14" s="263" t="e">
        <f>JH14+($IZ$10/2)-$IZ$9</f>
        <v>#N/A</v>
      </c>
      <c r="JM14" s="342">
        <v>0</v>
      </c>
      <c r="JN14" s="261" t="e">
        <f>IF($JO$9=TRUE,$JN$11+$JN$12*COS(IE14*PI()/$JO$13),#N/A)</f>
        <v>#N/A</v>
      </c>
      <c r="JO14" s="261" t="e">
        <f>IF($JO$9=TRUE,$JO$11+$JN$12*SIN(IE14*PI()/$JO$13),#N/A)</f>
        <v>#N/A</v>
      </c>
      <c r="JQ14" s="342">
        <v>0</v>
      </c>
      <c r="JR14" s="261" t="e">
        <f>IF($JO$9=TRUE,$JR$11+$JR$12*COS(IE14*PI()/$JS$13),#N/A)</f>
        <v>#N/A</v>
      </c>
      <c r="JS14" s="261" t="e">
        <f>IF($JO$9=TRUE,$JS$11+$JR$12*SIN(IE14*PI()/$JS$13),#N/A)</f>
        <v>#N/A</v>
      </c>
      <c r="JU14" s="342">
        <v>0</v>
      </c>
      <c r="JV14" s="261" t="e">
        <f>IF($JW$9=TRUE,$JV$11+$JV$12*COS(IE14*PI()/$JW$13),#N/A)</f>
        <v>#N/A</v>
      </c>
      <c r="JW14" s="261" t="e">
        <f>IF($JW$9=TRUE,$JW$11+$JV$12*SIN(IE14*PI()/$JW$13),#N/A)</f>
        <v>#N/A</v>
      </c>
      <c r="KB14" s="313" t="s">
        <v>325</v>
      </c>
      <c r="KC14" s="263" t="e">
        <f>KC9</f>
        <v>#N/A</v>
      </c>
      <c r="KD14" s="263" t="e">
        <f>KD13</f>
        <v>#N/A</v>
      </c>
      <c r="KM14" s="310"/>
      <c r="KN14" s="267" t="e">
        <f>IF(KR10=TRUE,ON51,#N/A)</f>
        <v>#N/A</v>
      </c>
      <c r="KO14" s="268" t="e">
        <f>KO13</f>
        <v>#N/A</v>
      </c>
      <c r="KP14" s="267" t="e">
        <f>KN20+(KN21-KN20)/2</f>
        <v>#N/A</v>
      </c>
      <c r="KQ14" s="267" t="e">
        <f>KQ13</f>
        <v>#N/A</v>
      </c>
      <c r="KR14" s="347" t="e">
        <f>KN21-KN20</f>
        <v>#N/A</v>
      </c>
      <c r="KS14" s="267" t="e">
        <f>KS13</f>
        <v>#N/A</v>
      </c>
      <c r="KT14" s="267" t="e">
        <f>IF(KW10=TRUE,OO50,#N/A)</f>
        <v>#N/A</v>
      </c>
      <c r="KU14" s="267" t="e">
        <f>KU13</f>
        <v>#N/A</v>
      </c>
      <c r="KV14" s="267" t="e">
        <f>KT20+(KT21-KT20)/2</f>
        <v>#N/A</v>
      </c>
      <c r="KW14" s="368" t="e">
        <f>KT21-KT20</f>
        <v>#N/A</v>
      </c>
      <c r="LB14" s="310"/>
      <c r="LC14" s="346" t="e">
        <v>#N/A</v>
      </c>
      <c r="LD14" s="346" t="e">
        <v>#N/A</v>
      </c>
      <c r="LE14" s="346" t="e">
        <v>#N/A</v>
      </c>
      <c r="LG14" s="312"/>
      <c r="LH14" s="347" t="e">
        <f>ON53-LI7/1.05</f>
        <v>#N/A</v>
      </c>
      <c r="LI14" s="347" t="e">
        <f>OO53</f>
        <v>#N/A</v>
      </c>
      <c r="LJ14" s="347" t="e">
        <v>#N/A</v>
      </c>
      <c r="LK14" s="347" t="e">
        <v>#N/A</v>
      </c>
      <c r="LL14" s="347"/>
      <c r="LO14" s="318">
        <f>ON49-LI7/1.5</f>
        <v>-1.6999999999999997</v>
      </c>
      <c r="LP14" s="318" t="e">
        <f>OO54</f>
        <v>#N/A</v>
      </c>
      <c r="LQ14" s="347" t="e">
        <v>#N/A</v>
      </c>
      <c r="LR14" s="347" t="e">
        <v>#N/A</v>
      </c>
      <c r="LS14" s="347"/>
      <c r="LV14" s="318">
        <f>LV9</f>
        <v>-1.2999999999999998</v>
      </c>
      <c r="LW14" s="318">
        <f>OO51+LW7*0.75</f>
        <v>1.4</v>
      </c>
      <c r="LX14" s="347" t="e">
        <v>#N/A</v>
      </c>
      <c r="LY14" s="347" t="e">
        <v>#N/A</v>
      </c>
      <c r="LZ14" s="347"/>
      <c r="MC14" s="318">
        <f>MC9</f>
        <v>1.2999999999999998</v>
      </c>
      <c r="MD14" s="318">
        <f>MD9+MD7*0.8</f>
        <v>1.48</v>
      </c>
      <c r="ME14" s="347" t="e">
        <v>#N/A</v>
      </c>
      <c r="MF14" s="347" t="e">
        <v>#N/A</v>
      </c>
      <c r="MG14" s="347"/>
      <c r="MJ14" s="263" t="e">
        <v>#N/A</v>
      </c>
      <c r="MK14" s="263" t="e">
        <v>#N/A</v>
      </c>
      <c r="ML14" s="263" t="e">
        <v>#N/A</v>
      </c>
      <c r="MM14" s="263" t="e">
        <v>#N/A</v>
      </c>
      <c r="MN14" s="347"/>
      <c r="MP14" s="311" t="e">
        <v>#N/A</v>
      </c>
      <c r="MQ14" s="311" t="e">
        <v>#N/A</v>
      </c>
      <c r="MT14" s="318" t="s">
        <v>322</v>
      </c>
      <c r="MU14" s="369"/>
      <c r="MV14" s="348">
        <f>H27</f>
        <v>0.65</v>
      </c>
      <c r="MW14" s="369"/>
      <c r="MX14" s="348">
        <f>H26</f>
        <v>-0.65</v>
      </c>
      <c r="MY14" s="369"/>
      <c r="MZ14" s="348">
        <f>H28</f>
        <v>-0.65</v>
      </c>
      <c r="NN14" s="312">
        <v>3</v>
      </c>
      <c r="NO14" s="249">
        <f>NO11-O12/2</f>
        <v>-0.2</v>
      </c>
      <c r="NP14" s="249">
        <f>NP13</f>
        <v>0.2</v>
      </c>
      <c r="OL14" s="328" t="s">
        <v>90</v>
      </c>
      <c r="OM14" s="241" t="e">
        <f>BV34-J16</f>
        <v>#N/A</v>
      </c>
      <c r="ON14" s="243" t="e">
        <f>BU34+J16</f>
        <v>#N/A</v>
      </c>
      <c r="OO14" s="311" t="s">
        <v>332</v>
      </c>
      <c r="OU14" s="311" t="s">
        <v>452</v>
      </c>
      <c r="OX14" s="311" t="s">
        <v>172</v>
      </c>
      <c r="PE14" s="381">
        <f>N55</f>
        <v>8</v>
      </c>
      <c r="PG14" s="312" t="s">
        <v>48</v>
      </c>
      <c r="PH14" s="312" t="s">
        <v>49</v>
      </c>
      <c r="PI14" s="311" t="s">
        <v>461</v>
      </c>
      <c r="PN14" s="313" t="str">
        <v>C2</v>
      </c>
      <c r="PO14" s="313">
        <v>-1.2999999999999998</v>
      </c>
      <c r="PP14" s="313">
        <v>0.95</v>
      </c>
      <c r="PS14" s="342">
        <v>0</v>
      </c>
      <c r="PT14" s="261" t="e">
        <f>IF($PU$9=TRUE,$PT$11+$PT$12*COS(PS14*PI()/$PU$13),#N/A)</f>
        <v>#N/A</v>
      </c>
      <c r="PU14" s="261" t="e">
        <f>IF($PU$9=TRUE,$PU$11+$PT$12*SIN(PS14*PI()/$PU$13),#N/A)</f>
        <v>#N/A</v>
      </c>
      <c r="PW14" s="312">
        <v>4</v>
      </c>
      <c r="PX14" s="312">
        <v>-0.2</v>
      </c>
      <c r="PY14" s="312">
        <v>-0.2</v>
      </c>
      <c r="QV14" s="359" t="str">
        <v>C1</v>
      </c>
      <c r="QW14" s="367">
        <v>-1.2999999999999998</v>
      </c>
      <c r="QX14" s="367">
        <v>-0.95</v>
      </c>
      <c r="RA14" s="263">
        <f>RA13</f>
        <v>0.42749999999999999</v>
      </c>
      <c r="RB14" s="263">
        <f>IF(OR(PO8=TRUE,PO9=TRUE),PX13-QA9,#N/A)</f>
        <v>-0.42749999999999999</v>
      </c>
      <c r="RM14" s="313" t="s">
        <v>528</v>
      </c>
      <c r="RN14" s="347"/>
      <c r="RO14" s="347">
        <f>QF42*100</f>
        <v>256.5</v>
      </c>
      <c r="RP14" s="347">
        <f>QR42*100</f>
        <v>342</v>
      </c>
      <c r="RQ14" s="347">
        <v>342</v>
      </c>
      <c r="RR14" s="347"/>
      <c r="RS14" s="347"/>
      <c r="RT14" s="347"/>
      <c r="RU14" s="347"/>
      <c r="RV14" s="347"/>
      <c r="RW14" s="347">
        <f>RI28*100</f>
        <v>342</v>
      </c>
      <c r="RX14" s="318">
        <v>342</v>
      </c>
    </row>
    <row r="15" spans="1:574" ht="15" customHeight="1" x14ac:dyDescent="0.45">
      <c r="A15" s="25"/>
      <c r="B15" s="21"/>
      <c r="C15" s="32"/>
      <c r="D15" s="37"/>
      <c r="E15" s="37"/>
      <c r="F15" s="36"/>
      <c r="G15" s="627" t="s">
        <v>51</v>
      </c>
      <c r="H15" s="628"/>
      <c r="I15" s="629"/>
      <c r="J15" s="603">
        <v>1.3</v>
      </c>
      <c r="K15" s="604"/>
      <c r="L15" s="38" t="str">
        <f>IF(BV9=TRUE,BT11,BT12)</f>
        <v>ü</v>
      </c>
      <c r="M15" s="564"/>
      <c r="N15" s="565"/>
      <c r="O15" s="566"/>
      <c r="P15" s="13"/>
      <c r="Q15" s="13"/>
      <c r="R15" s="13"/>
      <c r="S15" s="13"/>
      <c r="T15" s="13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2"/>
      <c r="AM15" s="12"/>
      <c r="AN15" s="12"/>
      <c r="AO15" s="12"/>
      <c r="AT15" s="347" t="s">
        <v>58</v>
      </c>
      <c r="AU15" s="318" t="s">
        <v>110</v>
      </c>
      <c r="AV15" s="318" t="s">
        <v>117</v>
      </c>
      <c r="AW15" s="313" t="str" cm="1">
        <f t="array" ref="AW15:AW16">IF(AY15=TRUE,AU15:AU16,AV15:AV16)</f>
        <v>T</v>
      </c>
      <c r="AX15" s="347" t="str" cm="1">
        <f t="array" ref="AX15">"X-AXIS"&amp;IF(BL9=TRUE,"-"&amp;INDEX(_xlfn.ANCHORARRAY(AW15),AW14),"")</f>
        <v>X-AXIS</v>
      </c>
      <c r="AY15" s="318" t="b">
        <f>IF($AX$14=1,TRUE,FALSE)</f>
        <v>0</v>
      </c>
      <c r="BD15" s="318" t="s">
        <v>57</v>
      </c>
      <c r="BE15" s="318" t="b">
        <f>IF(BK6&gt;=3,TRUE,FALSE)</f>
        <v>1</v>
      </c>
      <c r="BG15" s="311">
        <v>7.4999999999999997E-2</v>
      </c>
      <c r="BT15" s="360" t="str">
        <f>IF(D41&gt;=IF(BL7=TRUE,0.5*BT7,$BT$7),BT11,BT12)</f>
        <v>ü</v>
      </c>
      <c r="BX15" s="311">
        <f>IF(BL7=TRUE,OL16,IF(BL8=TRUE,BX29,IF(DU20=TRUE,DT29,FD44)))</f>
        <v>1.9</v>
      </c>
      <c r="BZ15" s="250">
        <f>NP11+BX15+BX17</f>
        <v>1.25</v>
      </c>
      <c r="CA15" s="253">
        <f>CA14</f>
        <v>0</v>
      </c>
      <c r="CB15" s="319"/>
      <c r="CC15" s="319"/>
      <c r="CD15" s="319" t="str">
        <f>CC13&amp;" "&amp;O17</f>
        <v>MODIFY : X,Y</v>
      </c>
      <c r="CE15" s="319"/>
      <c r="CF15" s="319"/>
      <c r="CG15" s="319"/>
      <c r="CH15" s="319"/>
      <c r="CI15" s="319"/>
      <c r="CJ15" s="319"/>
      <c r="CK15" s="319"/>
      <c r="CL15" s="319"/>
      <c r="CM15" s="319"/>
      <c r="CN15" s="319"/>
      <c r="CO15" s="319"/>
      <c r="CP15" s="319"/>
      <c r="CQ15" s="319"/>
      <c r="CR15" s="311" t="s">
        <v>635</v>
      </c>
      <c r="CS15" s="319"/>
      <c r="CT15" s="319"/>
      <c r="CU15" s="319"/>
      <c r="CV15" s="319"/>
      <c r="CW15" s="319"/>
      <c r="CX15" s="319"/>
      <c r="CY15" s="319" t="s">
        <v>268</v>
      </c>
      <c r="CZ15" s="319">
        <f>ABS(GQ45-R10)</f>
        <v>1.2999999999999998</v>
      </c>
      <c r="DA15" s="319"/>
      <c r="DB15" s="319"/>
      <c r="DC15" s="282" t="e">
        <f>DC14</f>
        <v>#N/A</v>
      </c>
      <c r="DD15" s="282" t="e">
        <f>DD14+DA6</f>
        <v>#N/A</v>
      </c>
      <c r="DE15" s="319"/>
      <c r="DF15" s="284" t="e">
        <f>DF14</f>
        <v>#N/A</v>
      </c>
      <c r="DG15" s="284" t="e">
        <f>DG14+DA6</f>
        <v>#N/A</v>
      </c>
      <c r="DH15" s="319"/>
      <c r="DI15" s="319"/>
      <c r="DJ15" s="319"/>
      <c r="DK15" s="313">
        <v>7</v>
      </c>
      <c r="DL15" s="282" t="e">
        <f t="shared" si="3"/>
        <v>#N/A</v>
      </c>
      <c r="DM15" s="291" t="e">
        <f t="shared" si="4"/>
        <v>#N/A</v>
      </c>
      <c r="DN15" s="319"/>
      <c r="DO15" s="319"/>
      <c r="DQ15" s="252">
        <f>BZ17</f>
        <v>0</v>
      </c>
      <c r="DR15" s="254">
        <f>CA17+DR13</f>
        <v>1.6</v>
      </c>
      <c r="DS15" s="378" t="str">
        <f>J10</f>
        <v>Y</v>
      </c>
      <c r="EC15" s="336">
        <f>EC14+ED7*1.75</f>
        <v>1.5249999999999999</v>
      </c>
      <c r="ED15" s="337">
        <f>ED14</f>
        <v>0.95</v>
      </c>
      <c r="EE15" s="338">
        <f>EE14</f>
        <v>0.65</v>
      </c>
      <c r="EF15" s="338">
        <f>INDEX($DZ$46:$DZ$49,MATCH(EE15,$DY$46:$DY$49,0))</f>
        <v>-0.65</v>
      </c>
      <c r="EG15" s="338">
        <f>INDEX($DY$46:$DY$49,MATCH(EH15,$DZ$46:$DZ$49,0))</f>
        <v>-0.65</v>
      </c>
      <c r="EH15" s="338">
        <f>EH14</f>
        <v>-0.65</v>
      </c>
      <c r="EI15" s="336">
        <f>EG10</f>
        <v>1.0999999999999999</v>
      </c>
      <c r="EJ15" s="338">
        <f>EH9-(EH9-EH10)/2</f>
        <v>0.8</v>
      </c>
      <c r="EK15" s="373" t="s">
        <v>117</v>
      </c>
      <c r="EL15" s="321">
        <f>ROUNDUP(EH9-EH10,2)</f>
        <v>0.3</v>
      </c>
      <c r="GX15" s="314">
        <v>9</v>
      </c>
      <c r="GY15" s="316" t="s">
        <v>220</v>
      </c>
      <c r="GZ15" s="323">
        <v>22</v>
      </c>
      <c r="HA15" s="316">
        <v>22</v>
      </c>
      <c r="HB15" s="316">
        <v>1.5</v>
      </c>
      <c r="HC15" s="316"/>
      <c r="HD15" s="316"/>
      <c r="HE15" s="316"/>
      <c r="HF15" s="316"/>
      <c r="HK15" s="342">
        <v>1</v>
      </c>
      <c r="HL15" s="235" t="e">
        <f t="shared" ref="HL15:HL78" si="5">IF($HM$9=TRUE,$HL$11+$HL$12*COS(HK15*PI()/$HM$13),#N/A)</f>
        <v>#N/A</v>
      </c>
      <c r="HM15" s="235" t="e">
        <f t="shared" ref="HM15:HM78" si="6">IF($HM$9=TRUE,$HM$11+$HL$12*SIN(HK15*PI()/$HM$13),#N/A)</f>
        <v>#N/A</v>
      </c>
      <c r="HP15" s="235" t="e">
        <f t="shared" ref="HP15:HP78" si="7">IF($HQ$9=TRUE,$HP$11+$HP$12*COS(HK15*PI()/$HQ$13),#N/A)</f>
        <v>#N/A</v>
      </c>
      <c r="HQ15" s="235" t="e">
        <f t="shared" ref="HQ15:HQ78" si="8">IF($HQ$9=TRUE,$HQ$11+$HP$12*SIN(HK15*PI()/$HQ$13),#N/A)</f>
        <v>#N/A</v>
      </c>
      <c r="HT15" s="235" t="e">
        <f t="shared" ref="HT15:HT78" si="9">IF($HU$9=TRUE,$HT$11+$HT$12*COS(HK15*PI()/$HU$13),#N/A)</f>
        <v>#N/A</v>
      </c>
      <c r="HU15" s="235" t="e">
        <f t="shared" ref="HU15:HU78" si="10">IF($HU$9=TRUE,$HU$11+$HT$12*SIN(HK15*PI()/$HU$13),#N/A)</f>
        <v>#N/A</v>
      </c>
      <c r="HX15" s="235" t="e">
        <f t="shared" ref="HX15:HX78" si="11">IF($HY$9=TRUE,$HX$11+$HX$12*COS(HK15*PI()/$HY$13),#N/A)</f>
        <v>#N/A</v>
      </c>
      <c r="HY15" s="235" t="e">
        <f t="shared" ref="HY15:HY78" si="12">IF($HY$9=TRUE,$HY$11+$HX$12*SIN(HK15*PI()/$HY$13),#N/A)</f>
        <v>#N/A</v>
      </c>
      <c r="IB15" s="235" t="e">
        <f t="shared" ref="IB15:IB78" si="13">IF($IC$9=TRUE,$IB$11+$IB$12*COS(HK15*PI()/$IC$13),#N/A)</f>
        <v>#N/A</v>
      </c>
      <c r="IC15" s="235" t="e">
        <f t="shared" ref="IC15:IC78" si="14">IF($IC$9=TRUE,$IC$11+$IB$12*SIN(HK15*PI()/$IC$13),#N/A)</f>
        <v>#N/A</v>
      </c>
      <c r="IE15" s="342">
        <v>1</v>
      </c>
      <c r="IF15" s="262" t="e">
        <f t="shared" ref="IF15:IF78" si="15">IF($IG$9=TRUE,$IF$11+$IF$12*COS(IE15*PI()/$IG$13),#N/A)</f>
        <v>#N/A</v>
      </c>
      <c r="IG15" s="262" t="e">
        <f t="shared" ref="IG15:IG78" si="16">IF($IG$9=TRUE,$IG$11+$IF$12*SIN(IE15*PI()/$IG$13),#N/A)</f>
        <v>#N/A</v>
      </c>
      <c r="IH15" s="379"/>
      <c r="II15" s="379"/>
      <c r="IJ15" s="262" t="e">
        <f t="shared" ref="IJ15:IJ78" si="17">IF($IK$9=TRUE,$IJ$11+$IJ$12*COS(IE15*PI()/$IK$13),#N/A)</f>
        <v>#N/A</v>
      </c>
      <c r="IK15" s="262" t="e">
        <f t="shared" ref="IK15:IK78" si="18">IF($IK$9=TRUE,$IK$11+$IJ$12*SIN(IE15*PI()/$IK$13),#N/A)</f>
        <v>#N/A</v>
      </c>
      <c r="IL15" s="379"/>
      <c r="IM15" s="379"/>
      <c r="IN15" s="262" t="e">
        <f t="shared" ref="IN15:IN78" si="19">IF($IO$9=TRUE,$IN$11+$IN$12*COS(IE15*PI()/$IO$13),#N/A)</f>
        <v>#N/A</v>
      </c>
      <c r="IO15" s="262" t="e">
        <f t="shared" ref="IO15:IO78" si="20">IF($IO$9=TRUE,$IO$11+$IN$12*SIN(IE15*PI()/$IO$13),#N/A)</f>
        <v>#N/A</v>
      </c>
      <c r="IP15" s="379"/>
      <c r="IQ15" s="379"/>
      <c r="IR15" s="262" t="e">
        <f t="shared" ref="IR15:IR78" si="21">IF($IS$9=TRUE,$IR$11+$IR$12*COS(IE15*PI()/$IS$13),#N/A)</f>
        <v>#N/A</v>
      </c>
      <c r="IS15" s="262" t="e">
        <f t="shared" ref="IS15:IS78" si="22">IF($IS$9=TRUE,$IS$11+$IR$12*SIN(IE15*PI()/$IS$13),#N/A)</f>
        <v>#N/A</v>
      </c>
      <c r="IT15" s="379"/>
      <c r="IU15" s="379"/>
      <c r="IV15" s="262" t="e">
        <f t="shared" ref="IV15:IV78" si="23">IF($IW$9=TRUE,$IV$11+$IV$12*COS(IE15*PI()/$IW$13),#N/A)</f>
        <v>#N/A</v>
      </c>
      <c r="IW15" s="262" t="e">
        <f t="shared" ref="IW15:IW78" si="24">IF($IW$9=TRUE,$IW$11+$IV$12*SIN(IE15*PI()/$IW$13),#N/A)</f>
        <v>#N/A</v>
      </c>
      <c r="JB15" s="313" t="s">
        <v>152</v>
      </c>
      <c r="JC15" s="236" t="e">
        <f>JC14</f>
        <v>#N/A</v>
      </c>
      <c r="JD15" s="236" t="e">
        <f>JA14-($IZ$10/2)+$IZ$9</f>
        <v>#N/A</v>
      </c>
      <c r="JI15" s="313" t="s">
        <v>152</v>
      </c>
      <c r="JJ15" s="263" t="e">
        <f>JJ14</f>
        <v>#N/A</v>
      </c>
      <c r="JK15" s="263" t="e">
        <f>JH14-($IZ$10/2)+$IZ$9</f>
        <v>#N/A</v>
      </c>
      <c r="JN15" s="261" t="e">
        <f t="shared" ref="JN15:JN78" si="25">IF($JO$9=TRUE,$JN$11+$JN$12*COS(IE15*PI()/$JO$13),#N/A)</f>
        <v>#N/A</v>
      </c>
      <c r="JO15" s="261" t="e">
        <f t="shared" ref="JO15:JO78" si="26">IF($JO$9=TRUE,$JO$11+$JN$12*SIN(IE15*PI()/$JO$13),#N/A)</f>
        <v>#N/A</v>
      </c>
      <c r="JR15" s="261" t="e">
        <f>IF($JS$9=TRUE,$JR$11+$JR$12*COS(IE15*PI()/$JS$13),#N/A)</f>
        <v>#N/A</v>
      </c>
      <c r="JS15" s="261" t="e">
        <f>IF($JS$9=TRUE,$JS$11+$JR$12*SIN(IE15*PI()/$JS$13),#N/A)</f>
        <v>#N/A</v>
      </c>
      <c r="JV15" s="261" t="e">
        <f t="shared" ref="JV15:JV78" si="27">IF($JW$9=TRUE,$JV$11+$JV$12*COS(IE15*PI()/$JW$13),#N/A)</f>
        <v>#N/A</v>
      </c>
      <c r="JW15" s="261" t="e">
        <f t="shared" ref="JW15:JW78" si="28">IF($JW$9=TRUE,$JW$11+$JV$12*SIN(IE15*PI()/$JW$13),#N/A)</f>
        <v>#N/A</v>
      </c>
      <c r="KB15" s="313" t="s">
        <v>326</v>
      </c>
      <c r="KC15" s="263" t="e">
        <f>JZ11-($IZ$10/2)</f>
        <v>#N/A</v>
      </c>
      <c r="KD15" s="263" t="e">
        <f>KD12</f>
        <v>#N/A</v>
      </c>
      <c r="KM15" s="310"/>
      <c r="KN15" s="267" t="e">
        <f>KN14</f>
        <v>#N/A</v>
      </c>
      <c r="KO15" s="268" t="e">
        <f>KO12</f>
        <v>#N/A</v>
      </c>
      <c r="KP15" s="267" t="e">
        <v>#N/A</v>
      </c>
      <c r="KQ15" s="267" t="e">
        <v>#N/A</v>
      </c>
      <c r="KR15" s="347"/>
      <c r="KS15" s="267" t="e">
        <f>KS12</f>
        <v>#N/A</v>
      </c>
      <c r="KT15" s="267" t="e">
        <f>KT14</f>
        <v>#N/A</v>
      </c>
      <c r="KU15" s="267" t="e">
        <v>#N/A</v>
      </c>
      <c r="KV15" s="267" t="e">
        <v>#N/A</v>
      </c>
      <c r="KW15" s="368"/>
      <c r="LB15" s="531" t="s">
        <v>116</v>
      </c>
      <c r="LC15" s="346" t="str">
        <v>C3</v>
      </c>
      <c r="LD15" s="346">
        <v>1.2999999999999998</v>
      </c>
      <c r="LE15" s="346">
        <v>0.95</v>
      </c>
      <c r="LG15" s="312"/>
      <c r="LH15" s="347" t="e">
        <f>LH14</f>
        <v>#N/A</v>
      </c>
      <c r="LI15" s="347">
        <f>OO57</f>
        <v>0</v>
      </c>
      <c r="LJ15" s="318" t="e">
        <f>LH28+(LH29-LH28)/2</f>
        <v>#N/A</v>
      </c>
      <c r="LK15" s="368" t="e">
        <f>LI29</f>
        <v>#N/A</v>
      </c>
      <c r="LL15" s="347" t="e">
        <f>LH29-LH28</f>
        <v>#N/A</v>
      </c>
      <c r="LO15" s="318">
        <f>LO14</f>
        <v>-1.6999999999999997</v>
      </c>
      <c r="LP15" s="318">
        <f>OO57</f>
        <v>0</v>
      </c>
      <c r="LQ15" s="318">
        <f>LO27+(LO29-LO27)/2</f>
        <v>0</v>
      </c>
      <c r="LR15" s="318">
        <f>LP28</f>
        <v>-5.0000000000000044E-2</v>
      </c>
      <c r="LS15" s="347">
        <f>LO29-LO27</f>
        <v>2.5999999999999996</v>
      </c>
      <c r="LV15" s="318">
        <f>ON57</f>
        <v>0</v>
      </c>
      <c r="LW15" s="318">
        <f>LW14</f>
        <v>1.4</v>
      </c>
      <c r="LX15" s="318">
        <f>LV28</f>
        <v>2.1999999999999997</v>
      </c>
      <c r="LY15" s="318" t="e">
        <f>LW28-(LW28-LW29)/2</f>
        <v>#N/A</v>
      </c>
      <c r="LZ15" s="347" t="e">
        <f>LW28-LW29</f>
        <v>#N/A</v>
      </c>
      <c r="MC15" s="318">
        <f>ON57</f>
        <v>0</v>
      </c>
      <c r="MD15" s="318">
        <f>MD14</f>
        <v>1.48</v>
      </c>
      <c r="ME15" s="318">
        <f>MC28</f>
        <v>0.29999999999999982</v>
      </c>
      <c r="MF15" s="318">
        <f>MD28-(MD28-MD29)/2</f>
        <v>-0.95</v>
      </c>
      <c r="MG15" s="347">
        <f>MD28-MD29</f>
        <v>0</v>
      </c>
      <c r="MJ15" s="263" t="e">
        <v>#N/A</v>
      </c>
      <c r="MK15" s="263" t="e">
        <v>#N/A</v>
      </c>
      <c r="ML15" s="263" t="e">
        <v>#N/A</v>
      </c>
      <c r="MM15" s="263" t="e">
        <v>#N/A</v>
      </c>
      <c r="MN15" s="347"/>
      <c r="MP15" s="311" t="e">
        <v>#N/A</v>
      </c>
      <c r="MQ15" s="311" t="e">
        <v>#N/A</v>
      </c>
      <c r="MT15" s="318" t="s">
        <v>323</v>
      </c>
      <c r="MU15" s="369"/>
      <c r="MV15" s="348">
        <f>H26</f>
        <v>-0.65</v>
      </c>
      <c r="MW15" s="369"/>
      <c r="MX15" s="348">
        <f>H28</f>
        <v>-0.65</v>
      </c>
      <c r="MY15" s="369"/>
      <c r="MZ15" s="348">
        <f>H27</f>
        <v>0.65</v>
      </c>
      <c r="NN15" s="312">
        <v>4</v>
      </c>
      <c r="NO15" s="249">
        <f>NO14</f>
        <v>-0.2</v>
      </c>
      <c r="NP15" s="249">
        <f>NP12</f>
        <v>-0.2</v>
      </c>
      <c r="OL15" s="328" t="s">
        <v>92</v>
      </c>
      <c r="OM15" s="241" t="e">
        <f>BV34+J16</f>
        <v>#N/A</v>
      </c>
      <c r="ON15" s="242" t="e">
        <f>ON14</f>
        <v>#N/A</v>
      </c>
      <c r="OO15" s="311" t="s">
        <v>333</v>
      </c>
      <c r="OU15" s="312" t="s">
        <v>48</v>
      </c>
      <c r="OV15" s="312" t="s">
        <v>49</v>
      </c>
      <c r="OX15" s="313" t="s">
        <v>48</v>
      </c>
      <c r="OY15" s="313" t="s">
        <v>49</v>
      </c>
      <c r="PE15" s="313">
        <v>1</v>
      </c>
      <c r="PF15" s="318" t="b">
        <f>IF(PE15&lt;=$PE$14,TRUE,FALSE)</f>
        <v>1</v>
      </c>
      <c r="PG15" s="283" t="e">
        <f>IF(AND($OV$8=TRUE,PF15=TRUE),(OU16+F50/100)+PH13/2,#N/A)</f>
        <v>#N/A</v>
      </c>
      <c r="PH15" s="283" t="e">
        <f>IF(AND($OV$8=TRUE,PF15=TRUE),$OV$43,#N/A)</f>
        <v>#N/A</v>
      </c>
      <c r="PI15" s="295" t="e">
        <f>IF(OT9=TRUE,$PB$25-OW30,#N/A)</f>
        <v>#N/A</v>
      </c>
      <c r="PN15" s="313" t="str">
        <v>C3</v>
      </c>
      <c r="PO15" s="313">
        <v>1.2999999999999998</v>
      </c>
      <c r="PP15" s="313">
        <v>0.95</v>
      </c>
      <c r="PS15" s="342">
        <v>1</v>
      </c>
      <c r="PT15" s="261" t="e">
        <f t="shared" ref="PT15:PT78" si="29">IF($PU$9=TRUE,$PT$11+$PT$12*COS(PS15*PI()/$PU$13),#N/A)</f>
        <v>#N/A</v>
      </c>
      <c r="PU15" s="261" t="e">
        <f t="shared" ref="PU15:PU78" si="30">IF($PU$9=TRUE,$PU$11+$PT$12*SIN(PS15*PI()/$PU$13),#N/A)</f>
        <v>#N/A</v>
      </c>
      <c r="PW15" s="312">
        <v>1</v>
      </c>
      <c r="PX15" s="312">
        <v>0.2</v>
      </c>
      <c r="PY15" s="312">
        <v>-0.2</v>
      </c>
      <c r="QV15" s="359" t="str">
        <v>C4</v>
      </c>
      <c r="QW15" s="367">
        <v>1.2999999999999998</v>
      </c>
      <c r="QX15" s="367">
        <v>-0.95</v>
      </c>
      <c r="RA15" s="263">
        <f>RA12</f>
        <v>-0.42749999999999999</v>
      </c>
      <c r="RB15" s="263">
        <f>RB14</f>
        <v>-0.42749999999999999</v>
      </c>
      <c r="RM15" s="313" t="s">
        <v>529</v>
      </c>
      <c r="RN15" s="347"/>
      <c r="RO15" s="347">
        <f>C51</f>
        <v>45.499999999999993</v>
      </c>
      <c r="RP15" s="347">
        <f>C51</f>
        <v>45.499999999999993</v>
      </c>
      <c r="RQ15" s="347">
        <v>45.499999999999993</v>
      </c>
      <c r="RR15" s="347"/>
      <c r="RS15" s="347"/>
      <c r="RT15" s="347"/>
      <c r="RU15" s="347"/>
      <c r="RV15" s="347"/>
      <c r="RW15" s="347">
        <f>C51</f>
        <v>45.499999999999993</v>
      </c>
      <c r="RX15" s="318">
        <v>45.499999999999993</v>
      </c>
    </row>
    <row r="16" spans="1:574" ht="15" customHeight="1" x14ac:dyDescent="0.45">
      <c r="A16" s="25"/>
      <c r="B16" s="21"/>
      <c r="C16" s="21"/>
      <c r="D16" s="21"/>
      <c r="E16" s="21"/>
      <c r="F16" s="21"/>
      <c r="G16" s="732" t="s">
        <v>56</v>
      </c>
      <c r="H16" s="733"/>
      <c r="I16" s="734"/>
      <c r="J16" s="543">
        <v>0.3</v>
      </c>
      <c r="K16" s="544"/>
      <c r="L16" s="39" t="str">
        <f>IF(BV8=TRUE,BT11,BT12)</f>
        <v>ü</v>
      </c>
      <c r="M16" s="735">
        <v>180</v>
      </c>
      <c r="N16" s="736"/>
      <c r="O16" s="737"/>
      <c r="P16" s="13"/>
      <c r="Q16" s="758" t="s">
        <v>213</v>
      </c>
      <c r="R16" s="758"/>
      <c r="S16" s="758"/>
      <c r="T16" s="13"/>
      <c r="U16" s="11"/>
      <c r="V16" s="11"/>
      <c r="W16" s="11"/>
      <c r="X16" s="11"/>
      <c r="Y16" s="11"/>
      <c r="Z16" s="11"/>
      <c r="AA16" s="11"/>
      <c r="AB16" s="11"/>
      <c r="AC16" s="11"/>
      <c r="AD16" s="18"/>
      <c r="AE16" s="18"/>
      <c r="AF16" s="18"/>
      <c r="AG16" s="11"/>
      <c r="AH16" s="11"/>
      <c r="AI16" s="11"/>
      <c r="AJ16" s="11"/>
      <c r="AK16" s="11"/>
      <c r="AL16" s="12"/>
      <c r="AM16" s="12"/>
      <c r="AN16" s="12"/>
      <c r="AO16" s="12"/>
      <c r="AT16" s="347" t="s">
        <v>62</v>
      </c>
      <c r="AU16" s="318" t="s">
        <v>116</v>
      </c>
      <c r="AV16" s="318" t="s">
        <v>119</v>
      </c>
      <c r="AW16" s="313" t="str">
        <v>B</v>
      </c>
      <c r="AX16" s="347" t="str" cm="1">
        <f t="array" ref="AX16">"Y-AXIS"&amp;IF(BL9=TRUE,"-"&amp;INDEX(AW15:AW16,AW14),"")</f>
        <v>Y-AXIS</v>
      </c>
      <c r="AY16" s="318" t="b">
        <f>IF($AX$14=2,TRUE,FALSE)</f>
        <v>1</v>
      </c>
      <c r="BE16" s="314" t="s">
        <v>61</v>
      </c>
      <c r="BF16" s="311">
        <f>IF(BE14=TRUE,BF14,BG15)</f>
        <v>7.4999999999999997E-2</v>
      </c>
      <c r="BT16" s="360"/>
      <c r="BX16" s="311" t="s">
        <v>63</v>
      </c>
      <c r="BZ16" s="251" t="e">
        <v>#N/A</v>
      </c>
      <c r="CA16" s="251" t="e">
        <v>#N/A</v>
      </c>
      <c r="CO16" s="311" t="s">
        <v>507</v>
      </c>
      <c r="CP16" s="310">
        <f>COUNTIF(CO17:CO21,TRUE)</f>
        <v>3</v>
      </c>
      <c r="CR16" s="311" t="s">
        <v>82</v>
      </c>
      <c r="CS16" s="311" t="s">
        <v>84</v>
      </c>
      <c r="CY16" s="311" t="s">
        <v>269</v>
      </c>
      <c r="CZ16" s="382">
        <f>ABS(GQ46-R10)</f>
        <v>1.2999999999999998</v>
      </c>
      <c r="DC16" s="282" t="e">
        <v>#N/A</v>
      </c>
      <c r="DD16" s="282" t="e">
        <v>#N/A</v>
      </c>
      <c r="DF16" s="283" t="e">
        <v>#N/A</v>
      </c>
      <c r="DG16" s="283" t="e">
        <v>#N/A</v>
      </c>
      <c r="DK16" s="313">
        <v>8</v>
      </c>
      <c r="DL16" s="282" t="e">
        <f t="shared" si="3"/>
        <v>#N/A</v>
      </c>
      <c r="DM16" s="291" t="e">
        <f t="shared" si="4"/>
        <v>#N/A</v>
      </c>
      <c r="EC16" s="336">
        <f>EC15</f>
        <v>1.5249999999999999</v>
      </c>
      <c r="ED16" s="337">
        <f>EA29</f>
        <v>-0.95</v>
      </c>
      <c r="EE16" s="338" t="e">
        <v>#N/A</v>
      </c>
      <c r="EF16" s="338" t="e">
        <v>#N/A</v>
      </c>
      <c r="EG16" s="338" t="e">
        <v>#N/A</v>
      </c>
      <c r="EH16" s="338" t="e">
        <v>#N/A</v>
      </c>
      <c r="EI16" s="336">
        <f>EG9</f>
        <v>1.0999999999999999</v>
      </c>
      <c r="EJ16" s="338">
        <f>EH17-(EH17-EH18)/2</f>
        <v>-0.8</v>
      </c>
      <c r="EK16" s="373" t="s">
        <v>119</v>
      </c>
      <c r="EL16" s="321">
        <f>ROUNDUP(EH17-EH18,2)</f>
        <v>0.3</v>
      </c>
      <c r="EU16" s="383" t="s">
        <v>324</v>
      </c>
      <c r="GX16" s="314">
        <v>10</v>
      </c>
      <c r="GY16" s="316" t="s">
        <v>221</v>
      </c>
      <c r="GZ16" s="323">
        <v>26</v>
      </c>
      <c r="HA16" s="316">
        <v>26</v>
      </c>
      <c r="HB16" s="316">
        <v>1.5</v>
      </c>
      <c r="HC16" s="316"/>
      <c r="HD16" s="316"/>
      <c r="HE16" s="316"/>
      <c r="HF16" s="316"/>
      <c r="HK16" s="342">
        <v>2</v>
      </c>
      <c r="HL16" s="235" t="e">
        <f t="shared" si="5"/>
        <v>#N/A</v>
      </c>
      <c r="HM16" s="235" t="e">
        <f t="shared" si="6"/>
        <v>#N/A</v>
      </c>
      <c r="HP16" s="235" t="e">
        <f t="shared" si="7"/>
        <v>#N/A</v>
      </c>
      <c r="HQ16" s="235" t="e">
        <f t="shared" si="8"/>
        <v>#N/A</v>
      </c>
      <c r="HT16" s="235" t="e">
        <f t="shared" si="9"/>
        <v>#N/A</v>
      </c>
      <c r="HU16" s="235" t="e">
        <f t="shared" si="10"/>
        <v>#N/A</v>
      </c>
      <c r="HX16" s="235" t="e">
        <f t="shared" si="11"/>
        <v>#N/A</v>
      </c>
      <c r="HY16" s="235" t="e">
        <f t="shared" si="12"/>
        <v>#N/A</v>
      </c>
      <c r="IB16" s="235" t="e">
        <f t="shared" si="13"/>
        <v>#N/A</v>
      </c>
      <c r="IC16" s="235" t="e">
        <f t="shared" si="14"/>
        <v>#N/A</v>
      </c>
      <c r="IE16" s="342">
        <v>2</v>
      </c>
      <c r="IF16" s="262" t="e">
        <f t="shared" si="15"/>
        <v>#N/A</v>
      </c>
      <c r="IG16" s="262" t="e">
        <f t="shared" si="16"/>
        <v>#N/A</v>
      </c>
      <c r="IH16" s="379"/>
      <c r="II16" s="379"/>
      <c r="IJ16" s="262" t="e">
        <f t="shared" si="17"/>
        <v>#N/A</v>
      </c>
      <c r="IK16" s="262" t="e">
        <f t="shared" si="18"/>
        <v>#N/A</v>
      </c>
      <c r="IL16" s="379"/>
      <c r="IM16" s="379"/>
      <c r="IN16" s="262" t="e">
        <f t="shared" si="19"/>
        <v>#N/A</v>
      </c>
      <c r="IO16" s="262" t="e">
        <f t="shared" si="20"/>
        <v>#N/A</v>
      </c>
      <c r="IP16" s="379"/>
      <c r="IQ16" s="379"/>
      <c r="IR16" s="262" t="e">
        <f t="shared" si="21"/>
        <v>#N/A</v>
      </c>
      <c r="IS16" s="262" t="e">
        <f t="shared" si="22"/>
        <v>#N/A</v>
      </c>
      <c r="IT16" s="379"/>
      <c r="IU16" s="379"/>
      <c r="IV16" s="262" t="e">
        <f t="shared" si="23"/>
        <v>#N/A</v>
      </c>
      <c r="IW16" s="262" t="e">
        <f t="shared" si="24"/>
        <v>#N/A</v>
      </c>
      <c r="JB16" s="313" t="s">
        <v>167</v>
      </c>
      <c r="JC16" s="236" t="e">
        <f>JC13</f>
        <v>#N/A</v>
      </c>
      <c r="JD16" s="236" t="e">
        <f>JA14-($IZ$10/2)</f>
        <v>#N/A</v>
      </c>
      <c r="JI16" s="313" t="s">
        <v>167</v>
      </c>
      <c r="JJ16" s="263" t="e">
        <f>JJ13</f>
        <v>#N/A</v>
      </c>
      <c r="JK16" s="263" t="e">
        <f>JH14-($IZ$10/2)</f>
        <v>#N/A</v>
      </c>
      <c r="JN16" s="261" t="e">
        <f t="shared" si="25"/>
        <v>#N/A</v>
      </c>
      <c r="JO16" s="261" t="e">
        <f t="shared" si="26"/>
        <v>#N/A</v>
      </c>
      <c r="JR16" s="261" t="e">
        <f t="shared" ref="JR16:JR79" si="31">IF($JS$9=TRUE,$JR$11+$JR$12*COS(IE16*PI()/$JS$13),#N/A)</f>
        <v>#N/A</v>
      </c>
      <c r="JS16" s="261" t="e">
        <f t="shared" ref="JS16:JS79" si="32">IF($JS$9=TRUE,$JS$11+$JR$12*SIN(IE16*PI()/$JS$13),#N/A)</f>
        <v>#N/A</v>
      </c>
      <c r="JV16" s="261" t="e">
        <f t="shared" si="27"/>
        <v>#N/A</v>
      </c>
      <c r="JW16" s="261" t="e">
        <f t="shared" si="28"/>
        <v>#N/A</v>
      </c>
      <c r="KB16" s="313" t="s">
        <v>372</v>
      </c>
      <c r="KC16" s="263" t="e">
        <f>KC15</f>
        <v>#N/A</v>
      </c>
      <c r="KD16" s="263" t="e">
        <f>KA11+($IZ$10/2)-$IZ$9</f>
        <v>#N/A</v>
      </c>
      <c r="KM16" s="310"/>
      <c r="KN16" s="267" t="e">
        <v>#N/A</v>
      </c>
      <c r="KO16" s="267" t="e">
        <v>#N/A</v>
      </c>
      <c r="KP16" s="267" t="e">
        <f>KN24</f>
        <v>#N/A</v>
      </c>
      <c r="KQ16" s="267" t="e">
        <f>KO24+(KO25-KO24)/2</f>
        <v>#N/A</v>
      </c>
      <c r="KR16" s="347" t="e">
        <f>KO25-KO24</f>
        <v>#N/A</v>
      </c>
      <c r="KS16" s="267" t="e">
        <v>#N/A</v>
      </c>
      <c r="KT16" s="267" t="e">
        <v>#N/A</v>
      </c>
      <c r="KU16" s="268" t="e">
        <f>KS24+(KS25-KS24)/2</f>
        <v>#N/A</v>
      </c>
      <c r="KV16" s="267" t="e">
        <f>KT24</f>
        <v>#N/A</v>
      </c>
      <c r="KW16" s="368" t="e">
        <f>KS25-KS24</f>
        <v>#N/A</v>
      </c>
      <c r="LB16" s="531"/>
      <c r="LC16" s="346" t="str">
        <v>C4</v>
      </c>
      <c r="LD16" s="346">
        <v>1.2999999999999998</v>
      </c>
      <c r="LE16" s="346">
        <v>-0.95</v>
      </c>
      <c r="LG16" s="312"/>
      <c r="LH16" s="347" t="e">
        <v>#N/A</v>
      </c>
      <c r="LI16" s="347" t="e">
        <v>#N/A</v>
      </c>
      <c r="LJ16" s="318" t="e">
        <f>LH32+(LH33-LH32)/2</f>
        <v>#N/A</v>
      </c>
      <c r="LK16" s="368" t="e">
        <f>LI32</f>
        <v>#N/A</v>
      </c>
      <c r="LL16" s="347" t="e">
        <f>LH33-LH32</f>
        <v>#N/A</v>
      </c>
      <c r="LO16" s="347" t="e">
        <v>#N/A</v>
      </c>
      <c r="LP16" s="347" t="e">
        <v>#N/A</v>
      </c>
      <c r="LQ16" s="318">
        <f>LO33-(LO33-LO32)/2</f>
        <v>-0.64999999999999991</v>
      </c>
      <c r="LR16" s="318">
        <f>LP32</f>
        <v>-0.35</v>
      </c>
      <c r="LS16" s="347">
        <f>LO33-LO32</f>
        <v>1.2999999999999998</v>
      </c>
      <c r="LV16" s="347" t="e">
        <v>#N/A</v>
      </c>
      <c r="LW16" s="347" t="e">
        <v>#N/A</v>
      </c>
      <c r="LX16" s="318">
        <f>LV32</f>
        <v>1.9</v>
      </c>
      <c r="LY16" s="318">
        <f>LW32-(LW32-LW33)/2</f>
        <v>0.47499999999999998</v>
      </c>
      <c r="LZ16" s="347">
        <f>LW32-LW33</f>
        <v>0.95</v>
      </c>
      <c r="MC16" s="347" t="e">
        <v>#N/A</v>
      </c>
      <c r="MD16" s="347" t="e">
        <v>#N/A</v>
      </c>
      <c r="ME16" s="318">
        <f>MC32</f>
        <v>0.68999999999999972</v>
      </c>
      <c r="MF16" s="318">
        <f>MD32-(MD32-MD33)/2</f>
        <v>-0.47499999999999998</v>
      </c>
      <c r="MG16" s="347">
        <f>MD33-MD32</f>
        <v>0.95</v>
      </c>
      <c r="MJ16" s="263" t="e">
        <v>#N/A</v>
      </c>
      <c r="MK16" s="263" t="e">
        <v>#N/A</v>
      </c>
      <c r="ML16" s="263" t="e">
        <v>#N/A</v>
      </c>
      <c r="MM16" s="263" t="e">
        <v>#N/A</v>
      </c>
      <c r="MN16" s="347"/>
      <c r="MP16" s="311" t="e">
        <v>#N/A</v>
      </c>
      <c r="MQ16" s="311" t="e">
        <v>#N/A</v>
      </c>
      <c r="MU16" s="318" t="str" cm="1">
        <f t="array" ref="MU16">_xlfn.SWITCH(EU17,
"Y-AXIS-T",MU12:MZ12,
"Y-AXIS-B",MU13:MZ13,
"X-AXIS-L",MU14:MZ14,
"X-AXIS-R",MU15:MZ15,
"")</f>
        <v/>
      </c>
      <c r="MV16" s="318"/>
      <c r="MW16" s="318"/>
      <c r="MX16" s="318"/>
      <c r="MY16" s="318"/>
      <c r="MZ16" s="318"/>
      <c r="NN16" s="312">
        <v>1</v>
      </c>
      <c r="NO16" s="249">
        <f>NO12</f>
        <v>0.2</v>
      </c>
      <c r="NP16" s="249">
        <f>NP12</f>
        <v>-0.2</v>
      </c>
      <c r="NS16" s="311" t="s">
        <v>429</v>
      </c>
      <c r="OL16" s="384" t="e">
        <f>OM15-OM14+0.25</f>
        <v>#N/A</v>
      </c>
      <c r="OM16" s="242" t="e">
        <f>OM15</f>
        <v>#N/A</v>
      </c>
      <c r="ON16" s="243" t="e">
        <f>BU34-J16</f>
        <v>#N/A</v>
      </c>
      <c r="OO16" s="311" t="s">
        <v>334</v>
      </c>
      <c r="OU16" s="283" t="e">
        <f>IF(OV8=TRUE,ON49,#N/A)</f>
        <v>#N/A</v>
      </c>
      <c r="OV16" s="283" t="e">
        <f>IF(OV8=TRUE,F51/100,#N/A)</f>
        <v>#N/A</v>
      </c>
      <c r="OX16" s="283" t="e">
        <f>IF(OV8=TRUE,J26-BT7/2,#N/A)</f>
        <v>#N/A</v>
      </c>
      <c r="OY16" s="283" t="e">
        <f>IF(OV8=TRUE,-0.3,#N/A)</f>
        <v>#N/A</v>
      </c>
      <c r="PE16" s="313">
        <v>2</v>
      </c>
      <c r="PF16" s="318" t="b">
        <f t="shared" ref="PF16:PF34" si="33">IF(PE16&lt;=$PE$14,TRUE,FALSE)</f>
        <v>1</v>
      </c>
      <c r="PG16" s="283" t="e">
        <f>IF(AND($OV$8=TRUE,PF16=TRUE),PG15+$PF$13,#N/A)</f>
        <v>#N/A</v>
      </c>
      <c r="PH16" s="283" t="e">
        <f>IF(AND($OV$8=TRUE,PF16=TRUE),$PH$15,#N/A)</f>
        <v>#N/A</v>
      </c>
      <c r="PI16" s="295" t="e">
        <f>IF(AND($OT$9=TRUE,PF16=TRUE),PI15,#N/A)</f>
        <v>#N/A</v>
      </c>
      <c r="PN16" s="313" t="e">
        <v>#N/A</v>
      </c>
      <c r="PO16" s="313" t="e">
        <v>#N/A</v>
      </c>
      <c r="PP16" s="313" t="e">
        <v>#N/A</v>
      </c>
      <c r="PS16" s="342">
        <v>2</v>
      </c>
      <c r="PT16" s="261" t="e">
        <f t="shared" si="29"/>
        <v>#N/A</v>
      </c>
      <c r="PU16" s="261" t="e">
        <f t="shared" si="30"/>
        <v>#N/A</v>
      </c>
      <c r="QV16" s="332" t="e">
        <v>#N/A</v>
      </c>
      <c r="QW16" s="375" t="e">
        <v>#N/A</v>
      </c>
      <c r="QX16" s="375" t="e">
        <v>#N/A</v>
      </c>
      <c r="RA16" s="263">
        <f>RA12</f>
        <v>-0.42749999999999999</v>
      </c>
      <c r="RB16" s="263">
        <f>RB12</f>
        <v>0.42749999999999999</v>
      </c>
      <c r="RM16" s="313" t="s">
        <v>530</v>
      </c>
      <c r="RN16" s="347" t="s">
        <v>531</v>
      </c>
      <c r="RO16" s="347">
        <f>IF(RO14=0,"NOT GOVERNING",RO13/(RO14*RO15))</f>
        <v>3.0846346635820323</v>
      </c>
      <c r="RP16" s="376">
        <f>RP13/(RP14*RP15)</f>
        <v>2.3134759976865245</v>
      </c>
      <c r="RQ16" s="385">
        <v>2.3134759976865245</v>
      </c>
      <c r="RR16" s="347"/>
      <c r="RS16" s="347"/>
      <c r="RT16" s="347"/>
      <c r="RU16" s="347"/>
      <c r="RV16" s="347"/>
      <c r="RW16" s="377">
        <f>IF(BM10=TRUE,RW13/(RW14*RW15),#N/A)</f>
        <v>6.9404279930595729</v>
      </c>
      <c r="RX16" s="333">
        <v>6.9404279930595729</v>
      </c>
      <c r="SG16" s="349" t="s">
        <v>536</v>
      </c>
    </row>
    <row r="17" spans="1:574" ht="15" customHeight="1" x14ac:dyDescent="0.45">
      <c r="F17" s="21"/>
      <c r="G17" s="40" t="s">
        <v>59</v>
      </c>
      <c r="H17" s="41"/>
      <c r="I17" s="41"/>
      <c r="J17" s="41"/>
      <c r="K17" s="41"/>
      <c r="L17" s="41"/>
      <c r="M17" s="541" t="s">
        <v>60</v>
      </c>
      <c r="N17" s="542"/>
      <c r="O17" s="42" t="str">
        <f>J11&amp;","&amp;J10</f>
        <v>X,Y</v>
      </c>
      <c r="P17" s="13"/>
      <c r="Q17" s="24" t="s">
        <v>195</v>
      </c>
      <c r="R17" s="759" t="s">
        <v>580</v>
      </c>
      <c r="S17" s="760"/>
      <c r="T17" s="13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2"/>
      <c r="AM17" s="12"/>
      <c r="AN17" s="12"/>
      <c r="AO17" s="12"/>
      <c r="BX17" s="311">
        <f>IF(BL7=TRUE,-0.45,-0.65)</f>
        <v>-0.65</v>
      </c>
      <c r="BY17" s="311" t="s">
        <v>65</v>
      </c>
      <c r="BZ17" s="252">
        <f>NP11</f>
        <v>0</v>
      </c>
      <c r="CA17" s="254">
        <f>NO11+BX15+BX17</f>
        <v>1.25</v>
      </c>
      <c r="CB17" s="335"/>
      <c r="CC17" s="335"/>
      <c r="CD17" s="335"/>
      <c r="CE17" s="335"/>
      <c r="CF17" s="335"/>
      <c r="CG17" s="335"/>
      <c r="CH17" s="335"/>
      <c r="CI17" s="335"/>
      <c r="CJ17" s="335"/>
      <c r="CK17" s="335"/>
      <c r="CL17" s="335"/>
      <c r="CM17" s="335"/>
      <c r="CN17" s="761" t="s">
        <v>636</v>
      </c>
      <c r="CO17" s="318" t="b">
        <v>1</v>
      </c>
      <c r="CP17" s="318" t="b" cm="1">
        <f t="array" ref="CP17:CP21">BM7:BM11</f>
        <v>1</v>
      </c>
      <c r="CQ17" s="311" t="str">
        <f>IF(CO17=TRUE,Q18&amp;" ACTIVE",Q18&amp;" EXCLUDED")</f>
        <v>P1 ACTIVE</v>
      </c>
      <c r="CR17" s="318">
        <f>IF(CO17=TRUE,H26,"")</f>
        <v>-0.65</v>
      </c>
      <c r="CS17" s="368">
        <f>IF(CO17=TRUE,J26,"")</f>
        <v>-0.65</v>
      </c>
      <c r="CT17" s="335"/>
      <c r="CU17" s="335"/>
      <c r="CV17" s="335"/>
      <c r="CW17" s="335"/>
      <c r="CX17" s="335"/>
      <c r="CY17" s="335" t="s">
        <v>475</v>
      </c>
      <c r="CZ17" s="335">
        <f>ABS(GR45-Q10)</f>
        <v>0.95</v>
      </c>
      <c r="DA17" s="335"/>
      <c r="DB17" s="335"/>
      <c r="DC17" s="282" t="e">
        <f>IF(DD6=TRUE,DC10,#N/A)</f>
        <v>#N/A</v>
      </c>
      <c r="DD17" s="282" t="e">
        <f>DD14</f>
        <v>#N/A</v>
      </c>
      <c r="DE17" s="335"/>
      <c r="DF17" s="285" t="e">
        <f>DF11</f>
        <v>#N/A</v>
      </c>
      <c r="DG17" s="285" t="e">
        <f>DG11</f>
        <v>#N/A</v>
      </c>
      <c r="DH17" s="335"/>
      <c r="DI17" s="335"/>
      <c r="DJ17" s="335"/>
      <c r="DK17" s="313">
        <v>9</v>
      </c>
      <c r="DL17" s="282" t="e">
        <f t="shared" si="3"/>
        <v>#N/A</v>
      </c>
      <c r="DM17" s="291" t="e">
        <f t="shared" si="4"/>
        <v>#N/A</v>
      </c>
      <c r="DN17" s="335"/>
      <c r="DO17" s="335"/>
      <c r="EC17" s="336">
        <f>EC14</f>
        <v>1</v>
      </c>
      <c r="ED17" s="337">
        <f>ED16</f>
        <v>-0.95</v>
      </c>
      <c r="EE17" s="338">
        <f>EE14</f>
        <v>0.65</v>
      </c>
      <c r="EF17" s="338">
        <f>EF14</f>
        <v>1.1499999999999999</v>
      </c>
      <c r="EG17" s="336">
        <f>EG14</f>
        <v>1.0999999999999999</v>
      </c>
      <c r="EH17" s="336">
        <f>EH14</f>
        <v>-0.65</v>
      </c>
      <c r="EI17" s="338">
        <f>EC19+(EC20-EC19)/2</f>
        <v>-0.47499999999999998</v>
      </c>
      <c r="EJ17" s="338">
        <f>ED19</f>
        <v>1.345</v>
      </c>
      <c r="EK17" s="339">
        <f>EC20-EC19</f>
        <v>0.95</v>
      </c>
      <c r="EL17" s="310"/>
      <c r="EU17" s="313" t="str" cm="1">
        <f t="array" ref="EU17">INDEX(AX15:AX16,AX14)</f>
        <v>Y-AXIS</v>
      </c>
      <c r="EV17" s="524" t="s">
        <v>320</v>
      </c>
      <c r="EW17" s="524"/>
      <c r="EX17" s="524" t="s">
        <v>321</v>
      </c>
      <c r="EY17" s="524"/>
      <c r="EZ17" s="524" t="s">
        <v>322</v>
      </c>
      <c r="FA17" s="524"/>
      <c r="FB17" s="524" t="s">
        <v>323</v>
      </c>
      <c r="FC17" s="524"/>
      <c r="FD17" s="524" t="s">
        <v>238</v>
      </c>
      <c r="FE17" s="524"/>
      <c r="FG17" s="311" t="s">
        <v>621</v>
      </c>
      <c r="GX17" s="314">
        <v>11</v>
      </c>
      <c r="GY17" s="316" t="s">
        <v>222</v>
      </c>
      <c r="GZ17" s="323">
        <v>30</v>
      </c>
      <c r="HA17" s="316">
        <v>30</v>
      </c>
      <c r="HB17" s="316">
        <v>1.5</v>
      </c>
      <c r="HC17" s="316"/>
      <c r="HD17" s="316"/>
      <c r="HE17" s="316"/>
      <c r="HF17" s="316"/>
      <c r="HK17" s="342">
        <v>3</v>
      </c>
      <c r="HL17" s="235" t="e">
        <f t="shared" si="5"/>
        <v>#N/A</v>
      </c>
      <c r="HM17" s="235" t="e">
        <f t="shared" si="6"/>
        <v>#N/A</v>
      </c>
      <c r="HP17" s="235" t="e">
        <f t="shared" si="7"/>
        <v>#N/A</v>
      </c>
      <c r="HQ17" s="235" t="e">
        <f t="shared" si="8"/>
        <v>#N/A</v>
      </c>
      <c r="HT17" s="235" t="e">
        <f t="shared" si="9"/>
        <v>#N/A</v>
      </c>
      <c r="HU17" s="235" t="e">
        <f t="shared" si="10"/>
        <v>#N/A</v>
      </c>
      <c r="HX17" s="235" t="e">
        <f t="shared" si="11"/>
        <v>#N/A</v>
      </c>
      <c r="HY17" s="235" t="e">
        <f t="shared" si="12"/>
        <v>#N/A</v>
      </c>
      <c r="IB17" s="235" t="e">
        <f t="shared" si="13"/>
        <v>#N/A</v>
      </c>
      <c r="IC17" s="235" t="e">
        <f t="shared" si="14"/>
        <v>#N/A</v>
      </c>
      <c r="IE17" s="342">
        <v>3</v>
      </c>
      <c r="IF17" s="262" t="e">
        <f t="shared" si="15"/>
        <v>#N/A</v>
      </c>
      <c r="IG17" s="262" t="e">
        <f t="shared" si="16"/>
        <v>#N/A</v>
      </c>
      <c r="IH17" s="379"/>
      <c r="II17" s="379"/>
      <c r="IJ17" s="262" t="e">
        <f t="shared" si="17"/>
        <v>#N/A</v>
      </c>
      <c r="IK17" s="262" t="e">
        <f t="shared" si="18"/>
        <v>#N/A</v>
      </c>
      <c r="IL17" s="379"/>
      <c r="IM17" s="379"/>
      <c r="IN17" s="262" t="e">
        <f t="shared" si="19"/>
        <v>#N/A</v>
      </c>
      <c r="IO17" s="262" t="e">
        <f t="shared" si="20"/>
        <v>#N/A</v>
      </c>
      <c r="IP17" s="379"/>
      <c r="IQ17" s="379"/>
      <c r="IR17" s="262" t="e">
        <f t="shared" si="21"/>
        <v>#N/A</v>
      </c>
      <c r="IS17" s="262" t="e">
        <f t="shared" si="22"/>
        <v>#N/A</v>
      </c>
      <c r="IT17" s="379"/>
      <c r="IU17" s="379"/>
      <c r="IV17" s="262" t="e">
        <f t="shared" si="23"/>
        <v>#N/A</v>
      </c>
      <c r="IW17" s="262" t="e">
        <f t="shared" si="24"/>
        <v>#N/A</v>
      </c>
      <c r="JB17" s="313" t="s">
        <v>325</v>
      </c>
      <c r="JC17" s="236" t="e">
        <f>JC12</f>
        <v>#N/A</v>
      </c>
      <c r="JD17" s="236" t="e">
        <f>JD16</f>
        <v>#N/A</v>
      </c>
      <c r="JI17" s="313" t="s">
        <v>325</v>
      </c>
      <c r="JJ17" s="263" t="e">
        <f>JJ12</f>
        <v>#N/A</v>
      </c>
      <c r="JK17" s="263" t="e">
        <f>JK16</f>
        <v>#N/A</v>
      </c>
      <c r="JN17" s="261" t="e">
        <f t="shared" si="25"/>
        <v>#N/A</v>
      </c>
      <c r="JO17" s="261" t="e">
        <f t="shared" si="26"/>
        <v>#N/A</v>
      </c>
      <c r="JR17" s="261" t="e">
        <f t="shared" si="31"/>
        <v>#N/A</v>
      </c>
      <c r="JS17" s="261" t="e">
        <f t="shared" si="32"/>
        <v>#N/A</v>
      </c>
      <c r="JV17" s="261" t="e">
        <f t="shared" si="27"/>
        <v>#N/A</v>
      </c>
      <c r="JW17" s="261" t="e">
        <f t="shared" si="28"/>
        <v>#N/A</v>
      </c>
      <c r="JY17" s="310"/>
      <c r="JZ17" s="310"/>
      <c r="KA17" s="310"/>
      <c r="KB17" s="313" t="s">
        <v>373</v>
      </c>
      <c r="KC17" s="263" t="e">
        <f>KC9</f>
        <v>#N/A</v>
      </c>
      <c r="KD17" s="263" t="e">
        <f>KD9</f>
        <v>#N/A</v>
      </c>
      <c r="KM17" s="310"/>
      <c r="KN17" s="267" t="e">
        <f>KN13</f>
        <v>#N/A</v>
      </c>
      <c r="KO17" s="268" t="e">
        <f>IF(KR10=TRUE,OO50+KO9/2,#N/A)</f>
        <v>#N/A</v>
      </c>
      <c r="KP17" s="267" t="e">
        <f>KN28</f>
        <v>#N/A</v>
      </c>
      <c r="KQ17" s="267" t="e">
        <f>KO28+(KO29-KO28)/2</f>
        <v>#N/A</v>
      </c>
      <c r="KR17" s="347" t="e">
        <f>KO29-KO28</f>
        <v>#N/A</v>
      </c>
      <c r="KS17" s="267" t="e">
        <f>IF(KW10=TRUE,ON49-KO9/2,#N/A)</f>
        <v>#N/A</v>
      </c>
      <c r="KT17" s="267" t="e">
        <f>KT12</f>
        <v>#N/A</v>
      </c>
      <c r="KU17" s="268" t="e">
        <f>KS28+(KS29-KS28)/2</f>
        <v>#N/A</v>
      </c>
      <c r="KV17" s="267" t="e">
        <f>KT28</f>
        <v>#N/A</v>
      </c>
      <c r="KW17" s="368" t="e">
        <f>KS29-KS28</f>
        <v>#N/A</v>
      </c>
      <c r="LB17" s="310"/>
      <c r="LC17" s="346" t="e">
        <v>#N/A</v>
      </c>
      <c r="LD17" s="346" t="e">
        <v>#N/A</v>
      </c>
      <c r="LE17" s="346" t="e">
        <v>#N/A</v>
      </c>
      <c r="LG17" s="312"/>
      <c r="LH17" s="347" t="e">
        <f>LH15</f>
        <v>#N/A</v>
      </c>
      <c r="LI17" s="347">
        <f>LI15</f>
        <v>0</v>
      </c>
      <c r="LJ17" s="318">
        <f>LH35+(LH36-LH35)/2</f>
        <v>0.64999999999999991</v>
      </c>
      <c r="LK17" s="368" t="e">
        <f>LK16</f>
        <v>#N/A</v>
      </c>
      <c r="LL17" s="347">
        <f>LH36-LH35</f>
        <v>1.2999999999999998</v>
      </c>
      <c r="LO17" s="347">
        <f>LO15</f>
        <v>-1.6999999999999997</v>
      </c>
      <c r="LP17" s="347">
        <f>LP15</f>
        <v>0</v>
      </c>
      <c r="LQ17" s="318">
        <f>LO36-(LO36-LO35)/2</f>
        <v>0.64999999999999991</v>
      </c>
      <c r="LR17" s="318">
        <f>LR16</f>
        <v>-0.35</v>
      </c>
      <c r="LS17" s="347">
        <f>LO36-LO35</f>
        <v>1.2999999999999998</v>
      </c>
      <c r="LV17" s="318">
        <f>LV15</f>
        <v>0</v>
      </c>
      <c r="LW17" s="318">
        <f>LW15</f>
        <v>1.4</v>
      </c>
      <c r="LX17" s="318">
        <f>LV35</f>
        <v>1.9</v>
      </c>
      <c r="LY17" s="318" t="e">
        <f>LW35-(LW35-LW36)/2</f>
        <v>#N/A</v>
      </c>
      <c r="LZ17" s="347" t="e">
        <f>LW35-LW36</f>
        <v>#N/A</v>
      </c>
      <c r="MC17" s="318">
        <f>MC15</f>
        <v>0</v>
      </c>
      <c r="MD17" s="318">
        <f>MD15</f>
        <v>1.48</v>
      </c>
      <c r="ME17" s="318">
        <f>MC32</f>
        <v>0.68999999999999972</v>
      </c>
      <c r="MF17" s="318">
        <f>MD35-(MD35-MD36)/2</f>
        <v>-0.47499999999999998</v>
      </c>
      <c r="MG17" s="347">
        <f>MD36-MD35</f>
        <v>-0.95</v>
      </c>
      <c r="MJ17" s="263" t="e">
        <v>#N/A</v>
      </c>
      <c r="MK17" s="263" t="e">
        <v>#N/A</v>
      </c>
      <c r="ML17" s="263" t="e">
        <v>#N/A</v>
      </c>
      <c r="MM17" s="263" t="e">
        <v>#N/A</v>
      </c>
      <c r="MN17" s="347"/>
      <c r="MP17" s="311" t="e">
        <v>#N/A</v>
      </c>
      <c r="MQ17" s="311" t="e">
        <v>#N/A</v>
      </c>
      <c r="MU17" s="525" t="str">
        <f>IF(AND(MU16="",MV16=""),"",MV16+MU16)</f>
        <v/>
      </c>
      <c r="MV17" s="525"/>
      <c r="MW17" s="525" t="str">
        <f>IF(AND(MW16="",MX16=""),"",MX16+MW16)</f>
        <v/>
      </c>
      <c r="MX17" s="525"/>
      <c r="MY17" s="525" t="str">
        <f>IF(AND(MY16="",MZ16=""),"",MZ16+MY16)</f>
        <v/>
      </c>
      <c r="MZ17" s="525"/>
      <c r="NS17" s="313" t="s">
        <v>48</v>
      </c>
      <c r="NT17" s="313" t="s">
        <v>49</v>
      </c>
      <c r="NU17" s="313" t="s">
        <v>48</v>
      </c>
      <c r="NV17" s="313" t="s">
        <v>49</v>
      </c>
      <c r="NW17" s="313" t="s">
        <v>139</v>
      </c>
      <c r="OL17" s="310"/>
      <c r="OM17" s="242" t="e">
        <f>OM14</f>
        <v>#N/A</v>
      </c>
      <c r="ON17" s="242" t="e">
        <f>ON16</f>
        <v>#N/A</v>
      </c>
      <c r="OO17" s="311" t="s">
        <v>335</v>
      </c>
      <c r="OU17" s="283" t="e">
        <f>OU16</f>
        <v>#N/A</v>
      </c>
      <c r="OV17" s="283" t="e">
        <f>IF(OV8=TRUE,0,#N/A)</f>
        <v>#N/A</v>
      </c>
      <c r="OX17" s="283" t="e">
        <f>OX16</f>
        <v>#N/A</v>
      </c>
      <c r="OY17" s="283" t="e">
        <f>IF(OV8=TRUE,G52/100,#N/A)</f>
        <v>#N/A</v>
      </c>
      <c r="PE17" s="313">
        <v>3</v>
      </c>
      <c r="PF17" s="318" t="b">
        <f t="shared" si="33"/>
        <v>1</v>
      </c>
      <c r="PG17" s="283" t="e">
        <f t="shared" ref="PG17:PG34" si="34">IF(AND($OV$8=TRUE,PF17=TRUE),PG16+$PF$13,#N/A)</f>
        <v>#N/A</v>
      </c>
      <c r="PH17" s="283" t="e">
        <f t="shared" ref="PH17:PH34" si="35">IF(AND($OV$8=TRUE,PF17=TRUE),$PH$15,#N/A)</f>
        <v>#N/A</v>
      </c>
      <c r="PI17" s="295" t="e">
        <f t="shared" ref="PI17:PI34" si="36">IF(AND($OT$9=TRUE,PF17=TRUE),PI16,#N/A)</f>
        <v>#N/A</v>
      </c>
      <c r="PN17" s="313" t="str">
        <v>C1</v>
      </c>
      <c r="PO17" s="313">
        <v>-1.2999999999999998</v>
      </c>
      <c r="PP17" s="313">
        <v>-0.95</v>
      </c>
      <c r="PS17" s="342">
        <v>3</v>
      </c>
      <c r="PT17" s="261" t="e">
        <f t="shared" si="29"/>
        <v>#N/A</v>
      </c>
      <c r="PU17" s="261" t="e">
        <f t="shared" si="30"/>
        <v>#N/A</v>
      </c>
      <c r="QV17" s="359" t="str">
        <v>C3</v>
      </c>
      <c r="QW17" s="367">
        <v>1.2999999999999998</v>
      </c>
      <c r="QX17" s="367">
        <v>0.95</v>
      </c>
      <c r="SG17" s="311" t="s">
        <v>537</v>
      </c>
    </row>
    <row r="18" spans="1:574" ht="15" customHeight="1" x14ac:dyDescent="0.45">
      <c r="A18" s="25"/>
      <c r="B18" s="21"/>
      <c r="C18" s="21"/>
      <c r="D18" s="21"/>
      <c r="E18" s="21"/>
      <c r="F18" s="21"/>
      <c r="G18" s="742" t="s">
        <v>64</v>
      </c>
      <c r="H18" s="743"/>
      <c r="I18" s="744"/>
      <c r="J18" s="730">
        <f>M10</f>
        <v>0</v>
      </c>
      <c r="K18" s="730"/>
      <c r="L18" s="730"/>
      <c r="M18" s="583">
        <f>M11</f>
        <v>0</v>
      </c>
      <c r="N18" s="584"/>
      <c r="O18" s="585"/>
      <c r="P18" s="13"/>
      <c r="Q18" s="207" t="s">
        <v>106</v>
      </c>
      <c r="R18" s="515" t="str">
        <f>IF(CP17=TRUE,CQ17,"")</f>
        <v>P1 ACTIVE</v>
      </c>
      <c r="S18" s="516"/>
      <c r="T18" s="13"/>
      <c r="U18" s="11"/>
      <c r="V18" s="11"/>
      <c r="W18" s="11"/>
      <c r="X18" s="11"/>
      <c r="Y18" s="11"/>
      <c r="Z18" s="11"/>
      <c r="AA18" s="11"/>
      <c r="AB18" s="11"/>
      <c r="AC18" s="11"/>
      <c r="AD18" s="18"/>
      <c r="AE18" s="18"/>
      <c r="AF18" s="18"/>
      <c r="AG18" s="11"/>
      <c r="AH18" s="11"/>
      <c r="AI18" s="11"/>
      <c r="AJ18" s="11"/>
      <c r="AK18" s="11"/>
      <c r="AL18" s="12"/>
      <c r="AM18" s="12"/>
      <c r="AN18" s="12"/>
      <c r="AO18" s="12"/>
      <c r="AQ18" s="311" t="s">
        <v>231</v>
      </c>
      <c r="BQ18" s="311" t="str">
        <f>IF(BV8=TRUE,BT11,BT12)</f>
        <v>ü</v>
      </c>
      <c r="BZ18" s="252">
        <f>NP11</f>
        <v>0</v>
      </c>
      <c r="CA18" s="254">
        <f>NO11-BX15-BX17</f>
        <v>-1.25</v>
      </c>
      <c r="CB18" s="335"/>
      <c r="CC18" s="335"/>
      <c r="CD18" s="335"/>
      <c r="CE18" s="335"/>
      <c r="CF18" s="335"/>
      <c r="CG18" s="335"/>
      <c r="CH18" s="335"/>
      <c r="CI18" s="335"/>
      <c r="CJ18" s="335"/>
      <c r="CK18" s="335"/>
      <c r="CL18" s="335"/>
      <c r="CM18" s="335"/>
      <c r="CN18" s="761"/>
      <c r="CO18" s="318" t="b">
        <v>0</v>
      </c>
      <c r="CP18" s="318" t="b">
        <v>1</v>
      </c>
      <c r="CQ18" s="311" t="str">
        <f>IF(CO18=TRUE,Q19&amp;" ACTIVE",Q19&amp;" EXCLUDED")</f>
        <v>P2 EXCLUDED</v>
      </c>
      <c r="CR18" s="318" t="str">
        <f t="shared" ref="CR18:CR21" si="37">IF(CO18=TRUE,H27,"")</f>
        <v/>
      </c>
      <c r="CS18" s="368" t="str">
        <f t="shared" ref="CS18:CS21" si="38">IF(CO18=TRUE,J27,"")</f>
        <v/>
      </c>
      <c r="CT18" s="335"/>
      <c r="CU18" s="335"/>
      <c r="CV18" s="335"/>
      <c r="CW18" s="335"/>
      <c r="CX18" s="335"/>
      <c r="CY18" s="335" t="s">
        <v>267</v>
      </c>
      <c r="CZ18" s="335">
        <f>ABS(GC52-Q10)</f>
        <v>0.95</v>
      </c>
      <c r="DA18" s="335"/>
      <c r="DB18" s="335"/>
      <c r="DC18" s="282" t="e">
        <f>IF(DD6=TRUE,NP11+BU8/2,#N/A)</f>
        <v>#N/A</v>
      </c>
      <c r="DD18" s="282" t="e">
        <f>DD17</f>
        <v>#N/A</v>
      </c>
      <c r="DE18" s="335"/>
      <c r="DF18" s="285" t="e">
        <f>IF(DG6=TRUE,BU8/2,#N/A)</f>
        <v>#N/A</v>
      </c>
      <c r="DG18" s="285" t="e">
        <f>DG17</f>
        <v>#N/A</v>
      </c>
      <c r="DH18" s="335"/>
      <c r="DI18" s="335"/>
      <c r="DJ18" s="335"/>
      <c r="DK18" s="313">
        <v>10</v>
      </c>
      <c r="DL18" s="282" t="e">
        <f t="shared" si="3"/>
        <v>#N/A</v>
      </c>
      <c r="DM18" s="291" t="e">
        <f t="shared" si="4"/>
        <v>#N/A</v>
      </c>
      <c r="DN18" s="335"/>
      <c r="DO18" s="335"/>
      <c r="EC18" s="338" t="e">
        <v>#N/A</v>
      </c>
      <c r="ED18" s="372" t="e">
        <v>#N/A</v>
      </c>
      <c r="EE18" s="336">
        <f>MAX(DZ26:DZ30)</f>
        <v>0.95</v>
      </c>
      <c r="EF18" s="338">
        <f>EF17</f>
        <v>1.1499999999999999</v>
      </c>
      <c r="EG18" s="336">
        <f>EG13</f>
        <v>1.0999999999999999</v>
      </c>
      <c r="EH18" s="336">
        <f>EA29</f>
        <v>-0.95</v>
      </c>
      <c r="EI18" s="338">
        <f>EC23+(EC24-EC23)/2</f>
        <v>0.47499999999999998</v>
      </c>
      <c r="EJ18" s="338">
        <f>EJ17</f>
        <v>1.345</v>
      </c>
      <c r="EK18" s="339">
        <f>EC24-EC23</f>
        <v>0.95</v>
      </c>
      <c r="EL18" s="310"/>
      <c r="EU18" s="313" t="s">
        <v>50</v>
      </c>
      <c r="EV18" s="313" t="s">
        <v>48</v>
      </c>
      <c r="EW18" s="313" t="s">
        <v>49</v>
      </c>
      <c r="EX18" s="313" t="s">
        <v>48</v>
      </c>
      <c r="EY18" s="313" t="s">
        <v>49</v>
      </c>
      <c r="EZ18" s="313" t="s">
        <v>48</v>
      </c>
      <c r="FA18" s="313" t="s">
        <v>49</v>
      </c>
      <c r="FB18" s="313" t="s">
        <v>48</v>
      </c>
      <c r="FC18" s="313" t="s">
        <v>49</v>
      </c>
      <c r="FD18" s="313" t="s">
        <v>48</v>
      </c>
      <c r="FE18" s="313" t="s">
        <v>49</v>
      </c>
      <c r="FP18" s="328" t="s">
        <v>339</v>
      </c>
      <c r="FQ18" s="386">
        <f>J16</f>
        <v>0.3</v>
      </c>
      <c r="GX18" s="314">
        <v>12</v>
      </c>
      <c r="GY18" s="316" t="s">
        <v>223</v>
      </c>
      <c r="GZ18" s="323">
        <v>35</v>
      </c>
      <c r="HA18" s="316">
        <v>35</v>
      </c>
      <c r="HB18" s="316">
        <v>1.5</v>
      </c>
      <c r="HC18" s="316"/>
      <c r="HD18" s="316"/>
      <c r="HE18" s="316"/>
      <c r="HF18" s="316"/>
      <c r="HK18" s="342">
        <v>4</v>
      </c>
      <c r="HL18" s="235" t="e">
        <f t="shared" si="5"/>
        <v>#N/A</v>
      </c>
      <c r="HM18" s="235" t="e">
        <f t="shared" si="6"/>
        <v>#N/A</v>
      </c>
      <c r="HP18" s="235" t="e">
        <f t="shared" si="7"/>
        <v>#N/A</v>
      </c>
      <c r="HQ18" s="235" t="e">
        <f t="shared" si="8"/>
        <v>#N/A</v>
      </c>
      <c r="HT18" s="235" t="e">
        <f t="shared" si="9"/>
        <v>#N/A</v>
      </c>
      <c r="HU18" s="235" t="e">
        <f t="shared" si="10"/>
        <v>#N/A</v>
      </c>
      <c r="HX18" s="235" t="e">
        <f t="shared" si="11"/>
        <v>#N/A</v>
      </c>
      <c r="HY18" s="235" t="e">
        <f t="shared" si="12"/>
        <v>#N/A</v>
      </c>
      <c r="IB18" s="235" t="e">
        <f t="shared" si="13"/>
        <v>#N/A</v>
      </c>
      <c r="IC18" s="235" t="e">
        <f t="shared" si="14"/>
        <v>#N/A</v>
      </c>
      <c r="IE18" s="342">
        <v>4</v>
      </c>
      <c r="IF18" s="262" t="e">
        <f t="shared" si="15"/>
        <v>#N/A</v>
      </c>
      <c r="IG18" s="262" t="e">
        <f t="shared" si="16"/>
        <v>#N/A</v>
      </c>
      <c r="IH18" s="379"/>
      <c r="II18" s="379"/>
      <c r="IJ18" s="262" t="e">
        <f t="shared" si="17"/>
        <v>#N/A</v>
      </c>
      <c r="IK18" s="262" t="e">
        <f t="shared" si="18"/>
        <v>#N/A</v>
      </c>
      <c r="IL18" s="379"/>
      <c r="IM18" s="379"/>
      <c r="IN18" s="262" t="e">
        <f t="shared" si="19"/>
        <v>#N/A</v>
      </c>
      <c r="IO18" s="262" t="e">
        <f t="shared" si="20"/>
        <v>#N/A</v>
      </c>
      <c r="IP18" s="379"/>
      <c r="IQ18" s="379"/>
      <c r="IR18" s="262" t="e">
        <f t="shared" si="21"/>
        <v>#N/A</v>
      </c>
      <c r="IS18" s="262" t="e">
        <f t="shared" si="22"/>
        <v>#N/A</v>
      </c>
      <c r="IT18" s="379"/>
      <c r="IU18" s="379"/>
      <c r="IV18" s="262" t="e">
        <f t="shared" si="23"/>
        <v>#N/A</v>
      </c>
      <c r="IW18" s="262" t="e">
        <f t="shared" si="24"/>
        <v>#N/A</v>
      </c>
      <c r="JB18" s="313" t="s">
        <v>326</v>
      </c>
      <c r="JC18" s="236" t="e">
        <f>IZ14-($IZ$10/2)</f>
        <v>#N/A</v>
      </c>
      <c r="JD18" s="236" t="e">
        <f>JD15</f>
        <v>#N/A</v>
      </c>
      <c r="JI18" s="313" t="s">
        <v>326</v>
      </c>
      <c r="JJ18" s="263" t="e">
        <f>JG14-($IZ$10/2)</f>
        <v>#N/A</v>
      </c>
      <c r="JK18" s="263" t="e">
        <f>JK15</f>
        <v>#N/A</v>
      </c>
      <c r="JM18" s="310"/>
      <c r="JN18" s="261" t="e">
        <f t="shared" si="25"/>
        <v>#N/A</v>
      </c>
      <c r="JO18" s="261" t="e">
        <f t="shared" si="26"/>
        <v>#N/A</v>
      </c>
      <c r="JR18" s="261" t="e">
        <f t="shared" si="31"/>
        <v>#N/A</v>
      </c>
      <c r="JS18" s="261" t="e">
        <f t="shared" si="32"/>
        <v>#N/A</v>
      </c>
      <c r="JV18" s="261" t="e">
        <f t="shared" si="27"/>
        <v>#N/A</v>
      </c>
      <c r="JW18" s="261" t="e">
        <f t="shared" si="28"/>
        <v>#N/A</v>
      </c>
      <c r="JY18" s="310"/>
      <c r="JZ18" s="310"/>
      <c r="KA18" s="310"/>
      <c r="KB18" s="338"/>
      <c r="KC18" s="264" t="e">
        <v>#N/A</v>
      </c>
      <c r="KD18" s="264" t="e">
        <v>#N/A</v>
      </c>
      <c r="KM18" s="310"/>
      <c r="KN18" s="268" t="e">
        <f>IF(KR10=TRUE,ON57,#N/A)</f>
        <v>#N/A</v>
      </c>
      <c r="KO18" s="268" t="e">
        <f>KO17</f>
        <v>#N/A</v>
      </c>
      <c r="KP18" s="267" t="e">
        <f>KN28</f>
        <v>#N/A</v>
      </c>
      <c r="KQ18" s="267" t="e">
        <f>KO31+(KO32-KO31)/2</f>
        <v>#N/A</v>
      </c>
      <c r="KR18" s="347" t="e">
        <f>KO32-KO31</f>
        <v>#N/A</v>
      </c>
      <c r="KS18" s="267" t="e">
        <f>KS17</f>
        <v>#N/A</v>
      </c>
      <c r="KT18" s="267" t="e">
        <f>IF(KW10=TRUE,OO57,#N/A)</f>
        <v>#N/A</v>
      </c>
      <c r="KU18" s="268" t="e">
        <f>KS31+(KS32-KS31)/2</f>
        <v>#N/A</v>
      </c>
      <c r="KV18" s="267" t="e">
        <f>KV17</f>
        <v>#N/A</v>
      </c>
      <c r="KW18" s="368" t="e">
        <f>KS32-KS31</f>
        <v>#N/A</v>
      </c>
      <c r="LB18" s="531" t="s">
        <v>110</v>
      </c>
      <c r="LC18" s="346" t="str">
        <v>C2</v>
      </c>
      <c r="LD18" s="346">
        <v>-1.2999999999999998</v>
      </c>
      <c r="LE18" s="346">
        <v>0.95</v>
      </c>
      <c r="LG18" s="312"/>
      <c r="LH18" s="347" t="e">
        <f>LH17</f>
        <v>#N/A</v>
      </c>
      <c r="LI18" s="347">
        <f>OO49</f>
        <v>-0.95</v>
      </c>
      <c r="LJ18" s="347" t="e">
        <v>#N/A</v>
      </c>
      <c r="LK18" s="347" t="e">
        <v>#N/A</v>
      </c>
      <c r="LL18" s="347"/>
      <c r="LO18" s="368">
        <f>LO17</f>
        <v>-1.6999999999999997</v>
      </c>
      <c r="LP18" s="318">
        <f>OO50</f>
        <v>0.95</v>
      </c>
      <c r="LQ18" s="347" t="e">
        <v>#N/A</v>
      </c>
      <c r="LR18" s="347" t="e">
        <v>#N/A</v>
      </c>
      <c r="LS18" s="347"/>
      <c r="LV18" s="318">
        <f>ON52</f>
        <v>1.2999999999999998</v>
      </c>
      <c r="LW18" s="318">
        <f>LW17</f>
        <v>1.4</v>
      </c>
      <c r="LX18" s="347" t="e">
        <v>#N/A</v>
      </c>
      <c r="LY18" s="347" t="e">
        <v>#N/A</v>
      </c>
      <c r="LZ18" s="347"/>
      <c r="MC18" s="318" t="e">
        <f>ON53</f>
        <v>#N/A</v>
      </c>
      <c r="MD18" s="318">
        <f>MD17</f>
        <v>1.48</v>
      </c>
      <c r="ME18" s="347" t="e">
        <v>#N/A</v>
      </c>
      <c r="MF18" s="347" t="e">
        <v>#N/A</v>
      </c>
      <c r="MG18" s="347"/>
      <c r="MJ18" s="263" t="e">
        <v>#N/A</v>
      </c>
      <c r="MK18" s="263" t="e">
        <v>#N/A</v>
      </c>
      <c r="ML18" s="263" t="e">
        <v>#N/A</v>
      </c>
      <c r="MM18" s="263" t="e">
        <v>#N/A</v>
      </c>
      <c r="MN18" s="347"/>
      <c r="MP18" s="311" t="e">
        <v>#N/A</v>
      </c>
      <c r="MQ18" s="311" t="e">
        <v>#N/A</v>
      </c>
      <c r="NR18" s="338" t="s">
        <v>158</v>
      </c>
      <c r="NS18" s="271">
        <f>IF(NS7=TRUE,OA9,#N/A)</f>
        <v>-0.2</v>
      </c>
      <c r="NT18" s="273">
        <f>IF(NS7=TRUE,OB9,#N/A)</f>
        <v>0.2</v>
      </c>
      <c r="NU18" s="275">
        <f>NS19</f>
        <v>1.4999999999999998</v>
      </c>
      <c r="NV18" s="275">
        <f>NT19-(NT19-NT20)/2</f>
        <v>0.42500000000000004</v>
      </c>
      <c r="NW18" s="313" t="str">
        <f>"Ly="&amp;TEXT(NT19-NT20,"0.00")&amp;"m"</f>
        <v>Ly=-0.45m</v>
      </c>
      <c r="OL18" s="310"/>
      <c r="OM18" s="242" t="e">
        <f>OM14</f>
        <v>#N/A</v>
      </c>
      <c r="ON18" s="242" t="e">
        <f>ON14</f>
        <v>#N/A</v>
      </c>
      <c r="OO18" s="311" t="s">
        <v>332</v>
      </c>
      <c r="OU18" s="283" t="e">
        <f>OX17</f>
        <v>#N/A</v>
      </c>
      <c r="OV18" s="283" t="e">
        <f>OV17</f>
        <v>#N/A</v>
      </c>
      <c r="OX18" s="283" t="e">
        <f>IF(OV8=TRUE,J26+BT7/2,#N/A)</f>
        <v>#N/A</v>
      </c>
      <c r="OY18" s="283" t="e">
        <f>OY17</f>
        <v>#N/A</v>
      </c>
      <c r="PE18" s="313">
        <v>4</v>
      </c>
      <c r="PF18" s="318" t="b">
        <f t="shared" si="33"/>
        <v>1</v>
      </c>
      <c r="PG18" s="283" t="e">
        <f t="shared" si="34"/>
        <v>#N/A</v>
      </c>
      <c r="PH18" s="283" t="e">
        <f t="shared" si="35"/>
        <v>#N/A</v>
      </c>
      <c r="PI18" s="295" t="e">
        <f t="shared" si="36"/>
        <v>#N/A</v>
      </c>
      <c r="PN18" s="313" t="str">
        <v>C4</v>
      </c>
      <c r="PO18" s="313">
        <v>1.2999999999999998</v>
      </c>
      <c r="PP18" s="313">
        <v>-0.95</v>
      </c>
      <c r="PS18" s="342">
        <v>4</v>
      </c>
      <c r="PT18" s="261" t="e">
        <f t="shared" si="29"/>
        <v>#N/A</v>
      </c>
      <c r="PU18" s="261" t="e">
        <f t="shared" si="30"/>
        <v>#N/A</v>
      </c>
      <c r="QV18" s="359" t="str">
        <v>C4</v>
      </c>
      <c r="QW18" s="367">
        <v>1.2999999999999998</v>
      </c>
      <c r="QX18" s="367">
        <v>-0.95</v>
      </c>
      <c r="RX18" s="383" t="b">
        <f>IF(RX16="NOT GOVERNING",TRUE,FALSE)</f>
        <v>0</v>
      </c>
      <c r="SG18" s="311" t="s">
        <v>543</v>
      </c>
    </row>
    <row r="19" spans="1:574" ht="15" customHeight="1" x14ac:dyDescent="0.45">
      <c r="G19" s="43" t="str">
        <f>IF(BM7=TRUE,"P1 &gt;&gt;","")</f>
        <v>P1 &gt;&gt;</v>
      </c>
      <c r="H19" s="574" t="str">
        <f>IF(BM7=TRUE,IF(Q18&lt;&gt;"",Q18,""),"")</f>
        <v>P1</v>
      </c>
      <c r="I19" s="575"/>
      <c r="J19" s="545">
        <f>IF(BM7=TRUE,IF(BO54="","",BO54),"")</f>
        <v>-0.65</v>
      </c>
      <c r="K19" s="545"/>
      <c r="L19" s="545"/>
      <c r="M19" s="546">
        <f>IF(BM7=TRUE,IF(BP54="","",BP54),"")</f>
        <v>-0.65</v>
      </c>
      <c r="N19" s="547"/>
      <c r="O19" s="548"/>
      <c r="P19" s="13"/>
      <c r="Q19" s="207" t="s">
        <v>144</v>
      </c>
      <c r="R19" s="515" t="str">
        <f>IF(CP18=TRUE,CQ18,"")</f>
        <v>P2 EXCLUDED</v>
      </c>
      <c r="S19" s="516"/>
      <c r="T19" s="13"/>
      <c r="U19" s="44"/>
      <c r="V19" s="44"/>
      <c r="W19" s="44"/>
      <c r="X19" s="44"/>
      <c r="Y19" s="44"/>
      <c r="Z19" s="44"/>
      <c r="AA19" s="44"/>
      <c r="AB19" s="44"/>
      <c r="AC19" s="44"/>
      <c r="AD19" s="11"/>
      <c r="AE19" s="11"/>
      <c r="AF19" s="11"/>
      <c r="AG19" s="11"/>
      <c r="AH19" s="11"/>
      <c r="AI19" s="11"/>
      <c r="AJ19" s="11"/>
      <c r="AK19" s="44"/>
      <c r="AL19" s="45"/>
      <c r="AM19" s="45"/>
      <c r="AN19" s="45"/>
      <c r="AO19" s="45"/>
      <c r="AP19" s="310"/>
      <c r="AQ19" s="310"/>
      <c r="AR19" s="310"/>
      <c r="AS19" s="310"/>
      <c r="AT19" s="310"/>
      <c r="AU19" s="310"/>
      <c r="AV19" s="310"/>
      <c r="AW19" s="310"/>
      <c r="AX19" s="310"/>
      <c r="AY19" s="310"/>
      <c r="AZ19" s="310"/>
      <c r="BA19" s="310"/>
      <c r="BB19" s="310"/>
      <c r="BC19" s="310"/>
      <c r="BD19" s="310"/>
      <c r="BE19" s="310"/>
      <c r="BF19" s="310"/>
      <c r="BG19" s="310"/>
      <c r="BH19" s="310"/>
      <c r="BI19" s="310"/>
      <c r="BJ19" s="310"/>
      <c r="BK19" s="310" t="s">
        <v>48</v>
      </c>
      <c r="BL19" s="310" t="s">
        <v>49</v>
      </c>
      <c r="BM19" s="310"/>
      <c r="BN19" s="310"/>
      <c r="BO19" s="310"/>
      <c r="BP19" s="310"/>
      <c r="BQ19" s="310"/>
      <c r="BR19" s="310"/>
      <c r="BS19" s="310"/>
      <c r="BT19" s="310"/>
      <c r="BU19" s="310"/>
      <c r="BV19" s="310"/>
      <c r="BW19" s="310"/>
      <c r="BX19" s="310"/>
      <c r="BY19" s="310"/>
      <c r="BZ19" s="310"/>
      <c r="CA19" s="310"/>
      <c r="CB19" s="310"/>
      <c r="CC19" s="310"/>
      <c r="CD19" s="310"/>
      <c r="CE19" s="310"/>
      <c r="CF19" s="310"/>
      <c r="CG19" s="310"/>
      <c r="CH19" s="310"/>
      <c r="CI19" s="310"/>
      <c r="CJ19" s="310"/>
      <c r="CK19" s="310"/>
      <c r="CL19" s="310"/>
      <c r="CM19" s="310"/>
      <c r="CN19" s="761"/>
      <c r="CO19" s="318" t="b">
        <v>1</v>
      </c>
      <c r="CP19" s="318" t="b">
        <v>1</v>
      </c>
      <c r="CQ19" s="311" t="str">
        <f>IF(CO19=TRUE,Q20&amp;" ACTIVE",Q20&amp;" EXCLUDED")</f>
        <v>P3 ACTIVE</v>
      </c>
      <c r="CR19" s="318">
        <f t="shared" si="37"/>
        <v>-0.65</v>
      </c>
      <c r="CS19" s="368">
        <f t="shared" si="38"/>
        <v>0.65</v>
      </c>
      <c r="CT19" s="310"/>
      <c r="CU19" s="310"/>
      <c r="CV19" s="310"/>
      <c r="CW19" s="310"/>
      <c r="CX19" s="310"/>
      <c r="CY19" s="310"/>
      <c r="CZ19" s="310"/>
      <c r="DA19" s="310"/>
      <c r="DB19" s="310"/>
      <c r="DC19" s="282" t="e">
        <f>DC18</f>
        <v>#N/A</v>
      </c>
      <c r="DD19" s="282" t="e">
        <f>DD15</f>
        <v>#N/A</v>
      </c>
      <c r="DE19" s="310"/>
      <c r="DF19" s="286" t="e">
        <f>DF18</f>
        <v>#N/A</v>
      </c>
      <c r="DG19" s="289" t="e">
        <f>DG15</f>
        <v>#N/A</v>
      </c>
      <c r="DH19" s="310"/>
      <c r="DI19" s="310"/>
      <c r="DJ19" s="310"/>
      <c r="DK19" s="313">
        <v>11</v>
      </c>
      <c r="DL19" s="282" t="e">
        <f t="shared" si="3"/>
        <v>#N/A</v>
      </c>
      <c r="DM19" s="291" t="e">
        <f t="shared" si="4"/>
        <v>#N/A</v>
      </c>
      <c r="DN19" s="310"/>
      <c r="DO19" s="310"/>
      <c r="DP19" s="310"/>
      <c r="DQ19" s="310"/>
      <c r="DR19" s="310"/>
      <c r="DS19" s="310"/>
      <c r="DT19" s="310"/>
      <c r="DU19" s="310"/>
      <c r="DV19" s="310"/>
      <c r="DW19" s="310"/>
      <c r="DX19" s="310"/>
      <c r="DY19" s="310"/>
      <c r="DZ19" s="310"/>
      <c r="EA19" s="310"/>
      <c r="EB19" s="310"/>
      <c r="EC19" s="336">
        <f>EC9</f>
        <v>-0.95</v>
      </c>
      <c r="ED19" s="338">
        <f>ED9+ED7*1.15</f>
        <v>1.345</v>
      </c>
      <c r="EE19" s="310"/>
      <c r="EF19" s="310"/>
      <c r="EG19" s="310"/>
      <c r="EH19" s="310"/>
      <c r="EI19" s="310">
        <f>EC26</f>
        <v>1.3149999999999999</v>
      </c>
      <c r="EJ19" s="310">
        <f>ED26-(ED26-ED27)/2</f>
        <v>0.47499999999999998</v>
      </c>
      <c r="EK19" s="339">
        <f>ED26-ED27</f>
        <v>0.95</v>
      </c>
      <c r="EL19" s="310"/>
      <c r="EM19" s="310"/>
      <c r="EN19" s="310"/>
      <c r="EO19" s="310"/>
      <c r="EP19" s="310"/>
      <c r="EQ19" s="310"/>
      <c r="ER19" s="310"/>
      <c r="ES19" s="332" t="e">
        <v>#N/A</v>
      </c>
      <c r="ET19" s="332" t="e">
        <v>#N/A</v>
      </c>
      <c r="EU19" s="388" t="str">
        <f>H19</f>
        <v>P1</v>
      </c>
      <c r="EV19" s="338" t="e">
        <f>IF(EV7=TRUE,EW9-EV11/2,#N/A)</f>
        <v>#N/A</v>
      </c>
      <c r="EW19" s="338" t="e">
        <f>IF(EV7=TRUE,EV9-((1/3)*(SQRT(3)/2)*EV11),#N/A)</f>
        <v>#N/A</v>
      </c>
      <c r="EX19" s="338" t="e">
        <f>IF(EV7=TRUE,EW9+EV11/2,#N/A)</f>
        <v>#N/A</v>
      </c>
      <c r="EY19" s="338" t="e">
        <f>IF(EV7=TRUE,EV9+((1/3)*(SQRT(3)/2)*EV11),#N/A)</f>
        <v>#N/A</v>
      </c>
      <c r="EZ19" s="338" t="e">
        <f>IF(EV7=TRUE,EW9-((2/3)*(SQRT(3)/2)*EV11),#N/A)</f>
        <v>#N/A</v>
      </c>
      <c r="FA19" s="338" t="e">
        <f>IF(EV7=TRUE,EV9,#N/A)</f>
        <v>#N/A</v>
      </c>
      <c r="FB19" s="338" t="e">
        <f>IF(EV7=TRUE,EW9-((1/3)*(SQRT(3)/2)*EV11),#N/A)</f>
        <v>#N/A</v>
      </c>
      <c r="FC19" s="338" t="e">
        <f>IF(EV7=TRUE,EV9-EV11/2,#N/A)</f>
        <v>#N/A</v>
      </c>
      <c r="FD19" s="237" t="e" cm="1">
        <f t="array" ref="FD19:FE21">IF(EV7=TRUE,_xlfn.SWITCH(EU17,
"Y-AXIS-T",EV19:EW21,
"Y-AXIS-B",EX19:EY21,
"X-AXIS-L",EZ19:FA21,
"X-AXIS-R",FB19:FC21,
""),ES19:ET21)</f>
        <v>#N/A</v>
      </c>
      <c r="FE19" s="237" t="e">
        <v>#N/A</v>
      </c>
      <c r="FF19" s="310"/>
      <c r="FG19" s="310"/>
      <c r="FH19" s="310"/>
      <c r="FI19" s="310"/>
      <c r="FJ19" s="310"/>
      <c r="FK19" s="310"/>
      <c r="FL19" s="310"/>
      <c r="FM19" s="310"/>
      <c r="FN19" s="310"/>
      <c r="FO19" s="310"/>
      <c r="FP19" s="328" t="s">
        <v>340</v>
      </c>
      <c r="FQ19" s="386">
        <f>J15</f>
        <v>1.3</v>
      </c>
      <c r="FR19" s="310"/>
      <c r="FS19" s="310"/>
      <c r="FT19" s="310"/>
      <c r="FU19" s="310"/>
      <c r="FV19" s="310"/>
      <c r="FW19" s="310"/>
      <c r="FX19" s="310"/>
      <c r="FY19" s="310"/>
      <c r="FZ19" s="310"/>
      <c r="GA19" s="310"/>
      <c r="GB19" s="310"/>
      <c r="GC19" s="310"/>
      <c r="GD19" s="310"/>
      <c r="GE19" s="310"/>
      <c r="GF19" s="310"/>
      <c r="GG19" s="310"/>
      <c r="GH19" s="310"/>
      <c r="GI19" s="310"/>
      <c r="GJ19" s="310"/>
      <c r="GK19" s="310"/>
      <c r="GL19" s="310"/>
      <c r="GM19" s="310"/>
      <c r="GN19" s="310"/>
      <c r="GO19" s="310"/>
      <c r="GP19" s="310"/>
      <c r="GQ19" s="310"/>
      <c r="GR19" s="310"/>
      <c r="GS19" s="310"/>
      <c r="GT19" s="310"/>
      <c r="GU19" s="310"/>
      <c r="GV19" s="310"/>
      <c r="GW19" s="310"/>
      <c r="GX19" s="314">
        <v>13</v>
      </c>
      <c r="GY19" s="316" t="s">
        <v>224</v>
      </c>
      <c r="GZ19" s="323">
        <v>40</v>
      </c>
      <c r="HA19" s="316">
        <v>40</v>
      </c>
      <c r="HB19" s="316">
        <v>1.5</v>
      </c>
      <c r="HC19" s="316"/>
      <c r="HD19" s="316"/>
      <c r="HE19" s="316"/>
      <c r="HF19" s="316"/>
      <c r="HI19" s="310"/>
      <c r="HJ19" s="310"/>
      <c r="HK19" s="342">
        <v>5</v>
      </c>
      <c r="HL19" s="235" t="e">
        <f t="shared" si="5"/>
        <v>#N/A</v>
      </c>
      <c r="HM19" s="235" t="e">
        <f t="shared" si="6"/>
        <v>#N/A</v>
      </c>
      <c r="HN19" s="310"/>
      <c r="HO19" s="310"/>
      <c r="HP19" s="235" t="e">
        <f t="shared" si="7"/>
        <v>#N/A</v>
      </c>
      <c r="HQ19" s="235" t="e">
        <f t="shared" si="8"/>
        <v>#N/A</v>
      </c>
      <c r="HR19" s="310"/>
      <c r="HS19" s="310"/>
      <c r="HT19" s="235" t="e">
        <f t="shared" si="9"/>
        <v>#N/A</v>
      </c>
      <c r="HU19" s="235" t="e">
        <f t="shared" si="10"/>
        <v>#N/A</v>
      </c>
      <c r="HV19" s="310"/>
      <c r="HW19" s="310"/>
      <c r="HX19" s="235" t="e">
        <f t="shared" si="11"/>
        <v>#N/A</v>
      </c>
      <c r="HY19" s="235" t="e">
        <f t="shared" si="12"/>
        <v>#N/A</v>
      </c>
      <c r="HZ19" s="310"/>
      <c r="IA19" s="310"/>
      <c r="IB19" s="235" t="e">
        <f t="shared" si="13"/>
        <v>#N/A</v>
      </c>
      <c r="IC19" s="235" t="e">
        <f t="shared" si="14"/>
        <v>#N/A</v>
      </c>
      <c r="ID19" s="310"/>
      <c r="IE19" s="342">
        <v>5</v>
      </c>
      <c r="IF19" s="262" t="e">
        <f t="shared" si="15"/>
        <v>#N/A</v>
      </c>
      <c r="IG19" s="262" t="e">
        <f t="shared" si="16"/>
        <v>#N/A</v>
      </c>
      <c r="IH19" s="390"/>
      <c r="II19" s="390"/>
      <c r="IJ19" s="262" t="e">
        <f t="shared" si="17"/>
        <v>#N/A</v>
      </c>
      <c r="IK19" s="262" t="e">
        <f t="shared" si="18"/>
        <v>#N/A</v>
      </c>
      <c r="IL19" s="390"/>
      <c r="IM19" s="390"/>
      <c r="IN19" s="262" t="e">
        <f t="shared" si="19"/>
        <v>#N/A</v>
      </c>
      <c r="IO19" s="262" t="e">
        <f t="shared" si="20"/>
        <v>#N/A</v>
      </c>
      <c r="IP19" s="390"/>
      <c r="IQ19" s="390"/>
      <c r="IR19" s="262" t="e">
        <f t="shared" si="21"/>
        <v>#N/A</v>
      </c>
      <c r="IS19" s="262" t="e">
        <f t="shared" si="22"/>
        <v>#N/A</v>
      </c>
      <c r="IT19" s="390"/>
      <c r="IU19" s="390"/>
      <c r="IV19" s="262" t="e">
        <f t="shared" si="23"/>
        <v>#N/A</v>
      </c>
      <c r="IW19" s="262" t="e">
        <f t="shared" si="24"/>
        <v>#N/A</v>
      </c>
      <c r="IX19" s="310"/>
      <c r="IY19" s="310"/>
      <c r="IZ19" s="310"/>
      <c r="JA19" s="310"/>
      <c r="JB19" s="313" t="s">
        <v>372</v>
      </c>
      <c r="JC19" s="236" t="e">
        <f>JC18</f>
        <v>#N/A</v>
      </c>
      <c r="JD19" s="236" t="e">
        <f>JA14+($IZ$10/2)-$IZ$9</f>
        <v>#N/A</v>
      </c>
      <c r="JE19" s="310"/>
      <c r="JF19" s="310"/>
      <c r="JG19" s="310"/>
      <c r="JH19" s="310"/>
      <c r="JI19" s="313" t="s">
        <v>372</v>
      </c>
      <c r="JJ19" s="263" t="e">
        <f>JJ18</f>
        <v>#N/A</v>
      </c>
      <c r="JK19" s="263" t="e">
        <f>JH14+($IZ$10/2)-$IZ$9</f>
        <v>#N/A</v>
      </c>
      <c r="JL19" s="310"/>
      <c r="JM19" s="310"/>
      <c r="JN19" s="261" t="e">
        <f t="shared" si="25"/>
        <v>#N/A</v>
      </c>
      <c r="JO19" s="261" t="e">
        <f t="shared" si="26"/>
        <v>#N/A</v>
      </c>
      <c r="JP19" s="310"/>
      <c r="JQ19" s="310"/>
      <c r="JR19" s="261" t="e">
        <f t="shared" si="31"/>
        <v>#N/A</v>
      </c>
      <c r="JS19" s="261" t="e">
        <f t="shared" si="32"/>
        <v>#N/A</v>
      </c>
      <c r="JT19" s="310"/>
      <c r="JU19" s="310"/>
      <c r="JV19" s="261" t="e">
        <f t="shared" si="27"/>
        <v>#N/A</v>
      </c>
      <c r="JW19" s="261" t="e">
        <f t="shared" si="28"/>
        <v>#N/A</v>
      </c>
      <c r="JX19" s="310"/>
      <c r="JY19" s="342" t="s">
        <v>353</v>
      </c>
      <c r="JZ19" s="313" t="s">
        <v>374</v>
      </c>
      <c r="KA19" s="343" t="b">
        <f>AND(AZ32=TRUE,AZ33=TRUE,$GY$6&gt;=$GX$14,$GY$6&lt;=$GX$20,JM11=TRUE)</f>
        <v>0</v>
      </c>
      <c r="KB19" s="313" t="s">
        <v>106</v>
      </c>
      <c r="KC19" s="263" t="e">
        <f>JZ21-($IZ$10/2)+$IZ$9</f>
        <v>#N/A</v>
      </c>
      <c r="KD19" s="263" t="e">
        <f>KA21+$IZ$10/2</f>
        <v>#N/A</v>
      </c>
      <c r="KE19" s="310"/>
      <c r="KJ19" s="310"/>
      <c r="KK19" s="310"/>
      <c r="KL19" s="310"/>
      <c r="KM19" s="310"/>
      <c r="KN19" s="267" t="e">
        <v>#N/A</v>
      </c>
      <c r="KO19" s="267" t="e">
        <v>#N/A</v>
      </c>
      <c r="KP19" s="391"/>
      <c r="KQ19" s="391"/>
      <c r="KR19" s="391"/>
      <c r="KS19" s="267" t="e">
        <v>#N/A</v>
      </c>
      <c r="KT19" s="267" t="e">
        <v>#N/A</v>
      </c>
      <c r="KU19" s="380"/>
      <c r="KV19" s="391"/>
      <c r="KW19" s="380"/>
      <c r="KX19" s="310"/>
      <c r="KY19" s="310"/>
      <c r="KZ19" s="310"/>
      <c r="LA19" s="310"/>
      <c r="LB19" s="531"/>
      <c r="LC19" s="346" t="str">
        <v>C1</v>
      </c>
      <c r="LD19" s="346">
        <v>-1.2999999999999998</v>
      </c>
      <c r="LE19" s="346">
        <v>-0.95</v>
      </c>
      <c r="LF19" s="310"/>
      <c r="LG19" s="310"/>
      <c r="LH19" s="347" t="e">
        <v>#N/A</v>
      </c>
      <c r="LI19" s="347" t="e">
        <v>#N/A</v>
      </c>
      <c r="LJ19" s="380">
        <f>LH39</f>
        <v>1.9</v>
      </c>
      <c r="LK19" s="338">
        <f>LI39+(LI40-LI39)/2</f>
        <v>0</v>
      </c>
      <c r="LL19" s="391">
        <f>LI40-LI39</f>
        <v>1.9</v>
      </c>
      <c r="LM19" s="310"/>
      <c r="LN19" s="310"/>
      <c r="LO19" s="347" t="e">
        <v>#N/A</v>
      </c>
      <c r="LP19" s="347" t="e">
        <v>#N/A</v>
      </c>
      <c r="LQ19" s="338">
        <f>LO44</f>
        <v>1.9</v>
      </c>
      <c r="LR19" s="338">
        <f>LP39-(LP39-LP40)/2</f>
        <v>0</v>
      </c>
      <c r="LS19" s="391">
        <f>LP39-LP40</f>
        <v>1.9</v>
      </c>
      <c r="LT19" s="310"/>
      <c r="LU19" s="310"/>
      <c r="LV19" s="347" t="e">
        <v>#N/A</v>
      </c>
      <c r="LW19" s="347" t="e">
        <v>#N/A</v>
      </c>
      <c r="LX19" s="338" t="e">
        <f>LV39-(LV39-LV40)/2</f>
        <v>#N/A</v>
      </c>
      <c r="LY19" s="338" t="e">
        <f>LW44</f>
        <v>#N/A</v>
      </c>
      <c r="LZ19" s="391" t="e">
        <f>LV39-LV40</f>
        <v>#N/A</v>
      </c>
      <c r="MA19" s="310"/>
      <c r="MB19" s="310"/>
      <c r="MC19" s="347" t="e">
        <v>#N/A</v>
      </c>
      <c r="MD19" s="347" t="e">
        <v>#N/A</v>
      </c>
      <c r="ME19" s="338">
        <f>MC39+(MC40-MC39)/2</f>
        <v>-1.2999999999999998</v>
      </c>
      <c r="MF19" s="338">
        <f>MD44</f>
        <v>0.6071428571428571</v>
      </c>
      <c r="MG19" s="391">
        <f>MC40-MC39</f>
        <v>0</v>
      </c>
      <c r="MH19" s="310"/>
      <c r="MI19" s="310"/>
      <c r="MJ19" s="242" t="e">
        <v>#N/A</v>
      </c>
      <c r="MK19" s="242" t="e">
        <v>#N/A</v>
      </c>
      <c r="ML19" s="242" t="e">
        <v>#N/A</v>
      </c>
      <c r="MM19" s="242" t="e">
        <v>#N/A</v>
      </c>
      <c r="MN19" s="391"/>
      <c r="MO19" s="310"/>
      <c r="MP19" s="311" t="e">
        <v>#N/A</v>
      </c>
      <c r="MQ19" s="311" t="e">
        <v>#N/A</v>
      </c>
      <c r="MT19" s="310"/>
      <c r="MU19" s="310"/>
      <c r="MV19" s="310"/>
      <c r="MW19" s="310"/>
      <c r="MX19" s="310"/>
      <c r="MY19" s="310"/>
      <c r="MZ19" s="310"/>
      <c r="NA19" s="310"/>
      <c r="NB19" s="310"/>
      <c r="NC19" s="310"/>
      <c r="ND19" s="310"/>
      <c r="NE19" s="310"/>
      <c r="NF19" s="310"/>
      <c r="NG19" s="310"/>
      <c r="NH19" s="310"/>
      <c r="NI19" s="310"/>
      <c r="NJ19" s="310"/>
      <c r="NK19" s="310"/>
      <c r="NL19" s="310"/>
      <c r="NM19" s="310"/>
      <c r="NN19" s="310"/>
      <c r="NO19" s="310" t="s">
        <v>90</v>
      </c>
      <c r="NP19" s="310"/>
      <c r="NQ19" s="310"/>
      <c r="NR19" s="310"/>
      <c r="NS19" s="272">
        <f>IF(NS7=TRUE,NO21+0.2,#N/A)</f>
        <v>1.4999999999999998</v>
      </c>
      <c r="NT19" s="274">
        <f>NT18</f>
        <v>0.2</v>
      </c>
      <c r="NU19" s="275">
        <f>NS24-(NS24-NS25)/2</f>
        <v>-0.42500000000000004</v>
      </c>
      <c r="NV19" s="275">
        <f>NT25</f>
        <v>-1.0999999999999999</v>
      </c>
      <c r="NW19" s="313" t="str">
        <f>"Lx="&amp;TEXT(NS24-NS25,"0.00")&amp;"m"</f>
        <v>Lx=0.45m</v>
      </c>
      <c r="NX19" s="310"/>
      <c r="NY19" s="310"/>
      <c r="NZ19" s="310"/>
      <c r="OA19" s="310"/>
      <c r="OB19" s="310"/>
      <c r="OC19" s="310"/>
      <c r="OD19" s="310"/>
      <c r="OE19" s="310"/>
      <c r="OF19" s="310"/>
      <c r="OG19" s="310"/>
      <c r="OH19" s="310"/>
      <c r="OI19" s="310"/>
      <c r="OJ19" s="310"/>
      <c r="OK19" s="310"/>
      <c r="OL19" s="310"/>
      <c r="OM19" s="310"/>
      <c r="ON19" s="310"/>
      <c r="OO19" s="310"/>
      <c r="OP19" s="310"/>
      <c r="OQ19" s="310"/>
      <c r="OR19" s="310"/>
      <c r="OS19" s="310"/>
      <c r="OT19" s="310"/>
      <c r="OU19" s="280" t="e">
        <v>#N/A</v>
      </c>
      <c r="OV19" s="280" t="e">
        <v>#N/A</v>
      </c>
      <c r="OW19" s="310"/>
      <c r="OX19" s="280" t="e">
        <f>OX18</f>
        <v>#N/A</v>
      </c>
      <c r="OY19" s="280" t="e">
        <f>OY16</f>
        <v>#N/A</v>
      </c>
      <c r="OZ19" s="310"/>
      <c r="PA19" s="310"/>
      <c r="PB19" s="310"/>
      <c r="PC19" s="310"/>
      <c r="PD19" s="310"/>
      <c r="PE19" s="313">
        <v>5</v>
      </c>
      <c r="PF19" s="318" t="b">
        <f t="shared" si="33"/>
        <v>1</v>
      </c>
      <c r="PG19" s="283" t="e">
        <f t="shared" si="34"/>
        <v>#N/A</v>
      </c>
      <c r="PH19" s="283" t="e">
        <f t="shared" si="35"/>
        <v>#N/A</v>
      </c>
      <c r="PI19" s="295" t="e">
        <f t="shared" si="36"/>
        <v>#N/A</v>
      </c>
      <c r="PJ19" s="310"/>
      <c r="PK19" s="310"/>
      <c r="PL19" s="310"/>
      <c r="PM19" s="310"/>
      <c r="PN19" s="328" t="e">
        <v>#N/A</v>
      </c>
      <c r="PO19" s="328" t="e">
        <v>#N/A</v>
      </c>
      <c r="PP19" s="328" t="e">
        <v>#N/A</v>
      </c>
      <c r="PQ19" s="310"/>
      <c r="PR19" s="310"/>
      <c r="PS19" s="342">
        <v>5</v>
      </c>
      <c r="PT19" s="261" t="e">
        <f t="shared" si="29"/>
        <v>#N/A</v>
      </c>
      <c r="PU19" s="261" t="e">
        <f t="shared" si="30"/>
        <v>#N/A</v>
      </c>
      <c r="PV19" s="310"/>
      <c r="PW19" s="310"/>
      <c r="PX19" s="310"/>
      <c r="PY19" s="310"/>
      <c r="PZ19" s="310"/>
      <c r="QA19" s="762" t="s">
        <v>490</v>
      </c>
      <c r="QB19" s="762"/>
      <c r="QC19" s="310"/>
      <c r="QD19" s="310"/>
      <c r="QE19" s="310"/>
      <c r="QF19" s="310"/>
      <c r="QG19" s="310"/>
      <c r="QH19" s="310"/>
      <c r="QI19" s="310"/>
      <c r="QJ19" s="310"/>
      <c r="QK19" s="310"/>
      <c r="QL19" s="310"/>
      <c r="QM19" s="762" t="s">
        <v>502</v>
      </c>
      <c r="QN19" s="762"/>
      <c r="QO19" s="310"/>
      <c r="QP19" s="310"/>
      <c r="QQ19" s="310"/>
      <c r="QR19" s="310"/>
      <c r="QS19" s="310"/>
      <c r="QT19" s="310"/>
      <c r="QU19" s="310"/>
      <c r="QV19" s="332" t="e">
        <v>#N/A</v>
      </c>
      <c r="QW19" s="375" t="e">
        <v>#N/A</v>
      </c>
      <c r="QX19" s="375" t="e">
        <v>#N/A</v>
      </c>
      <c r="QY19" s="310"/>
      <c r="QZ19" s="310"/>
      <c r="RA19" s="310"/>
      <c r="RB19" s="310"/>
      <c r="RC19" s="310"/>
      <c r="RD19" s="310"/>
      <c r="RE19" s="310"/>
      <c r="RF19" s="310"/>
      <c r="RG19" s="310"/>
      <c r="RH19" s="310"/>
      <c r="RI19" s="310"/>
      <c r="RJ19" s="310"/>
      <c r="RK19" s="310"/>
      <c r="RL19" s="310"/>
      <c r="RM19" s="310"/>
      <c r="RN19" s="310"/>
      <c r="RO19" s="310"/>
      <c r="RP19" s="310"/>
      <c r="RQ19" s="310"/>
      <c r="RR19" s="310"/>
      <c r="RS19" s="310"/>
      <c r="RT19" s="310"/>
      <c r="RU19" s="310"/>
      <c r="RV19" s="310"/>
      <c r="RW19" s="392">
        <f>IF(BM10=TRUE,RW13/(RW14*RW15),#N/A)</f>
        <v>6.9404279930595729</v>
      </c>
      <c r="RX19" s="310"/>
      <c r="RY19" s="310"/>
      <c r="RZ19" s="310"/>
      <c r="SA19" s="310"/>
      <c r="SB19" s="310"/>
      <c r="SC19" s="310"/>
      <c r="SD19" s="310"/>
      <c r="SE19" s="310"/>
      <c r="SM19" s="310"/>
      <c r="SN19" s="310"/>
      <c r="SO19" s="220"/>
      <c r="SP19" s="220"/>
      <c r="SQ19" s="220"/>
      <c r="SR19" s="220"/>
      <c r="SS19" s="220"/>
      <c r="ST19" s="220"/>
      <c r="SU19" s="220"/>
      <c r="SV19" s="220"/>
      <c r="SW19" s="220"/>
      <c r="SX19" s="220"/>
      <c r="SY19" s="220"/>
      <c r="SZ19" s="220"/>
      <c r="TA19" s="220"/>
      <c r="TB19" s="220"/>
      <c r="TC19" s="220"/>
      <c r="TD19" s="220"/>
      <c r="TE19" s="220"/>
      <c r="TF19" s="220"/>
      <c r="TG19" s="220"/>
      <c r="TH19" s="220"/>
      <c r="TI19" s="220"/>
      <c r="TJ19" s="220"/>
      <c r="TK19" s="220"/>
      <c r="TL19" s="220"/>
      <c r="TM19" s="220"/>
      <c r="TN19" s="220"/>
      <c r="TO19" s="220"/>
      <c r="TP19" s="220"/>
      <c r="TQ19" s="220"/>
      <c r="TR19" s="220"/>
      <c r="TS19" s="220"/>
      <c r="TT19" s="220"/>
      <c r="TU19" s="220"/>
      <c r="TV19" s="220"/>
      <c r="TW19" s="220"/>
      <c r="TX19" s="220"/>
      <c r="TY19" s="220"/>
      <c r="TZ19" s="220"/>
      <c r="UA19" s="220"/>
      <c r="UB19" s="220"/>
      <c r="UC19" s="220"/>
      <c r="UD19" s="220"/>
      <c r="UE19" s="220"/>
      <c r="UF19" s="220"/>
      <c r="UG19" s="220"/>
      <c r="UH19" s="220"/>
      <c r="UI19" s="220"/>
      <c r="UJ19" s="220"/>
      <c r="UK19" s="216"/>
      <c r="UL19" s="216"/>
      <c r="UM19" s="216"/>
      <c r="UN19" s="216"/>
      <c r="UO19" s="216"/>
      <c r="UP19" s="216"/>
      <c r="UQ19" s="216"/>
      <c r="UR19" s="216"/>
      <c r="US19" s="216"/>
      <c r="UT19" s="216"/>
      <c r="UU19" s="216"/>
      <c r="UV19" s="216"/>
      <c r="UW19" s="216"/>
      <c r="UX19" s="216"/>
      <c r="UY19" s="216"/>
      <c r="UZ19" s="216"/>
      <c r="VA19" s="216"/>
      <c r="VB19" s="4"/>
    </row>
    <row r="20" spans="1:574" s="4" customFormat="1" ht="15" customHeight="1" x14ac:dyDescent="0.45">
      <c r="A20" s="46"/>
      <c r="B20" s="46"/>
      <c r="C20" s="47"/>
      <c r="D20" s="47"/>
      <c r="E20" s="47"/>
      <c r="F20" s="47"/>
      <c r="G20" s="48" t="str">
        <f>IF(BM8=TRUE,"P2 &gt;&gt;","")</f>
        <v>P2 &gt;&gt;</v>
      </c>
      <c r="H20" s="570" t="str">
        <f>IF(BM8=TRUE,IF(Q19&lt;&gt;"",Q19,""),"")</f>
        <v>P2</v>
      </c>
      <c r="I20" s="571"/>
      <c r="J20" s="727">
        <f>IF(BM8=TRUE,IF(BO55="","",BO55),"")</f>
        <v>0.65</v>
      </c>
      <c r="K20" s="727"/>
      <c r="L20" s="727"/>
      <c r="M20" s="552">
        <f>IF(BM8=TRUE,IF(BP55="","",BP55),"")</f>
        <v>-0.65</v>
      </c>
      <c r="N20" s="728"/>
      <c r="O20" s="729"/>
      <c r="P20" s="50"/>
      <c r="Q20" s="207" t="s">
        <v>149</v>
      </c>
      <c r="R20" s="515" t="str">
        <f>IF(CP19=TRUE,CQ19,"")</f>
        <v>P3 ACTIVE</v>
      </c>
      <c r="S20" s="516"/>
      <c r="T20" s="50"/>
      <c r="U20" s="44"/>
      <c r="V20" s="44"/>
      <c r="W20" s="44"/>
      <c r="X20" s="44"/>
      <c r="Y20" s="44"/>
      <c r="Z20" s="44"/>
      <c r="AA20" s="44"/>
      <c r="AB20" s="44"/>
      <c r="AC20" s="44"/>
      <c r="AD20" s="18"/>
      <c r="AE20" s="18"/>
      <c r="AF20" s="18"/>
      <c r="AG20" s="11"/>
      <c r="AH20" s="11"/>
      <c r="AI20" s="11"/>
      <c r="AJ20" s="11"/>
      <c r="AK20" s="44"/>
      <c r="AL20" s="45"/>
      <c r="AM20" s="45"/>
      <c r="AN20" s="45"/>
      <c r="AO20" s="45"/>
      <c r="AP20" s="310" t="s">
        <v>13</v>
      </c>
      <c r="AQ20" s="310" t="s">
        <v>233</v>
      </c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  <c r="BC20" s="310"/>
      <c r="BD20" s="310"/>
      <c r="BE20" s="310"/>
      <c r="BF20" s="310"/>
      <c r="BG20" s="310"/>
      <c r="BH20" s="310"/>
      <c r="BI20" s="310"/>
      <c r="BJ20" s="347" t="s">
        <v>58</v>
      </c>
      <c r="BK20" s="310" t="e">
        <f>IF(AY15=TRUE,0,#N/A)</f>
        <v>#N/A</v>
      </c>
      <c r="BL20" s="310" t="e">
        <f>IF(AY15=TRUE,0,#N/A)</f>
        <v>#N/A</v>
      </c>
      <c r="BM20" s="310"/>
      <c r="BN20" s="310"/>
      <c r="BO20" s="310"/>
      <c r="BP20" s="310"/>
      <c r="BQ20" s="310"/>
      <c r="BR20" s="310"/>
      <c r="BS20" s="310"/>
      <c r="BT20" s="310"/>
      <c r="BU20" s="310"/>
      <c r="BV20" s="310"/>
      <c r="BW20" s="310"/>
      <c r="BX20" s="393" t="s">
        <v>67</v>
      </c>
      <c r="BY20" s="394" t="b">
        <f>BL8</f>
        <v>0</v>
      </c>
      <c r="BZ20" s="394"/>
      <c r="CA20" s="394"/>
      <c r="CB20" s="394"/>
      <c r="CC20" s="394"/>
      <c r="CD20" s="394"/>
      <c r="CE20" s="394"/>
      <c r="CF20" s="394"/>
      <c r="CG20" s="394"/>
      <c r="CH20" s="394"/>
      <c r="CI20" s="394"/>
      <c r="CJ20" s="394"/>
      <c r="CK20" s="395" t="s">
        <v>215</v>
      </c>
      <c r="CL20" s="395" t="b">
        <f>AND(BY20=TRUE,AY16=TRUE,H26&lt;&gt;"")</f>
        <v>0</v>
      </c>
      <c r="CM20" s="310"/>
      <c r="CN20" s="761"/>
      <c r="CO20" s="318" t="b">
        <v>0</v>
      </c>
      <c r="CP20" s="318" t="b">
        <v>1</v>
      </c>
      <c r="CQ20" s="311" t="str">
        <f>IF(CO20=TRUE,Q21&amp;" ACTIVE",Q21&amp;" EXCLUDED")</f>
        <v>P4 EXCLUDED</v>
      </c>
      <c r="CR20" s="318" t="str">
        <f t="shared" si="37"/>
        <v/>
      </c>
      <c r="CS20" s="368" t="str">
        <f t="shared" si="38"/>
        <v/>
      </c>
      <c r="CT20" s="310"/>
      <c r="CU20" s="310"/>
      <c r="CV20" s="310"/>
      <c r="CW20" s="310"/>
      <c r="CX20" s="310"/>
      <c r="CY20" s="310"/>
      <c r="CZ20" s="310"/>
      <c r="DA20" s="310"/>
      <c r="DB20" s="310"/>
      <c r="DC20" s="310"/>
      <c r="DD20" s="310"/>
      <c r="DE20" s="310"/>
      <c r="DF20" s="310"/>
      <c r="DG20" s="310"/>
      <c r="DH20" s="310"/>
      <c r="DI20" s="310"/>
      <c r="DJ20" s="310"/>
      <c r="DK20" s="313">
        <v>12</v>
      </c>
      <c r="DL20" s="282" t="e">
        <f t="shared" si="3"/>
        <v>#N/A</v>
      </c>
      <c r="DM20" s="291" t="e">
        <f t="shared" si="4"/>
        <v>#N/A</v>
      </c>
      <c r="DN20" s="310"/>
      <c r="DO20" s="310"/>
      <c r="DP20" s="310"/>
      <c r="DQ20" s="310"/>
      <c r="DR20" s="310"/>
      <c r="DS20" s="310"/>
      <c r="DT20" s="310" t="s">
        <v>304</v>
      </c>
      <c r="DU20" s="310" t="b">
        <f>OR(BL10=TRUE,BL11=TRUE)</f>
        <v>1</v>
      </c>
      <c r="DV20" s="310"/>
      <c r="DW20" s="310"/>
      <c r="DX20" s="310" t="s">
        <v>69</v>
      </c>
      <c r="DY20" s="310" t="b">
        <f>BL11</f>
        <v>1</v>
      </c>
      <c r="DZ20" s="310"/>
      <c r="EA20" s="310"/>
      <c r="EB20" s="310"/>
      <c r="EC20" s="338">
        <f>IF(DU20=TRUE,M11,#N/A)</f>
        <v>0</v>
      </c>
      <c r="ED20" s="338">
        <f>ED19</f>
        <v>1.345</v>
      </c>
      <c r="EE20" s="310"/>
      <c r="EF20" s="310"/>
      <c r="EG20" s="310"/>
      <c r="EH20" s="310"/>
      <c r="EI20" s="310">
        <f>EI19</f>
        <v>1.3149999999999999</v>
      </c>
      <c r="EJ20" s="310">
        <f>ED29-(ED29-ED30)/2</f>
        <v>-0.47499999999999998</v>
      </c>
      <c r="EK20" s="339">
        <f>ED29-ED30</f>
        <v>0.95</v>
      </c>
      <c r="EL20" s="310"/>
      <c r="EM20" s="310"/>
      <c r="EN20" s="310"/>
      <c r="EO20" s="310"/>
      <c r="EP20" s="310"/>
      <c r="EQ20" s="310"/>
      <c r="ER20" s="310"/>
      <c r="ES20" s="332" t="e">
        <v>#N/A</v>
      </c>
      <c r="ET20" s="332" t="e">
        <v>#N/A</v>
      </c>
      <c r="EU20" s="388" t="str">
        <f>H20</f>
        <v>P2</v>
      </c>
      <c r="EV20" s="338" t="e">
        <f>IF(EV7=TRUE,EW9,#N/A)</f>
        <v>#N/A</v>
      </c>
      <c r="EW20" s="338" t="e">
        <f>IF(EV7=TRUE,EV9+((2/3)*(SQRT(3)/2)*EV11),#N/A)</f>
        <v>#N/A</v>
      </c>
      <c r="EX20" s="338" t="e">
        <f>IF(EV7=TRUE,EW9,#N/A)</f>
        <v>#N/A</v>
      </c>
      <c r="EY20" s="338" t="e">
        <f>IF(EV7=TRUE,EV9-((2/3)*(SQRT(3)/2)*EV11),#N/A)</f>
        <v>#N/A</v>
      </c>
      <c r="EZ20" s="338" t="e">
        <f>IF(EV7=TRUE,EW9+((1/3)*(SQRT(3)/2)*EV11),#N/A)</f>
        <v>#N/A</v>
      </c>
      <c r="FA20" s="338" t="e">
        <f>IF(EV7=TRUE,EV9-EV11/2,#N/A)</f>
        <v>#N/A</v>
      </c>
      <c r="FB20" s="338" t="e">
        <f>IF(EV7=TRUE,EW9-((1/3)*(SQRT(3)/2)*EV11),#N/A)</f>
        <v>#N/A</v>
      </c>
      <c r="FC20" s="338" t="e">
        <f>IF(EV7=TRUE,EV9+EV11/2,#N/A)</f>
        <v>#N/A</v>
      </c>
      <c r="FD20" s="237" t="e">
        <v>#N/A</v>
      </c>
      <c r="FE20" s="237" t="e">
        <v>#N/A</v>
      </c>
      <c r="FF20" s="310"/>
      <c r="FG20" s="310"/>
      <c r="FH20" s="310"/>
      <c r="FI20" s="310"/>
      <c r="FJ20" s="310"/>
      <c r="FK20" s="310"/>
      <c r="FL20" s="310"/>
      <c r="FM20" s="310"/>
      <c r="FN20" s="310"/>
      <c r="FO20" s="310"/>
      <c r="FP20" s="310"/>
      <c r="FQ20" s="310"/>
      <c r="FR20" s="310"/>
      <c r="FS20" s="310"/>
      <c r="FT20" s="310"/>
      <c r="FU20" s="310"/>
      <c r="FV20" s="310"/>
      <c r="FW20" s="310"/>
      <c r="FX20" s="310"/>
      <c r="FY20" s="310"/>
      <c r="FZ20" s="310"/>
      <c r="GA20" s="310"/>
      <c r="GB20" s="310"/>
      <c r="GC20" s="310"/>
      <c r="GD20" s="310"/>
      <c r="GE20" s="310"/>
      <c r="GF20" s="310"/>
      <c r="GG20" s="310"/>
      <c r="GH20" s="310"/>
      <c r="GI20" s="310"/>
      <c r="GJ20" s="310"/>
      <c r="GK20" s="310"/>
      <c r="GL20" s="310"/>
      <c r="GM20" s="310"/>
      <c r="GN20" s="310"/>
      <c r="GO20" s="310"/>
      <c r="GP20" s="310"/>
      <c r="GQ20" s="310"/>
      <c r="GR20" s="310"/>
      <c r="GS20" s="310"/>
      <c r="GT20" s="310"/>
      <c r="GU20" s="310"/>
      <c r="GV20" s="310"/>
      <c r="GW20" s="310"/>
      <c r="GX20" s="314">
        <v>14</v>
      </c>
      <c r="GY20" s="396" t="s">
        <v>225</v>
      </c>
      <c r="GZ20" s="323">
        <v>45</v>
      </c>
      <c r="HA20" s="316">
        <v>45</v>
      </c>
      <c r="HB20" s="396">
        <v>1.5</v>
      </c>
      <c r="HC20" s="396"/>
      <c r="HD20" s="396"/>
      <c r="HE20" s="396"/>
      <c r="HF20" s="396"/>
      <c r="HG20" s="311"/>
      <c r="HH20" s="311"/>
      <c r="HI20" s="310"/>
      <c r="HJ20" s="310"/>
      <c r="HK20" s="342">
        <v>6</v>
      </c>
      <c r="HL20" s="235" t="e">
        <f t="shared" si="5"/>
        <v>#N/A</v>
      </c>
      <c r="HM20" s="235" t="e">
        <f t="shared" si="6"/>
        <v>#N/A</v>
      </c>
      <c r="HN20" s="310"/>
      <c r="HO20" s="310"/>
      <c r="HP20" s="235" t="e">
        <f t="shared" si="7"/>
        <v>#N/A</v>
      </c>
      <c r="HQ20" s="235" t="e">
        <f t="shared" si="8"/>
        <v>#N/A</v>
      </c>
      <c r="HR20" s="310"/>
      <c r="HS20" s="310"/>
      <c r="HT20" s="235" t="e">
        <f t="shared" si="9"/>
        <v>#N/A</v>
      </c>
      <c r="HU20" s="235" t="e">
        <f t="shared" si="10"/>
        <v>#N/A</v>
      </c>
      <c r="HV20" s="310"/>
      <c r="HW20" s="310"/>
      <c r="HX20" s="235" t="e">
        <f t="shared" si="11"/>
        <v>#N/A</v>
      </c>
      <c r="HY20" s="235" t="e">
        <f t="shared" si="12"/>
        <v>#N/A</v>
      </c>
      <c r="HZ20" s="310"/>
      <c r="IA20" s="310"/>
      <c r="IB20" s="235" t="e">
        <f t="shared" si="13"/>
        <v>#N/A</v>
      </c>
      <c r="IC20" s="235" t="e">
        <f t="shared" si="14"/>
        <v>#N/A</v>
      </c>
      <c r="ID20" s="310"/>
      <c r="IE20" s="342">
        <v>6</v>
      </c>
      <c r="IF20" s="262" t="e">
        <f t="shared" si="15"/>
        <v>#N/A</v>
      </c>
      <c r="IG20" s="262" t="e">
        <f t="shared" si="16"/>
        <v>#N/A</v>
      </c>
      <c r="IH20" s="390"/>
      <c r="II20" s="390"/>
      <c r="IJ20" s="262" t="e">
        <f t="shared" si="17"/>
        <v>#N/A</v>
      </c>
      <c r="IK20" s="262" t="e">
        <f t="shared" si="18"/>
        <v>#N/A</v>
      </c>
      <c r="IL20" s="390"/>
      <c r="IM20" s="390"/>
      <c r="IN20" s="262" t="e">
        <f t="shared" si="19"/>
        <v>#N/A</v>
      </c>
      <c r="IO20" s="262" t="e">
        <f t="shared" si="20"/>
        <v>#N/A</v>
      </c>
      <c r="IP20" s="390"/>
      <c r="IQ20" s="390"/>
      <c r="IR20" s="262" t="e">
        <f t="shared" si="21"/>
        <v>#N/A</v>
      </c>
      <c r="IS20" s="262" t="e">
        <f t="shared" si="22"/>
        <v>#N/A</v>
      </c>
      <c r="IT20" s="390"/>
      <c r="IU20" s="390"/>
      <c r="IV20" s="262" t="e">
        <f t="shared" si="23"/>
        <v>#N/A</v>
      </c>
      <c r="IW20" s="262" t="e">
        <f t="shared" si="24"/>
        <v>#N/A</v>
      </c>
      <c r="IX20" s="310"/>
      <c r="IY20" s="310"/>
      <c r="IZ20" s="310"/>
      <c r="JA20" s="310"/>
      <c r="JB20" s="313" t="s">
        <v>373</v>
      </c>
      <c r="JC20" s="236" t="e">
        <f>JC12</f>
        <v>#N/A</v>
      </c>
      <c r="JD20" s="236" t="e">
        <f>JD12</f>
        <v>#N/A</v>
      </c>
      <c r="JE20" s="310"/>
      <c r="JF20" s="310"/>
      <c r="JG20" s="310"/>
      <c r="JH20" s="310"/>
      <c r="JI20" s="313" t="s">
        <v>373</v>
      </c>
      <c r="JJ20" s="263" t="e">
        <f>JJ12</f>
        <v>#N/A</v>
      </c>
      <c r="JK20" s="263" t="e">
        <f>JK12</f>
        <v>#N/A</v>
      </c>
      <c r="JL20" s="310"/>
      <c r="JM20" s="310"/>
      <c r="JN20" s="261" t="e">
        <f t="shared" si="25"/>
        <v>#N/A</v>
      </c>
      <c r="JO20" s="261" t="e">
        <f t="shared" si="26"/>
        <v>#N/A</v>
      </c>
      <c r="JP20" s="310"/>
      <c r="JQ20" s="310"/>
      <c r="JR20" s="261" t="e">
        <f t="shared" si="31"/>
        <v>#N/A</v>
      </c>
      <c r="JS20" s="261" t="e">
        <f t="shared" si="32"/>
        <v>#N/A</v>
      </c>
      <c r="JT20" s="310"/>
      <c r="JU20" s="310"/>
      <c r="JV20" s="261" t="e">
        <f t="shared" si="27"/>
        <v>#N/A</v>
      </c>
      <c r="JW20" s="261" t="e">
        <f t="shared" si="28"/>
        <v>#N/A</v>
      </c>
      <c r="JX20" s="310"/>
      <c r="JY20" s="342" t="s">
        <v>355</v>
      </c>
      <c r="JZ20" s="342" t="s">
        <v>48</v>
      </c>
      <c r="KA20" s="353" t="s">
        <v>49</v>
      </c>
      <c r="KB20" s="313" t="s">
        <v>144</v>
      </c>
      <c r="KC20" s="263" t="e">
        <f>JZ21+($IZ$10/2)-$IZ$9</f>
        <v>#N/A</v>
      </c>
      <c r="KD20" s="263" t="e">
        <f>KD19</f>
        <v>#N/A</v>
      </c>
      <c r="KE20" s="310"/>
      <c r="KF20" s="397"/>
      <c r="KG20" s="397"/>
      <c r="KH20" s="397"/>
      <c r="KI20" s="397"/>
      <c r="KJ20" s="310"/>
      <c r="KK20" s="310"/>
      <c r="KL20" s="310"/>
      <c r="KM20" s="310"/>
      <c r="KN20" s="243" t="e">
        <f>KN18</f>
        <v>#N/A</v>
      </c>
      <c r="KO20" s="243" t="e">
        <f>KO18</f>
        <v>#N/A</v>
      </c>
      <c r="KP20" s="391"/>
      <c r="KQ20" s="391"/>
      <c r="KR20" s="391"/>
      <c r="KS20" s="270" t="e">
        <f>KS18</f>
        <v>#N/A</v>
      </c>
      <c r="KT20" s="270" t="e">
        <f>KT18</f>
        <v>#N/A</v>
      </c>
      <c r="KU20" s="380"/>
      <c r="KV20" s="391"/>
      <c r="KW20" s="380"/>
      <c r="KX20" s="310"/>
      <c r="KY20" s="310"/>
      <c r="KZ20" s="310"/>
      <c r="LA20" s="310"/>
      <c r="LB20" s="310"/>
      <c r="LC20" s="346" t="e">
        <v>#N/A</v>
      </c>
      <c r="LD20" s="346" t="e">
        <v>#N/A</v>
      </c>
      <c r="LE20" s="346" t="e">
        <v>#N/A</v>
      </c>
      <c r="LF20" s="310"/>
      <c r="LG20" s="310"/>
      <c r="LH20" s="391" t="e">
        <f>ON54-LI7/3</f>
        <v>#N/A</v>
      </c>
      <c r="LI20" s="391" t="e">
        <f>LI14</f>
        <v>#N/A</v>
      </c>
      <c r="LJ20" s="380">
        <f>LJ19</f>
        <v>1.9</v>
      </c>
      <c r="LK20" s="338">
        <f>LI43+(LI44-LI43)/2</f>
        <v>0.95</v>
      </c>
      <c r="LL20" s="391">
        <f>LI44-LI43</f>
        <v>0</v>
      </c>
      <c r="LM20" s="310"/>
      <c r="LN20" s="310"/>
      <c r="LO20" s="347">
        <f>ON49-LP7/3</f>
        <v>-1.4999999999999998</v>
      </c>
      <c r="LP20" s="347" t="e">
        <f>OO54</f>
        <v>#N/A</v>
      </c>
      <c r="LQ20" s="338">
        <f>LQ19</f>
        <v>1.9</v>
      </c>
      <c r="LR20" s="338" t="e">
        <f>LP43-(LP43-LP44)/2</f>
        <v>#N/A</v>
      </c>
      <c r="LS20" s="391" t="e">
        <f>LP43-LP44</f>
        <v>#N/A</v>
      </c>
      <c r="LT20" s="310"/>
      <c r="LU20" s="310"/>
      <c r="LV20" s="338">
        <f>LV9</f>
        <v>-1.2999999999999998</v>
      </c>
      <c r="LW20" s="338">
        <f>OO51+LW7*0.4</f>
        <v>1.19</v>
      </c>
      <c r="LX20" s="338" t="e">
        <f>LV43-(LV43-LV44)/2</f>
        <v>#N/A</v>
      </c>
      <c r="LY20" s="338" t="e">
        <f>LY19</f>
        <v>#N/A</v>
      </c>
      <c r="LZ20" s="391" t="e">
        <f>LV43-LV44</f>
        <v>#N/A</v>
      </c>
      <c r="MA20" s="310"/>
      <c r="MB20" s="310"/>
      <c r="MC20" s="338">
        <f>MC9</f>
        <v>1.2999999999999998</v>
      </c>
      <c r="MD20" s="338">
        <f>MD9+MD7*0.45</f>
        <v>1.27</v>
      </c>
      <c r="ME20" s="338" t="e">
        <f>MC43+(MC44-MC43)/2</f>
        <v>#N/A</v>
      </c>
      <c r="MF20" s="338">
        <f>MF19</f>
        <v>0.6071428571428571</v>
      </c>
      <c r="MG20" s="391" t="e">
        <f>MC44-MC43</f>
        <v>#N/A</v>
      </c>
      <c r="MH20" s="310"/>
      <c r="MI20" s="310"/>
      <c r="MJ20" s="242" t="e">
        <v>#N/A</v>
      </c>
      <c r="MK20" s="242" t="e">
        <v>#N/A</v>
      </c>
      <c r="ML20" s="242" t="e">
        <v>#N/A</v>
      </c>
      <c r="MM20" s="242" t="e">
        <v>#N/A</v>
      </c>
      <c r="MN20" s="391"/>
      <c r="MO20" s="310"/>
      <c r="MP20" s="311" t="e">
        <v>#N/A</v>
      </c>
      <c r="MQ20" s="311" t="e">
        <v>#N/A</v>
      </c>
      <c r="MR20" s="311"/>
      <c r="MS20" s="311"/>
      <c r="MT20" s="310"/>
      <c r="MU20" s="524" t="s">
        <v>110</v>
      </c>
      <c r="MV20" s="524"/>
      <c r="MW20" s="524" t="s">
        <v>116</v>
      </c>
      <c r="MX20" s="524"/>
      <c r="MY20" s="524" t="s">
        <v>110</v>
      </c>
      <c r="MZ20" s="524"/>
      <c r="NA20" s="524" t="s">
        <v>116</v>
      </c>
      <c r="NB20" s="524"/>
      <c r="NC20" s="310"/>
      <c r="ND20" s="310"/>
      <c r="NE20" s="310"/>
      <c r="NF20" s="310"/>
      <c r="NG20" s="310"/>
      <c r="NH20" s="310"/>
      <c r="NI20" s="310"/>
      <c r="NJ20" s="310"/>
      <c r="NK20" s="310"/>
      <c r="NL20" s="310"/>
      <c r="NM20" s="310"/>
      <c r="NN20" s="338" t="s">
        <v>158</v>
      </c>
      <c r="NO20" s="338" t="s">
        <v>48</v>
      </c>
      <c r="NP20" s="338" t="s">
        <v>49</v>
      </c>
      <c r="NQ20" s="310"/>
      <c r="NR20" s="310"/>
      <c r="NS20" s="272">
        <f>NS19</f>
        <v>1.4999999999999998</v>
      </c>
      <c r="NT20" s="272">
        <f>OD9</f>
        <v>0.65</v>
      </c>
      <c r="NU20" s="398"/>
      <c r="NV20" s="398"/>
      <c r="NW20" s="310"/>
      <c r="NX20" s="310"/>
      <c r="NY20" s="310"/>
      <c r="NZ20" s="310"/>
      <c r="OA20" s="310"/>
      <c r="OB20" s="310"/>
      <c r="OC20" s="310"/>
      <c r="OD20" s="310"/>
      <c r="OE20" s="310"/>
      <c r="OF20" s="310"/>
      <c r="OG20" s="310"/>
      <c r="OH20" s="310"/>
      <c r="OI20" s="310"/>
      <c r="OJ20" s="310"/>
      <c r="OK20" s="310"/>
      <c r="OL20" s="310"/>
      <c r="OM20" s="338" t="s">
        <v>444</v>
      </c>
      <c r="ON20" s="338" t="b">
        <f>BE8</f>
        <v>1</v>
      </c>
      <c r="OO20" s="310"/>
      <c r="OP20" s="310"/>
      <c r="OQ20" s="310"/>
      <c r="OR20" s="310"/>
      <c r="OS20" s="310"/>
      <c r="OT20" s="310"/>
      <c r="OU20" s="280" t="e">
        <f>OX18</f>
        <v>#N/A</v>
      </c>
      <c r="OV20" s="280" t="e">
        <f>OV18</f>
        <v>#N/A</v>
      </c>
      <c r="OW20" s="310"/>
      <c r="OX20" s="310"/>
      <c r="OY20" s="310"/>
      <c r="OZ20" s="310"/>
      <c r="PA20" s="310"/>
      <c r="PB20" s="310"/>
      <c r="PC20" s="310"/>
      <c r="PD20" s="310"/>
      <c r="PE20" s="313">
        <v>6</v>
      </c>
      <c r="PF20" s="318" t="b">
        <f t="shared" si="33"/>
        <v>1</v>
      </c>
      <c r="PG20" s="283" t="e">
        <f t="shared" si="34"/>
        <v>#N/A</v>
      </c>
      <c r="PH20" s="283" t="e">
        <f t="shared" si="35"/>
        <v>#N/A</v>
      </c>
      <c r="PI20" s="295" t="e">
        <f t="shared" si="36"/>
        <v>#N/A</v>
      </c>
      <c r="PJ20" s="310"/>
      <c r="PK20" s="310"/>
      <c r="PL20" s="310"/>
      <c r="PM20" s="310"/>
      <c r="PN20" s="328" t="str">
        <v>C3</v>
      </c>
      <c r="PO20" s="328">
        <v>1.2999999999999998</v>
      </c>
      <c r="PP20" s="328">
        <v>0.95</v>
      </c>
      <c r="PQ20" s="310"/>
      <c r="PR20" s="310"/>
      <c r="PS20" s="342">
        <v>6</v>
      </c>
      <c r="PT20" s="261" t="e">
        <f t="shared" si="29"/>
        <v>#N/A</v>
      </c>
      <c r="PU20" s="261" t="e">
        <f t="shared" si="30"/>
        <v>#N/A</v>
      </c>
      <c r="PV20" s="310"/>
      <c r="PW20" s="310"/>
      <c r="PX20" s="310"/>
      <c r="PY20" s="310"/>
      <c r="PZ20" s="399" t="b">
        <f>IF(AND(PO9=TRUE,AX14=1),TRUE,FALSE)</f>
        <v>0</v>
      </c>
      <c r="QA20" s="350" t="s">
        <v>48</v>
      </c>
      <c r="QB20" s="350" t="s">
        <v>49</v>
      </c>
      <c r="QC20" s="310"/>
      <c r="QD20" s="310"/>
      <c r="QE20" s="310"/>
      <c r="QF20" s="310"/>
      <c r="QG20" s="310"/>
      <c r="QH20" s="310"/>
      <c r="QI20" s="310"/>
      <c r="QJ20" s="310"/>
      <c r="QK20" s="310"/>
      <c r="QL20" s="399" t="b">
        <f>IF(AND(PO9=TRUE,AX14=2),TRUE,FALSE)</f>
        <v>0</v>
      </c>
      <c r="QM20" s="350" t="s">
        <v>48</v>
      </c>
      <c r="QN20" s="350" t="s">
        <v>49</v>
      </c>
      <c r="QO20" s="310"/>
      <c r="QP20" s="310"/>
      <c r="QQ20" s="310"/>
      <c r="QR20" s="310"/>
      <c r="QS20" s="310"/>
      <c r="QT20" s="310"/>
      <c r="QU20" s="310"/>
      <c r="QV20" s="359" t="str">
        <v>C2</v>
      </c>
      <c r="QW20" s="367">
        <v>-1.2999999999999998</v>
      </c>
      <c r="QX20" s="367">
        <v>0.95</v>
      </c>
      <c r="QY20" s="310"/>
      <c r="QZ20" s="310"/>
      <c r="RA20" s="310"/>
      <c r="RB20" s="310"/>
      <c r="RC20" s="310"/>
      <c r="RD20" s="310"/>
      <c r="RE20" s="310"/>
      <c r="RF20" s="310"/>
      <c r="RG20" s="310"/>
      <c r="RH20" s="310"/>
      <c r="RI20" s="310"/>
      <c r="RJ20" s="310"/>
      <c r="RK20" s="310"/>
      <c r="RL20" s="310"/>
      <c r="RM20" s="310"/>
      <c r="RN20" s="310"/>
      <c r="RO20" s="310"/>
      <c r="RP20" s="310"/>
      <c r="RQ20" s="310"/>
      <c r="RR20" s="310"/>
      <c r="RS20" s="310"/>
      <c r="RT20" s="310"/>
      <c r="RU20" s="310"/>
      <c r="RV20" s="310"/>
      <c r="RW20" s="310">
        <f>RW14*RW15</f>
        <v>15560.999999999998</v>
      </c>
      <c r="RX20" s="310"/>
      <c r="RY20" s="310"/>
      <c r="RZ20" s="310"/>
      <c r="SA20" s="310"/>
      <c r="SB20" s="310"/>
      <c r="SC20" s="310"/>
      <c r="SD20" s="310"/>
      <c r="SE20" s="310"/>
      <c r="SF20" s="310"/>
      <c r="SG20" s="310"/>
      <c r="SH20" s="310"/>
      <c r="SI20" s="310"/>
      <c r="SJ20" s="310"/>
      <c r="SK20" s="310"/>
      <c r="SL20" s="310"/>
      <c r="SM20" s="310"/>
      <c r="SN20" s="310"/>
      <c r="SO20" s="220"/>
      <c r="SP20" s="220"/>
      <c r="SQ20" s="220"/>
      <c r="SR20" s="220"/>
      <c r="SS20" s="220"/>
      <c r="ST20" s="220"/>
      <c r="SU20" s="220"/>
      <c r="SV20" s="220"/>
      <c r="SW20" s="220"/>
      <c r="SX20" s="220"/>
      <c r="SY20" s="220"/>
      <c r="SZ20" s="220"/>
      <c r="TA20" s="220"/>
      <c r="TB20" s="220"/>
      <c r="TC20" s="220"/>
      <c r="TD20" s="220"/>
      <c r="TE20" s="220"/>
      <c r="TF20" s="220"/>
      <c r="TG20" s="220"/>
      <c r="TH20" s="220"/>
      <c r="TI20" s="220"/>
      <c r="TJ20" s="220"/>
      <c r="TK20" s="220"/>
      <c r="TL20" s="220"/>
      <c r="TM20" s="220"/>
      <c r="TN20" s="220"/>
      <c r="TO20" s="220"/>
      <c r="TP20" s="220"/>
      <c r="TQ20" s="220"/>
      <c r="TR20" s="220"/>
      <c r="TS20" s="220"/>
      <c r="TT20" s="220"/>
      <c r="TU20" s="220"/>
      <c r="TV20" s="220"/>
      <c r="TW20" s="220"/>
      <c r="TX20" s="220"/>
      <c r="TY20" s="220"/>
      <c r="TZ20" s="220"/>
      <c r="UA20" s="220"/>
      <c r="UB20" s="220"/>
      <c r="UC20" s="220"/>
      <c r="UD20" s="220"/>
      <c r="UE20" s="220"/>
      <c r="UF20" s="220"/>
      <c r="UG20" s="220"/>
      <c r="UH20" s="220"/>
      <c r="UI20" s="220"/>
      <c r="UJ20" s="220"/>
      <c r="UK20" s="216"/>
      <c r="UL20" s="216"/>
      <c r="UM20" s="216"/>
      <c r="UN20" s="216"/>
      <c r="UO20" s="216"/>
      <c r="UP20" s="216"/>
      <c r="UQ20" s="216"/>
      <c r="UR20" s="216"/>
      <c r="US20" s="216"/>
      <c r="UT20" s="216"/>
      <c r="UU20" s="216"/>
      <c r="UV20" s="216"/>
      <c r="UW20" s="216"/>
      <c r="UX20" s="216"/>
      <c r="UY20" s="216"/>
      <c r="UZ20" s="216"/>
      <c r="VA20" s="216"/>
    </row>
    <row r="21" spans="1:574" s="4" customFormat="1" ht="15" customHeight="1" x14ac:dyDescent="0.45">
      <c r="A21" s="46"/>
      <c r="B21" s="46"/>
      <c r="C21" s="46"/>
      <c r="D21" s="46"/>
      <c r="E21" s="46"/>
      <c r="F21" s="46"/>
      <c r="G21" s="48" t="str">
        <f>IF(BM9=TRUE,"P3 &gt;&gt;","")</f>
        <v>P3 &gt;&gt;</v>
      </c>
      <c r="H21" s="570" t="str">
        <f>IF(BM9=TRUE,IF(Q20&lt;&gt;"",Q20,""),"")</f>
        <v>P3</v>
      </c>
      <c r="I21" s="571"/>
      <c r="J21" s="727">
        <f>IF(BM9=TRUE,IF(BO56="","",BO56),"")</f>
        <v>-0.65</v>
      </c>
      <c r="K21" s="727"/>
      <c r="L21" s="727"/>
      <c r="M21" s="552">
        <f>IF(BM9=TRUE,IF(BP56="","",BP56),"")</f>
        <v>0.65</v>
      </c>
      <c r="N21" s="728"/>
      <c r="O21" s="729"/>
      <c r="P21" s="50"/>
      <c r="Q21" s="207" t="s">
        <v>152</v>
      </c>
      <c r="R21" s="515" t="str">
        <f>IF(CP20=TRUE,CQ20,"")</f>
        <v>P4 EXCLUDED</v>
      </c>
      <c r="S21" s="516"/>
      <c r="T21" s="50"/>
      <c r="U21" s="44"/>
      <c r="V21" s="44"/>
      <c r="W21" s="44"/>
      <c r="X21" s="44"/>
      <c r="Y21" s="44"/>
      <c r="Z21" s="44"/>
      <c r="AA21" s="44"/>
      <c r="AB21" s="44"/>
      <c r="AC21" s="44"/>
      <c r="AD21" s="11"/>
      <c r="AE21" s="11"/>
      <c r="AF21" s="11"/>
      <c r="AG21" s="11"/>
      <c r="AH21" s="11"/>
      <c r="AI21" s="11"/>
      <c r="AJ21" s="11"/>
      <c r="AK21" s="44"/>
      <c r="AL21" s="45"/>
      <c r="AM21" s="45"/>
      <c r="AN21" s="45"/>
      <c r="AO21" s="45"/>
      <c r="AP21" s="310" t="s">
        <v>234</v>
      </c>
      <c r="AQ21" s="310" t="s">
        <v>236</v>
      </c>
      <c r="AR21" s="310"/>
      <c r="AS21" s="310"/>
      <c r="AT21" s="310"/>
      <c r="AU21" s="310"/>
      <c r="AV21" s="310"/>
      <c r="AW21" s="310"/>
      <c r="AX21" s="310"/>
      <c r="AY21" s="310"/>
      <c r="AZ21" s="310"/>
      <c r="BA21" s="310"/>
      <c r="BB21" s="310"/>
      <c r="BC21" s="310"/>
      <c r="BD21" s="310"/>
      <c r="BE21" s="310"/>
      <c r="BF21" s="310"/>
      <c r="BG21" s="310"/>
      <c r="BH21" s="310"/>
      <c r="BI21" s="310"/>
      <c r="BJ21" s="310"/>
      <c r="BK21" s="310" t="e">
        <f>IF(AY15=TRUE,1,#N/A)</f>
        <v>#N/A</v>
      </c>
      <c r="BL21" s="310" t="e">
        <f>IF(AY15=TRUE,0,#N/A)</f>
        <v>#N/A</v>
      </c>
      <c r="BM21" s="310" t="s">
        <v>70</v>
      </c>
      <c r="BN21" s="310"/>
      <c r="BO21" s="310"/>
      <c r="BP21" s="310"/>
      <c r="BQ21" s="310"/>
      <c r="BR21" s="310"/>
      <c r="BS21" s="310"/>
      <c r="BT21" s="310"/>
      <c r="BU21" s="310"/>
      <c r="BV21" s="310"/>
      <c r="BW21" s="310"/>
      <c r="BX21" s="400" t="s">
        <v>72</v>
      </c>
      <c r="BY21" s="310" t="s">
        <v>73</v>
      </c>
      <c r="BZ21" s="310" t="s">
        <v>70</v>
      </c>
      <c r="CA21" s="310"/>
      <c r="CB21" s="310"/>
      <c r="CC21" s="310"/>
      <c r="CD21" s="310"/>
      <c r="CE21" s="310"/>
      <c r="CF21" s="310"/>
      <c r="CG21" s="310"/>
      <c r="CH21" s="310"/>
      <c r="CI21" s="310"/>
      <c r="CJ21" s="338" t="s">
        <v>216</v>
      </c>
      <c r="CK21" s="228" t="e">
        <f>IF(AND(CP13=TRUE,CL20=TRUE),IF(J26="",#N/A,J26),#N/A)</f>
        <v>#N/A</v>
      </c>
      <c r="CL21" s="228" t="e">
        <f>IF(AND(CP13=TRUE,CL20=TRUE),IF(H26="",#N/A,H26),#N/A)</f>
        <v>#N/A</v>
      </c>
      <c r="CM21" s="310"/>
      <c r="CN21" s="761"/>
      <c r="CO21" s="318" t="b">
        <v>1</v>
      </c>
      <c r="CP21" s="318" t="b">
        <v>1</v>
      </c>
      <c r="CQ21" s="311" t="str">
        <f>IF(CO21=TRUE,Q22&amp;" ACTIVE",Q22&amp;" EXCLUDED")</f>
        <v>P5 ACTIVE</v>
      </c>
      <c r="CR21" s="318">
        <f t="shared" si="37"/>
        <v>0</v>
      </c>
      <c r="CS21" s="368">
        <f t="shared" si="38"/>
        <v>0</v>
      </c>
      <c r="CT21" s="310"/>
      <c r="CU21" s="310"/>
      <c r="CV21" s="310"/>
      <c r="CW21" s="310"/>
      <c r="CX21" s="310"/>
      <c r="CY21" s="310"/>
      <c r="CZ21" s="310"/>
      <c r="DA21" s="310"/>
      <c r="DB21" s="310" t="s">
        <v>281</v>
      </c>
      <c r="DC21" s="280" t="e">
        <f>IF(DD6=TRUE,DA8-BT7/2,#N/A)</f>
        <v>#N/A</v>
      </c>
      <c r="DD21" s="280" t="e">
        <f>-DD11</f>
        <v>#N/A</v>
      </c>
      <c r="DE21" s="310" t="s">
        <v>281</v>
      </c>
      <c r="DF21" s="290" t="e">
        <f>IF(DG6=TRUE,-(BY22-CL21)-BT7/2,#N/A)</f>
        <v>#N/A</v>
      </c>
      <c r="DG21" s="280" t="e">
        <f>-DG11</f>
        <v>#N/A</v>
      </c>
      <c r="DH21" s="310"/>
      <c r="DI21" s="310"/>
      <c r="DJ21" s="310"/>
      <c r="DK21" s="313">
        <v>13</v>
      </c>
      <c r="DL21" s="282" t="e">
        <f t="shared" si="3"/>
        <v>#N/A</v>
      </c>
      <c r="DM21" s="291" t="e">
        <f t="shared" si="4"/>
        <v>#N/A</v>
      </c>
      <c r="DN21" s="310"/>
      <c r="DO21" s="310"/>
      <c r="DP21" s="310"/>
      <c r="DQ21" s="310"/>
      <c r="DR21" s="310"/>
      <c r="DS21" s="310"/>
      <c r="DT21" s="310" t="s">
        <v>72</v>
      </c>
      <c r="DU21" s="310" t="s">
        <v>73</v>
      </c>
      <c r="DV21" s="310" t="s">
        <v>70</v>
      </c>
      <c r="DW21" s="310"/>
      <c r="DX21" s="310" t="s">
        <v>72</v>
      </c>
      <c r="DY21" s="310" t="s">
        <v>73</v>
      </c>
      <c r="DZ21" s="310" t="s">
        <v>70</v>
      </c>
      <c r="EA21" s="310"/>
      <c r="EB21" s="310"/>
      <c r="EC21" s="338">
        <f>EC20</f>
        <v>0</v>
      </c>
      <c r="ED21" s="338">
        <f>IF(DU20=TRUE,CA17,#N/A)</f>
        <v>1.25</v>
      </c>
      <c r="EE21" s="310"/>
      <c r="EF21" s="310"/>
      <c r="EG21" s="310"/>
      <c r="EH21" s="310"/>
      <c r="EI21" s="310"/>
      <c r="EJ21" s="310"/>
      <c r="EK21" s="310"/>
      <c r="EL21" s="310"/>
      <c r="EM21" s="310"/>
      <c r="EN21" s="310"/>
      <c r="EO21" s="310"/>
      <c r="EP21" s="310"/>
      <c r="EQ21" s="310"/>
      <c r="ER21" s="310"/>
      <c r="ES21" s="332" t="e">
        <v>#N/A</v>
      </c>
      <c r="ET21" s="332" t="e">
        <v>#N/A</v>
      </c>
      <c r="EU21" s="388" t="str">
        <f>H21</f>
        <v>P3</v>
      </c>
      <c r="EV21" s="338" t="e">
        <f>IF(EV7=TRUE,EW9+EV11/2,#N/A)</f>
        <v>#N/A</v>
      </c>
      <c r="EW21" s="338" t="e">
        <f>IF(EV7=TRUE,EV9-((1/3)*(SQRT(3)/2)*EV11),#N/A)</f>
        <v>#N/A</v>
      </c>
      <c r="EX21" s="338" t="e">
        <f>IF(EV7=TRUE,EW9-EV11/2,#N/A)</f>
        <v>#N/A</v>
      </c>
      <c r="EY21" s="338" t="e">
        <f>IF(EV7=TRUE,EV9+((1/3)*(SQRT(3)/2)*EV11),#N/A)</f>
        <v>#N/A</v>
      </c>
      <c r="EZ21" s="338" t="e">
        <f>IF(EV7=TRUE,EW9+((1/3)*(SQRT(3)/2)*EV11),#N/A)</f>
        <v>#N/A</v>
      </c>
      <c r="FA21" s="338" t="e">
        <f>IF(EV7=TRUE,EV9+EV11/2,#N/A)</f>
        <v>#N/A</v>
      </c>
      <c r="FB21" s="338" t="e">
        <f>EW9+((2/3)*(SQRT(3)/2)*EV11)</f>
        <v>#N/A</v>
      </c>
      <c r="FC21" s="338" t="e">
        <f>FA19</f>
        <v>#N/A</v>
      </c>
      <c r="FD21" s="237" t="e">
        <v>#N/A</v>
      </c>
      <c r="FE21" s="237" t="e">
        <v>#N/A</v>
      </c>
      <c r="FF21" s="310"/>
      <c r="FG21" s="310"/>
      <c r="FH21" s="310"/>
      <c r="FI21" s="310"/>
      <c r="FJ21" s="310"/>
      <c r="FK21" s="310"/>
      <c r="FL21" s="310"/>
      <c r="FM21" s="310"/>
      <c r="FN21" s="310"/>
      <c r="FO21" s="310"/>
      <c r="FP21" s="310"/>
      <c r="FQ21" s="310"/>
      <c r="FR21" s="310"/>
      <c r="FS21" s="310"/>
      <c r="FT21" s="310"/>
      <c r="FU21" s="310"/>
      <c r="FV21" s="310"/>
      <c r="FW21" s="310"/>
      <c r="FX21" s="310"/>
      <c r="FY21" s="310"/>
      <c r="FZ21" s="310"/>
      <c r="GA21" s="310"/>
      <c r="GB21" s="310"/>
      <c r="GC21" s="310"/>
      <c r="GD21" s="310"/>
      <c r="GE21" s="310"/>
      <c r="GF21" s="310"/>
      <c r="GG21" s="310"/>
      <c r="GH21" s="310"/>
      <c r="GI21" s="310"/>
      <c r="GJ21" s="310"/>
      <c r="GK21" s="310"/>
      <c r="GL21" s="310"/>
      <c r="GM21" s="310"/>
      <c r="GN21" s="310"/>
      <c r="GO21" s="310"/>
      <c r="GP21" s="310"/>
      <c r="GQ21" s="310"/>
      <c r="GR21" s="310"/>
      <c r="GS21" s="310"/>
      <c r="GT21" s="310"/>
      <c r="GU21" s="310"/>
      <c r="GV21" s="310"/>
      <c r="GW21" s="310"/>
      <c r="GX21" s="314">
        <v>15</v>
      </c>
      <c r="GY21" s="316" t="s">
        <v>71</v>
      </c>
      <c r="GZ21" s="323">
        <v>15</v>
      </c>
      <c r="HA21" s="316">
        <v>15</v>
      </c>
      <c r="HB21" s="316">
        <v>1.5</v>
      </c>
      <c r="HC21" s="316">
        <f>HA21/SQRT(3)</f>
        <v>8.6602540378443873</v>
      </c>
      <c r="HD21" s="316"/>
      <c r="HE21" s="316"/>
      <c r="HF21" s="316"/>
      <c r="HG21" s="310"/>
      <c r="HH21" s="310"/>
      <c r="HI21" s="310"/>
      <c r="HJ21" s="310"/>
      <c r="HK21" s="342">
        <v>7</v>
      </c>
      <c r="HL21" s="235" t="e">
        <f t="shared" si="5"/>
        <v>#N/A</v>
      </c>
      <c r="HM21" s="235" t="e">
        <f t="shared" si="6"/>
        <v>#N/A</v>
      </c>
      <c r="HN21" s="310"/>
      <c r="HO21" s="310"/>
      <c r="HP21" s="235" t="e">
        <f t="shared" si="7"/>
        <v>#N/A</v>
      </c>
      <c r="HQ21" s="235" t="e">
        <f t="shared" si="8"/>
        <v>#N/A</v>
      </c>
      <c r="HR21" s="310"/>
      <c r="HS21" s="310"/>
      <c r="HT21" s="235" t="e">
        <f t="shared" si="9"/>
        <v>#N/A</v>
      </c>
      <c r="HU21" s="235" t="e">
        <f t="shared" si="10"/>
        <v>#N/A</v>
      </c>
      <c r="HV21" s="310"/>
      <c r="HW21" s="310"/>
      <c r="HX21" s="235" t="e">
        <f t="shared" si="11"/>
        <v>#N/A</v>
      </c>
      <c r="HY21" s="235" t="e">
        <f t="shared" si="12"/>
        <v>#N/A</v>
      </c>
      <c r="HZ21" s="310"/>
      <c r="IA21" s="310"/>
      <c r="IB21" s="235" t="e">
        <f t="shared" si="13"/>
        <v>#N/A</v>
      </c>
      <c r="IC21" s="235" t="e">
        <f t="shared" si="14"/>
        <v>#N/A</v>
      </c>
      <c r="ID21" s="310"/>
      <c r="IE21" s="342">
        <v>7</v>
      </c>
      <c r="IF21" s="262" t="e">
        <f t="shared" si="15"/>
        <v>#N/A</v>
      </c>
      <c r="IG21" s="262" t="e">
        <f t="shared" si="16"/>
        <v>#N/A</v>
      </c>
      <c r="IH21" s="390"/>
      <c r="II21" s="390"/>
      <c r="IJ21" s="262" t="e">
        <f t="shared" si="17"/>
        <v>#N/A</v>
      </c>
      <c r="IK21" s="262" t="e">
        <f t="shared" si="18"/>
        <v>#N/A</v>
      </c>
      <c r="IL21" s="390"/>
      <c r="IM21" s="390"/>
      <c r="IN21" s="262" t="e">
        <f t="shared" si="19"/>
        <v>#N/A</v>
      </c>
      <c r="IO21" s="262" t="e">
        <f t="shared" si="20"/>
        <v>#N/A</v>
      </c>
      <c r="IP21" s="390"/>
      <c r="IQ21" s="390"/>
      <c r="IR21" s="262" t="e">
        <f t="shared" si="21"/>
        <v>#N/A</v>
      </c>
      <c r="IS21" s="262" t="e">
        <f t="shared" si="22"/>
        <v>#N/A</v>
      </c>
      <c r="IT21" s="390"/>
      <c r="IU21" s="390"/>
      <c r="IV21" s="262" t="e">
        <f t="shared" si="23"/>
        <v>#N/A</v>
      </c>
      <c r="IW21" s="262" t="e">
        <f t="shared" si="24"/>
        <v>#N/A</v>
      </c>
      <c r="IX21" s="310"/>
      <c r="IY21" s="310"/>
      <c r="IZ21" s="310"/>
      <c r="JA21" s="310"/>
      <c r="JB21" s="338"/>
      <c r="JC21" s="228" t="e">
        <v>#N/A</v>
      </c>
      <c r="JD21" s="228" t="e">
        <v>#N/A</v>
      </c>
      <c r="JE21" s="310"/>
      <c r="JF21" s="310"/>
      <c r="JG21" s="310"/>
      <c r="JH21" s="310"/>
      <c r="JI21" s="338"/>
      <c r="JJ21" s="264" t="e">
        <v>#N/A</v>
      </c>
      <c r="JK21" s="264" t="e">
        <v>#N/A</v>
      </c>
      <c r="JL21" s="310"/>
      <c r="JM21" s="310"/>
      <c r="JN21" s="261" t="e">
        <f t="shared" si="25"/>
        <v>#N/A</v>
      </c>
      <c r="JO21" s="261" t="e">
        <f t="shared" si="26"/>
        <v>#N/A</v>
      </c>
      <c r="JP21" s="310"/>
      <c r="JQ21" s="310"/>
      <c r="JR21" s="261" t="e">
        <f t="shared" si="31"/>
        <v>#N/A</v>
      </c>
      <c r="JS21" s="261" t="e">
        <f t="shared" si="32"/>
        <v>#N/A</v>
      </c>
      <c r="JT21" s="310"/>
      <c r="JU21" s="310"/>
      <c r="JV21" s="261" t="e">
        <f t="shared" si="27"/>
        <v>#N/A</v>
      </c>
      <c r="JW21" s="261" t="e">
        <f t="shared" si="28"/>
        <v>#N/A</v>
      </c>
      <c r="JX21" s="310"/>
      <c r="JY21" s="313" t="s">
        <v>72</v>
      </c>
      <c r="JZ21" s="362" t="e">
        <f>IF(KA19=TRUE,$J$32,#N/A)</f>
        <v>#N/A</v>
      </c>
      <c r="KA21" s="363" t="e">
        <f>IF(KA19=TRUE,$H$32,#N/A)</f>
        <v>#N/A</v>
      </c>
      <c r="KB21" s="313" t="s">
        <v>149</v>
      </c>
      <c r="KC21" s="263" t="e">
        <f>JZ21+($IZ$10/2)</f>
        <v>#N/A</v>
      </c>
      <c r="KD21" s="263" t="e">
        <f>KA21+($IZ$10/2)-$IZ$9</f>
        <v>#N/A</v>
      </c>
      <c r="KE21" s="310"/>
      <c r="KF21" s="397"/>
      <c r="KG21" s="397"/>
      <c r="KH21" s="397"/>
      <c r="KI21" s="397"/>
      <c r="KJ21" s="310"/>
      <c r="KK21" s="310"/>
      <c r="KL21" s="329"/>
      <c r="KM21" s="310"/>
      <c r="KN21" s="243" t="e">
        <f>IF(KR10=TRUE,ON51,#N/A)</f>
        <v>#N/A</v>
      </c>
      <c r="KO21" s="243" t="e">
        <f>KO20</f>
        <v>#N/A</v>
      </c>
      <c r="KP21" s="391"/>
      <c r="KQ21" s="391"/>
      <c r="KR21" s="391"/>
      <c r="KS21" s="270" t="e">
        <f>KS20</f>
        <v>#N/A</v>
      </c>
      <c r="KT21" s="270" t="e">
        <f>IF(KW10=TRUE,OO51,#N/A)</f>
        <v>#N/A</v>
      </c>
      <c r="KU21" s="380"/>
      <c r="KV21" s="391"/>
      <c r="KW21" s="380"/>
      <c r="KX21" s="310"/>
      <c r="KY21" s="310"/>
      <c r="KZ21" s="310"/>
      <c r="LA21" s="310"/>
      <c r="LB21" s="310"/>
      <c r="LC21" s="346" t="e">
        <v>#N/A</v>
      </c>
      <c r="LD21" s="346" t="e">
        <v>#N/A</v>
      </c>
      <c r="LE21" s="346" t="e">
        <v>#N/A</v>
      </c>
      <c r="LF21" s="310"/>
      <c r="LG21" s="310"/>
      <c r="LH21" s="391" t="e">
        <f>LH20</f>
        <v>#N/A</v>
      </c>
      <c r="LI21" s="391" t="e">
        <f>OO54</f>
        <v>#N/A</v>
      </c>
      <c r="LJ21" s="338" t="e">
        <v>#N/A</v>
      </c>
      <c r="LK21" s="338" t="e">
        <v>#N/A</v>
      </c>
      <c r="LL21" s="391"/>
      <c r="LM21" s="310"/>
      <c r="LN21" s="310"/>
      <c r="LO21" s="380">
        <f>LO20</f>
        <v>-1.4999999999999998</v>
      </c>
      <c r="LP21" s="338">
        <f>OO49</f>
        <v>-0.95</v>
      </c>
      <c r="LQ21" s="338" t="e">
        <v>#N/A</v>
      </c>
      <c r="LR21" s="338" t="e">
        <v>#N/A</v>
      </c>
      <c r="LS21" s="391"/>
      <c r="LT21" s="310"/>
      <c r="LU21" s="310"/>
      <c r="LV21" s="338">
        <f>ON51</f>
        <v>1.2999999999999998</v>
      </c>
      <c r="LW21" s="338">
        <f>LW20</f>
        <v>1.19</v>
      </c>
      <c r="LX21" s="338" t="e">
        <v>#N/A</v>
      </c>
      <c r="LY21" s="338" t="e">
        <v>#N/A</v>
      </c>
      <c r="LZ21" s="391"/>
      <c r="MA21" s="310"/>
      <c r="MB21" s="310"/>
      <c r="MC21" s="338">
        <f>ON52</f>
        <v>1.2999999999999998</v>
      </c>
      <c r="MD21" s="338">
        <f>MD20</f>
        <v>1.27</v>
      </c>
      <c r="ME21" s="338" t="e">
        <v>#N/A</v>
      </c>
      <c r="MF21" s="338" t="e">
        <v>#N/A</v>
      </c>
      <c r="MG21" s="391"/>
      <c r="MH21" s="310"/>
      <c r="MI21" s="310"/>
      <c r="MJ21" s="242" t="e">
        <v>#N/A</v>
      </c>
      <c r="MK21" s="242" t="e">
        <v>#N/A</v>
      </c>
      <c r="ML21" s="242" t="e">
        <v>#N/A</v>
      </c>
      <c r="MM21" s="242" t="e">
        <v>#N/A</v>
      </c>
      <c r="MN21" s="391"/>
      <c r="MO21" s="310"/>
      <c r="MP21" s="311" t="e">
        <v>#N/A</v>
      </c>
      <c r="MQ21" s="311" t="e">
        <v>#N/A</v>
      </c>
      <c r="MR21" s="311"/>
      <c r="MS21" s="311"/>
      <c r="MT21" s="310"/>
      <c r="MU21" s="313" t="s">
        <v>48</v>
      </c>
      <c r="MV21" s="313" t="s">
        <v>49</v>
      </c>
      <c r="MW21" s="313" t="s">
        <v>48</v>
      </c>
      <c r="MX21" s="313" t="s">
        <v>49</v>
      </c>
      <c r="MY21" s="313" t="s">
        <v>48</v>
      </c>
      <c r="MZ21" s="313" t="s">
        <v>49</v>
      </c>
      <c r="NA21" s="313" t="s">
        <v>48</v>
      </c>
      <c r="NB21" s="313" t="s">
        <v>49</v>
      </c>
      <c r="NC21" s="310"/>
      <c r="ND21" s="310"/>
      <c r="NE21" s="310"/>
      <c r="NF21" s="310"/>
      <c r="NG21" s="310"/>
      <c r="NH21" s="310"/>
      <c r="NI21" s="310"/>
      <c r="NJ21" s="310"/>
      <c r="NK21" s="310"/>
      <c r="NL21" s="310"/>
      <c r="NM21" s="338" t="s">
        <v>117</v>
      </c>
      <c r="NN21" s="338" t="s">
        <v>334</v>
      </c>
      <c r="NO21" s="338">
        <f>ON51</f>
        <v>1.2999999999999998</v>
      </c>
      <c r="NP21" s="338">
        <f>OO51</f>
        <v>0.95</v>
      </c>
      <c r="NQ21" s="310"/>
      <c r="NR21" s="310"/>
      <c r="NS21" s="272">
        <f>OC9</f>
        <v>-0.65</v>
      </c>
      <c r="NT21" s="272">
        <f>OD9</f>
        <v>0.65</v>
      </c>
      <c r="NU21" s="401"/>
      <c r="NV21" s="401"/>
      <c r="NW21" s="310"/>
      <c r="NX21" s="310"/>
      <c r="NY21" s="310"/>
      <c r="NZ21" s="310"/>
      <c r="OA21" s="310"/>
      <c r="OB21" s="310"/>
      <c r="OC21" s="310"/>
      <c r="OD21" s="310"/>
      <c r="OE21" s="310"/>
      <c r="OF21" s="310"/>
      <c r="OG21" s="310"/>
      <c r="OH21" s="310"/>
      <c r="OI21" s="310"/>
      <c r="OJ21" s="310"/>
      <c r="OK21" s="310"/>
      <c r="OL21" s="310"/>
      <c r="OM21" s="329" t="s">
        <v>445</v>
      </c>
      <c r="ON21" s="310" t="b">
        <f>AND(OM9=TRUE,ON20=TRUE)</f>
        <v>0</v>
      </c>
      <c r="OO21" s="310"/>
      <c r="OP21" s="310"/>
      <c r="OQ21" s="310"/>
      <c r="OR21" s="310"/>
      <c r="OS21" s="310"/>
      <c r="OT21" s="310"/>
      <c r="OU21" s="280" t="e">
        <f>IF(OV8=TRUE,ON50,#N/A)</f>
        <v>#N/A</v>
      </c>
      <c r="OV21" s="280" t="e">
        <f>OV20</f>
        <v>#N/A</v>
      </c>
      <c r="OW21" s="310"/>
      <c r="OX21" s="677" t="s">
        <v>454</v>
      </c>
      <c r="OY21" s="677"/>
      <c r="OZ21" s="310"/>
      <c r="PA21" s="677" t="s">
        <v>460</v>
      </c>
      <c r="PB21" s="677"/>
      <c r="PC21" s="310"/>
      <c r="PD21" s="310"/>
      <c r="PE21" s="313">
        <v>7</v>
      </c>
      <c r="PF21" s="318" t="b">
        <f t="shared" si="33"/>
        <v>1</v>
      </c>
      <c r="PG21" s="283" t="e">
        <f t="shared" si="34"/>
        <v>#N/A</v>
      </c>
      <c r="PH21" s="283" t="e">
        <f t="shared" si="35"/>
        <v>#N/A</v>
      </c>
      <c r="PI21" s="295" t="e">
        <f t="shared" si="36"/>
        <v>#N/A</v>
      </c>
      <c r="PJ21" s="310"/>
      <c r="PK21" s="310"/>
      <c r="PL21" s="310"/>
      <c r="PM21" s="310"/>
      <c r="PN21" s="328" t="str">
        <v>C4</v>
      </c>
      <c r="PO21" s="328">
        <v>1.2999999999999998</v>
      </c>
      <c r="PP21" s="328">
        <v>-0.95</v>
      </c>
      <c r="PQ21" s="310"/>
      <c r="PR21" s="310"/>
      <c r="PS21" s="342">
        <v>7</v>
      </c>
      <c r="PT21" s="261" t="e">
        <f t="shared" si="29"/>
        <v>#N/A</v>
      </c>
      <c r="PU21" s="261" t="e">
        <f t="shared" si="30"/>
        <v>#N/A</v>
      </c>
      <c r="PV21" s="310"/>
      <c r="PW21" s="310"/>
      <c r="PX21" s="310"/>
      <c r="PY21" s="310"/>
      <c r="PZ21" s="310"/>
      <c r="QA21" s="257" t="e">
        <f>IF(PZ20=TRUE,PY11-QA9*2,#N/A)</f>
        <v>#N/A</v>
      </c>
      <c r="QB21" s="257" t="e">
        <f>IF(PZ20=TRUE,PP14,#N/A)</f>
        <v>#N/A</v>
      </c>
      <c r="QC21" s="310"/>
      <c r="QD21" s="310"/>
      <c r="QE21" s="310"/>
      <c r="QF21" s="310"/>
      <c r="QG21" s="310"/>
      <c r="QH21" s="310"/>
      <c r="QI21" s="310"/>
      <c r="QJ21" s="310"/>
      <c r="QK21" s="310"/>
      <c r="QL21" s="310"/>
      <c r="QM21" s="257" t="e">
        <f>IF(AND(CP13=TRUE,CU11=TRUE),IF(QL20=TRUE,PO14,#N/A),#N/A)</f>
        <v>#N/A</v>
      </c>
      <c r="QN21" s="257" t="e">
        <f>IF(QL20=TRUE,PX11+QA9*2,#N/A)</f>
        <v>#N/A</v>
      </c>
      <c r="QO21" s="310"/>
      <c r="QP21" s="310"/>
      <c r="QQ21" s="310"/>
      <c r="QR21" s="310"/>
      <c r="QS21" s="310"/>
      <c r="QT21" s="310"/>
      <c r="QU21" s="310"/>
      <c r="QV21" s="359" t="str">
        <v>C1</v>
      </c>
      <c r="QW21" s="367">
        <v>-1.2999999999999998</v>
      </c>
      <c r="QX21" s="367">
        <v>-0.95</v>
      </c>
      <c r="QY21" s="310"/>
      <c r="QZ21" s="310"/>
      <c r="RA21" s="310"/>
      <c r="RB21" s="310"/>
      <c r="RC21" s="310"/>
      <c r="RD21" s="310"/>
      <c r="RE21" s="310"/>
      <c r="RF21" s="310"/>
      <c r="RG21" s="310"/>
      <c r="RH21" s="310"/>
      <c r="RI21" s="310"/>
      <c r="RJ21" s="310"/>
      <c r="RK21" s="310"/>
      <c r="RL21" s="310"/>
      <c r="RM21" s="310"/>
      <c r="RN21" s="310"/>
      <c r="RO21" s="310"/>
      <c r="RP21" s="310"/>
      <c r="RQ21" s="310"/>
      <c r="RR21" s="310"/>
      <c r="RS21" s="310"/>
      <c r="RT21" s="310"/>
      <c r="RU21" s="310"/>
      <c r="RV21" s="310"/>
      <c r="RW21" s="392">
        <f>IF(BM10=TRUE,RW13/RW20,#N/A)</f>
        <v>6.9404279930595729</v>
      </c>
      <c r="RX21" s="310"/>
      <c r="RY21" s="310"/>
      <c r="RZ21" s="310"/>
      <c r="SA21" s="310"/>
      <c r="SB21" s="310"/>
      <c r="SC21" s="310"/>
      <c r="SD21" s="310"/>
      <c r="SE21" s="310"/>
      <c r="SF21" s="310"/>
      <c r="SG21" s="310"/>
      <c r="SH21" s="310"/>
      <c r="SI21" s="310"/>
      <c r="SJ21" s="310"/>
      <c r="SK21" s="310"/>
      <c r="SL21" s="310"/>
      <c r="SM21" s="310"/>
      <c r="SN21" s="310"/>
      <c r="SO21" s="220"/>
      <c r="SP21" s="220"/>
      <c r="SQ21" s="220"/>
      <c r="SR21" s="220"/>
      <c r="SS21" s="220"/>
      <c r="ST21" s="220"/>
      <c r="SU21" s="220"/>
      <c r="SV21" s="220"/>
      <c r="SW21" s="220"/>
      <c r="SX21" s="220"/>
      <c r="SY21" s="220"/>
      <c r="SZ21" s="220"/>
      <c r="TA21" s="220"/>
      <c r="TB21" s="220"/>
      <c r="TC21" s="220"/>
      <c r="TD21" s="220"/>
      <c r="TE21" s="220"/>
      <c r="TF21" s="220"/>
      <c r="TG21" s="220"/>
      <c r="TH21" s="220"/>
      <c r="TI21" s="220"/>
      <c r="TJ21" s="220"/>
      <c r="TK21" s="220"/>
      <c r="TL21" s="220"/>
      <c r="TM21" s="220"/>
      <c r="TN21" s="220"/>
      <c r="TO21" s="220"/>
      <c r="TP21" s="220"/>
      <c r="TQ21" s="220"/>
      <c r="TR21" s="220"/>
      <c r="TS21" s="220"/>
      <c r="TT21" s="220"/>
      <c r="TU21" s="220"/>
      <c r="TV21" s="220"/>
      <c r="TW21" s="220"/>
      <c r="TX21" s="220"/>
      <c r="TY21" s="220"/>
      <c r="TZ21" s="220"/>
      <c r="UA21" s="220"/>
      <c r="UB21" s="220"/>
      <c r="UC21" s="220"/>
      <c r="UD21" s="220"/>
      <c r="UE21" s="220"/>
      <c r="UF21" s="220"/>
      <c r="UG21" s="220"/>
      <c r="UH21" s="220"/>
      <c r="UI21" s="220"/>
      <c r="UJ21" s="220"/>
      <c r="UK21" s="216"/>
      <c r="UL21" s="216"/>
      <c r="UM21" s="216"/>
      <c r="UN21" s="216"/>
      <c r="UO21" s="216"/>
      <c r="UP21" s="216"/>
      <c r="UQ21" s="216"/>
      <c r="UR21" s="216"/>
      <c r="US21" s="216"/>
      <c r="UT21" s="216"/>
      <c r="UU21" s="216"/>
      <c r="UV21" s="216"/>
      <c r="UW21" s="216"/>
      <c r="UX21" s="216"/>
      <c r="UY21" s="216"/>
      <c r="UZ21" s="216"/>
      <c r="VA21" s="216"/>
    </row>
    <row r="22" spans="1:574" s="4" customFormat="1" ht="15" customHeight="1" x14ac:dyDescent="0.45">
      <c r="A22" s="51"/>
      <c r="B22" s="51"/>
      <c r="C22" s="52"/>
      <c r="D22" s="52"/>
      <c r="E22" s="52"/>
      <c r="F22" s="52"/>
      <c r="G22" s="48" t="str">
        <f>IF(BM10=TRUE,"P4 &gt;&gt;","")</f>
        <v>P4 &gt;&gt;</v>
      </c>
      <c r="H22" s="570" t="str">
        <f>IF(BM10=TRUE,IF(Q21&lt;&gt;"",Q21,""),"")</f>
        <v>P4</v>
      </c>
      <c r="I22" s="571"/>
      <c r="J22" s="727">
        <f>IF(BM10=TRUE,IF(BO57="","",BO57),"")</f>
        <v>0.65</v>
      </c>
      <c r="K22" s="727"/>
      <c r="L22" s="727"/>
      <c r="M22" s="552">
        <f>IF(BM10=TRUE,IF(BP57="","",BP57),"")</f>
        <v>0.65</v>
      </c>
      <c r="N22" s="728"/>
      <c r="O22" s="729"/>
      <c r="P22" s="50"/>
      <c r="Q22" s="207" t="s">
        <v>167</v>
      </c>
      <c r="R22" s="515" t="str">
        <f>IF(CP21=TRUE,CQ21,"")</f>
        <v>P5 ACTIVE</v>
      </c>
      <c r="S22" s="516"/>
      <c r="T22" s="50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5"/>
      <c r="AM22" s="45"/>
      <c r="AN22" s="45"/>
      <c r="AO22" s="45"/>
      <c r="AP22" s="310" t="s">
        <v>235</v>
      </c>
      <c r="AQ22" s="310" t="s">
        <v>237</v>
      </c>
      <c r="AR22" s="310"/>
      <c r="AS22" s="310"/>
      <c r="AT22" s="310"/>
      <c r="AU22" s="310"/>
      <c r="AV22" s="310"/>
      <c r="AW22" s="310"/>
      <c r="AX22" s="310"/>
      <c r="AY22" s="310"/>
      <c r="AZ22" s="310"/>
      <c r="BA22" s="310"/>
      <c r="BB22" s="310"/>
      <c r="BC22" s="310"/>
      <c r="BD22" s="310"/>
      <c r="BE22" s="310"/>
      <c r="BF22" s="310"/>
      <c r="BG22" s="310"/>
      <c r="BH22" s="310"/>
      <c r="BI22" s="310"/>
      <c r="BJ22" s="310"/>
      <c r="BK22" s="310" t="e">
        <v>#N/A</v>
      </c>
      <c r="BL22" s="310" t="e">
        <v>#N/A</v>
      </c>
      <c r="BM22" s="310"/>
      <c r="BN22" s="310"/>
      <c r="BO22" s="310"/>
      <c r="BP22" s="338">
        <v>1</v>
      </c>
      <c r="BQ22" s="338" t="s">
        <v>451</v>
      </c>
      <c r="BR22" s="310"/>
      <c r="BS22" s="310"/>
      <c r="BT22" s="310"/>
      <c r="BU22" s="310"/>
      <c r="BV22" s="310"/>
      <c r="BW22" s="310"/>
      <c r="BX22" s="400"/>
      <c r="BY22" s="340" t="e">
        <f>IF(BY20=TRUE,$M$10,#N/A)</f>
        <v>#N/A</v>
      </c>
      <c r="BZ22" s="341" t="e">
        <f>IF(BY20=TRUE,$M$11,#N/A)</f>
        <v>#N/A</v>
      </c>
      <c r="CA22" s="310"/>
      <c r="CB22" s="310"/>
      <c r="CC22" s="310"/>
      <c r="CD22" s="310"/>
      <c r="CE22" s="310"/>
      <c r="CF22" s="310"/>
      <c r="CG22" s="310"/>
      <c r="CH22" s="310"/>
      <c r="CI22" s="310"/>
      <c r="CJ22" s="338" t="s">
        <v>217</v>
      </c>
      <c r="CK22" s="228" t="e">
        <f>IF(AND(CP13=TRUE,CL20=TRUE),IF(J27="",#N/A,J27),#N/A)</f>
        <v>#N/A</v>
      </c>
      <c r="CL22" s="228" t="e">
        <f>IF(AND(CP13=TRUE,CL20=TRUE),IF(H27="",#N/A,H27),#N/A)</f>
        <v>#N/A</v>
      </c>
      <c r="CM22" s="310"/>
      <c r="CN22" s="679" t="s">
        <v>637</v>
      </c>
      <c r="CO22" s="4" t="b">
        <f>AND($JM$11=TRUE,Q33&lt;&gt;"",R33&lt;&gt;"")</f>
        <v>1</v>
      </c>
      <c r="CP22" s="310"/>
      <c r="CQ22" s="310"/>
      <c r="CR22" s="338">
        <f>IF(CO22=TRUE,H31,"")</f>
        <v>0.65</v>
      </c>
      <c r="CS22" s="338">
        <f>IF(CO22=TRUE,J31,"")</f>
        <v>-1</v>
      </c>
      <c r="CT22" s="310"/>
      <c r="CU22" s="310"/>
      <c r="CV22" s="310"/>
      <c r="CW22" s="310"/>
      <c r="CX22" s="310"/>
      <c r="CY22" s="310"/>
      <c r="CZ22" s="310"/>
      <c r="DA22" s="310"/>
      <c r="DB22" s="310"/>
      <c r="DC22" s="280" t="e">
        <f>DC21</f>
        <v>#N/A</v>
      </c>
      <c r="DD22" s="280" t="e">
        <f>IF(DD6=TRUE,G52/100,#N/A)</f>
        <v>#N/A</v>
      </c>
      <c r="DE22" s="310"/>
      <c r="DF22" s="290" t="e">
        <f>DF21</f>
        <v>#N/A</v>
      </c>
      <c r="DG22" s="280" t="e">
        <f>IF(DG6=TRUE,G52/100,#N/A)</f>
        <v>#N/A</v>
      </c>
      <c r="DH22" s="310"/>
      <c r="DI22" s="310"/>
      <c r="DJ22" s="310"/>
      <c r="DK22" s="313">
        <v>14</v>
      </c>
      <c r="DL22" s="282" t="e">
        <f t="shared" si="3"/>
        <v>#N/A</v>
      </c>
      <c r="DM22" s="291" t="e">
        <f t="shared" si="4"/>
        <v>#N/A</v>
      </c>
      <c r="DN22" s="310"/>
      <c r="DO22" s="310"/>
      <c r="DP22" s="310"/>
      <c r="DQ22" s="310"/>
      <c r="DR22" s="310"/>
      <c r="DS22" s="310"/>
      <c r="DT22" s="310"/>
      <c r="DU22" s="340">
        <f>IF(DU20=TRUE,$M$10,#N/A)</f>
        <v>0</v>
      </c>
      <c r="DV22" s="341">
        <f>IF(DU20=TRUE,$M$11,#N/A)</f>
        <v>0</v>
      </c>
      <c r="DW22" s="310"/>
      <c r="DX22" s="310"/>
      <c r="DY22" s="340">
        <f>IF(DY20=TRUE,$M$10,#N/A)</f>
        <v>0</v>
      </c>
      <c r="DZ22" s="341">
        <f>IF(DY20=TRUE,$M$11,#N/A)</f>
        <v>0</v>
      </c>
      <c r="EA22" s="310"/>
      <c r="EB22" s="310"/>
      <c r="EC22" s="338" t="e">
        <v>#N/A</v>
      </c>
      <c r="ED22" s="338" t="e">
        <v>#N/A</v>
      </c>
      <c r="EE22" s="310"/>
      <c r="EF22" s="310"/>
      <c r="EG22" s="310"/>
      <c r="EH22" s="310"/>
      <c r="EI22" s="310"/>
      <c r="EJ22" s="310"/>
      <c r="EK22" s="310"/>
      <c r="EL22" s="310"/>
      <c r="EM22" s="310"/>
      <c r="EN22" s="310"/>
      <c r="EO22" s="310"/>
      <c r="EP22" s="310"/>
      <c r="EQ22" s="310"/>
      <c r="ER22" s="310"/>
      <c r="ES22" s="310"/>
      <c r="ET22" s="310"/>
      <c r="EU22" s="310"/>
      <c r="EV22" s="310"/>
      <c r="EW22" s="310"/>
      <c r="EX22" s="310"/>
      <c r="EY22" s="310"/>
      <c r="EZ22" s="310"/>
      <c r="FA22" s="310"/>
      <c r="FB22" s="310"/>
      <c r="FC22" s="310"/>
      <c r="FD22" s="310"/>
      <c r="FE22" s="310"/>
      <c r="FF22" s="310"/>
      <c r="FG22" s="310"/>
      <c r="FH22" s="310"/>
      <c r="FI22" s="310"/>
      <c r="FJ22" s="310"/>
      <c r="FK22" s="310"/>
      <c r="FL22" s="310"/>
      <c r="FM22" s="310"/>
      <c r="FN22" s="310"/>
      <c r="FO22" s="310"/>
      <c r="FP22" s="338" t="str" cm="1">
        <f t="array" ref="FP22">INDEX(BK7:BK11,BK6)</f>
        <v>F5</v>
      </c>
      <c r="FQ22" s="531" t="s">
        <v>13</v>
      </c>
      <c r="FR22" s="531"/>
      <c r="FS22" s="531" t="s">
        <v>234</v>
      </c>
      <c r="FT22" s="531"/>
      <c r="FU22" s="531" t="s">
        <v>235</v>
      </c>
      <c r="FV22" s="531"/>
      <c r="FW22" s="531" t="s">
        <v>19</v>
      </c>
      <c r="FX22" s="531"/>
      <c r="FY22" s="531" t="s">
        <v>24</v>
      </c>
      <c r="FZ22" s="531"/>
      <c r="GA22" s="310"/>
      <c r="GB22" s="310"/>
      <c r="GC22" s="310"/>
      <c r="GD22" s="310"/>
      <c r="GE22" s="311"/>
      <c r="GF22" s="311"/>
      <c r="GG22" s="311"/>
      <c r="GH22" s="311"/>
      <c r="GI22" s="311"/>
      <c r="GJ22" s="311"/>
      <c r="GK22" s="310"/>
      <c r="GL22" s="310"/>
      <c r="GM22" s="310"/>
      <c r="GN22" s="310"/>
      <c r="GO22" s="310"/>
      <c r="GP22" s="310"/>
      <c r="GQ22" s="310"/>
      <c r="GR22" s="310"/>
      <c r="GS22" s="310"/>
      <c r="GT22" s="310"/>
      <c r="GU22" s="310"/>
      <c r="GV22" s="310"/>
      <c r="GW22" s="310"/>
      <c r="GX22" s="314">
        <v>16</v>
      </c>
      <c r="GY22" s="316" t="s">
        <v>74</v>
      </c>
      <c r="GZ22" s="323">
        <v>18</v>
      </c>
      <c r="HA22" s="316">
        <v>18</v>
      </c>
      <c r="HB22" s="316">
        <v>7.5</v>
      </c>
      <c r="HC22" s="316">
        <f t="shared" ref="HC22:HC27" si="39">HA22/SQRT(3)</f>
        <v>10.392304845413264</v>
      </c>
      <c r="HD22" s="316"/>
      <c r="HE22" s="316"/>
      <c r="HF22" s="316"/>
      <c r="HG22" s="310"/>
      <c r="HH22" s="310"/>
      <c r="HI22" s="310"/>
      <c r="HJ22" s="310"/>
      <c r="HK22" s="342">
        <v>8</v>
      </c>
      <c r="HL22" s="235" t="e">
        <f t="shared" si="5"/>
        <v>#N/A</v>
      </c>
      <c r="HM22" s="235" t="e">
        <f t="shared" si="6"/>
        <v>#N/A</v>
      </c>
      <c r="HN22" s="310"/>
      <c r="HO22" s="310"/>
      <c r="HP22" s="235" t="e">
        <f t="shared" si="7"/>
        <v>#N/A</v>
      </c>
      <c r="HQ22" s="235" t="e">
        <f t="shared" si="8"/>
        <v>#N/A</v>
      </c>
      <c r="HR22" s="310"/>
      <c r="HS22" s="310"/>
      <c r="HT22" s="235" t="e">
        <f t="shared" si="9"/>
        <v>#N/A</v>
      </c>
      <c r="HU22" s="235" t="e">
        <f t="shared" si="10"/>
        <v>#N/A</v>
      </c>
      <c r="HV22" s="310"/>
      <c r="HW22" s="310"/>
      <c r="HX22" s="235" t="e">
        <f t="shared" si="11"/>
        <v>#N/A</v>
      </c>
      <c r="HY22" s="235" t="e">
        <f t="shared" si="12"/>
        <v>#N/A</v>
      </c>
      <c r="HZ22" s="310"/>
      <c r="IA22" s="310"/>
      <c r="IB22" s="235" t="e">
        <f t="shared" si="13"/>
        <v>#N/A</v>
      </c>
      <c r="IC22" s="235" t="e">
        <f t="shared" si="14"/>
        <v>#N/A</v>
      </c>
      <c r="ID22" s="310"/>
      <c r="IE22" s="342">
        <v>8</v>
      </c>
      <c r="IF22" s="262" t="e">
        <f t="shared" si="15"/>
        <v>#N/A</v>
      </c>
      <c r="IG22" s="262" t="e">
        <f t="shared" si="16"/>
        <v>#N/A</v>
      </c>
      <c r="IH22" s="390"/>
      <c r="II22" s="390"/>
      <c r="IJ22" s="262" t="e">
        <f t="shared" si="17"/>
        <v>#N/A</v>
      </c>
      <c r="IK22" s="262" t="e">
        <f t="shared" si="18"/>
        <v>#N/A</v>
      </c>
      <c r="IL22" s="390"/>
      <c r="IM22" s="390"/>
      <c r="IN22" s="262" t="e">
        <f t="shared" si="19"/>
        <v>#N/A</v>
      </c>
      <c r="IO22" s="262" t="e">
        <f t="shared" si="20"/>
        <v>#N/A</v>
      </c>
      <c r="IP22" s="390"/>
      <c r="IQ22" s="390"/>
      <c r="IR22" s="262" t="e">
        <f t="shared" si="21"/>
        <v>#N/A</v>
      </c>
      <c r="IS22" s="262" t="e">
        <f t="shared" si="22"/>
        <v>#N/A</v>
      </c>
      <c r="IT22" s="390"/>
      <c r="IU22" s="390"/>
      <c r="IV22" s="262" t="e">
        <f t="shared" si="23"/>
        <v>#N/A</v>
      </c>
      <c r="IW22" s="262" t="e">
        <f t="shared" si="24"/>
        <v>#N/A</v>
      </c>
      <c r="IX22" s="310"/>
      <c r="IY22" s="342" t="s">
        <v>353</v>
      </c>
      <c r="IZ22" s="313" t="s">
        <v>374</v>
      </c>
      <c r="JA22" s="343" t="b">
        <f>AND($GY$6&gt;=$GX$14,$GY$6&lt;=$GX$20,$BM$8=TRUE)</f>
        <v>0</v>
      </c>
      <c r="JB22" s="313" t="s">
        <v>106</v>
      </c>
      <c r="JC22" s="236" t="e">
        <f>IZ24-($IZ$10/2)+$IZ$9</f>
        <v>#N/A</v>
      </c>
      <c r="JD22" s="236" t="e">
        <f>JA24+$IZ$10/2</f>
        <v>#N/A</v>
      </c>
      <c r="JE22" s="310"/>
      <c r="JF22" s="342" t="s">
        <v>353</v>
      </c>
      <c r="JG22" s="313" t="s">
        <v>374</v>
      </c>
      <c r="JH22" s="343" t="b">
        <f>IF(CP13=TRUE,AND($GY$6&gt;=$GX$14,$GY$6&lt;=$GX$20,$BM$8=TRUE,$BE$7=TRUE,CU11=TRUE),FALSE)</f>
        <v>0</v>
      </c>
      <c r="JI22" s="313" t="s">
        <v>106</v>
      </c>
      <c r="JJ22" s="263" t="e">
        <f>JG24-($IZ$10/2)+$IZ$9</f>
        <v>#N/A</v>
      </c>
      <c r="JK22" s="263" t="e">
        <f>JH24+$IZ$10/2</f>
        <v>#N/A</v>
      </c>
      <c r="JL22" s="310"/>
      <c r="JM22" s="310"/>
      <c r="JN22" s="261" t="e">
        <f t="shared" si="25"/>
        <v>#N/A</v>
      </c>
      <c r="JO22" s="261" t="e">
        <f t="shared" si="26"/>
        <v>#N/A</v>
      </c>
      <c r="JP22" s="310"/>
      <c r="JQ22" s="310"/>
      <c r="JR22" s="261" t="e">
        <f t="shared" si="31"/>
        <v>#N/A</v>
      </c>
      <c r="JS22" s="261" t="e">
        <f t="shared" si="32"/>
        <v>#N/A</v>
      </c>
      <c r="JT22" s="310"/>
      <c r="JU22" s="310"/>
      <c r="JV22" s="261" t="e">
        <f t="shared" si="27"/>
        <v>#N/A</v>
      </c>
      <c r="JW22" s="261" t="e">
        <f t="shared" si="28"/>
        <v>#N/A</v>
      </c>
      <c r="JX22" s="310"/>
      <c r="JY22" s="310"/>
      <c r="JZ22" s="310"/>
      <c r="KA22" s="310"/>
      <c r="KB22" s="313" t="s">
        <v>152</v>
      </c>
      <c r="KC22" s="263" t="e">
        <f>KC21</f>
        <v>#N/A</v>
      </c>
      <c r="KD22" s="263" t="e">
        <f>KA21-($IZ$10/2)+$IZ$9</f>
        <v>#N/A</v>
      </c>
      <c r="KE22" s="310"/>
      <c r="KF22" s="397"/>
      <c r="KG22" s="397"/>
      <c r="KH22" s="397"/>
      <c r="KI22" s="397"/>
      <c r="KJ22" s="310"/>
      <c r="KK22" s="310"/>
      <c r="KL22" s="329"/>
      <c r="KM22" s="310"/>
      <c r="KN22" s="267" t="e">
        <v>#N/A</v>
      </c>
      <c r="KO22" s="267" t="e">
        <v>#N/A</v>
      </c>
      <c r="KP22" s="391"/>
      <c r="KQ22" s="391"/>
      <c r="KR22" s="391"/>
      <c r="KS22" s="267" t="e">
        <v>#N/A</v>
      </c>
      <c r="KT22" s="267" t="e">
        <v>#N/A</v>
      </c>
      <c r="KU22" s="380"/>
      <c r="KV22" s="391"/>
      <c r="KW22" s="380"/>
      <c r="KX22" s="310"/>
      <c r="KY22" s="310"/>
      <c r="KZ22" s="310"/>
      <c r="LA22" s="310"/>
      <c r="LB22" s="310"/>
      <c r="LC22" s="346" t="e">
        <v>#N/A</v>
      </c>
      <c r="LD22" s="346" t="e">
        <v>#N/A</v>
      </c>
      <c r="LE22" s="346" t="e">
        <v>#N/A</v>
      </c>
      <c r="LF22" s="310"/>
      <c r="LG22" s="310"/>
      <c r="LH22" s="391" t="e">
        <f>ON54-LH7</f>
        <v>#N/A</v>
      </c>
      <c r="LI22" s="391" t="e">
        <f>LI21</f>
        <v>#N/A</v>
      </c>
      <c r="LJ22" s="338" t="e">
        <v>#N/A</v>
      </c>
      <c r="LK22" s="338" t="e">
        <v>#N/A</v>
      </c>
      <c r="LL22" s="391"/>
      <c r="LM22" s="310"/>
      <c r="LN22" s="310"/>
      <c r="LO22" s="338">
        <f>ON49-LO7</f>
        <v>-1.3499999999999999</v>
      </c>
      <c r="LP22" s="338">
        <f>LP21</f>
        <v>-0.95</v>
      </c>
      <c r="LQ22" s="338" t="e">
        <v>#N/A</v>
      </c>
      <c r="LR22" s="338" t="e">
        <v>#N/A</v>
      </c>
      <c r="LS22" s="391"/>
      <c r="LT22" s="310"/>
      <c r="LU22" s="310"/>
      <c r="LV22" s="338">
        <f>LV21</f>
        <v>1.2999999999999998</v>
      </c>
      <c r="LW22" s="338">
        <f>OO51+LV7</f>
        <v>1</v>
      </c>
      <c r="LX22" s="338" t="e">
        <v>#N/A</v>
      </c>
      <c r="LY22" s="338" t="e">
        <v>#N/A</v>
      </c>
      <c r="LZ22" s="391"/>
      <c r="MA22" s="310"/>
      <c r="MB22" s="310"/>
      <c r="MC22" s="338">
        <f>MC21</f>
        <v>1.2999999999999998</v>
      </c>
      <c r="MD22" s="338">
        <f>OO52+MC7</f>
        <v>-0.89999999999999991</v>
      </c>
      <c r="ME22" s="338" t="e">
        <v>#N/A</v>
      </c>
      <c r="MF22" s="338" t="e">
        <v>#N/A</v>
      </c>
      <c r="MG22" s="391"/>
      <c r="MH22" s="310"/>
      <c r="MI22" s="310"/>
      <c r="MJ22" s="242" t="e">
        <v>#N/A</v>
      </c>
      <c r="MK22" s="242" t="e">
        <v>#N/A</v>
      </c>
      <c r="ML22" s="242" t="e">
        <v>#N/A</v>
      </c>
      <c r="MM22" s="242" t="e">
        <v>#N/A</v>
      </c>
      <c r="MN22" s="391"/>
      <c r="MO22" s="310"/>
      <c r="MP22" s="311" t="e">
        <v>#N/A</v>
      </c>
      <c r="MQ22" s="311" t="e">
        <v>#N/A</v>
      </c>
      <c r="MR22" s="311"/>
      <c r="MS22" s="311"/>
      <c r="MT22" s="318" t="s">
        <v>320</v>
      </c>
      <c r="MU22" s="518" t="s">
        <v>337</v>
      </c>
      <c r="MV22" s="520"/>
      <c r="MW22" s="518" t="s">
        <v>334</v>
      </c>
      <c r="MX22" s="520"/>
      <c r="MY22" s="222" t="e">
        <f>INDEX($GP$25:$GP$30,MATCH(MU22,$GF$25:$GF$30,0))</f>
        <v>#N/A</v>
      </c>
      <c r="MZ22" s="222" t="e">
        <f>INDEX($GQ$25:$GQ$30,MATCH(MU22,$GF$25:$GF$30,0))</f>
        <v>#N/A</v>
      </c>
      <c r="NA22" s="222">
        <f>INDEX($GP$25:$GP$30,MATCH(MW22,$GF$25:$GF$30,0))</f>
        <v>1.2999999999999998</v>
      </c>
      <c r="NB22" s="222">
        <f>INDEX($GQ$25:$GQ$30,MATCH(MW22,$GF$25:$GF$30,0))</f>
        <v>0.95</v>
      </c>
      <c r="NC22" s="310"/>
      <c r="ND22" s="310"/>
      <c r="NE22" s="310"/>
      <c r="NF22" s="310"/>
      <c r="NG22" s="310"/>
      <c r="NH22" s="310"/>
      <c r="NI22" s="310"/>
      <c r="NJ22" s="310"/>
      <c r="NK22" s="310"/>
      <c r="NL22" s="310"/>
      <c r="NM22" s="338" t="s">
        <v>119</v>
      </c>
      <c r="NN22" s="338" t="s">
        <v>335</v>
      </c>
      <c r="NO22" s="338">
        <f>ON52</f>
        <v>1.2999999999999998</v>
      </c>
      <c r="NP22" s="338">
        <f>OO52</f>
        <v>-0.95</v>
      </c>
      <c r="NQ22" s="310"/>
      <c r="NR22" s="310"/>
      <c r="NS22" s="272" t="e">
        <v>#N/A</v>
      </c>
      <c r="NT22" s="272" t="e">
        <v>#N/A</v>
      </c>
      <c r="NU22" s="401"/>
      <c r="NV22" s="401"/>
      <c r="NW22" s="310"/>
      <c r="NX22" s="310"/>
      <c r="NY22" s="310"/>
      <c r="NZ22" s="310"/>
      <c r="OA22" s="310"/>
      <c r="OB22" s="310"/>
      <c r="OC22" s="310"/>
      <c r="OD22" s="310"/>
      <c r="OE22" s="310"/>
      <c r="OF22" s="310"/>
      <c r="OG22" s="310"/>
      <c r="OH22" s="310"/>
      <c r="OI22" s="310"/>
      <c r="OJ22" s="310"/>
      <c r="OK22" s="310"/>
      <c r="OL22" s="310"/>
      <c r="OM22" s="682" t="s">
        <v>18</v>
      </c>
      <c r="ON22" s="682"/>
      <c r="OO22" s="310"/>
      <c r="OP22" s="310"/>
      <c r="OQ22" s="310"/>
      <c r="OR22" s="310"/>
      <c r="OS22" s="310"/>
      <c r="OT22" s="310"/>
      <c r="OU22" s="280" t="e">
        <f>OU21</f>
        <v>#N/A</v>
      </c>
      <c r="OV22" s="280" t="e">
        <f>OV16</f>
        <v>#N/A</v>
      </c>
      <c r="OW22" s="310"/>
      <c r="OX22" s="313" t="s">
        <v>48</v>
      </c>
      <c r="OY22" s="313" t="s">
        <v>49</v>
      </c>
      <c r="OZ22" s="310"/>
      <c r="PA22" s="313" t="s">
        <v>48</v>
      </c>
      <c r="PB22" s="313" t="s">
        <v>49</v>
      </c>
      <c r="PC22" s="310"/>
      <c r="PD22" s="310"/>
      <c r="PE22" s="313">
        <v>8</v>
      </c>
      <c r="PF22" s="318" t="b">
        <f t="shared" si="33"/>
        <v>1</v>
      </c>
      <c r="PG22" s="283" t="e">
        <f t="shared" si="34"/>
        <v>#N/A</v>
      </c>
      <c r="PH22" s="283" t="e">
        <f t="shared" si="35"/>
        <v>#N/A</v>
      </c>
      <c r="PI22" s="295" t="e">
        <f t="shared" si="36"/>
        <v>#N/A</v>
      </c>
      <c r="PJ22" s="310"/>
      <c r="PK22" s="310"/>
      <c r="PL22" s="310"/>
      <c r="PM22" s="310"/>
      <c r="PN22" s="328" t="e">
        <v>#N/A</v>
      </c>
      <c r="PO22" s="328" t="e">
        <v>#N/A</v>
      </c>
      <c r="PP22" s="328" t="e">
        <v>#N/A</v>
      </c>
      <c r="PQ22" s="310"/>
      <c r="PR22" s="310"/>
      <c r="PS22" s="342">
        <v>8</v>
      </c>
      <c r="PT22" s="261" t="e">
        <f t="shared" si="29"/>
        <v>#N/A</v>
      </c>
      <c r="PU22" s="261" t="e">
        <f t="shared" si="30"/>
        <v>#N/A</v>
      </c>
      <c r="PV22" s="310"/>
      <c r="PW22" s="310"/>
      <c r="PX22" s="310"/>
      <c r="PY22" s="310"/>
      <c r="PZ22" s="310"/>
      <c r="QA22" s="257" t="e">
        <f>QA21</f>
        <v>#N/A</v>
      </c>
      <c r="QB22" s="257" t="e">
        <f>IF(PZ20=TRUE,PP17,#N/A)</f>
        <v>#N/A</v>
      </c>
      <c r="QC22" s="310"/>
      <c r="QD22" s="310"/>
      <c r="QE22" s="310"/>
      <c r="QF22" s="310"/>
      <c r="QG22" s="310"/>
      <c r="QH22" s="310"/>
      <c r="QI22" s="310"/>
      <c r="QJ22" s="310"/>
      <c r="QK22" s="310"/>
      <c r="QL22" s="310"/>
      <c r="QM22" s="257" t="e">
        <f>IF(AND(CP13=TRUE,CU11=TRUE),IF(QL20=TRUE,PO15,#N/A),#N/A)</f>
        <v>#N/A</v>
      </c>
      <c r="QN22" s="257" t="e">
        <f>QN21</f>
        <v>#N/A</v>
      </c>
      <c r="QO22" s="310"/>
      <c r="QP22" s="310"/>
      <c r="QQ22" s="310"/>
      <c r="QR22" s="310"/>
      <c r="QS22" s="310"/>
      <c r="QT22" s="310"/>
      <c r="QU22" s="310"/>
      <c r="QV22" s="310"/>
      <c r="QW22" s="310"/>
      <c r="QX22" s="310"/>
      <c r="QY22" s="310"/>
      <c r="QZ22" s="310"/>
      <c r="RA22" s="310"/>
      <c r="RB22" s="310" t="s">
        <v>504</v>
      </c>
      <c r="RC22" s="310"/>
      <c r="RD22" s="310"/>
      <c r="RE22" s="310"/>
      <c r="RF22" s="310"/>
      <c r="RG22" s="518" t="s">
        <v>508</v>
      </c>
      <c r="RH22" s="519"/>
      <c r="RI22" s="520"/>
      <c r="RJ22" s="310"/>
      <c r="RK22" s="310"/>
      <c r="RL22" s="310"/>
      <c r="RM22" s="310"/>
      <c r="RN22" s="310"/>
      <c r="RO22" s="310"/>
      <c r="RP22" s="310"/>
      <c r="RQ22" s="310"/>
      <c r="RR22" s="310"/>
      <c r="RS22" s="310"/>
      <c r="RT22" s="310"/>
      <c r="RU22" s="310"/>
      <c r="RV22" s="310"/>
      <c r="RW22" s="310"/>
      <c r="RX22" s="310"/>
      <c r="RY22" s="310"/>
      <c r="RZ22" s="310"/>
      <c r="SA22" s="310"/>
      <c r="SB22" s="310"/>
      <c r="SN22" s="310"/>
      <c r="SO22" s="220"/>
      <c r="SP22" s="220"/>
      <c r="SQ22" s="220"/>
      <c r="SR22" s="220"/>
      <c r="SS22" s="220"/>
      <c r="ST22" s="220"/>
      <c r="SU22" s="220"/>
      <c r="SV22" s="220"/>
      <c r="SW22" s="220"/>
      <c r="SX22" s="220"/>
      <c r="SY22" s="220"/>
      <c r="SZ22" s="220"/>
      <c r="TA22" s="220"/>
      <c r="TB22" s="220"/>
      <c r="TC22" s="220"/>
      <c r="TD22" s="220"/>
      <c r="TE22" s="220"/>
      <c r="TF22" s="220"/>
      <c r="TG22" s="220"/>
      <c r="TH22" s="220"/>
      <c r="TI22" s="220"/>
      <c r="TJ22" s="220"/>
      <c r="TK22" s="220"/>
      <c r="TL22" s="220"/>
      <c r="TM22" s="220"/>
      <c r="TN22" s="220"/>
      <c r="TO22" s="220"/>
      <c r="TP22" s="220"/>
      <c r="TQ22" s="220"/>
      <c r="TR22" s="220"/>
      <c r="TS22" s="220"/>
      <c r="TT22" s="220"/>
      <c r="TU22" s="220"/>
      <c r="TV22" s="220"/>
      <c r="TW22" s="220"/>
      <c r="TX22" s="220"/>
      <c r="TY22" s="220"/>
      <c r="TZ22" s="220"/>
      <c r="UA22" s="220"/>
      <c r="UB22" s="220"/>
      <c r="UC22" s="220"/>
      <c r="UD22" s="220"/>
      <c r="UE22" s="220"/>
      <c r="UF22" s="220"/>
      <c r="UG22" s="220"/>
      <c r="UH22" s="220"/>
      <c r="UI22" s="220"/>
      <c r="UJ22" s="220"/>
      <c r="UK22" s="216"/>
      <c r="UL22" s="216"/>
      <c r="UM22" s="216"/>
      <c r="UN22" s="216"/>
      <c r="UO22" s="216"/>
      <c r="UP22" s="216"/>
      <c r="UQ22" s="216"/>
      <c r="UR22" s="216"/>
      <c r="US22" s="216"/>
      <c r="UT22" s="216"/>
      <c r="UU22" s="216"/>
      <c r="UV22" s="216"/>
      <c r="UW22" s="216"/>
      <c r="UX22" s="216"/>
      <c r="UY22" s="216"/>
      <c r="UZ22" s="216"/>
      <c r="VA22" s="216"/>
    </row>
    <row r="23" spans="1:574" s="4" customFormat="1" ht="15" customHeight="1" x14ac:dyDescent="0.45">
      <c r="A23" s="51"/>
      <c r="B23" s="51"/>
      <c r="C23" s="52"/>
      <c r="D23" s="52"/>
      <c r="E23" s="52"/>
      <c r="F23" s="52"/>
      <c r="G23" s="53" t="str">
        <f>IF(BM11=TRUE,"P5 &gt;&gt;","")</f>
        <v>P5 &gt;&gt;</v>
      </c>
      <c r="H23" s="578" t="str">
        <f>IF(BM11=TRUE,IF(Q22&lt;&gt;"",Q22,""),"")</f>
        <v>P5</v>
      </c>
      <c r="I23" s="579"/>
      <c r="J23" s="738">
        <f>IF(BM11=TRUE,IF(BO58="","",BO58),"")</f>
        <v>0</v>
      </c>
      <c r="K23" s="738"/>
      <c r="L23" s="738"/>
      <c r="M23" s="739">
        <f>IF(BM11=TRUE,IF(BP58="","",BP58),"")</f>
        <v>0</v>
      </c>
      <c r="N23" s="740"/>
      <c r="O23" s="741"/>
      <c r="P23" s="50"/>
      <c r="Q23" s="50"/>
      <c r="R23" s="50"/>
      <c r="S23" s="50"/>
      <c r="T23" s="50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5"/>
      <c r="AM23" s="45"/>
      <c r="AN23" s="45"/>
      <c r="AO23" s="45"/>
      <c r="AP23" s="310" t="s">
        <v>57</v>
      </c>
      <c r="AQ23" s="310" t="s">
        <v>232</v>
      </c>
      <c r="AR23" s="310"/>
      <c r="AS23" s="310"/>
      <c r="AT23" s="310"/>
      <c r="AU23" s="310"/>
      <c r="AV23" s="310"/>
      <c r="AW23" s="310"/>
      <c r="AX23" s="310"/>
      <c r="AY23" s="310"/>
      <c r="AZ23" s="310"/>
      <c r="BA23" s="310" t="s">
        <v>76</v>
      </c>
      <c r="BB23" s="310"/>
      <c r="BC23" s="310"/>
      <c r="BD23" s="310"/>
      <c r="BE23" s="310"/>
      <c r="BF23" s="310"/>
      <c r="BG23" s="310"/>
      <c r="BH23" s="310"/>
      <c r="BI23" s="310"/>
      <c r="BJ23" s="310"/>
      <c r="BK23" s="310">
        <f>IF(AY16=TRUE,0,#N/A)</f>
        <v>0</v>
      </c>
      <c r="BL23" s="310">
        <f>IF(AY16=TRUE,0,#N/A)</f>
        <v>0</v>
      </c>
      <c r="BM23" s="310"/>
      <c r="BN23" s="310"/>
      <c r="BO23" s="310"/>
      <c r="BP23" s="338" t="b">
        <f>IF(BP22=1,TRUE,FALSE)</f>
        <v>1</v>
      </c>
      <c r="BQ23" s="338" t="s">
        <v>628</v>
      </c>
      <c r="BR23" s="310"/>
      <c r="BS23" s="310"/>
      <c r="BT23" s="310"/>
      <c r="BU23" s="310"/>
      <c r="BV23" s="310"/>
      <c r="BW23" s="310"/>
      <c r="BX23" s="400"/>
      <c r="BY23" s="310"/>
      <c r="BZ23" s="310"/>
      <c r="CA23" s="310"/>
      <c r="CB23" s="310"/>
      <c r="CC23" s="310"/>
      <c r="CD23" s="310"/>
      <c r="CE23" s="310"/>
      <c r="CF23" s="310"/>
      <c r="CG23" s="310"/>
      <c r="CH23" s="310"/>
      <c r="CI23" s="310"/>
      <c r="CJ23" s="310" t="b">
        <f>AND(BY20=TRUE,AY15=TRUE,H26&lt;&gt;"")</f>
        <v>0</v>
      </c>
      <c r="CK23" s="230" t="e">
        <v>#N/A</v>
      </c>
      <c r="CL23" s="230" t="e">
        <v>#N/A</v>
      </c>
      <c r="CM23" s="310"/>
      <c r="CN23" s="679"/>
      <c r="CO23" s="4" t="b">
        <f t="shared" ref="CO23:CO24" si="40">AND($JM$11=TRUE,Q34&lt;&gt;"",R34&lt;&gt;"")</f>
        <v>1</v>
      </c>
      <c r="CP23" s="310"/>
      <c r="CQ23" s="310"/>
      <c r="CR23" s="338">
        <f t="shared" ref="CR23:CR24" si="41">IF(CO23=TRUE,H32,"")</f>
        <v>0.65</v>
      </c>
      <c r="CS23" s="338">
        <f t="shared" ref="CS23:CS24" si="42">IF(CO23=TRUE,J32,"")</f>
        <v>1</v>
      </c>
      <c r="CT23" s="310"/>
      <c r="CU23" s="310"/>
      <c r="CV23" s="310"/>
      <c r="CW23" s="310"/>
      <c r="CX23" s="310"/>
      <c r="CY23" s="310"/>
      <c r="CZ23" s="310"/>
      <c r="DA23" s="310"/>
      <c r="DB23" s="310"/>
      <c r="DC23" s="280" t="e">
        <f>IF(DD6=TRUE,DA8+BT7/2,#N/A)</f>
        <v>#N/A</v>
      </c>
      <c r="DD23" s="280" t="e">
        <f>DD22</f>
        <v>#N/A</v>
      </c>
      <c r="DE23" s="310"/>
      <c r="DF23" s="280" t="e">
        <f>IF(DG6=TRUE,-(BY22-CL21)+BT7/2,#N/A)</f>
        <v>#N/A</v>
      </c>
      <c r="DG23" s="280" t="e">
        <f>DG22</f>
        <v>#N/A</v>
      </c>
      <c r="DH23" s="310"/>
      <c r="DI23" s="310"/>
      <c r="DJ23" s="310"/>
      <c r="DK23" s="313">
        <v>15</v>
      </c>
      <c r="DL23" s="282" t="e">
        <f t="shared" si="3"/>
        <v>#N/A</v>
      </c>
      <c r="DM23" s="291" t="e">
        <f t="shared" si="4"/>
        <v>#N/A</v>
      </c>
      <c r="DN23" s="310"/>
      <c r="DO23" s="310"/>
      <c r="DP23" s="310"/>
      <c r="DQ23" s="310"/>
      <c r="DR23" s="310"/>
      <c r="DS23" s="310"/>
      <c r="DT23" s="310"/>
      <c r="DU23" s="310"/>
      <c r="DV23" s="310"/>
      <c r="DW23" s="310"/>
      <c r="DX23" s="310"/>
      <c r="DY23" s="310"/>
      <c r="DZ23" s="310"/>
      <c r="EA23" s="310"/>
      <c r="EB23" s="310"/>
      <c r="EC23" s="338">
        <f>EC20</f>
        <v>0</v>
      </c>
      <c r="ED23" s="338">
        <f>ED20</f>
        <v>1.345</v>
      </c>
      <c r="EE23" s="310"/>
      <c r="EF23" s="310"/>
      <c r="EG23" s="310"/>
      <c r="EH23" s="310"/>
      <c r="EI23" s="310"/>
      <c r="EJ23" s="310"/>
      <c r="EK23" s="310"/>
      <c r="EL23" s="310"/>
      <c r="EM23" s="310"/>
      <c r="EN23" s="310"/>
      <c r="EO23" s="310"/>
      <c r="EP23" s="310"/>
      <c r="EQ23" s="310"/>
      <c r="ER23" s="310"/>
      <c r="ES23" s="310"/>
      <c r="ET23" s="310"/>
      <c r="EU23" s="404" t="s">
        <v>327</v>
      </c>
      <c r="EV23" s="313" t="s">
        <v>48</v>
      </c>
      <c r="EW23" s="313" t="s">
        <v>49</v>
      </c>
      <c r="EX23" s="313" t="s">
        <v>48</v>
      </c>
      <c r="EY23" s="313" t="s">
        <v>49</v>
      </c>
      <c r="EZ23" s="313" t="s">
        <v>48</v>
      </c>
      <c r="FA23" s="313" t="s">
        <v>49</v>
      </c>
      <c r="FB23" s="313" t="s">
        <v>48</v>
      </c>
      <c r="FC23" s="313" t="s">
        <v>49</v>
      </c>
      <c r="FD23" s="313" t="s">
        <v>48</v>
      </c>
      <c r="FE23" s="313" t="s">
        <v>49</v>
      </c>
      <c r="FF23" s="310"/>
      <c r="FG23" s="310"/>
      <c r="FH23" s="310"/>
      <c r="FI23" s="310"/>
      <c r="FJ23" s="338" t="s">
        <v>344</v>
      </c>
      <c r="FK23" s="328" t="s">
        <v>341</v>
      </c>
      <c r="FL23" s="328" t="s">
        <v>342</v>
      </c>
      <c r="FM23" s="328" t="s">
        <v>343</v>
      </c>
      <c r="FN23" s="328" t="s">
        <v>136</v>
      </c>
      <c r="FO23" s="328">
        <v>6</v>
      </c>
      <c r="FP23" s="402" t="str" cm="1">
        <f t="array" ref="FP23">INDEX(FP24:FP31,FO23)</f>
        <v>6 CURSOR [ ON ]</v>
      </c>
      <c r="FQ23" s="328" t="s">
        <v>48</v>
      </c>
      <c r="FR23" s="328" t="s">
        <v>49</v>
      </c>
      <c r="FS23" s="328" t="s">
        <v>48</v>
      </c>
      <c r="FT23" s="328" t="s">
        <v>49</v>
      </c>
      <c r="FU23" s="328" t="s">
        <v>48</v>
      </c>
      <c r="FV23" s="328" t="s">
        <v>49</v>
      </c>
      <c r="FW23" s="328" t="s">
        <v>48</v>
      </c>
      <c r="FX23" s="328" t="s">
        <v>49</v>
      </c>
      <c r="FY23" s="328" t="s">
        <v>48</v>
      </c>
      <c r="FZ23" s="328" t="s">
        <v>49</v>
      </c>
      <c r="GA23" s="531" t="s">
        <v>338</v>
      </c>
      <c r="GB23" s="531"/>
      <c r="GC23" s="531" t="s">
        <v>238</v>
      </c>
      <c r="GD23" s="531"/>
      <c r="GE23" s="311"/>
      <c r="GF23" s="311"/>
      <c r="GG23" s="311"/>
      <c r="GH23" s="311"/>
      <c r="GI23" s="310"/>
      <c r="GJ23" s="524" t="s">
        <v>347</v>
      </c>
      <c r="GK23" s="524"/>
      <c r="GL23" s="310"/>
      <c r="GM23" s="531" t="s">
        <v>348</v>
      </c>
      <c r="GN23" s="531"/>
      <c r="GO23" s="310"/>
      <c r="GP23" s="310"/>
      <c r="GQ23" s="310"/>
      <c r="GR23" s="310"/>
      <c r="GS23" s="310"/>
      <c r="GT23" s="310"/>
      <c r="GU23" s="310"/>
      <c r="GV23" s="310"/>
      <c r="GW23" s="310"/>
      <c r="GX23" s="314">
        <v>17</v>
      </c>
      <c r="GY23" s="316" t="s">
        <v>77</v>
      </c>
      <c r="GZ23" s="323">
        <v>22</v>
      </c>
      <c r="HA23" s="316">
        <v>22</v>
      </c>
      <c r="HB23" s="316">
        <v>9</v>
      </c>
      <c r="HC23" s="316">
        <f t="shared" si="39"/>
        <v>12.701705922171767</v>
      </c>
      <c r="HD23" s="316"/>
      <c r="HE23" s="316"/>
      <c r="HF23" s="316"/>
      <c r="HG23" s="310"/>
      <c r="HH23" s="310"/>
      <c r="HI23" s="310"/>
      <c r="HJ23" s="310"/>
      <c r="HK23" s="342">
        <v>9</v>
      </c>
      <c r="HL23" s="235" t="e">
        <f t="shared" si="5"/>
        <v>#N/A</v>
      </c>
      <c r="HM23" s="235" t="e">
        <f t="shared" si="6"/>
        <v>#N/A</v>
      </c>
      <c r="HN23" s="310"/>
      <c r="HO23" s="310"/>
      <c r="HP23" s="235" t="e">
        <f t="shared" si="7"/>
        <v>#N/A</v>
      </c>
      <c r="HQ23" s="235" t="e">
        <f t="shared" si="8"/>
        <v>#N/A</v>
      </c>
      <c r="HR23" s="310"/>
      <c r="HS23" s="310"/>
      <c r="HT23" s="235" t="e">
        <f t="shared" si="9"/>
        <v>#N/A</v>
      </c>
      <c r="HU23" s="235" t="e">
        <f t="shared" si="10"/>
        <v>#N/A</v>
      </c>
      <c r="HV23" s="310"/>
      <c r="HW23" s="310"/>
      <c r="HX23" s="235" t="e">
        <f t="shared" si="11"/>
        <v>#N/A</v>
      </c>
      <c r="HY23" s="235" t="e">
        <f t="shared" si="12"/>
        <v>#N/A</v>
      </c>
      <c r="HZ23" s="310"/>
      <c r="IA23" s="310"/>
      <c r="IB23" s="235" t="e">
        <f t="shared" si="13"/>
        <v>#N/A</v>
      </c>
      <c r="IC23" s="235" t="e">
        <f t="shared" si="14"/>
        <v>#N/A</v>
      </c>
      <c r="ID23" s="310"/>
      <c r="IE23" s="342">
        <v>9</v>
      </c>
      <c r="IF23" s="262" t="e">
        <f t="shared" si="15"/>
        <v>#N/A</v>
      </c>
      <c r="IG23" s="262" t="e">
        <f t="shared" si="16"/>
        <v>#N/A</v>
      </c>
      <c r="IH23" s="390"/>
      <c r="II23" s="390"/>
      <c r="IJ23" s="262" t="e">
        <f t="shared" si="17"/>
        <v>#N/A</v>
      </c>
      <c r="IK23" s="262" t="e">
        <f t="shared" si="18"/>
        <v>#N/A</v>
      </c>
      <c r="IL23" s="390"/>
      <c r="IM23" s="390"/>
      <c r="IN23" s="262" t="e">
        <f t="shared" si="19"/>
        <v>#N/A</v>
      </c>
      <c r="IO23" s="262" t="e">
        <f t="shared" si="20"/>
        <v>#N/A</v>
      </c>
      <c r="IP23" s="390"/>
      <c r="IQ23" s="390"/>
      <c r="IR23" s="262" t="e">
        <f t="shared" si="21"/>
        <v>#N/A</v>
      </c>
      <c r="IS23" s="262" t="e">
        <f t="shared" si="22"/>
        <v>#N/A</v>
      </c>
      <c r="IT23" s="390"/>
      <c r="IU23" s="390"/>
      <c r="IV23" s="262" t="e">
        <f t="shared" si="23"/>
        <v>#N/A</v>
      </c>
      <c r="IW23" s="262" t="e">
        <f t="shared" si="24"/>
        <v>#N/A</v>
      </c>
      <c r="IX23" s="310"/>
      <c r="IY23" s="342" t="s">
        <v>355</v>
      </c>
      <c r="IZ23" s="342" t="s">
        <v>48</v>
      </c>
      <c r="JA23" s="353" t="s">
        <v>49</v>
      </c>
      <c r="JB23" s="313" t="s">
        <v>144</v>
      </c>
      <c r="JC23" s="236" t="e">
        <f>IZ24+($IZ$10/2)-$IZ$9</f>
        <v>#N/A</v>
      </c>
      <c r="JD23" s="236" t="e">
        <f>JD22</f>
        <v>#N/A</v>
      </c>
      <c r="JE23" s="310"/>
      <c r="JF23" s="342" t="s">
        <v>355</v>
      </c>
      <c r="JG23" s="342" t="s">
        <v>48</v>
      </c>
      <c r="JH23" s="353" t="s">
        <v>49</v>
      </c>
      <c r="JI23" s="313" t="s">
        <v>144</v>
      </c>
      <c r="JJ23" s="263" t="e">
        <f>JG24+($IZ$10/2)-$IZ$9</f>
        <v>#N/A</v>
      </c>
      <c r="JK23" s="263" t="e">
        <f>JK22</f>
        <v>#N/A</v>
      </c>
      <c r="JL23" s="310"/>
      <c r="JM23" s="310"/>
      <c r="JN23" s="261" t="e">
        <f t="shared" si="25"/>
        <v>#N/A</v>
      </c>
      <c r="JO23" s="261" t="e">
        <f t="shared" si="26"/>
        <v>#N/A</v>
      </c>
      <c r="JP23" s="310"/>
      <c r="JQ23" s="310"/>
      <c r="JR23" s="261" t="e">
        <f t="shared" si="31"/>
        <v>#N/A</v>
      </c>
      <c r="JS23" s="261" t="e">
        <f t="shared" si="32"/>
        <v>#N/A</v>
      </c>
      <c r="JT23" s="310"/>
      <c r="JU23" s="310"/>
      <c r="JV23" s="261" t="e">
        <f t="shared" si="27"/>
        <v>#N/A</v>
      </c>
      <c r="JW23" s="261" t="e">
        <f t="shared" si="28"/>
        <v>#N/A</v>
      </c>
      <c r="JX23" s="310"/>
      <c r="JY23" s="310"/>
      <c r="JZ23" s="310"/>
      <c r="KA23" s="310"/>
      <c r="KB23" s="313" t="s">
        <v>167</v>
      </c>
      <c r="KC23" s="263" t="e">
        <f>KC20</f>
        <v>#N/A</v>
      </c>
      <c r="KD23" s="263" t="e">
        <f>KA21-($IZ$10/2)</f>
        <v>#N/A</v>
      </c>
      <c r="KE23" s="310"/>
      <c r="KF23" s="310"/>
      <c r="KG23" s="311"/>
      <c r="KH23" s="310"/>
      <c r="KI23" s="310"/>
      <c r="KJ23" s="310"/>
      <c r="KK23" s="310"/>
      <c r="KL23" s="329"/>
      <c r="KM23" s="310"/>
      <c r="KN23" s="269" t="e">
        <f>IF(KR10=TRUE,ON51+KN9,#N/A)</f>
        <v>#N/A</v>
      </c>
      <c r="KO23" s="269" t="e">
        <f>IF(KR10=TRUE,OO49,#N/A)</f>
        <v>#N/A</v>
      </c>
      <c r="KP23" s="346"/>
      <c r="KQ23" s="346"/>
      <c r="KR23" s="346"/>
      <c r="KS23" s="269" t="e">
        <f>IF(KW10=TRUE,ON50,#N/A)</f>
        <v>#N/A</v>
      </c>
      <c r="KT23" s="269" t="e">
        <f>IF(KW10=TRUE,OO50+KN9,#N/A)</f>
        <v>#N/A</v>
      </c>
      <c r="KU23" s="346"/>
      <c r="KV23" s="346"/>
      <c r="KW23" s="346"/>
      <c r="KX23" s="310"/>
      <c r="KY23" s="330"/>
      <c r="KZ23" s="330"/>
      <c r="LA23" s="330"/>
      <c r="LB23" s="310"/>
      <c r="LC23" s="346" t="e">
        <v>#N/A</v>
      </c>
      <c r="LD23" s="346" t="e">
        <v>#N/A</v>
      </c>
      <c r="LE23" s="346" t="e">
        <v>#N/A</v>
      </c>
      <c r="LF23" s="310"/>
      <c r="LG23" s="310"/>
      <c r="LH23" s="347" t="e">
        <v>#N/A</v>
      </c>
      <c r="LI23" s="347" t="e">
        <v>#N/A</v>
      </c>
      <c r="LJ23" s="338" t="e">
        <v>#N/A</v>
      </c>
      <c r="LK23" s="338" t="e">
        <v>#N/A</v>
      </c>
      <c r="LL23" s="391"/>
      <c r="LM23" s="310"/>
      <c r="LN23" s="310"/>
      <c r="LO23" s="347" t="e">
        <v>#N/A</v>
      </c>
      <c r="LP23" s="347" t="e">
        <v>#N/A</v>
      </c>
      <c r="LQ23" s="338" t="e">
        <v>#N/A</v>
      </c>
      <c r="LR23" s="338" t="e">
        <v>#N/A</v>
      </c>
      <c r="LS23" s="391"/>
      <c r="LT23" s="310"/>
      <c r="LU23" s="310"/>
      <c r="LV23" s="347" t="e">
        <v>#N/A</v>
      </c>
      <c r="LW23" s="347" t="e">
        <v>#N/A</v>
      </c>
      <c r="LX23" s="338" t="e">
        <v>#N/A</v>
      </c>
      <c r="LY23" s="338" t="e">
        <v>#N/A</v>
      </c>
      <c r="LZ23" s="391"/>
      <c r="MA23" s="310"/>
      <c r="MB23" s="310"/>
      <c r="MC23" s="347" t="e">
        <v>#N/A</v>
      </c>
      <c r="MD23" s="347" t="e">
        <v>#N/A</v>
      </c>
      <c r="ME23" s="338" t="e">
        <v>#N/A</v>
      </c>
      <c r="MF23" s="338" t="e">
        <v>#N/A</v>
      </c>
      <c r="MG23" s="391"/>
      <c r="MH23" s="310"/>
      <c r="MI23" s="310"/>
      <c r="MJ23" s="242" t="e">
        <v>#N/A</v>
      </c>
      <c r="MK23" s="242" t="e">
        <v>#N/A</v>
      </c>
      <c r="ML23" s="242" t="e">
        <v>#N/A</v>
      </c>
      <c r="MM23" s="242" t="e">
        <v>#N/A</v>
      </c>
      <c r="MN23" s="391"/>
      <c r="MO23" s="310"/>
      <c r="MP23" s="311" t="e">
        <v>#N/A</v>
      </c>
      <c r="MQ23" s="311" t="e">
        <v>#N/A</v>
      </c>
      <c r="MR23" s="311"/>
      <c r="MS23" s="311"/>
      <c r="MT23" s="318" t="s">
        <v>321</v>
      </c>
      <c r="MU23" s="518" t="s">
        <v>332</v>
      </c>
      <c r="MV23" s="520"/>
      <c r="MW23" s="518" t="s">
        <v>335</v>
      </c>
      <c r="MX23" s="520"/>
      <c r="MY23" s="222">
        <f t="shared" ref="MY23:MY25" si="43">INDEX($GP$25:$GP$30,MATCH(MU23,$GF$25:$GF$30,0))</f>
        <v>-1.2999999999999998</v>
      </c>
      <c r="MZ23" s="222">
        <f t="shared" ref="MZ23:MZ25" si="44">INDEX($GQ$25:$GQ$30,MATCH(MU23,$GF$25:$GF$30,0))</f>
        <v>-0.95</v>
      </c>
      <c r="NA23" s="222">
        <f t="shared" ref="NA23:NA25" si="45">INDEX($GP$25:$GP$30,MATCH(MW23,$GF$25:$GF$30,0))</f>
        <v>1.2999999999999998</v>
      </c>
      <c r="NB23" s="222">
        <f t="shared" ref="NB23:NB25" si="46">INDEX($GQ$25:$GQ$30,MATCH(MW23,$GF$25:$GF$30,0))</f>
        <v>-0.95</v>
      </c>
      <c r="NC23" s="310"/>
      <c r="ND23" s="310"/>
      <c r="NE23" s="310"/>
      <c r="NF23" s="310"/>
      <c r="NG23" s="310"/>
      <c r="NH23" s="310"/>
      <c r="NI23" s="310"/>
      <c r="NJ23" s="310"/>
      <c r="NK23" s="310"/>
      <c r="NL23" s="310"/>
      <c r="NM23" s="310"/>
      <c r="NN23" s="338" t="s">
        <v>107</v>
      </c>
      <c r="NO23" s="338" t="s">
        <v>48</v>
      </c>
      <c r="NP23" s="338" t="s">
        <v>49</v>
      </c>
      <c r="NQ23" s="310"/>
      <c r="NR23" s="310"/>
      <c r="NS23" s="272">
        <f>OA12</f>
        <v>-0.2</v>
      </c>
      <c r="NT23" s="272">
        <f>OB12</f>
        <v>-0.2</v>
      </c>
      <c r="NU23" s="398"/>
      <c r="NV23" s="398"/>
      <c r="NW23" s="310"/>
      <c r="NX23" s="310"/>
      <c r="NY23" s="310"/>
      <c r="NZ23" s="310"/>
      <c r="OA23" s="310"/>
      <c r="OB23" s="310"/>
      <c r="OC23" s="310"/>
      <c r="OD23" s="310"/>
      <c r="OE23" s="310"/>
      <c r="OF23" s="310"/>
      <c r="OG23" s="310"/>
      <c r="OH23" s="310"/>
      <c r="OI23" s="310"/>
      <c r="OJ23" s="310"/>
      <c r="OK23" s="310"/>
      <c r="OL23" s="310"/>
      <c r="OM23" s="317" t="s">
        <v>48</v>
      </c>
      <c r="ON23" s="317" t="s">
        <v>49</v>
      </c>
      <c r="OO23" s="317" t="s">
        <v>48</v>
      </c>
      <c r="OP23" s="317" t="s">
        <v>49</v>
      </c>
      <c r="OQ23" s="338" t="s">
        <v>540</v>
      </c>
      <c r="OR23" s="310"/>
      <c r="OS23" s="310"/>
      <c r="OT23" s="310"/>
      <c r="OU23" s="280" t="e">
        <v>#N/A</v>
      </c>
      <c r="OV23" s="280" t="e">
        <v>#N/A</v>
      </c>
      <c r="OW23" s="310"/>
      <c r="OX23" s="280" t="e">
        <f>IF(OT10=TRUE,OU16+F50/100,#N/A)</f>
        <v>#N/A</v>
      </c>
      <c r="OY23" s="280" t="e">
        <f>IF(OT10=TRUE,OV16-F50/100,#N/A)</f>
        <v>#N/A</v>
      </c>
      <c r="OZ23" s="310"/>
      <c r="PA23" s="280" t="e">
        <f>IF(OT9=TRUE,OX16,#N/A)</f>
        <v>#N/A</v>
      </c>
      <c r="PB23" s="280" t="e">
        <f>IF(OT9=TRUE,F50/100,#N/A)</f>
        <v>#N/A</v>
      </c>
      <c r="PC23" s="310"/>
      <c r="PD23" s="310"/>
      <c r="PE23" s="313">
        <v>9</v>
      </c>
      <c r="PF23" s="318" t="b">
        <f t="shared" si="33"/>
        <v>0</v>
      </c>
      <c r="PG23" s="283" t="e">
        <f t="shared" si="34"/>
        <v>#N/A</v>
      </c>
      <c r="PH23" s="283" t="e">
        <f t="shared" si="35"/>
        <v>#N/A</v>
      </c>
      <c r="PI23" s="295" t="e">
        <f t="shared" si="36"/>
        <v>#N/A</v>
      </c>
      <c r="PJ23" s="310"/>
      <c r="PK23" s="310"/>
      <c r="PL23" s="310"/>
      <c r="PM23" s="310"/>
      <c r="PN23" s="328" t="str">
        <v>C2</v>
      </c>
      <c r="PO23" s="328">
        <v>-1.2999999999999998</v>
      </c>
      <c r="PP23" s="328">
        <v>0.95</v>
      </c>
      <c r="PQ23" s="310"/>
      <c r="PR23" s="310"/>
      <c r="PS23" s="342">
        <v>9</v>
      </c>
      <c r="PT23" s="261" t="e">
        <f t="shared" si="29"/>
        <v>#N/A</v>
      </c>
      <c r="PU23" s="261" t="e">
        <f t="shared" si="30"/>
        <v>#N/A</v>
      </c>
      <c r="PV23" s="310"/>
      <c r="PW23" s="310"/>
      <c r="PX23" s="310"/>
      <c r="PY23" s="310"/>
      <c r="PZ23" s="310"/>
      <c r="QA23" s="257" t="e">
        <v>#N/A</v>
      </c>
      <c r="QB23" s="257" t="e">
        <v>#N/A</v>
      </c>
      <c r="QC23" s="310"/>
      <c r="QD23" s="310"/>
      <c r="QE23" s="310"/>
      <c r="QF23" s="310"/>
      <c r="QG23" s="310"/>
      <c r="QH23" s="310"/>
      <c r="QI23" s="310"/>
      <c r="QJ23" s="310"/>
      <c r="QK23" s="310"/>
      <c r="QL23" s="310"/>
      <c r="QM23" s="257" t="e">
        <v>#N/A</v>
      </c>
      <c r="QN23" s="257" t="e">
        <v>#N/A</v>
      </c>
      <c r="QO23" s="310"/>
      <c r="QP23" s="310"/>
      <c r="QQ23" s="310"/>
      <c r="QR23" s="310"/>
      <c r="QS23" s="310"/>
      <c r="QT23" s="310"/>
      <c r="QU23" s="310"/>
      <c r="QV23" s="310"/>
      <c r="QW23" s="310"/>
      <c r="QX23" s="328" t="s">
        <v>82</v>
      </c>
      <c r="QY23" s="328" t="s">
        <v>84</v>
      </c>
      <c r="QZ23" s="310"/>
      <c r="RA23" s="310"/>
      <c r="RB23" s="328"/>
      <c r="RC23" s="328" t="s">
        <v>431</v>
      </c>
      <c r="RD23" s="328" t="s">
        <v>505</v>
      </c>
      <c r="RE23" s="328" t="s">
        <v>506</v>
      </c>
      <c r="RF23" s="328" t="s">
        <v>507</v>
      </c>
      <c r="RG23" s="405" t="s">
        <v>505</v>
      </c>
      <c r="RH23" s="328" t="s">
        <v>509</v>
      </c>
      <c r="RI23" s="328" t="s">
        <v>511</v>
      </c>
      <c r="RJ23" s="310"/>
      <c r="RK23" s="310"/>
      <c r="RL23" s="310"/>
      <c r="RM23" s="310"/>
      <c r="RN23" s="310"/>
      <c r="RO23" s="310"/>
      <c r="RP23" s="310"/>
      <c r="RQ23" s="310"/>
      <c r="RR23" s="310"/>
      <c r="RS23" s="310"/>
      <c r="RT23" s="310"/>
      <c r="RU23" s="310"/>
      <c r="RV23" s="310"/>
      <c r="RW23" s="310"/>
      <c r="RX23" s="310"/>
      <c r="RY23" s="310"/>
      <c r="RZ23" s="310"/>
      <c r="SA23" s="310"/>
      <c r="SB23" s="310"/>
      <c r="SN23" s="310"/>
      <c r="SO23" s="220"/>
      <c r="SP23" s="220"/>
      <c r="SQ23" s="220"/>
      <c r="SR23" s="220"/>
      <c r="SS23" s="220"/>
      <c r="ST23" s="220"/>
      <c r="SU23" s="220"/>
      <c r="SV23" s="220"/>
      <c r="SW23" s="220"/>
      <c r="SX23" s="220"/>
      <c r="SY23" s="220"/>
      <c r="SZ23" s="220"/>
      <c r="TA23" s="220"/>
      <c r="TB23" s="220"/>
      <c r="TC23" s="220"/>
      <c r="TD23" s="220"/>
      <c r="TE23" s="220"/>
      <c r="TF23" s="220"/>
      <c r="TG23" s="220"/>
      <c r="TH23" s="220"/>
      <c r="TI23" s="220"/>
      <c r="TJ23" s="220"/>
      <c r="TK23" s="220"/>
      <c r="TL23" s="220"/>
      <c r="TM23" s="220"/>
      <c r="TN23" s="220"/>
      <c r="TO23" s="220"/>
      <c r="TP23" s="220"/>
      <c r="TQ23" s="220"/>
      <c r="TR23" s="220"/>
      <c r="TS23" s="220"/>
      <c r="TT23" s="220"/>
      <c r="TU23" s="220"/>
      <c r="TV23" s="220"/>
      <c r="TW23" s="220"/>
      <c r="TX23" s="220"/>
      <c r="TY23" s="220"/>
      <c r="TZ23" s="220"/>
      <c r="UA23" s="220"/>
      <c r="UB23" s="220"/>
      <c r="UC23" s="220"/>
      <c r="UD23" s="220"/>
      <c r="UE23" s="220"/>
      <c r="UF23" s="220"/>
      <c r="UG23" s="220"/>
      <c r="UH23" s="220"/>
      <c r="UI23" s="220"/>
      <c r="UJ23" s="220"/>
      <c r="UK23" s="216"/>
      <c r="UL23" s="216"/>
      <c r="UM23" s="216"/>
      <c r="UN23" s="216"/>
      <c r="UO23" s="216"/>
      <c r="UP23" s="216"/>
      <c r="UQ23" s="216"/>
      <c r="UR23" s="216"/>
      <c r="US23" s="216"/>
      <c r="UT23" s="216"/>
      <c r="UU23" s="216"/>
      <c r="UV23" s="216"/>
      <c r="UW23" s="216"/>
      <c r="UX23" s="216"/>
      <c r="UY23" s="216"/>
      <c r="UZ23" s="216"/>
      <c r="VA23" s="216"/>
    </row>
    <row r="24" spans="1:574" s="4" customFormat="1" ht="15" customHeight="1" x14ac:dyDescent="0.45">
      <c r="A24" s="51"/>
      <c r="B24" s="51"/>
      <c r="C24" s="52"/>
      <c r="D24" s="52"/>
      <c r="E24" s="52"/>
      <c r="F24" s="52"/>
      <c r="G24" s="580" t="s">
        <v>75</v>
      </c>
      <c r="H24" s="581"/>
      <c r="I24" s="582"/>
      <c r="J24" s="730">
        <f>AVERAGE(J19:L23)</f>
        <v>0</v>
      </c>
      <c r="K24" s="730"/>
      <c r="L24" s="730"/>
      <c r="M24" s="583">
        <f>AVERAGE(M19:O23)</f>
        <v>0</v>
      </c>
      <c r="N24" s="584"/>
      <c r="O24" s="585"/>
      <c r="P24" s="50"/>
      <c r="Q24" s="704" t="s">
        <v>214</v>
      </c>
      <c r="R24" s="705"/>
      <c r="S24" s="50"/>
      <c r="T24" s="50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5"/>
      <c r="AM24" s="45"/>
      <c r="AN24" s="45"/>
      <c r="AO24" s="45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29" t="s">
        <v>82</v>
      </c>
      <c r="BB24" s="329" t="s">
        <v>83</v>
      </c>
      <c r="BC24" s="329" t="s">
        <v>84</v>
      </c>
      <c r="BD24" s="329" t="s">
        <v>85</v>
      </c>
      <c r="BE24" s="310"/>
      <c r="BF24" s="310"/>
      <c r="BG24" s="310"/>
      <c r="BH24" s="310"/>
      <c r="BI24" s="310"/>
      <c r="BJ24" s="310"/>
      <c r="BK24" s="310">
        <f>IF(AY16=TRUE,0,#N/A)</f>
        <v>0</v>
      </c>
      <c r="BL24" s="310">
        <f>IF(AY16=TRUE,1,#N/A)</f>
        <v>1</v>
      </c>
      <c r="BM24" s="310"/>
      <c r="BN24" s="310"/>
      <c r="BO24" s="310"/>
      <c r="BP24" s="338" t="b">
        <f>IF(BP22=2,TRUE,FALSE)</f>
        <v>0</v>
      </c>
      <c r="BQ24" s="338" t="s">
        <v>629</v>
      </c>
      <c r="BR24" s="310"/>
      <c r="BS24" s="310"/>
      <c r="BT24" s="310"/>
      <c r="BU24" s="310"/>
      <c r="BV24" s="310"/>
      <c r="BW24" s="310"/>
      <c r="BX24" s="40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338" t="s">
        <v>216</v>
      </c>
      <c r="CK24" s="230" t="e">
        <f>IF(AND(CP13=TRUE,CJ23=TRUE,CU11=TRUE),J26,#N/A)</f>
        <v>#N/A</v>
      </c>
      <c r="CL24" s="230" t="e">
        <f>IF(AND(CP13=TRUE,CJ23=TRUE,CU11=TRUE),H26,#N/A)</f>
        <v>#N/A</v>
      </c>
      <c r="CM24" s="310"/>
      <c r="CN24" s="679"/>
      <c r="CO24" s="4" t="b">
        <f t="shared" si="40"/>
        <v>0</v>
      </c>
      <c r="CP24" s="310"/>
      <c r="CQ24" s="310"/>
      <c r="CR24" s="338" t="str">
        <f t="shared" si="41"/>
        <v/>
      </c>
      <c r="CS24" s="338" t="str">
        <f t="shared" si="42"/>
        <v/>
      </c>
      <c r="CT24" s="310"/>
      <c r="CU24" s="310"/>
      <c r="CV24" s="310"/>
      <c r="CW24" s="310"/>
      <c r="CX24" s="310"/>
      <c r="CY24" s="310"/>
      <c r="CZ24" s="310"/>
      <c r="DA24" s="310"/>
      <c r="DB24" s="310"/>
      <c r="DC24" s="280" t="e">
        <f>DC23</f>
        <v>#N/A</v>
      </c>
      <c r="DD24" s="280" t="e">
        <f>DD21</f>
        <v>#N/A</v>
      </c>
      <c r="DE24" s="310"/>
      <c r="DF24" s="280" t="e">
        <f>DF23</f>
        <v>#N/A</v>
      </c>
      <c r="DG24" s="280" t="e">
        <f>DG21</f>
        <v>#N/A</v>
      </c>
      <c r="DH24" s="310"/>
      <c r="DI24" s="310"/>
      <c r="DJ24" s="310"/>
      <c r="DK24" s="313">
        <v>16</v>
      </c>
      <c r="DL24" s="282" t="e">
        <f t="shared" si="3"/>
        <v>#N/A</v>
      </c>
      <c r="DM24" s="291" t="e">
        <f t="shared" si="4"/>
        <v>#N/A</v>
      </c>
      <c r="DN24" s="310"/>
      <c r="DO24" s="310"/>
      <c r="DP24" s="310"/>
      <c r="DQ24" s="310"/>
      <c r="DR24" s="310"/>
      <c r="DS24" s="310"/>
      <c r="DT24" s="310"/>
      <c r="DU24" s="310"/>
      <c r="DV24" s="310"/>
      <c r="DW24" s="310"/>
      <c r="DX24" s="310" t="s">
        <v>87</v>
      </c>
      <c r="DY24" s="310"/>
      <c r="DZ24" s="531" t="s">
        <v>88</v>
      </c>
      <c r="EA24" s="531"/>
      <c r="EB24" s="310"/>
      <c r="EC24" s="336">
        <f>EC12</f>
        <v>0.95</v>
      </c>
      <c r="ED24" s="338">
        <f>ED23</f>
        <v>1.345</v>
      </c>
      <c r="EE24" s="310"/>
      <c r="EF24" s="310"/>
      <c r="EG24" s="310"/>
      <c r="EH24" s="310"/>
      <c r="EI24" s="310"/>
      <c r="EJ24" s="310"/>
      <c r="EK24" s="310"/>
      <c r="EL24" s="310"/>
      <c r="EM24" s="310"/>
      <c r="EN24" s="310"/>
      <c r="EO24" s="310"/>
      <c r="EP24" s="310"/>
      <c r="EQ24" s="310"/>
      <c r="ER24" s="310"/>
      <c r="ES24" s="332" t="e">
        <v>#N/A</v>
      </c>
      <c r="ET24" s="332" t="e">
        <v>#N/A</v>
      </c>
      <c r="EU24" s="406" t="s">
        <v>106</v>
      </c>
      <c r="EV24" s="332" t="e">
        <f>EV20-((2/SQRT(3))*EV10)/2</f>
        <v>#N/A</v>
      </c>
      <c r="EW24" s="407" t="e">
        <f>EW20+EV10</f>
        <v>#N/A</v>
      </c>
      <c r="EX24" s="332" t="e">
        <f>EV37</f>
        <v>#N/A</v>
      </c>
      <c r="EY24" s="332" t="e">
        <f>EY21</f>
        <v>#N/A</v>
      </c>
      <c r="EZ24" s="346" t="e">
        <f>EZ19-EV10</f>
        <v>#N/A</v>
      </c>
      <c r="FA24" s="346" t="e">
        <f>FA19-(EV10/SQRT(3))</f>
        <v>#N/A</v>
      </c>
      <c r="FB24" s="346" t="e">
        <f>FB19</f>
        <v>#N/A</v>
      </c>
      <c r="FC24" s="346" t="e">
        <f>FC19-(EV10/SQRT(3))-(1*EV10/SQRT(3))</f>
        <v>#N/A</v>
      </c>
      <c r="FD24" s="258" t="e" cm="1">
        <f t="array" ref="FD24:FE40">IF(EV7=TRUE,_xlfn.SWITCH(EU17,
"Y-AXIS-T",EV24:EW40,
"Y-AXIS-B",EX24:EY40,
"X-AXIS-L",EZ24:FA40,
"X-AXIS-R",FB24:FC40,
""),ES24:ET40)</f>
        <v>#N/A</v>
      </c>
      <c r="FE24" s="258" t="e">
        <v>#N/A</v>
      </c>
      <c r="FF24" s="310"/>
      <c r="FG24" s="310"/>
      <c r="FH24" s="338" t="e">
        <v>#N/A</v>
      </c>
      <c r="FI24" s="338" t="e">
        <v>#N/A</v>
      </c>
      <c r="FJ24" s="408" t="b">
        <v>0</v>
      </c>
      <c r="FK24" s="338" t="b">
        <f t="shared" ref="FK24:FK31" si="47">IF(FO24&lt;=$FO$23,TRUE,FALSE)</f>
        <v>1</v>
      </c>
      <c r="FL24" s="318" t="b">
        <v>0</v>
      </c>
      <c r="FM24" s="328" t="b">
        <f>AND(FK24=TRUE,FL24=TRUE)</f>
        <v>0</v>
      </c>
      <c r="FN24" s="328" t="b">
        <f t="shared" ref="FN24:FN30" si="48">IF(AND(FM24=FALSE,FK24=TRUE),TRUE,FALSE)</f>
        <v>1</v>
      </c>
      <c r="FO24" s="328">
        <v>1</v>
      </c>
      <c r="FP24" s="328" t="str">
        <f>FO24&amp;" CURSOR [ ON ]"</f>
        <v>1 CURSOR [ ON ]</v>
      </c>
      <c r="FQ24" s="409">
        <f>M11-J16</f>
        <v>-0.3</v>
      </c>
      <c r="FR24" s="409">
        <f>M10+J16</f>
        <v>0.3</v>
      </c>
      <c r="FS24" s="409">
        <f>M19-J16</f>
        <v>-0.95</v>
      </c>
      <c r="FT24" s="409">
        <f>J19-J16</f>
        <v>-0.95</v>
      </c>
      <c r="FU24" s="336">
        <f>M19-J16</f>
        <v>-0.95</v>
      </c>
      <c r="FV24" s="336">
        <f>J19-J16</f>
        <v>-0.95</v>
      </c>
      <c r="FW24" s="338">
        <f>IF($AX$14=2,FU24,FS24)</f>
        <v>-0.95</v>
      </c>
      <c r="FX24" s="338">
        <f>IF($AX$14=2,FV24,FT24)</f>
        <v>-0.95</v>
      </c>
      <c r="FY24" s="222" t="e">
        <f>FD24</f>
        <v>#N/A</v>
      </c>
      <c r="FZ24" s="222" t="e">
        <f>FE24</f>
        <v>#N/A</v>
      </c>
      <c r="GA24" s="328" t="s">
        <v>48</v>
      </c>
      <c r="GB24" s="328" t="s">
        <v>49</v>
      </c>
      <c r="GC24" s="328" t="s">
        <v>48</v>
      </c>
      <c r="GD24" s="328" t="s">
        <v>49</v>
      </c>
      <c r="GE24" s="311"/>
      <c r="GF24" s="311"/>
      <c r="GG24" s="313" t="s">
        <v>48</v>
      </c>
      <c r="GH24" s="313" t="s">
        <v>49</v>
      </c>
      <c r="GI24" s="310"/>
      <c r="GJ24" s="318" t="s">
        <v>48</v>
      </c>
      <c r="GK24" s="318" t="s">
        <v>49</v>
      </c>
      <c r="GL24" s="310"/>
      <c r="GM24" s="318" t="s">
        <v>48</v>
      </c>
      <c r="GN24" s="318" t="s">
        <v>49</v>
      </c>
      <c r="GO24" s="310"/>
      <c r="GP24" s="310"/>
      <c r="GQ24" s="310"/>
      <c r="GR24" s="310"/>
      <c r="GS24" s="310"/>
      <c r="GT24" s="310"/>
      <c r="GU24" s="310"/>
      <c r="GV24" s="310"/>
      <c r="GW24" s="310"/>
      <c r="GX24" s="314">
        <v>18</v>
      </c>
      <c r="GY24" s="316" t="s">
        <v>86</v>
      </c>
      <c r="GZ24" s="323">
        <v>26</v>
      </c>
      <c r="HA24" s="316">
        <v>26</v>
      </c>
      <c r="HB24" s="316">
        <v>11</v>
      </c>
      <c r="HC24" s="316">
        <f t="shared" si="39"/>
        <v>15.01110699893027</v>
      </c>
      <c r="HD24" s="316"/>
      <c r="HE24" s="316"/>
      <c r="HF24" s="316"/>
      <c r="HG24" s="310"/>
      <c r="HH24" s="310"/>
      <c r="HI24" s="310"/>
      <c r="HJ24" s="310"/>
      <c r="HK24" s="342">
        <v>10</v>
      </c>
      <c r="HL24" s="235" t="e">
        <f t="shared" si="5"/>
        <v>#N/A</v>
      </c>
      <c r="HM24" s="235" t="e">
        <f t="shared" si="6"/>
        <v>#N/A</v>
      </c>
      <c r="HN24" s="310"/>
      <c r="HO24" s="310"/>
      <c r="HP24" s="235" t="e">
        <f t="shared" si="7"/>
        <v>#N/A</v>
      </c>
      <c r="HQ24" s="235" t="e">
        <f t="shared" si="8"/>
        <v>#N/A</v>
      </c>
      <c r="HR24" s="310"/>
      <c r="HS24" s="310"/>
      <c r="HT24" s="235" t="e">
        <f t="shared" si="9"/>
        <v>#N/A</v>
      </c>
      <c r="HU24" s="235" t="e">
        <f t="shared" si="10"/>
        <v>#N/A</v>
      </c>
      <c r="HV24" s="310"/>
      <c r="HW24" s="310"/>
      <c r="HX24" s="235" t="e">
        <f t="shared" si="11"/>
        <v>#N/A</v>
      </c>
      <c r="HY24" s="235" t="e">
        <f t="shared" si="12"/>
        <v>#N/A</v>
      </c>
      <c r="HZ24" s="310"/>
      <c r="IA24" s="310"/>
      <c r="IB24" s="235" t="e">
        <f t="shared" si="13"/>
        <v>#N/A</v>
      </c>
      <c r="IC24" s="235" t="e">
        <f t="shared" si="14"/>
        <v>#N/A</v>
      </c>
      <c r="ID24" s="310"/>
      <c r="IE24" s="342">
        <v>10</v>
      </c>
      <c r="IF24" s="262" t="e">
        <f t="shared" si="15"/>
        <v>#N/A</v>
      </c>
      <c r="IG24" s="262" t="e">
        <f t="shared" si="16"/>
        <v>#N/A</v>
      </c>
      <c r="IH24" s="390"/>
      <c r="II24" s="390"/>
      <c r="IJ24" s="262" t="e">
        <f t="shared" si="17"/>
        <v>#N/A</v>
      </c>
      <c r="IK24" s="262" t="e">
        <f t="shared" si="18"/>
        <v>#N/A</v>
      </c>
      <c r="IL24" s="390"/>
      <c r="IM24" s="390"/>
      <c r="IN24" s="262" t="e">
        <f t="shared" si="19"/>
        <v>#N/A</v>
      </c>
      <c r="IO24" s="262" t="e">
        <f t="shared" si="20"/>
        <v>#N/A</v>
      </c>
      <c r="IP24" s="390"/>
      <c r="IQ24" s="390"/>
      <c r="IR24" s="262" t="e">
        <f t="shared" si="21"/>
        <v>#N/A</v>
      </c>
      <c r="IS24" s="262" t="e">
        <f t="shared" si="22"/>
        <v>#N/A</v>
      </c>
      <c r="IT24" s="390"/>
      <c r="IU24" s="390"/>
      <c r="IV24" s="262" t="e">
        <f t="shared" si="23"/>
        <v>#N/A</v>
      </c>
      <c r="IW24" s="262" t="e">
        <f t="shared" si="24"/>
        <v>#N/A</v>
      </c>
      <c r="IX24" s="310"/>
      <c r="IY24" s="313" t="s">
        <v>72</v>
      </c>
      <c r="IZ24" s="362" t="e">
        <f>IF(JA22=TRUE,$M$20,#N/A)</f>
        <v>#N/A</v>
      </c>
      <c r="JA24" s="363" t="e">
        <f>IF(JA22=TRUE,$J$20,#N/A)</f>
        <v>#N/A</v>
      </c>
      <c r="JB24" s="313" t="s">
        <v>149</v>
      </c>
      <c r="JC24" s="236" t="e">
        <f>IZ24+($IZ$10/2)</f>
        <v>#N/A</v>
      </c>
      <c r="JD24" s="236" t="e">
        <f>JA24+($IZ$10/2)-$IZ$9</f>
        <v>#N/A</v>
      </c>
      <c r="JE24" s="310"/>
      <c r="JF24" s="313" t="s">
        <v>72</v>
      </c>
      <c r="JG24" s="362" t="e">
        <f>IF(JH22=TRUE,$J$27,#N/A)</f>
        <v>#N/A</v>
      </c>
      <c r="JH24" s="363" t="e">
        <f>IF(JH22=TRUE,$H$27,#N/A)</f>
        <v>#N/A</v>
      </c>
      <c r="JI24" s="313" t="s">
        <v>149</v>
      </c>
      <c r="JJ24" s="263" t="e">
        <f>JG24+($IZ$10/2)</f>
        <v>#N/A</v>
      </c>
      <c r="JK24" s="263" t="e">
        <f>JH24+($IZ$10/2)-$IZ$9</f>
        <v>#N/A</v>
      </c>
      <c r="JL24" s="310"/>
      <c r="JM24" s="310"/>
      <c r="JN24" s="261" t="e">
        <f t="shared" si="25"/>
        <v>#N/A</v>
      </c>
      <c r="JO24" s="261" t="e">
        <f t="shared" si="26"/>
        <v>#N/A</v>
      </c>
      <c r="JP24" s="310"/>
      <c r="JQ24" s="310"/>
      <c r="JR24" s="261" t="e">
        <f t="shared" si="31"/>
        <v>#N/A</v>
      </c>
      <c r="JS24" s="261" t="e">
        <f t="shared" si="32"/>
        <v>#N/A</v>
      </c>
      <c r="JT24" s="310"/>
      <c r="JU24" s="310"/>
      <c r="JV24" s="261" t="e">
        <f t="shared" si="27"/>
        <v>#N/A</v>
      </c>
      <c r="JW24" s="261" t="e">
        <f t="shared" si="28"/>
        <v>#N/A</v>
      </c>
      <c r="JX24" s="310"/>
      <c r="JY24" s="310"/>
      <c r="JZ24" s="310"/>
      <c r="KA24" s="310"/>
      <c r="KB24" s="313" t="s">
        <v>325</v>
      </c>
      <c r="KC24" s="263" t="e">
        <f>KC19</f>
        <v>#N/A</v>
      </c>
      <c r="KD24" s="263" t="e">
        <f>KD23</f>
        <v>#N/A</v>
      </c>
      <c r="KE24" s="310"/>
      <c r="KF24" s="310"/>
      <c r="KG24" s="310"/>
      <c r="KH24" s="310"/>
      <c r="KI24" s="310"/>
      <c r="KJ24" s="310"/>
      <c r="KK24" s="310"/>
      <c r="KL24" s="329"/>
      <c r="KM24" s="310"/>
      <c r="KN24" s="242" t="e">
        <f>IF(KR10=TRUE,ON51+KO9/2,#N/A)</f>
        <v>#N/A</v>
      </c>
      <c r="KO24" s="243" t="e">
        <f>KO23</f>
        <v>#N/A</v>
      </c>
      <c r="KP24" s="328"/>
      <c r="KQ24" s="328"/>
      <c r="KR24" s="328"/>
      <c r="KS24" s="270" t="e">
        <f>KS23</f>
        <v>#N/A</v>
      </c>
      <c r="KT24" s="257" t="e">
        <f>IF(KW10=TRUE,OO50+KO9/2.5,#N/A)</f>
        <v>#N/A</v>
      </c>
      <c r="KU24" s="338"/>
      <c r="KV24" s="328"/>
      <c r="KW24" s="338"/>
      <c r="KX24" s="310"/>
      <c r="KY24" s="310"/>
      <c r="KZ24" s="310"/>
      <c r="LA24" s="310"/>
      <c r="LB24" s="310"/>
      <c r="LC24" s="346" t="e">
        <v>#N/A</v>
      </c>
      <c r="LD24" s="346" t="e">
        <v>#N/A</v>
      </c>
      <c r="LE24" s="346" t="e">
        <v>#N/A</v>
      </c>
      <c r="LF24" s="310"/>
      <c r="LG24" s="310"/>
      <c r="LH24" s="391" t="e">
        <f>LH21</f>
        <v>#N/A</v>
      </c>
      <c r="LI24" s="391" t="e">
        <f>LI22</f>
        <v>#N/A</v>
      </c>
      <c r="LJ24" s="338" t="e">
        <v>#N/A</v>
      </c>
      <c r="LK24" s="338" t="e">
        <v>#N/A</v>
      </c>
      <c r="LL24" s="391"/>
      <c r="LM24" s="310"/>
      <c r="LN24" s="310"/>
      <c r="LO24" s="380">
        <f>LO21</f>
        <v>-1.4999999999999998</v>
      </c>
      <c r="LP24" s="380">
        <f>LP21</f>
        <v>-0.95</v>
      </c>
      <c r="LQ24" s="338" t="e">
        <v>#N/A</v>
      </c>
      <c r="LR24" s="338" t="e">
        <v>#N/A</v>
      </c>
      <c r="LS24" s="391"/>
      <c r="LT24" s="310"/>
      <c r="LU24" s="310"/>
      <c r="LV24" s="338">
        <f>LV21</f>
        <v>1.2999999999999998</v>
      </c>
      <c r="LW24" s="338">
        <f>LW21</f>
        <v>1.19</v>
      </c>
      <c r="LX24" s="338" t="e">
        <v>#N/A</v>
      </c>
      <c r="LY24" s="338" t="e">
        <v>#N/A</v>
      </c>
      <c r="LZ24" s="391"/>
      <c r="MA24" s="310"/>
      <c r="MB24" s="310"/>
      <c r="MC24" s="338">
        <f>MC21</f>
        <v>1.2999999999999998</v>
      </c>
      <c r="MD24" s="338">
        <f>MD21</f>
        <v>1.27</v>
      </c>
      <c r="ME24" s="338" t="e">
        <v>#N/A</v>
      </c>
      <c r="MF24" s="338" t="e">
        <v>#N/A</v>
      </c>
      <c r="MG24" s="391"/>
      <c r="MH24" s="310"/>
      <c r="MI24" s="310"/>
      <c r="MJ24" s="242" t="e">
        <v>#N/A</v>
      </c>
      <c r="MK24" s="242" t="e">
        <v>#N/A</v>
      </c>
      <c r="ML24" s="242" t="e">
        <v>#N/A</v>
      </c>
      <c r="MM24" s="242" t="e">
        <v>#N/A</v>
      </c>
      <c r="MN24" s="391"/>
      <c r="MO24" s="310"/>
      <c r="MP24" s="311" t="e">
        <v>#N/A</v>
      </c>
      <c r="MQ24" s="311" t="e">
        <v>#N/A</v>
      </c>
      <c r="MR24" s="311"/>
      <c r="MS24" s="311"/>
      <c r="MT24" s="318" t="s">
        <v>322</v>
      </c>
      <c r="MU24" s="518" t="s">
        <v>337</v>
      </c>
      <c r="MV24" s="520"/>
      <c r="MW24" s="518" t="s">
        <v>334</v>
      </c>
      <c r="MX24" s="520"/>
      <c r="MY24" s="222" t="e">
        <f t="shared" si="43"/>
        <v>#N/A</v>
      </c>
      <c r="MZ24" s="222" t="e">
        <f t="shared" si="44"/>
        <v>#N/A</v>
      </c>
      <c r="NA24" s="222">
        <f t="shared" si="45"/>
        <v>1.2999999999999998</v>
      </c>
      <c r="NB24" s="222">
        <f t="shared" si="46"/>
        <v>0.95</v>
      </c>
      <c r="NC24" s="310"/>
      <c r="ND24" s="310"/>
      <c r="NE24" s="310"/>
      <c r="NF24" s="310"/>
      <c r="NG24" s="310"/>
      <c r="NH24" s="310"/>
      <c r="NI24" s="310"/>
      <c r="NJ24" s="310"/>
      <c r="NK24" s="310"/>
      <c r="NL24" s="310"/>
      <c r="NM24" s="338" t="s">
        <v>110</v>
      </c>
      <c r="NN24" s="338" t="s">
        <v>333</v>
      </c>
      <c r="NO24" s="338">
        <f>ON50</f>
        <v>-1.2999999999999998</v>
      </c>
      <c r="NP24" s="338">
        <f>OO50</f>
        <v>0.95</v>
      </c>
      <c r="NQ24" s="310"/>
      <c r="NR24" s="310"/>
      <c r="NS24" s="272">
        <f>NS23</f>
        <v>-0.2</v>
      </c>
      <c r="NT24" s="272">
        <f>IF(NS7=TRUE,NP22-0.15,#N/A)</f>
        <v>-1.0999999999999999</v>
      </c>
      <c r="NU24" s="398"/>
      <c r="NV24" s="398"/>
      <c r="NW24" s="310"/>
      <c r="NX24" s="310"/>
      <c r="NY24" s="310"/>
      <c r="NZ24" s="310"/>
      <c r="OA24" s="310"/>
      <c r="OB24" s="310"/>
      <c r="OC24" s="310"/>
      <c r="OD24" s="310"/>
      <c r="OE24" s="310"/>
      <c r="OF24" s="310"/>
      <c r="OG24" s="310"/>
      <c r="OH24" s="310"/>
      <c r="OI24" s="310"/>
      <c r="OJ24" s="310"/>
      <c r="OK24" s="310"/>
      <c r="OL24" s="310"/>
      <c r="OM24" s="228" t="e">
        <f>IF(ON21=TRUE,OM14-OM13,#N/A)</f>
        <v>#N/A</v>
      </c>
      <c r="ON24" s="228" t="e">
        <f>IF(ON21=TRUE,ON15,#N/A)</f>
        <v>#N/A</v>
      </c>
      <c r="OO24" s="230" t="e">
        <f>OM25</f>
        <v>#N/A</v>
      </c>
      <c r="OP24" s="230" t="e">
        <f>ON25-(ON25-ON26)/2</f>
        <v>#N/A</v>
      </c>
      <c r="OQ24" s="410" t="e">
        <f>ON25-ON26</f>
        <v>#N/A</v>
      </c>
      <c r="OR24" s="310"/>
      <c r="OS24" s="310"/>
      <c r="OT24" s="310"/>
      <c r="OU24" s="280" t="e">
        <f>OU16</f>
        <v>#N/A</v>
      </c>
      <c r="OV24" s="280" t="e">
        <f>OV16</f>
        <v>#N/A</v>
      </c>
      <c r="OW24" s="310"/>
      <c r="OX24" s="280" t="e">
        <f>OX23</f>
        <v>#N/A</v>
      </c>
      <c r="OY24" s="280" t="e">
        <f>IF(OT10=TRUE,OY17,#N/A)</f>
        <v>#N/A</v>
      </c>
      <c r="OZ24" s="310"/>
      <c r="PA24" s="280" t="e">
        <f>IF(OT9=TRUE,OU16+F50/100,#N/A)</f>
        <v>#N/A</v>
      </c>
      <c r="PB24" s="280" t="e">
        <f>PB23</f>
        <v>#N/A</v>
      </c>
      <c r="PC24" s="310"/>
      <c r="PD24" s="310"/>
      <c r="PE24" s="313">
        <v>10</v>
      </c>
      <c r="PF24" s="318" t="b">
        <f t="shared" si="33"/>
        <v>0</v>
      </c>
      <c r="PG24" s="283" t="e">
        <f t="shared" si="34"/>
        <v>#N/A</v>
      </c>
      <c r="PH24" s="283" t="e">
        <f t="shared" si="35"/>
        <v>#N/A</v>
      </c>
      <c r="PI24" s="295" t="e">
        <f t="shared" si="36"/>
        <v>#N/A</v>
      </c>
      <c r="PJ24" s="310"/>
      <c r="PK24" s="310"/>
      <c r="PL24" s="310"/>
      <c r="PM24" s="310"/>
      <c r="PN24" s="328" t="str">
        <v>C1</v>
      </c>
      <c r="PO24" s="328">
        <v>-1.2999999999999998</v>
      </c>
      <c r="PP24" s="328">
        <v>-0.95</v>
      </c>
      <c r="PQ24" s="310"/>
      <c r="PR24" s="310"/>
      <c r="PS24" s="342">
        <v>10</v>
      </c>
      <c r="PT24" s="261" t="e">
        <f t="shared" si="29"/>
        <v>#N/A</v>
      </c>
      <c r="PU24" s="261" t="e">
        <f t="shared" si="30"/>
        <v>#N/A</v>
      </c>
      <c r="PV24" s="310"/>
      <c r="PW24" s="310"/>
      <c r="PX24" s="310"/>
      <c r="PY24" s="310"/>
      <c r="PZ24" s="310"/>
      <c r="QA24" s="257" t="e">
        <f>IF(PZ20=TRUE,PY12+QA9*2,#N/A)</f>
        <v>#N/A</v>
      </c>
      <c r="QB24" s="257" t="e">
        <f>QB21</f>
        <v>#N/A</v>
      </c>
      <c r="QC24" s="310"/>
      <c r="QD24" s="310"/>
      <c r="QE24" s="310"/>
      <c r="QF24" s="310"/>
      <c r="QG24" s="310"/>
      <c r="QH24" s="310"/>
      <c r="QI24" s="310"/>
      <c r="QJ24" s="310"/>
      <c r="QK24" s="310"/>
      <c r="QL24" s="310"/>
      <c r="QM24" s="257" t="e">
        <f>QM21</f>
        <v>#N/A</v>
      </c>
      <c r="QN24" s="257" t="e">
        <f>IF(QL20=TRUE,PX13-QA9*2,#N/A)</f>
        <v>#N/A</v>
      </c>
      <c r="QO24" s="310"/>
      <c r="QP24" s="310"/>
      <c r="QQ24" s="310"/>
      <c r="QR24" s="310"/>
      <c r="QS24" s="310"/>
      <c r="QT24" s="310"/>
      <c r="QU24" s="310"/>
      <c r="QV24" s="328" t="str">
        <f>IF(G19&lt;&gt;"",G19,"")</f>
        <v>P1 &gt;&gt;</v>
      </c>
      <c r="QW24" s="402" t="str">
        <f>IF(G26&lt;&gt;"",G26,"")</f>
        <v>P1</v>
      </c>
      <c r="QX24" s="328">
        <f>IF(H26&lt;&gt;"",H26,"")</f>
        <v>-0.65</v>
      </c>
      <c r="QY24" s="328">
        <f>IF(J26&lt;&gt;"",J26,"")</f>
        <v>-0.65</v>
      </c>
      <c r="QZ24" s="310"/>
      <c r="RA24" s="310"/>
      <c r="RB24" s="328" t="s">
        <v>320</v>
      </c>
      <c r="RC24" s="328">
        <f>MAX(QX25,QX27)</f>
        <v>0.65</v>
      </c>
      <c r="RD24" s="411">
        <f>AVERAGE(QX11:QX12)</f>
        <v>0.95</v>
      </c>
      <c r="RE24" s="328">
        <f>$RB$12</f>
        <v>0.42749999999999999</v>
      </c>
      <c r="RF24" s="338" t="b">
        <f>AND(RE24&lt;RD24,RC24&gt;RE24)</f>
        <v>1</v>
      </c>
      <c r="RG24" s="328">
        <v>0</v>
      </c>
      <c r="RH24" s="338">
        <f>RA13-RA12</f>
        <v>0.85499999999999998</v>
      </c>
      <c r="RI24" s="338">
        <f>IF(RF24=TRUE,RH24,RG24)</f>
        <v>0.85499999999999998</v>
      </c>
      <c r="RJ24" s="310"/>
      <c r="RK24" s="310"/>
      <c r="RL24" s="310"/>
      <c r="RM24" s="310"/>
      <c r="RN24" s="310"/>
      <c r="RO24" s="310"/>
      <c r="RP24" s="310"/>
      <c r="RQ24" s="310"/>
      <c r="RR24" s="310"/>
      <c r="RS24" s="310"/>
      <c r="RT24" s="310"/>
      <c r="RU24" s="310"/>
      <c r="RV24" s="310"/>
      <c r="RW24" s="310"/>
      <c r="RX24" s="310"/>
      <c r="RY24" s="310"/>
      <c r="RZ24" s="310"/>
      <c r="SA24" s="310"/>
      <c r="SB24" s="310"/>
      <c r="SN24" s="310"/>
      <c r="SO24" s="220"/>
      <c r="SP24" s="220"/>
      <c r="SQ24" s="220"/>
      <c r="SR24" s="220"/>
      <c r="SS24" s="220"/>
      <c r="ST24" s="220"/>
      <c r="SU24" s="220"/>
      <c r="SV24" s="220"/>
      <c r="SW24" s="220"/>
      <c r="SX24" s="220"/>
      <c r="SY24" s="220"/>
      <c r="SZ24" s="220"/>
      <c r="TA24" s="220"/>
      <c r="TB24" s="220"/>
      <c r="TC24" s="220"/>
      <c r="TD24" s="220"/>
      <c r="TE24" s="220"/>
      <c r="TF24" s="220"/>
      <c r="TG24" s="220"/>
      <c r="TH24" s="220"/>
      <c r="TI24" s="220"/>
      <c r="TJ24" s="220"/>
      <c r="TK24" s="220"/>
      <c r="TL24" s="220"/>
      <c r="TM24" s="220"/>
      <c r="TN24" s="220"/>
      <c r="TO24" s="220"/>
      <c r="TP24" s="220"/>
      <c r="TQ24" s="220"/>
      <c r="TR24" s="220"/>
      <c r="TS24" s="220"/>
      <c r="TT24" s="220"/>
      <c r="TU24" s="220"/>
      <c r="TV24" s="220"/>
      <c r="TW24" s="220"/>
      <c r="TX24" s="220"/>
      <c r="TY24" s="220"/>
      <c r="TZ24" s="220"/>
      <c r="UA24" s="220"/>
      <c r="UB24" s="220"/>
      <c r="UC24" s="220"/>
      <c r="UD24" s="220"/>
      <c r="UE24" s="220"/>
      <c r="UF24" s="220"/>
      <c r="UG24" s="220"/>
      <c r="UH24" s="220"/>
      <c r="UI24" s="220"/>
      <c r="UJ24" s="220"/>
      <c r="UK24" s="216"/>
      <c r="UL24" s="216"/>
      <c r="UM24" s="216"/>
      <c r="UN24" s="216"/>
      <c r="UO24" s="216"/>
      <c r="UP24" s="216"/>
      <c r="UQ24" s="216"/>
      <c r="UR24" s="216"/>
      <c r="US24" s="216"/>
      <c r="UT24" s="216"/>
      <c r="UU24" s="216"/>
      <c r="UV24" s="216"/>
      <c r="UW24" s="216"/>
      <c r="UX24" s="216"/>
      <c r="UY24" s="216"/>
      <c r="UZ24" s="216"/>
      <c r="VA24" s="216"/>
    </row>
    <row r="25" spans="1:574" s="4" customFormat="1" ht="15" customHeight="1" x14ac:dyDescent="0.45">
      <c r="A25" s="51"/>
      <c r="B25" s="51"/>
      <c r="C25" s="52"/>
      <c r="D25" s="52"/>
      <c r="E25" s="52"/>
      <c r="F25" s="52"/>
      <c r="G25" s="54" t="s">
        <v>78</v>
      </c>
      <c r="H25" s="541" t="s">
        <v>79</v>
      </c>
      <c r="I25" s="731"/>
      <c r="J25" s="731"/>
      <c r="K25" s="55"/>
      <c r="L25" s="541" t="s">
        <v>80</v>
      </c>
      <c r="M25" s="731"/>
      <c r="N25" s="542"/>
      <c r="O25" s="54" t="s">
        <v>81</v>
      </c>
      <c r="P25" s="50"/>
      <c r="Q25" s="24" t="s">
        <v>82</v>
      </c>
      <c r="R25" s="24" t="s">
        <v>84</v>
      </c>
      <c r="S25" s="50"/>
      <c r="T25" s="50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5"/>
      <c r="AM25" s="45"/>
      <c r="AN25" s="45"/>
      <c r="AO25" s="45"/>
      <c r="AP25" s="310"/>
      <c r="AQ25" s="311" t="s">
        <v>307</v>
      </c>
      <c r="AR25" s="311"/>
      <c r="AS25" s="311"/>
      <c r="AT25" s="310"/>
      <c r="AU25" s="310"/>
      <c r="AV25" s="310"/>
      <c r="AW25" s="310"/>
      <c r="AX25" s="310"/>
      <c r="AY25" s="310"/>
      <c r="AZ25" s="412" t="str">
        <f>G26</f>
        <v>P1</v>
      </c>
      <c r="BA25" s="338" t="b">
        <f>IF(L26&lt;&gt;"",ABS(L26)&lt;=$BF$16,"")</f>
        <v>1</v>
      </c>
      <c r="BB25" s="338" t="b">
        <f>IF(BA25&lt;&gt;"",IF(BA25=TRUE,FALSE,TRUE),"")</f>
        <v>0</v>
      </c>
      <c r="BC25" s="338" t="b">
        <f>IF(M26&lt;&gt;"",ABS(M26)&lt;=$BF$16,"")</f>
        <v>1</v>
      </c>
      <c r="BD25" s="338" t="b">
        <f>IF(BC25&lt;&gt;"",IF(BC25=TRUE,FALSE,TRUE),"")</f>
        <v>0</v>
      </c>
      <c r="BE25" s="338" t="b">
        <f>AND(BA25=TRUE,BC25=TRUE)</f>
        <v>1</v>
      </c>
      <c r="BF25" s="328" t="b">
        <f>IF(BE25&lt;&gt;"",IF(BE25=TRUE,TRUE,IF(BA25=FALSE,"N &gt;"&amp;$BF$16,"E &gt;"&amp;$BF$16)),"")</f>
        <v>1</v>
      </c>
      <c r="BG25" s="338" t="b">
        <f>IF(BF25&lt;&gt;"",IF(BF25=TRUE,FALSE,TRUE),"")</f>
        <v>0</v>
      </c>
      <c r="BH25" s="310"/>
      <c r="BI25" s="310"/>
      <c r="BJ25" s="310"/>
      <c r="BK25" s="310" t="e">
        <v>#N/A</v>
      </c>
      <c r="BL25" s="310" t="e">
        <v>#N/A</v>
      </c>
      <c r="BM25" s="310"/>
      <c r="BN25" s="310"/>
      <c r="BO25" s="310"/>
      <c r="BP25" s="310"/>
      <c r="BQ25" s="310"/>
      <c r="BR25" s="310"/>
      <c r="BS25" s="310"/>
      <c r="BT25" s="310"/>
      <c r="BU25" s="310"/>
      <c r="BV25" s="310"/>
      <c r="BW25" s="310"/>
      <c r="BX25" s="400" t="s">
        <v>90</v>
      </c>
      <c r="BY25" s="246" t="e">
        <f>BY47-J16</f>
        <v>#N/A</v>
      </c>
      <c r="BZ25" s="248" t="e">
        <f>BZ47+J16</f>
        <v>#N/A</v>
      </c>
      <c r="CA25" s="310"/>
      <c r="CB25" s="310"/>
      <c r="CC25" s="310"/>
      <c r="CD25" s="310"/>
      <c r="CE25" s="310"/>
      <c r="CF25" s="310"/>
      <c r="CG25" s="310"/>
      <c r="CH25" s="310"/>
      <c r="CI25" s="310"/>
      <c r="CJ25" s="338" t="s">
        <v>217</v>
      </c>
      <c r="CK25" s="230" t="e">
        <f>IF(AND(CP13=TRUE,CJ23=TRUE,CU11=TRUE),J27,#N/A)</f>
        <v>#N/A</v>
      </c>
      <c r="CL25" s="230" t="e">
        <f>IF(AND(CP13=TRUE,CJ23=TRUE,CU11=TRUE),H27,#N/A)</f>
        <v>#N/A</v>
      </c>
      <c r="CM25" s="310"/>
      <c r="CN25" s="310"/>
      <c r="CO25" s="310"/>
      <c r="CP25" s="310"/>
      <c r="CQ25" s="424" t="s">
        <v>638</v>
      </c>
      <c r="CR25" s="310">
        <f>AVERAGE(CR17:CR24)</f>
        <v>0</v>
      </c>
      <c r="CS25" s="310">
        <f>AVERAGE(CS17:CS24)</f>
        <v>0</v>
      </c>
      <c r="CT25" s="310"/>
      <c r="CU25" s="310"/>
      <c r="CV25" s="310"/>
      <c r="CW25" s="310"/>
      <c r="CX25" s="310"/>
      <c r="CY25" s="310"/>
      <c r="CZ25" s="310"/>
      <c r="DA25" s="310"/>
      <c r="DB25" s="310"/>
      <c r="DC25" s="283" t="e">
        <v>#N/A</v>
      </c>
      <c r="DD25" s="283" t="e">
        <v>#N/A</v>
      </c>
      <c r="DE25" s="310"/>
      <c r="DF25" s="283"/>
      <c r="DG25" s="283" t="e">
        <v>#N/A</v>
      </c>
      <c r="DH25" s="310"/>
      <c r="DI25" s="310"/>
      <c r="DJ25" s="310"/>
      <c r="DK25" s="313">
        <v>17</v>
      </c>
      <c r="DL25" s="282" t="e">
        <f t="shared" si="3"/>
        <v>#N/A</v>
      </c>
      <c r="DM25" s="291" t="e">
        <f t="shared" si="4"/>
        <v>#N/A</v>
      </c>
      <c r="DN25" s="310"/>
      <c r="DO25" s="310"/>
      <c r="DP25" s="310"/>
      <c r="DQ25" s="310"/>
      <c r="DR25" s="310"/>
      <c r="DS25" s="310"/>
      <c r="DT25" s="310" t="s">
        <v>90</v>
      </c>
      <c r="DU25" s="246">
        <f>DU46-J16</f>
        <v>-0.95</v>
      </c>
      <c r="DV25" s="248">
        <f>DV47+J16</f>
        <v>0.95</v>
      </c>
      <c r="DW25" s="310"/>
      <c r="DX25" s="338" t="s">
        <v>88</v>
      </c>
      <c r="DY25" s="338" t="b" cm="1">
        <f t="array" ref="DY25:DY28">AV39:AV42</f>
        <v>0</v>
      </c>
      <c r="DZ25" s="328" t="s">
        <v>48</v>
      </c>
      <c r="EA25" s="328" t="s">
        <v>49</v>
      </c>
      <c r="EB25" s="310"/>
      <c r="EC25" s="338" t="e">
        <v>#N/A</v>
      </c>
      <c r="ED25" s="338" t="e">
        <v>#N/A</v>
      </c>
      <c r="EE25" s="310"/>
      <c r="EF25" s="310"/>
      <c r="EG25" s="310"/>
      <c r="EH25" s="310"/>
      <c r="EI25" s="310"/>
      <c r="EJ25" s="310"/>
      <c r="EK25" s="310"/>
      <c r="EL25" s="310"/>
      <c r="EM25" s="310"/>
      <c r="EN25" s="310"/>
      <c r="EO25" s="310"/>
      <c r="EP25" s="310"/>
      <c r="EQ25" s="310"/>
      <c r="ER25" s="310"/>
      <c r="ES25" s="332" t="e">
        <v>#N/A</v>
      </c>
      <c r="ET25" s="332" t="e">
        <v>#N/A</v>
      </c>
      <c r="EU25" s="406" t="s">
        <v>144</v>
      </c>
      <c r="EV25" s="332" t="e">
        <f>EV20+((2/SQRT(3))*EV10)/2</f>
        <v>#N/A</v>
      </c>
      <c r="EW25" s="332" t="e">
        <f>EW24</f>
        <v>#N/A</v>
      </c>
      <c r="EX25" s="413" t="e">
        <f>EV34</f>
        <v>#N/A</v>
      </c>
      <c r="EY25" s="413" t="e">
        <f>EY19+EV10</f>
        <v>#N/A</v>
      </c>
      <c r="EZ25" s="346" t="e">
        <f>EZ24</f>
        <v>#N/A</v>
      </c>
      <c r="FA25" s="346" t="e">
        <f>FA19+(EV10/SQRT(3))</f>
        <v>#N/A</v>
      </c>
      <c r="FB25" s="346" t="e">
        <f>FB24-EV10</f>
        <v>#N/A</v>
      </c>
      <c r="FC25" s="346" t="e">
        <f>FC19-(EV10/SQRT(3))</f>
        <v>#N/A</v>
      </c>
      <c r="FD25" s="258" t="e">
        <v>#N/A</v>
      </c>
      <c r="FE25" s="258" t="e">
        <v>#N/A</v>
      </c>
      <c r="FF25" s="310"/>
      <c r="FG25" s="310"/>
      <c r="FH25" s="338" t="e">
        <v>#N/A</v>
      </c>
      <c r="FI25" s="338" t="e">
        <v>#N/A</v>
      </c>
      <c r="FJ25" s="403" t="s">
        <v>346</v>
      </c>
      <c r="FK25" s="338" t="b">
        <f t="shared" si="47"/>
        <v>1</v>
      </c>
      <c r="FL25" s="318" t="b">
        <v>0</v>
      </c>
      <c r="FM25" s="328" t="b">
        <f t="shared" ref="FM25:FM31" si="49">AND(FK25=TRUE,FL25=TRUE)</f>
        <v>0</v>
      </c>
      <c r="FN25" s="328" t="b">
        <f t="shared" si="48"/>
        <v>1</v>
      </c>
      <c r="FO25" s="328">
        <v>2</v>
      </c>
      <c r="FP25" s="328" t="str">
        <f t="shared" ref="FP25:FP31" si="50">FO25&amp;" CURSOR [ ON ]"</f>
        <v>2 CURSOR [ ON ]</v>
      </c>
      <c r="FQ25" s="409">
        <f>M11+J16</f>
        <v>0.3</v>
      </c>
      <c r="FR25" s="409">
        <f>FR24</f>
        <v>0.3</v>
      </c>
      <c r="FS25" s="409">
        <f>FS24</f>
        <v>-0.95</v>
      </c>
      <c r="FT25" s="409">
        <f>J19+J16</f>
        <v>-0.35000000000000003</v>
      </c>
      <c r="FU25" s="336">
        <f>FU24</f>
        <v>-0.95</v>
      </c>
      <c r="FV25" s="414">
        <f>J20+J16</f>
        <v>0.95</v>
      </c>
      <c r="FW25" s="338">
        <f t="shared" ref="FW25:FW27" si="51">IF($AX$14=2,FU25,FS25)</f>
        <v>-0.95</v>
      </c>
      <c r="FX25" s="338">
        <f t="shared" ref="FX25:FX27" si="52">IF($AX$14=2,FV25,FT25)</f>
        <v>0.95</v>
      </c>
      <c r="FY25" s="222" t="e">
        <f>FD25</f>
        <v>#N/A</v>
      </c>
      <c r="FZ25" s="222" t="e">
        <f>FE25</f>
        <v>#N/A</v>
      </c>
      <c r="GA25" s="336">
        <f>M19-J16</f>
        <v>-0.95</v>
      </c>
      <c r="GB25" s="336">
        <f>J19-J16</f>
        <v>-0.95</v>
      </c>
      <c r="GC25" s="328" cm="1">
        <f t="array" ref="GC25:GD31">_xlfn.SWITCH(FP22,
"F1",FQ24:FR30,
"F2",FW24:FX30,
"F3",FY24:FZ30,
"F4",GA25:GB31,"F5",GA25:GB31,
"")</f>
        <v>-0.95</v>
      </c>
      <c r="GD25" s="328">
        <v>-0.95</v>
      </c>
      <c r="GE25" s="311" t="b">
        <f t="shared" ref="GE25:GE30" si="53">AND(FL24=FALSE,FK24=TRUE)</f>
        <v>1</v>
      </c>
      <c r="GF25" s="313" t="s">
        <v>332</v>
      </c>
      <c r="GG25" s="313">
        <v>-0.35</v>
      </c>
      <c r="GH25" s="313">
        <v>0</v>
      </c>
      <c r="GI25" s="338" t="b">
        <f t="shared" ref="GI25:GI30" si="54">AND($FJ$24=TRUE,FK24=TRUE,FL24=TRUE)</f>
        <v>0</v>
      </c>
      <c r="GJ25" s="259" t="e">
        <f>IF(GI25=TRUE,GC25+GG25,#N/A)</f>
        <v>#N/A</v>
      </c>
      <c r="GK25" s="259" t="e">
        <f>IF(GI25=TRUE,GD25+GH25,#N/A)</f>
        <v>#N/A</v>
      </c>
      <c r="GL25" s="338" t="b">
        <f t="shared" ref="GL25:GL30" si="55">AND($FJ$24=TRUE,FK24=TRUE,GE25=TRUE)</f>
        <v>0</v>
      </c>
      <c r="GM25" s="260" t="e">
        <f>IF(GL25=TRUE,GC25+GG25,#N/A)</f>
        <v>#N/A</v>
      </c>
      <c r="GN25" s="260" t="e">
        <f>IF(GL25=TRUE,GD25+GH25,#N/A)</f>
        <v>#N/A</v>
      </c>
      <c r="GO25" s="310"/>
      <c r="GP25" s="338">
        <f>GC25+GG25</f>
        <v>-1.2999999999999998</v>
      </c>
      <c r="GQ25" s="338">
        <f>GD25+GH25</f>
        <v>-0.95</v>
      </c>
      <c r="GR25" s="310"/>
      <c r="GS25" s="310"/>
      <c r="GT25" s="310"/>
      <c r="GU25" s="310"/>
      <c r="GV25" s="310"/>
      <c r="GW25" s="310"/>
      <c r="GX25" s="314">
        <v>19</v>
      </c>
      <c r="GY25" s="316" t="s">
        <v>89</v>
      </c>
      <c r="GZ25" s="323">
        <v>30</v>
      </c>
      <c r="HA25" s="316">
        <v>30</v>
      </c>
      <c r="HB25" s="316">
        <v>13</v>
      </c>
      <c r="HC25" s="316">
        <f t="shared" si="39"/>
        <v>17.320508075688775</v>
      </c>
      <c r="HD25" s="316"/>
      <c r="HE25" s="316"/>
      <c r="HF25" s="316"/>
      <c r="HG25" s="310"/>
      <c r="HH25" s="310"/>
      <c r="HI25" s="310"/>
      <c r="HJ25" s="310"/>
      <c r="HK25" s="342">
        <v>11</v>
      </c>
      <c r="HL25" s="235" t="e">
        <f t="shared" si="5"/>
        <v>#N/A</v>
      </c>
      <c r="HM25" s="235" t="e">
        <f t="shared" si="6"/>
        <v>#N/A</v>
      </c>
      <c r="HN25" s="310"/>
      <c r="HO25" s="310"/>
      <c r="HP25" s="235" t="e">
        <f t="shared" si="7"/>
        <v>#N/A</v>
      </c>
      <c r="HQ25" s="235" t="e">
        <f t="shared" si="8"/>
        <v>#N/A</v>
      </c>
      <c r="HR25" s="310"/>
      <c r="HS25" s="310"/>
      <c r="HT25" s="235" t="e">
        <f t="shared" si="9"/>
        <v>#N/A</v>
      </c>
      <c r="HU25" s="235" t="e">
        <f t="shared" si="10"/>
        <v>#N/A</v>
      </c>
      <c r="HV25" s="310"/>
      <c r="HW25" s="310"/>
      <c r="HX25" s="235" t="e">
        <f t="shared" si="11"/>
        <v>#N/A</v>
      </c>
      <c r="HY25" s="235" t="e">
        <f t="shared" si="12"/>
        <v>#N/A</v>
      </c>
      <c r="HZ25" s="310"/>
      <c r="IA25" s="310"/>
      <c r="IB25" s="235" t="e">
        <f t="shared" si="13"/>
        <v>#N/A</v>
      </c>
      <c r="IC25" s="235" t="e">
        <f t="shared" si="14"/>
        <v>#N/A</v>
      </c>
      <c r="ID25" s="310"/>
      <c r="IE25" s="342">
        <v>11</v>
      </c>
      <c r="IF25" s="262" t="e">
        <f t="shared" si="15"/>
        <v>#N/A</v>
      </c>
      <c r="IG25" s="262" t="e">
        <f t="shared" si="16"/>
        <v>#N/A</v>
      </c>
      <c r="IH25" s="390"/>
      <c r="II25" s="390"/>
      <c r="IJ25" s="262" t="e">
        <f t="shared" si="17"/>
        <v>#N/A</v>
      </c>
      <c r="IK25" s="262" t="e">
        <f t="shared" si="18"/>
        <v>#N/A</v>
      </c>
      <c r="IL25" s="390"/>
      <c r="IM25" s="390"/>
      <c r="IN25" s="262" t="e">
        <f t="shared" si="19"/>
        <v>#N/A</v>
      </c>
      <c r="IO25" s="262" t="e">
        <f t="shared" si="20"/>
        <v>#N/A</v>
      </c>
      <c r="IP25" s="390"/>
      <c r="IQ25" s="390"/>
      <c r="IR25" s="262" t="e">
        <f t="shared" si="21"/>
        <v>#N/A</v>
      </c>
      <c r="IS25" s="262" t="e">
        <f t="shared" si="22"/>
        <v>#N/A</v>
      </c>
      <c r="IT25" s="390"/>
      <c r="IU25" s="390"/>
      <c r="IV25" s="262" t="e">
        <f t="shared" si="23"/>
        <v>#N/A</v>
      </c>
      <c r="IW25" s="262" t="e">
        <f t="shared" si="24"/>
        <v>#N/A</v>
      </c>
      <c r="IX25" s="310"/>
      <c r="IY25" s="310"/>
      <c r="IZ25" s="310"/>
      <c r="JA25" s="310"/>
      <c r="JB25" s="313" t="s">
        <v>152</v>
      </c>
      <c r="JC25" s="236" t="e">
        <f>JC24</f>
        <v>#N/A</v>
      </c>
      <c r="JD25" s="236" t="e">
        <f>JA24-($IZ$10/2)+$IZ$9</f>
        <v>#N/A</v>
      </c>
      <c r="JE25" s="310"/>
      <c r="JF25" s="310"/>
      <c r="JG25" s="310"/>
      <c r="JH25" s="310"/>
      <c r="JI25" s="313" t="s">
        <v>152</v>
      </c>
      <c r="JJ25" s="263" t="e">
        <f>JJ24</f>
        <v>#N/A</v>
      </c>
      <c r="JK25" s="263" t="e">
        <f>JH24-($IZ$10/2)+$IZ$9</f>
        <v>#N/A</v>
      </c>
      <c r="JL25" s="310"/>
      <c r="JM25" s="310"/>
      <c r="JN25" s="261" t="e">
        <f t="shared" si="25"/>
        <v>#N/A</v>
      </c>
      <c r="JO25" s="261" t="e">
        <f t="shared" si="26"/>
        <v>#N/A</v>
      </c>
      <c r="JP25" s="310"/>
      <c r="JQ25" s="310"/>
      <c r="JR25" s="261" t="e">
        <f t="shared" si="31"/>
        <v>#N/A</v>
      </c>
      <c r="JS25" s="261" t="e">
        <f t="shared" si="32"/>
        <v>#N/A</v>
      </c>
      <c r="JT25" s="310"/>
      <c r="JU25" s="310"/>
      <c r="JV25" s="261" t="e">
        <f t="shared" si="27"/>
        <v>#N/A</v>
      </c>
      <c r="JW25" s="261" t="e">
        <f t="shared" si="28"/>
        <v>#N/A</v>
      </c>
      <c r="JX25" s="310"/>
      <c r="JY25" s="310"/>
      <c r="JZ25" s="310"/>
      <c r="KA25" s="310"/>
      <c r="KB25" s="313" t="s">
        <v>326</v>
      </c>
      <c r="KC25" s="263" t="e">
        <f>JZ21-($IZ$10/2)</f>
        <v>#N/A</v>
      </c>
      <c r="KD25" s="263" t="e">
        <f>KD22</f>
        <v>#N/A</v>
      </c>
      <c r="KE25" s="310"/>
      <c r="KF25" s="310"/>
      <c r="KG25" s="310"/>
      <c r="KH25" s="310"/>
      <c r="KI25" s="310"/>
      <c r="KJ25" s="310"/>
      <c r="KK25" s="310"/>
      <c r="KL25" s="329"/>
      <c r="KM25" s="310"/>
      <c r="KN25" s="242" t="e">
        <f>KN24</f>
        <v>#N/A</v>
      </c>
      <c r="KO25" s="243" t="e">
        <f>IF(KR10=TRUE,OO50,#N/A)</f>
        <v>#N/A</v>
      </c>
      <c r="KP25" s="328"/>
      <c r="KQ25" s="328"/>
      <c r="KR25" s="328"/>
      <c r="KS25" s="257" t="e">
        <f>IF(KW10=TRUE,ON51,#N/A)</f>
        <v>#N/A</v>
      </c>
      <c r="KT25" s="257" t="e">
        <f>KT24</f>
        <v>#N/A</v>
      </c>
      <c r="KU25" s="338"/>
      <c r="KV25" s="328"/>
      <c r="KW25" s="338"/>
      <c r="KX25" s="310"/>
      <c r="KY25" s="310"/>
      <c r="KZ25" s="310"/>
      <c r="LA25" s="310"/>
      <c r="LB25" s="310"/>
      <c r="LC25" s="346" t="e">
        <v>#N/A</v>
      </c>
      <c r="LD25" s="346" t="e">
        <v>#N/A</v>
      </c>
      <c r="LE25" s="346" t="e">
        <v>#N/A</v>
      </c>
      <c r="LF25" s="310"/>
      <c r="LG25" s="310"/>
      <c r="LH25" s="391" t="e">
        <f>LH20</f>
        <v>#N/A</v>
      </c>
      <c r="LI25" s="391">
        <f>OO49</f>
        <v>-0.95</v>
      </c>
      <c r="LJ25" s="338" t="e">
        <v>#N/A</v>
      </c>
      <c r="LK25" s="338" t="e">
        <v>#N/A</v>
      </c>
      <c r="LL25" s="391"/>
      <c r="LM25" s="310"/>
      <c r="LN25" s="310"/>
      <c r="LO25" s="380">
        <f>LO24</f>
        <v>-1.4999999999999998</v>
      </c>
      <c r="LP25" s="338">
        <f>OO50</f>
        <v>0.95</v>
      </c>
      <c r="LQ25" s="338" t="e">
        <v>#N/A</v>
      </c>
      <c r="LR25" s="338" t="e">
        <v>#N/A</v>
      </c>
      <c r="LS25" s="391"/>
      <c r="LT25" s="310"/>
      <c r="LU25" s="310"/>
      <c r="LV25" s="338">
        <f>ON52</f>
        <v>1.2999999999999998</v>
      </c>
      <c r="LW25" s="338">
        <f>LW24</f>
        <v>1.19</v>
      </c>
      <c r="LX25" s="338" t="e">
        <v>#N/A</v>
      </c>
      <c r="LY25" s="338" t="e">
        <v>#N/A</v>
      </c>
      <c r="LZ25" s="391"/>
      <c r="MA25" s="310"/>
      <c r="MB25" s="310"/>
      <c r="MC25" s="338" t="e">
        <f>ON53</f>
        <v>#N/A</v>
      </c>
      <c r="MD25" s="338">
        <f>MD24</f>
        <v>1.27</v>
      </c>
      <c r="ME25" s="338" t="e">
        <v>#N/A</v>
      </c>
      <c r="MF25" s="338" t="e">
        <v>#N/A</v>
      </c>
      <c r="MG25" s="391"/>
      <c r="MH25" s="310"/>
      <c r="MI25" s="310"/>
      <c r="MJ25" s="242" t="e">
        <v>#N/A</v>
      </c>
      <c r="MK25" s="242" t="e">
        <v>#N/A</v>
      </c>
      <c r="ML25" s="242" t="e">
        <v>#N/A</v>
      </c>
      <c r="MM25" s="242" t="e">
        <v>#N/A</v>
      </c>
      <c r="MN25" s="391"/>
      <c r="MO25" s="310"/>
      <c r="MP25" s="311" t="e">
        <v>#N/A</v>
      </c>
      <c r="MQ25" s="311" t="e">
        <v>#N/A</v>
      </c>
      <c r="MR25" s="311"/>
      <c r="MS25" s="311"/>
      <c r="MT25" s="318" t="s">
        <v>323</v>
      </c>
      <c r="MU25" s="518" t="s">
        <v>332</v>
      </c>
      <c r="MV25" s="520"/>
      <c r="MW25" s="518" t="s">
        <v>335</v>
      </c>
      <c r="MX25" s="520"/>
      <c r="MY25" s="222">
        <f t="shared" si="43"/>
        <v>-1.2999999999999998</v>
      </c>
      <c r="MZ25" s="222">
        <f t="shared" si="44"/>
        <v>-0.95</v>
      </c>
      <c r="NA25" s="222">
        <f t="shared" si="45"/>
        <v>1.2999999999999998</v>
      </c>
      <c r="NB25" s="222">
        <f t="shared" si="46"/>
        <v>-0.95</v>
      </c>
      <c r="NC25" s="310"/>
      <c r="ND25" s="310"/>
      <c r="NE25" s="310"/>
      <c r="NF25" s="310"/>
      <c r="NG25" s="310"/>
      <c r="NH25" s="310"/>
      <c r="NI25" s="310"/>
      <c r="NJ25" s="310"/>
      <c r="NK25" s="310"/>
      <c r="NL25" s="310"/>
      <c r="NM25" s="338" t="s">
        <v>116</v>
      </c>
      <c r="NN25" s="338" t="s">
        <v>334</v>
      </c>
      <c r="NO25" s="338">
        <f>ON51</f>
        <v>1.2999999999999998</v>
      </c>
      <c r="NP25" s="338">
        <f>OO51</f>
        <v>0.95</v>
      </c>
      <c r="NQ25" s="310"/>
      <c r="NR25" s="310"/>
      <c r="NS25" s="272">
        <f>OC12</f>
        <v>-0.65</v>
      </c>
      <c r="NT25" s="272">
        <f>NT24</f>
        <v>-1.0999999999999999</v>
      </c>
      <c r="NU25" s="398"/>
      <c r="NV25" s="398"/>
      <c r="NW25" s="310"/>
      <c r="NX25" s="310"/>
      <c r="NY25" s="310"/>
      <c r="NZ25" s="310"/>
      <c r="OA25" s="310"/>
      <c r="OB25" s="310"/>
      <c r="OC25" s="310"/>
      <c r="OD25" s="310"/>
      <c r="OE25" s="310"/>
      <c r="OF25" s="310"/>
      <c r="OG25" s="310"/>
      <c r="OH25" s="310"/>
      <c r="OI25" s="310"/>
      <c r="OJ25" s="310"/>
      <c r="OK25" s="310"/>
      <c r="OL25" s="310"/>
      <c r="OM25" s="228" t="e">
        <f>IF(ON21=TRUE,OM14-ON13/2,#N/A)</f>
        <v>#N/A</v>
      </c>
      <c r="ON25" s="228" t="e">
        <f>ON24</f>
        <v>#N/A</v>
      </c>
      <c r="OO25" s="230" t="e">
        <f>OM29</f>
        <v>#N/A</v>
      </c>
      <c r="OP25" s="230" t="e">
        <f>ON29-(ON29-ON30)/2</f>
        <v>#N/A</v>
      </c>
      <c r="OQ25" s="410" t="e">
        <f>ON29-ON30</f>
        <v>#N/A</v>
      </c>
      <c r="OR25" s="310"/>
      <c r="OS25" s="310"/>
      <c r="OT25" s="310"/>
      <c r="OU25" s="280" t="e">
        <f>IF(OV8=TRUE,M11-MIN(O12:O13)/2,#N/A)</f>
        <v>#N/A</v>
      </c>
      <c r="OV25" s="280" t="e">
        <f>OV24</f>
        <v>#N/A</v>
      </c>
      <c r="OW25" s="310"/>
      <c r="OX25" s="280" t="e">
        <f>IF(OT10=TRUE,OU21-F50/100,#N/A)</f>
        <v>#N/A</v>
      </c>
      <c r="OY25" s="280" t="e">
        <f>OY24</f>
        <v>#N/A</v>
      </c>
      <c r="OZ25" s="310"/>
      <c r="PA25" s="280" t="e">
        <f>PA24</f>
        <v>#N/A</v>
      </c>
      <c r="PB25" s="280" t="e">
        <f>IF(OT9=TRUE,OV16-F50/100,#N/A)</f>
        <v>#N/A</v>
      </c>
      <c r="PC25" s="310"/>
      <c r="PD25" s="310"/>
      <c r="PE25" s="313">
        <v>11</v>
      </c>
      <c r="PF25" s="318" t="b">
        <f t="shared" si="33"/>
        <v>0</v>
      </c>
      <c r="PG25" s="283" t="e">
        <f t="shared" si="34"/>
        <v>#N/A</v>
      </c>
      <c r="PH25" s="283" t="e">
        <f t="shared" si="35"/>
        <v>#N/A</v>
      </c>
      <c r="PI25" s="295" t="e">
        <f t="shared" si="36"/>
        <v>#N/A</v>
      </c>
      <c r="PJ25" s="310"/>
      <c r="PK25" s="310"/>
      <c r="PL25" s="310"/>
      <c r="PM25" s="310"/>
      <c r="PN25" s="328" t="e">
        <v>#N/A</v>
      </c>
      <c r="PO25" s="328" t="e">
        <v>#N/A</v>
      </c>
      <c r="PP25" s="328" t="e">
        <v>#N/A</v>
      </c>
      <c r="PQ25" s="310"/>
      <c r="PR25" s="310"/>
      <c r="PS25" s="342">
        <v>11</v>
      </c>
      <c r="PT25" s="261" t="e">
        <f t="shared" si="29"/>
        <v>#N/A</v>
      </c>
      <c r="PU25" s="261" t="e">
        <f t="shared" si="30"/>
        <v>#N/A</v>
      </c>
      <c r="PV25" s="310"/>
      <c r="PW25" s="310"/>
      <c r="PX25" s="310"/>
      <c r="PY25" s="310"/>
      <c r="PZ25" s="310"/>
      <c r="QA25" s="277" t="e">
        <f>QA24</f>
        <v>#N/A</v>
      </c>
      <c r="QB25" s="277" t="e">
        <f>QB22</f>
        <v>#N/A</v>
      </c>
      <c r="QC25" s="310"/>
      <c r="QD25" s="310"/>
      <c r="QE25" s="310"/>
      <c r="QF25" s="310"/>
      <c r="QG25" s="310"/>
      <c r="QH25" s="310"/>
      <c r="QI25" s="310"/>
      <c r="QJ25" s="310"/>
      <c r="QK25" s="310"/>
      <c r="QL25" s="310"/>
      <c r="QM25" s="257" t="e">
        <f>QM22</f>
        <v>#N/A</v>
      </c>
      <c r="QN25" s="257" t="e">
        <f>QN24</f>
        <v>#N/A</v>
      </c>
      <c r="QO25" s="310"/>
      <c r="QP25" s="310"/>
      <c r="QQ25" s="310"/>
      <c r="QR25" s="310"/>
      <c r="QS25" s="310"/>
      <c r="QT25" s="310"/>
      <c r="QU25" s="310"/>
      <c r="QV25" s="328" t="str">
        <f t="shared" ref="QV25:QV28" si="56">IF(G20&lt;&gt;"",G20,"")</f>
        <v>P2 &gt;&gt;</v>
      </c>
      <c r="QW25" s="402" t="str">
        <f>IF(G27&lt;&gt;"",G27,"")</f>
        <v>P2</v>
      </c>
      <c r="QX25" s="328">
        <f t="shared" ref="QX25:QX28" si="57">IF(H27&lt;&gt;"",H27,"")</f>
        <v>0.65</v>
      </c>
      <c r="QY25" s="328">
        <f t="shared" ref="QY25:QY28" si="58">IF(J27&lt;&gt;"",J27,"")</f>
        <v>-0.65</v>
      </c>
      <c r="QZ25" s="310"/>
      <c r="RA25" s="310"/>
      <c r="RB25" s="328" t="s">
        <v>321</v>
      </c>
      <c r="RC25" s="328">
        <f>MAX(QX24,QX26)</f>
        <v>-0.65</v>
      </c>
      <c r="RD25" s="411">
        <f>AVERAGE(QX14:QX15)</f>
        <v>-0.95</v>
      </c>
      <c r="RE25" s="328">
        <f>$RB$14</f>
        <v>-0.42749999999999999</v>
      </c>
      <c r="RF25" s="338" t="b">
        <f>AND(RE25&gt;RC25,RE25&gt;RD25)</f>
        <v>1</v>
      </c>
      <c r="RG25" s="328">
        <v>0</v>
      </c>
      <c r="RH25" s="338">
        <f>RH24</f>
        <v>0.85499999999999998</v>
      </c>
      <c r="RI25" s="338">
        <f t="shared" ref="RI25:RI27" si="59">IF(RF25=TRUE,RH25,RG25)</f>
        <v>0.85499999999999998</v>
      </c>
      <c r="RJ25" s="310"/>
      <c r="RK25" s="310"/>
      <c r="RL25" s="310"/>
      <c r="RM25" s="310"/>
      <c r="RN25" s="310"/>
      <c r="RO25" s="310"/>
      <c r="RP25" s="310"/>
      <c r="RQ25" s="310"/>
      <c r="RR25" s="310"/>
      <c r="RS25" s="310"/>
      <c r="RT25" s="310"/>
      <c r="RU25" s="310"/>
      <c r="RV25" s="310"/>
      <c r="RW25" s="310"/>
      <c r="RX25" s="310"/>
      <c r="RY25" s="310"/>
      <c r="RZ25" s="310"/>
      <c r="SA25" s="310"/>
      <c r="SB25" s="310"/>
      <c r="SN25" s="310"/>
      <c r="SO25" s="220"/>
      <c r="SP25" s="220"/>
      <c r="SQ25" s="220"/>
      <c r="SR25" s="220"/>
      <c r="SS25" s="220"/>
      <c r="ST25" s="220"/>
      <c r="SU25" s="220"/>
      <c r="SV25" s="220"/>
      <c r="SW25" s="220"/>
      <c r="SX25" s="220"/>
      <c r="SY25" s="220"/>
      <c r="SZ25" s="220"/>
      <c r="TA25" s="220"/>
      <c r="TB25" s="220"/>
      <c r="TC25" s="220"/>
      <c r="TD25" s="220"/>
      <c r="TE25" s="220"/>
      <c r="TF25" s="220"/>
      <c r="TG25" s="220"/>
      <c r="TH25" s="220"/>
      <c r="TI25" s="220"/>
      <c r="TJ25" s="220"/>
      <c r="TK25" s="220"/>
      <c r="TL25" s="220"/>
      <c r="TM25" s="220"/>
      <c r="TN25" s="220"/>
      <c r="TO25" s="220"/>
      <c r="TP25" s="220"/>
      <c r="TQ25" s="220"/>
      <c r="TR25" s="220"/>
      <c r="TS25" s="220"/>
      <c r="TT25" s="220"/>
      <c r="TU25" s="220"/>
      <c r="TV25" s="220"/>
      <c r="TW25" s="220"/>
      <c r="TX25" s="220"/>
      <c r="TY25" s="220"/>
      <c r="TZ25" s="220"/>
      <c r="UA25" s="220"/>
      <c r="UB25" s="220"/>
      <c r="UC25" s="220"/>
      <c r="UD25" s="220"/>
      <c r="UE25" s="220"/>
      <c r="UF25" s="220"/>
      <c r="UG25" s="220"/>
      <c r="UH25" s="220"/>
      <c r="UI25" s="220"/>
      <c r="UJ25" s="220"/>
      <c r="UK25" s="216"/>
      <c r="UL25" s="216"/>
      <c r="UM25" s="216"/>
      <c r="UN25" s="216"/>
      <c r="UO25" s="216"/>
      <c r="UP25" s="216"/>
      <c r="UQ25" s="216"/>
      <c r="UR25" s="216"/>
      <c r="US25" s="216"/>
      <c r="UT25" s="216"/>
      <c r="UU25" s="216"/>
      <c r="UV25" s="216"/>
      <c r="UW25" s="216"/>
      <c r="UX25" s="216"/>
      <c r="UY25" s="216"/>
      <c r="UZ25" s="216"/>
      <c r="VA25" s="216"/>
    </row>
    <row r="26" spans="1:574" s="4" customFormat="1" ht="15" customHeight="1" x14ac:dyDescent="0.45">
      <c r="A26" s="51"/>
      <c r="B26" s="51"/>
      <c r="C26" s="52"/>
      <c r="D26" s="52"/>
      <c r="E26" s="52"/>
      <c r="F26" s="52"/>
      <c r="G26" s="57" t="str">
        <f>IF(CP13=TRUE,IF(H19&lt;&gt;"",H19,G19),"")</f>
        <v>P1</v>
      </c>
      <c r="H26" s="576">
        <f>IF(Q26&lt;&gt;"",IF(BP24=TRUE,J19+Q26,Q26),"")</f>
        <v>-0.65</v>
      </c>
      <c r="I26" s="577"/>
      <c r="J26" s="586">
        <f>IF(R26&lt;&gt;"",IF(BP24=TRUE,M19+R26,R26),"")</f>
        <v>-0.65</v>
      </c>
      <c r="K26" s="587"/>
      <c r="L26" s="27">
        <f>IF(BM7=TRUE,IF(H26&lt;&gt;"",J19-H26,""),"")</f>
        <v>0</v>
      </c>
      <c r="M26" s="631">
        <f>IF(BM7=TRUE,IF(J26&lt;&gt;"",M19-J26,""),"")</f>
        <v>0</v>
      </c>
      <c r="N26" s="631"/>
      <c r="O26" s="58" t="str">
        <f>IF(L26="","",IF(BM7=TRUE,IF(BE25&lt;&gt;"",IF(BF25=TRUE,"PASS",BF25),""),""))</f>
        <v>PASS</v>
      </c>
      <c r="P26" s="510" t="str">
        <f>IF(BM7=TRUE,G19,"")</f>
        <v>P1 &gt;&gt;</v>
      </c>
      <c r="Q26" s="208">
        <v>-0.65</v>
      </c>
      <c r="R26" s="209">
        <v>-0.65</v>
      </c>
      <c r="S26" s="225"/>
      <c r="T26" s="225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5"/>
      <c r="AM26" s="45"/>
      <c r="AN26" s="45"/>
      <c r="AO26" s="45"/>
      <c r="AP26" s="311" t="b">
        <v>1</v>
      </c>
      <c r="AQ26" s="311" t="s">
        <v>308</v>
      </c>
      <c r="AR26" s="310"/>
      <c r="AS26" s="310"/>
      <c r="AT26" s="310"/>
      <c r="AU26" s="310"/>
      <c r="AV26" s="310"/>
      <c r="AW26" s="310"/>
      <c r="AX26" s="310"/>
      <c r="AY26" s="310"/>
      <c r="AZ26" s="412" t="str">
        <f>G27</f>
        <v>P2</v>
      </c>
      <c r="BA26" s="338" t="b">
        <f>IF(L27&lt;&gt;"",ABS(L27)&lt;=$BF$16,"")</f>
        <v>1</v>
      </c>
      <c r="BB26" s="338" t="b">
        <f>IF(BA26&lt;&gt;"",IF(BA26=TRUE,FALSE,TRUE),"")</f>
        <v>0</v>
      </c>
      <c r="BC26" s="338" t="b">
        <f>IF(M27&lt;&gt;"",ABS(M27)&lt;=$BF$16,"")</f>
        <v>1</v>
      </c>
      <c r="BD26" s="338" t="b">
        <f>IF(BC26&lt;&gt;"",IF(BC26=TRUE,FALSE,TRUE),"")</f>
        <v>0</v>
      </c>
      <c r="BE26" s="338" t="b">
        <f>AND(BA26=TRUE,BC26=TRUE)</f>
        <v>1</v>
      </c>
      <c r="BF26" s="328" t="b">
        <f>IF(BE26&lt;&gt;"",IF(BE26=TRUE,TRUE,IF(BA26=FALSE,"N &gt;"&amp;$BF$16,"E &gt;"&amp;$BF$16)),"")</f>
        <v>1</v>
      </c>
      <c r="BG26" s="338" t="b">
        <f>IF(BF26&lt;&gt;"",IF(BF26=TRUE,FALSE,TRUE),"")</f>
        <v>0</v>
      </c>
      <c r="BH26" s="310"/>
      <c r="BI26" s="310"/>
      <c r="BJ26" s="310"/>
      <c r="BK26" s="310" t="e">
        <v>#N/A</v>
      </c>
      <c r="BL26" s="310" t="e">
        <v>#N/A</v>
      </c>
      <c r="BM26" s="310"/>
      <c r="BN26" s="310"/>
      <c r="BO26" s="310"/>
      <c r="BP26" s="310"/>
      <c r="BQ26" s="310"/>
      <c r="BR26" s="310"/>
      <c r="BS26" s="310"/>
      <c r="BT26" s="310"/>
      <c r="BU26" s="310"/>
      <c r="BV26" s="310"/>
      <c r="BW26" s="310"/>
      <c r="BX26" s="400" t="s">
        <v>92</v>
      </c>
      <c r="BY26" s="246" t="e">
        <f>BY48+J16</f>
        <v>#N/A</v>
      </c>
      <c r="BZ26" s="248" t="e">
        <f>BZ25</f>
        <v>#N/A</v>
      </c>
      <c r="CA26" s="310"/>
      <c r="CB26" s="310"/>
      <c r="CC26" s="310"/>
      <c r="CD26" s="310"/>
      <c r="CE26" s="310"/>
      <c r="CF26" s="310"/>
      <c r="CG26" s="310"/>
      <c r="CH26" s="310"/>
      <c r="CI26" s="310"/>
      <c r="CJ26" s="310"/>
      <c r="CK26" s="310"/>
      <c r="CL26" s="310"/>
      <c r="CM26" s="310" t="s">
        <v>253</v>
      </c>
      <c r="CN26" s="310"/>
      <c r="CO26" s="310"/>
      <c r="CP26" s="310"/>
      <c r="CQ26" s="310"/>
      <c r="CR26" s="310"/>
      <c r="CS26" s="310"/>
      <c r="CT26" s="310"/>
      <c r="CU26" s="310"/>
      <c r="CV26" s="310"/>
      <c r="CW26" s="310"/>
      <c r="CX26" s="310"/>
      <c r="CY26" s="310"/>
      <c r="CZ26" s="310"/>
      <c r="DA26" s="310"/>
      <c r="DB26" s="310"/>
      <c r="DC26" s="301" t="e">
        <f>IF(DD6=TRUE,DA9-BT7/2,#N/A)</f>
        <v>#N/A</v>
      </c>
      <c r="DD26" s="280" t="e">
        <f>DD21</f>
        <v>#N/A</v>
      </c>
      <c r="DE26" s="310"/>
      <c r="DF26" s="280" t="e">
        <f>IF(DG6=TRUE,(CL22-BY22)-BT7/2,#N/A)</f>
        <v>#N/A</v>
      </c>
      <c r="DG26" s="280" t="e">
        <f>DG21</f>
        <v>#N/A</v>
      </c>
      <c r="DH26" s="310"/>
      <c r="DI26" s="310"/>
      <c r="DJ26" s="310"/>
      <c r="DK26" s="313">
        <v>18</v>
      </c>
      <c r="DL26" s="282" t="e">
        <f t="shared" si="3"/>
        <v>#N/A</v>
      </c>
      <c r="DM26" s="291" t="e">
        <f t="shared" si="4"/>
        <v>#N/A</v>
      </c>
      <c r="DN26" s="310"/>
      <c r="DO26" s="310"/>
      <c r="DP26" s="310"/>
      <c r="DQ26" s="310"/>
      <c r="DR26" s="310"/>
      <c r="DS26" s="310"/>
      <c r="DT26" s="310" t="s">
        <v>92</v>
      </c>
      <c r="DU26" s="246">
        <f>DU48+J16</f>
        <v>0.95</v>
      </c>
      <c r="DV26" s="248">
        <f>DV25</f>
        <v>0.95</v>
      </c>
      <c r="DW26" s="310"/>
      <c r="DX26" s="338" t="s">
        <v>93</v>
      </c>
      <c r="DY26" s="372" t="b">
        <v>0</v>
      </c>
      <c r="DZ26" s="336">
        <f>DU25-IF(DY27=TRUE,C43,0)</f>
        <v>-0.95</v>
      </c>
      <c r="EA26" s="336">
        <f>DV25+IF(DY25=TRUE,C40,0)</f>
        <v>0.95</v>
      </c>
      <c r="EB26" s="310"/>
      <c r="EC26" s="338">
        <f>EC14+ED7*1.05</f>
        <v>1.3149999999999999</v>
      </c>
      <c r="ED26" s="336">
        <f>ED14</f>
        <v>0.95</v>
      </c>
      <c r="EE26" s="310"/>
      <c r="EF26" s="310"/>
      <c r="EG26" s="310"/>
      <c r="EH26" s="310"/>
      <c r="EI26" s="310"/>
      <c r="EJ26" s="310"/>
      <c r="EK26" s="310"/>
      <c r="EL26" s="310"/>
      <c r="EM26" s="310"/>
      <c r="EN26" s="310"/>
      <c r="EO26" s="310"/>
      <c r="EP26" s="310"/>
      <c r="EQ26" s="310"/>
      <c r="ER26" s="310"/>
      <c r="ES26" s="332" t="e">
        <v>#N/A</v>
      </c>
      <c r="ET26" s="332" t="e">
        <v>#N/A</v>
      </c>
      <c r="EU26" s="330"/>
      <c r="EV26" s="332" t="e">
        <v>#N/A</v>
      </c>
      <c r="EW26" s="332" t="e">
        <v>#N/A</v>
      </c>
      <c r="EX26" s="332" t="e">
        <v>#N/A</v>
      </c>
      <c r="EY26" s="332" t="e">
        <v>#N/A</v>
      </c>
      <c r="EZ26" s="346" t="e">
        <v>#N/A</v>
      </c>
      <c r="FA26" s="346" t="e">
        <v>#N/A</v>
      </c>
      <c r="FB26" s="346" t="e">
        <v>#N/A</v>
      </c>
      <c r="FC26" s="346" t="e">
        <v>#N/A</v>
      </c>
      <c r="FD26" s="258" t="e">
        <v>#N/A</v>
      </c>
      <c r="FE26" s="258" t="e">
        <v>#N/A</v>
      </c>
      <c r="FF26" s="310"/>
      <c r="FG26" s="310"/>
      <c r="FH26" s="338" t="e">
        <v>#N/A</v>
      </c>
      <c r="FI26" s="338" t="e">
        <v>#N/A</v>
      </c>
      <c r="FJ26" s="310"/>
      <c r="FK26" s="338" t="b">
        <f t="shared" si="47"/>
        <v>1</v>
      </c>
      <c r="FL26" s="318" t="b">
        <v>1</v>
      </c>
      <c r="FM26" s="328" t="b">
        <f t="shared" si="49"/>
        <v>1</v>
      </c>
      <c r="FN26" s="328" t="b">
        <f t="shared" si="48"/>
        <v>0</v>
      </c>
      <c r="FO26" s="328">
        <v>3</v>
      </c>
      <c r="FP26" s="328" t="str">
        <f t="shared" si="50"/>
        <v>3 CURSOR [ ON ]</v>
      </c>
      <c r="FQ26" s="409">
        <f>FQ25</f>
        <v>0.3</v>
      </c>
      <c r="FR26" s="409">
        <f>M10-J16</f>
        <v>-0.3</v>
      </c>
      <c r="FS26" s="417">
        <f>M20+J16</f>
        <v>-0.35000000000000003</v>
      </c>
      <c r="FT26" s="409">
        <f>FT25</f>
        <v>-0.35000000000000003</v>
      </c>
      <c r="FU26" s="336">
        <f>M19+J16</f>
        <v>-0.35000000000000003</v>
      </c>
      <c r="FV26" s="414">
        <f>FV25</f>
        <v>0.95</v>
      </c>
      <c r="FW26" s="416">
        <f t="shared" si="51"/>
        <v>-0.35000000000000003</v>
      </c>
      <c r="FX26" s="338">
        <f t="shared" si="52"/>
        <v>0.95</v>
      </c>
      <c r="FY26" s="222" t="e">
        <f>FD28</f>
        <v>#N/A</v>
      </c>
      <c r="FZ26" s="222" t="e">
        <f>FE28</f>
        <v>#N/A</v>
      </c>
      <c r="GA26" s="336">
        <f>GA25</f>
        <v>-0.95</v>
      </c>
      <c r="GB26" s="414">
        <f>J20+J16</f>
        <v>0.95</v>
      </c>
      <c r="GC26" s="328">
        <v>-0.95</v>
      </c>
      <c r="GD26" s="328">
        <v>0.95</v>
      </c>
      <c r="GE26" s="311" t="b">
        <f t="shared" si="53"/>
        <v>1</v>
      </c>
      <c r="GF26" s="313" t="s">
        <v>333</v>
      </c>
      <c r="GG26" s="313">
        <v>-0.35</v>
      </c>
      <c r="GH26" s="313">
        <v>0</v>
      </c>
      <c r="GI26" s="338" t="b">
        <f t="shared" si="54"/>
        <v>0</v>
      </c>
      <c r="GJ26" s="259" t="e">
        <f t="shared" ref="GJ26:GJ30" si="60">IF(GI26=TRUE,GC26+GG26,#N/A)</f>
        <v>#N/A</v>
      </c>
      <c r="GK26" s="259" t="e">
        <f t="shared" ref="GK26:GK30" si="61">IF(GI26=TRUE,GD26+GH26,#N/A)</f>
        <v>#N/A</v>
      </c>
      <c r="GL26" s="338" t="b">
        <f t="shared" si="55"/>
        <v>0</v>
      </c>
      <c r="GM26" s="260" t="e">
        <f t="shared" ref="GM26:GM30" si="62">IF(GL26=TRUE,GC26+GG26,#N/A)</f>
        <v>#N/A</v>
      </c>
      <c r="GN26" s="260" t="e">
        <f t="shared" ref="GN26:GN30" si="63">IF(GL26=TRUE,GD26+GH26,#N/A)</f>
        <v>#N/A</v>
      </c>
      <c r="GO26" s="310"/>
      <c r="GP26" s="338">
        <f t="shared" ref="GP26:GP30" si="64">GC26+GG26</f>
        <v>-1.2999999999999998</v>
      </c>
      <c r="GQ26" s="338">
        <f t="shared" ref="GQ26:GQ30" si="65">GD26+GH26</f>
        <v>0.95</v>
      </c>
      <c r="GR26" s="310"/>
      <c r="GS26" s="310"/>
      <c r="GT26" s="310"/>
      <c r="GU26" s="310"/>
      <c r="GV26" s="310"/>
      <c r="GW26" s="310"/>
      <c r="GX26" s="314">
        <v>20</v>
      </c>
      <c r="GY26" s="316" t="s">
        <v>91</v>
      </c>
      <c r="GZ26" s="323">
        <v>35</v>
      </c>
      <c r="HA26" s="316">
        <v>35</v>
      </c>
      <c r="HB26" s="316">
        <v>15</v>
      </c>
      <c r="HC26" s="316">
        <f t="shared" si="39"/>
        <v>20.207259421636902</v>
      </c>
      <c r="HD26" s="316"/>
      <c r="HE26" s="316"/>
      <c r="HF26" s="316"/>
      <c r="HG26" s="310"/>
      <c r="HH26" s="310"/>
      <c r="HI26" s="310"/>
      <c r="HJ26" s="310"/>
      <c r="HK26" s="342">
        <v>12</v>
      </c>
      <c r="HL26" s="235" t="e">
        <f t="shared" si="5"/>
        <v>#N/A</v>
      </c>
      <c r="HM26" s="235" t="e">
        <f t="shared" si="6"/>
        <v>#N/A</v>
      </c>
      <c r="HN26" s="310"/>
      <c r="HO26" s="310"/>
      <c r="HP26" s="235" t="e">
        <f t="shared" si="7"/>
        <v>#N/A</v>
      </c>
      <c r="HQ26" s="235" t="e">
        <f t="shared" si="8"/>
        <v>#N/A</v>
      </c>
      <c r="HR26" s="310"/>
      <c r="HS26" s="310"/>
      <c r="HT26" s="235" t="e">
        <f t="shared" si="9"/>
        <v>#N/A</v>
      </c>
      <c r="HU26" s="235" t="e">
        <f t="shared" si="10"/>
        <v>#N/A</v>
      </c>
      <c r="HV26" s="310"/>
      <c r="HW26" s="310"/>
      <c r="HX26" s="235" t="e">
        <f t="shared" si="11"/>
        <v>#N/A</v>
      </c>
      <c r="HY26" s="235" t="e">
        <f t="shared" si="12"/>
        <v>#N/A</v>
      </c>
      <c r="HZ26" s="310"/>
      <c r="IA26" s="310"/>
      <c r="IB26" s="235" t="e">
        <f t="shared" si="13"/>
        <v>#N/A</v>
      </c>
      <c r="IC26" s="235" t="e">
        <f t="shared" si="14"/>
        <v>#N/A</v>
      </c>
      <c r="ID26" s="310"/>
      <c r="IE26" s="342">
        <v>12</v>
      </c>
      <c r="IF26" s="262" t="e">
        <f t="shared" si="15"/>
        <v>#N/A</v>
      </c>
      <c r="IG26" s="262" t="e">
        <f t="shared" si="16"/>
        <v>#N/A</v>
      </c>
      <c r="IH26" s="390"/>
      <c r="II26" s="390"/>
      <c r="IJ26" s="262" t="e">
        <f t="shared" si="17"/>
        <v>#N/A</v>
      </c>
      <c r="IK26" s="262" t="e">
        <f t="shared" si="18"/>
        <v>#N/A</v>
      </c>
      <c r="IL26" s="390"/>
      <c r="IM26" s="390"/>
      <c r="IN26" s="262" t="e">
        <f t="shared" si="19"/>
        <v>#N/A</v>
      </c>
      <c r="IO26" s="262" t="e">
        <f t="shared" si="20"/>
        <v>#N/A</v>
      </c>
      <c r="IP26" s="390"/>
      <c r="IQ26" s="390"/>
      <c r="IR26" s="262" t="e">
        <f t="shared" si="21"/>
        <v>#N/A</v>
      </c>
      <c r="IS26" s="262" t="e">
        <f t="shared" si="22"/>
        <v>#N/A</v>
      </c>
      <c r="IT26" s="390"/>
      <c r="IU26" s="390"/>
      <c r="IV26" s="262" t="e">
        <f t="shared" si="23"/>
        <v>#N/A</v>
      </c>
      <c r="IW26" s="262" t="e">
        <f t="shared" si="24"/>
        <v>#N/A</v>
      </c>
      <c r="IX26" s="310"/>
      <c r="IY26" s="310"/>
      <c r="IZ26" s="310"/>
      <c r="JA26" s="310"/>
      <c r="JB26" s="313" t="s">
        <v>167</v>
      </c>
      <c r="JC26" s="236" t="e">
        <f>JC23</f>
        <v>#N/A</v>
      </c>
      <c r="JD26" s="236" t="e">
        <f>JA24-($IZ$10/2)</f>
        <v>#N/A</v>
      </c>
      <c r="JE26" s="310"/>
      <c r="JF26" s="310"/>
      <c r="JG26" s="310"/>
      <c r="JH26" s="310"/>
      <c r="JI26" s="313" t="s">
        <v>167</v>
      </c>
      <c r="JJ26" s="263" t="e">
        <f>JJ23</f>
        <v>#N/A</v>
      </c>
      <c r="JK26" s="263" t="e">
        <f>JH24-($IZ$10/2)</f>
        <v>#N/A</v>
      </c>
      <c r="JL26" s="310"/>
      <c r="JM26" s="310"/>
      <c r="JN26" s="261" t="e">
        <f t="shared" si="25"/>
        <v>#N/A</v>
      </c>
      <c r="JO26" s="261" t="e">
        <f t="shared" si="26"/>
        <v>#N/A</v>
      </c>
      <c r="JP26" s="310"/>
      <c r="JQ26" s="310"/>
      <c r="JR26" s="261" t="e">
        <f t="shared" si="31"/>
        <v>#N/A</v>
      </c>
      <c r="JS26" s="261" t="e">
        <f t="shared" si="32"/>
        <v>#N/A</v>
      </c>
      <c r="JT26" s="310"/>
      <c r="JU26" s="310"/>
      <c r="JV26" s="261" t="e">
        <f t="shared" si="27"/>
        <v>#N/A</v>
      </c>
      <c r="JW26" s="261" t="e">
        <f t="shared" si="28"/>
        <v>#N/A</v>
      </c>
      <c r="JX26" s="310"/>
      <c r="JY26" s="310"/>
      <c r="JZ26" s="310"/>
      <c r="KA26" s="310"/>
      <c r="KB26" s="313" t="s">
        <v>372</v>
      </c>
      <c r="KC26" s="263" t="e">
        <f>KC25</f>
        <v>#N/A</v>
      </c>
      <c r="KD26" s="263" t="e">
        <f>KA21+($IZ$10/2)-$IZ$9</f>
        <v>#N/A</v>
      </c>
      <c r="KE26" s="310"/>
      <c r="KF26" s="310"/>
      <c r="KG26" s="310"/>
      <c r="KH26" s="310"/>
      <c r="KI26" s="310"/>
      <c r="KJ26" s="310"/>
      <c r="KK26" s="310"/>
      <c r="KL26" s="329"/>
      <c r="KM26" s="310"/>
      <c r="KN26" s="243" t="e">
        <f>KN23</f>
        <v>#N/A</v>
      </c>
      <c r="KO26" s="243" t="e">
        <f>KO25</f>
        <v>#N/A</v>
      </c>
      <c r="KP26" s="328"/>
      <c r="KQ26" s="328"/>
      <c r="KR26" s="328"/>
      <c r="KS26" s="257" t="e">
        <f>KS25</f>
        <v>#N/A</v>
      </c>
      <c r="KT26" s="270" t="e">
        <f>KT23</f>
        <v>#N/A</v>
      </c>
      <c r="KU26" s="338"/>
      <c r="KV26" s="328"/>
      <c r="KW26" s="338"/>
      <c r="KX26" s="310"/>
      <c r="KY26" s="310"/>
      <c r="KZ26" s="310"/>
      <c r="LA26" s="310"/>
      <c r="LB26" s="310"/>
      <c r="LC26" s="310"/>
      <c r="LD26" s="310"/>
      <c r="LE26" s="310"/>
      <c r="LF26" s="310"/>
      <c r="LG26" s="310"/>
      <c r="LH26" s="347" t="e">
        <v>#N/A</v>
      </c>
      <c r="LI26" s="347" t="e">
        <v>#N/A</v>
      </c>
      <c r="LJ26" s="338" t="e">
        <v>#N/A</v>
      </c>
      <c r="LK26" s="338" t="e">
        <v>#N/A</v>
      </c>
      <c r="LL26" s="391"/>
      <c r="LM26" s="310"/>
      <c r="LN26" s="310"/>
      <c r="LO26" s="347" t="e">
        <v>#N/A</v>
      </c>
      <c r="LP26" s="347" t="e">
        <v>#N/A</v>
      </c>
      <c r="LQ26" s="338" t="e">
        <v>#N/A</v>
      </c>
      <c r="LR26" s="338" t="e">
        <v>#N/A</v>
      </c>
      <c r="LS26" s="391"/>
      <c r="LT26" s="310"/>
      <c r="LU26" s="310"/>
      <c r="LV26" s="347" t="e">
        <v>#N/A</v>
      </c>
      <c r="LW26" s="347" t="e">
        <v>#N/A</v>
      </c>
      <c r="LX26" s="338" t="e">
        <v>#N/A</v>
      </c>
      <c r="LY26" s="338" t="e">
        <v>#N/A</v>
      </c>
      <c r="LZ26" s="391"/>
      <c r="MA26" s="310"/>
      <c r="MB26" s="310"/>
      <c r="MC26" s="347" t="e">
        <v>#N/A</v>
      </c>
      <c r="MD26" s="347" t="e">
        <v>#N/A</v>
      </c>
      <c r="ME26" s="338" t="e">
        <v>#N/A</v>
      </c>
      <c r="MF26" s="338" t="e">
        <v>#N/A</v>
      </c>
      <c r="MG26" s="391"/>
      <c r="MH26" s="310"/>
      <c r="MI26" s="310"/>
      <c r="MJ26" s="242" t="e">
        <v>#N/A</v>
      </c>
      <c r="MK26" s="242" t="e">
        <v>#N/A</v>
      </c>
      <c r="ML26" s="242" t="e">
        <v>#N/A</v>
      </c>
      <c r="MM26" s="242" t="e">
        <v>#N/A</v>
      </c>
      <c r="MN26" s="391"/>
      <c r="MO26" s="310"/>
      <c r="MP26" s="311" t="e">
        <v>#N/A</v>
      </c>
      <c r="MQ26" s="311" t="e">
        <v>#N/A</v>
      </c>
      <c r="MR26" s="311"/>
      <c r="MS26" s="311"/>
      <c r="MT26" s="310"/>
      <c r="MU26" s="310"/>
      <c r="MV26" s="310"/>
      <c r="MW26" s="310"/>
      <c r="MX26" s="310" t="s">
        <v>478</v>
      </c>
      <c r="MY26" s="223" t="str" cm="1">
        <f t="array" ref="MY26">_xlfn.SWITCH(EU17,
"Y-AXIS-T",MY22:NB22,
"Y-AXIS-B",MY23:NB23,
"X-AXIS-L",MY24:NB24,
"X-AXIS-R",MY25:NB25,
"")</f>
        <v/>
      </c>
      <c r="MZ26" s="223"/>
      <c r="NA26" s="223"/>
      <c r="NB26" s="223"/>
      <c r="NC26" s="310"/>
      <c r="ND26" s="310"/>
      <c r="NE26" s="310"/>
      <c r="NF26" s="310"/>
      <c r="NG26" s="310"/>
      <c r="NH26" s="310"/>
      <c r="NI26" s="310"/>
      <c r="NJ26" s="310"/>
      <c r="NK26" s="310"/>
      <c r="NL26" s="310"/>
      <c r="NM26" s="310"/>
      <c r="NN26" s="310"/>
      <c r="NO26" s="310"/>
      <c r="NP26" s="310"/>
      <c r="NQ26" s="310"/>
      <c r="NR26" s="310"/>
      <c r="NS26" s="272">
        <f>NS25</f>
        <v>-0.65</v>
      </c>
      <c r="NT26" s="272">
        <f>OD12</f>
        <v>-0.65</v>
      </c>
      <c r="NU26" s="398"/>
      <c r="NV26" s="398"/>
      <c r="NW26" s="310"/>
      <c r="NX26" s="310"/>
      <c r="NY26" s="310"/>
      <c r="NZ26" s="310"/>
      <c r="OA26" s="310"/>
      <c r="OB26" s="310"/>
      <c r="OC26" s="310"/>
      <c r="OD26" s="310"/>
      <c r="OE26" s="310"/>
      <c r="OF26" s="310"/>
      <c r="OG26" s="310"/>
      <c r="OH26" s="310"/>
      <c r="OI26" s="310"/>
      <c r="OJ26" s="310"/>
      <c r="OK26" s="310"/>
      <c r="OL26" s="310"/>
      <c r="OM26" s="228" t="e">
        <f>OM25</f>
        <v>#N/A</v>
      </c>
      <c r="ON26" s="228" t="e">
        <f>IF(ON21=TRUE,ON17,#N/A)</f>
        <v>#N/A</v>
      </c>
      <c r="OO26" s="230" t="e">
        <f>OO25</f>
        <v>#N/A</v>
      </c>
      <c r="OP26" s="230" t="e">
        <f>ON32-(ON32-ON33)/2</f>
        <v>#N/A</v>
      </c>
      <c r="OQ26" s="410" t="e">
        <f>ON32-ON33</f>
        <v>#N/A</v>
      </c>
      <c r="OR26" s="310"/>
      <c r="OS26" s="310"/>
      <c r="OT26" s="310"/>
      <c r="OU26" s="280" t="e">
        <f>OU25</f>
        <v>#N/A</v>
      </c>
      <c r="OV26" s="280" t="e">
        <f>IF(OV8=TRUE,1,#N/A)</f>
        <v>#N/A</v>
      </c>
      <c r="OW26" s="310"/>
      <c r="OX26" s="280" t="e">
        <f>OX25</f>
        <v>#N/A</v>
      </c>
      <c r="OY26" s="280" t="e">
        <f>OY23</f>
        <v>#N/A</v>
      </c>
      <c r="OZ26" s="310"/>
      <c r="PA26" s="280" t="e">
        <f>IF(OT9=TRUE,OU21-F50/100,#N/A)</f>
        <v>#N/A</v>
      </c>
      <c r="PB26" s="280" t="e">
        <f>PB25</f>
        <v>#N/A</v>
      </c>
      <c r="PC26" s="310"/>
      <c r="PD26" s="310"/>
      <c r="PE26" s="313">
        <v>12</v>
      </c>
      <c r="PF26" s="318" t="b">
        <f t="shared" si="33"/>
        <v>0</v>
      </c>
      <c r="PG26" s="283" t="e">
        <f t="shared" si="34"/>
        <v>#N/A</v>
      </c>
      <c r="PH26" s="283" t="e">
        <f t="shared" si="35"/>
        <v>#N/A</v>
      </c>
      <c r="PI26" s="295" t="e">
        <f t="shared" si="36"/>
        <v>#N/A</v>
      </c>
      <c r="PJ26" s="310"/>
      <c r="PK26" s="310"/>
      <c r="PL26" s="310"/>
      <c r="PM26" s="310"/>
      <c r="PN26" s="328" t="e">
        <v>#N/A</v>
      </c>
      <c r="PO26" s="328" t="e">
        <v>#N/A</v>
      </c>
      <c r="PP26" s="328" t="e">
        <v>#N/A</v>
      </c>
      <c r="PQ26" s="310"/>
      <c r="PR26" s="310"/>
      <c r="PS26" s="342">
        <v>12</v>
      </c>
      <c r="PT26" s="261" t="e">
        <f t="shared" si="29"/>
        <v>#N/A</v>
      </c>
      <c r="PU26" s="261" t="e">
        <f t="shared" si="30"/>
        <v>#N/A</v>
      </c>
      <c r="PV26" s="310"/>
      <c r="PW26" s="310"/>
      <c r="PX26" s="310"/>
      <c r="PY26" s="418"/>
      <c r="PZ26" s="394"/>
      <c r="QA26" s="394"/>
      <c r="QB26" s="394"/>
      <c r="QC26" s="394"/>
      <c r="QD26" s="394"/>
      <c r="QE26" s="394"/>
      <c r="QF26" s="394"/>
      <c r="QG26" s="394"/>
      <c r="QH26" s="419"/>
      <c r="QI26" s="310"/>
      <c r="QJ26" s="310"/>
      <c r="QK26" s="418"/>
      <c r="QL26" s="394"/>
      <c r="QM26" s="394"/>
      <c r="QN26" s="394"/>
      <c r="QO26" s="394"/>
      <c r="QP26" s="394"/>
      <c r="QQ26" s="394"/>
      <c r="QR26" s="394"/>
      <c r="QS26" s="394"/>
      <c r="QT26" s="419"/>
      <c r="QU26" s="310"/>
      <c r="QV26" s="328" t="str">
        <f t="shared" si="56"/>
        <v>P3 &gt;&gt;</v>
      </c>
      <c r="QW26" s="402" t="str">
        <f>IF(G28&lt;&gt;"",G28,"")</f>
        <v>P3</v>
      </c>
      <c r="QX26" s="328">
        <f t="shared" si="57"/>
        <v>-0.65</v>
      </c>
      <c r="QY26" s="328">
        <f t="shared" si="58"/>
        <v>0.65</v>
      </c>
      <c r="QZ26" s="310"/>
      <c r="RA26" s="310"/>
      <c r="RB26" s="328" t="s">
        <v>322</v>
      </c>
      <c r="RC26" s="328">
        <f>MAX(QY24,QY25)</f>
        <v>-0.65</v>
      </c>
      <c r="RD26" s="411">
        <f>AVERAGE(QW20:QW21)</f>
        <v>-1.2999999999999998</v>
      </c>
      <c r="RE26" s="328">
        <f>$RA$12</f>
        <v>-0.42749999999999999</v>
      </c>
      <c r="RF26" s="338" t="b">
        <f>AND(RE26&gt;RC26,RE26&gt;RD26)</f>
        <v>1</v>
      </c>
      <c r="RG26" s="328">
        <v>0</v>
      </c>
      <c r="RH26" s="338">
        <f>RB13-RB14</f>
        <v>0.85499999999999998</v>
      </c>
      <c r="RI26" s="338">
        <f t="shared" si="59"/>
        <v>0.85499999999999998</v>
      </c>
      <c r="RJ26" s="310"/>
      <c r="RK26" s="310"/>
      <c r="RL26" s="310"/>
      <c r="RM26" s="310"/>
      <c r="RN26" s="310"/>
      <c r="RO26" s="310"/>
      <c r="RP26" s="310"/>
      <c r="RQ26" s="310"/>
      <c r="RR26" s="310"/>
      <c r="RS26" s="310"/>
      <c r="RT26" s="310"/>
      <c r="RU26" s="310"/>
      <c r="RV26" s="310"/>
      <c r="RW26" s="310"/>
      <c r="RX26" s="310"/>
      <c r="RY26" s="310"/>
      <c r="RZ26" s="310"/>
      <c r="SA26" s="310"/>
      <c r="SB26" s="310"/>
      <c r="SF26" s="4" t="s">
        <v>625</v>
      </c>
      <c r="SN26" s="310"/>
      <c r="SO26" s="220"/>
      <c r="SP26" s="220"/>
      <c r="SQ26" s="220"/>
      <c r="SR26" s="220"/>
      <c r="SS26" s="220"/>
      <c r="ST26" s="220"/>
      <c r="SU26" s="220"/>
      <c r="SV26" s="220"/>
      <c r="SW26" s="220"/>
      <c r="SX26" s="220"/>
      <c r="SY26" s="220"/>
      <c r="SZ26" s="220"/>
      <c r="TA26" s="220"/>
      <c r="TB26" s="220"/>
      <c r="TC26" s="220"/>
      <c r="TD26" s="220"/>
      <c r="TE26" s="220"/>
      <c r="TF26" s="220"/>
      <c r="TG26" s="220"/>
      <c r="TH26" s="220"/>
      <c r="TI26" s="220"/>
      <c r="TJ26" s="220"/>
      <c r="TK26" s="220"/>
      <c r="TL26" s="220"/>
      <c r="TM26" s="220"/>
      <c r="TN26" s="220"/>
      <c r="TO26" s="220"/>
      <c r="TP26" s="220"/>
      <c r="TQ26" s="220"/>
      <c r="TR26" s="220"/>
      <c r="TS26" s="220"/>
      <c r="TT26" s="220"/>
      <c r="TU26" s="220"/>
      <c r="TV26" s="220"/>
      <c r="TW26" s="220"/>
      <c r="TX26" s="220"/>
      <c r="TY26" s="220"/>
      <c r="TZ26" s="220"/>
      <c r="UA26" s="220"/>
      <c r="UB26" s="220"/>
      <c r="UC26" s="220"/>
      <c r="UD26" s="220"/>
      <c r="UE26" s="220"/>
      <c r="UF26" s="220"/>
      <c r="UG26" s="220"/>
      <c r="UH26" s="220"/>
      <c r="UI26" s="220"/>
      <c r="UJ26" s="220"/>
      <c r="UK26" s="216"/>
      <c r="UL26" s="216"/>
      <c r="UM26" s="216"/>
      <c r="UN26" s="216"/>
      <c r="UO26" s="216"/>
      <c r="UP26" s="216"/>
      <c r="UQ26" s="216"/>
      <c r="UR26" s="216"/>
      <c r="US26" s="216"/>
      <c r="UT26" s="216"/>
      <c r="UU26" s="216"/>
      <c r="UV26" s="216"/>
      <c r="UW26" s="216"/>
      <c r="UX26" s="216"/>
      <c r="UY26" s="216"/>
      <c r="UZ26" s="216"/>
      <c r="VA26" s="216"/>
    </row>
    <row r="27" spans="1:574" s="4" customFormat="1" ht="15" customHeight="1" x14ac:dyDescent="0.45">
      <c r="A27" s="51"/>
      <c r="B27" s="51"/>
      <c r="C27" s="52"/>
      <c r="D27" s="52"/>
      <c r="E27" s="52"/>
      <c r="F27" s="52"/>
      <c r="G27" s="48" t="str">
        <f>IF(CP13=TRUE,IF(BM8=TRUE,IF(H20&lt;&gt;"",H20,G20),""),"")</f>
        <v>P2</v>
      </c>
      <c r="H27" s="572">
        <f>IF(BM8=TRUE,IF(Q27&lt;&gt;"",IF(BP24=TRUE,J20+Q27,Q27),""),"")</f>
        <v>0.65</v>
      </c>
      <c r="I27" s="573"/>
      <c r="J27" s="537">
        <f>IF(BM8=TRUE,IF(R27&lt;&gt;"",IF(BP24=TRUE,M20+R27,R27),""),"")</f>
        <v>-0.65</v>
      </c>
      <c r="K27" s="538"/>
      <c r="L27" s="49">
        <f>IF(BM8=TRUE,IF(H27&lt;&gt;"",J20-H27,""),"")</f>
        <v>0</v>
      </c>
      <c r="M27" s="552">
        <f>IF(BM8=TRUE,IF(J27&lt;&gt;"",M20-J27,""),"")</f>
        <v>0</v>
      </c>
      <c r="N27" s="552"/>
      <c r="O27" s="59" t="str">
        <f>IF(L27="","",IF(BM8=TRUE,IF(BE26&lt;&gt;"",IF(BF26=TRUE,"PASS",BF26),""),""))</f>
        <v>PASS</v>
      </c>
      <c r="P27" s="510" t="str">
        <f t="shared" ref="P27:P30" si="66">IF(BM8=TRUE,G20,"")</f>
        <v>P2 &gt;&gt;</v>
      </c>
      <c r="Q27" s="208">
        <v>0.65</v>
      </c>
      <c r="R27" s="209">
        <v>-0.65</v>
      </c>
      <c r="S27" s="225"/>
      <c r="T27" s="225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5"/>
      <c r="AM27" s="45"/>
      <c r="AN27" s="45"/>
      <c r="AO27" s="45"/>
      <c r="AP27" s="311" t="b">
        <v>0</v>
      </c>
      <c r="AQ27" s="311" t="s">
        <v>309</v>
      </c>
      <c r="AR27" s="310"/>
      <c r="AS27" s="310"/>
      <c r="AT27" s="310"/>
      <c r="AU27" s="310"/>
      <c r="AV27" s="310"/>
      <c r="AW27" s="310"/>
      <c r="AX27" s="310"/>
      <c r="AY27" s="310"/>
      <c r="AZ27" s="412" t="str">
        <f>G28</f>
        <v>P3</v>
      </c>
      <c r="BA27" s="338" t="b">
        <f>IF(L28&lt;&gt;"",ABS(L28)&lt;=$BF$16,"")</f>
        <v>1</v>
      </c>
      <c r="BB27" s="338" t="b">
        <f>IF(BA27&lt;&gt;"",IF(BA27=TRUE,FALSE,TRUE),"")</f>
        <v>0</v>
      </c>
      <c r="BC27" s="338" t="b">
        <f>IF(M28&lt;&gt;"",ABS(M28)&lt;=$BF$16,"")</f>
        <v>1</v>
      </c>
      <c r="BD27" s="338" t="b">
        <f>IF(BC27&lt;&gt;"",IF(BC27=TRUE,FALSE,TRUE),"")</f>
        <v>0</v>
      </c>
      <c r="BE27" s="338" t="b">
        <f>AND(BA27=TRUE,BC27=TRUE)</f>
        <v>1</v>
      </c>
      <c r="BF27" s="328" t="b">
        <f>IF(BE27&lt;&gt;"",IF(BE27=TRUE,TRUE,IF(BA27=FALSE,"N &gt;"&amp;$BF$16,"E &gt;"&amp;$BF$16)),"")</f>
        <v>1</v>
      </c>
      <c r="BG27" s="338" t="b">
        <f>IF(BF27&lt;&gt;"",IF(BF27=TRUE,FALSE,TRUE),"")</f>
        <v>0</v>
      </c>
      <c r="BH27" s="310"/>
      <c r="BI27" s="310"/>
      <c r="BJ27" s="310"/>
      <c r="BK27" s="310" t="e">
        <f>IF(AY15=TRUE,0,#N/A)</f>
        <v>#N/A</v>
      </c>
      <c r="BL27" s="310" t="e">
        <f>IF(AY15=TRUE,0,#N/A)</f>
        <v>#N/A</v>
      </c>
      <c r="BM27" s="310"/>
      <c r="BN27" s="310"/>
      <c r="BO27" s="310"/>
      <c r="BP27" s="310"/>
      <c r="BQ27" s="310"/>
      <c r="BR27" s="310"/>
      <c r="BS27" s="310"/>
      <c r="BT27" s="310"/>
      <c r="BU27" s="310"/>
      <c r="BV27" s="310"/>
      <c r="BW27" s="310"/>
      <c r="BX27" s="400">
        <f>_xlfn.AGGREGATE(4,6,BY25:BY35)-_xlfn.AGGREGATE(5,6,BY25:BY35)</f>
        <v>0</v>
      </c>
      <c r="BY27" s="246" t="e">
        <f>BY26</f>
        <v>#N/A</v>
      </c>
      <c r="BZ27" s="248" t="e">
        <f>BZ47-J16</f>
        <v>#N/A</v>
      </c>
      <c r="CA27" s="310"/>
      <c r="CB27" s="310"/>
      <c r="CC27" s="310"/>
      <c r="CD27" s="310"/>
      <c r="CE27" s="310"/>
      <c r="CF27" s="310"/>
      <c r="CG27" s="310"/>
      <c r="CH27" s="310"/>
      <c r="CI27" s="310"/>
      <c r="CJ27" s="338" t="s">
        <v>218</v>
      </c>
      <c r="CK27" s="338" t="b">
        <f>AND(GY6&gt;=GX14,GY6&lt;=GX20)</f>
        <v>0</v>
      </c>
      <c r="CL27" s="310"/>
      <c r="CM27" s="338"/>
      <c r="CN27" s="328" t="s">
        <v>48</v>
      </c>
      <c r="CO27" s="328" t="s">
        <v>49</v>
      </c>
      <c r="CP27" s="338"/>
      <c r="CQ27" s="310"/>
      <c r="CR27" s="310"/>
      <c r="CS27" s="310"/>
      <c r="CT27" s="310"/>
      <c r="CU27" s="310"/>
      <c r="CV27" s="310"/>
      <c r="CW27" s="310"/>
      <c r="CX27" s="310"/>
      <c r="CY27" s="310"/>
      <c r="CZ27" s="310"/>
      <c r="DA27" s="310"/>
      <c r="DB27" s="310"/>
      <c r="DC27" s="301" t="e">
        <f>DC26</f>
        <v>#N/A</v>
      </c>
      <c r="DD27" s="280" t="e">
        <f>DD22</f>
        <v>#N/A</v>
      </c>
      <c r="DE27" s="310"/>
      <c r="DF27" s="280" t="e">
        <f>DF26</f>
        <v>#N/A</v>
      </c>
      <c r="DG27" s="280" t="e">
        <f>DG22</f>
        <v>#N/A</v>
      </c>
      <c r="DH27" s="310"/>
      <c r="DI27" s="310"/>
      <c r="DJ27" s="310"/>
      <c r="DK27" s="313">
        <v>19</v>
      </c>
      <c r="DL27" s="282" t="e">
        <f t="shared" si="3"/>
        <v>#N/A</v>
      </c>
      <c r="DM27" s="291" t="e">
        <f t="shared" si="4"/>
        <v>#N/A</v>
      </c>
      <c r="DN27" s="310"/>
      <c r="DO27" s="310"/>
      <c r="DP27" s="310"/>
      <c r="DQ27" s="310"/>
      <c r="DR27" s="310"/>
      <c r="DS27" s="310"/>
      <c r="DT27" s="310">
        <f>_xlfn.AGGREGATE(4,6,DU25:DU29)-_xlfn.AGGREGATE(5,6,DU25:DU29)</f>
        <v>1.9</v>
      </c>
      <c r="DU27" s="246">
        <f>DU26</f>
        <v>0.95</v>
      </c>
      <c r="DV27" s="248">
        <f>DV48-J16</f>
        <v>-0.95</v>
      </c>
      <c r="DW27" s="310"/>
      <c r="DX27" s="338" t="s">
        <v>95</v>
      </c>
      <c r="DY27" s="372" t="b">
        <v>0</v>
      </c>
      <c r="DZ27" s="336">
        <f>DU26+IF(DY28=TRUE,C42,0)</f>
        <v>0.95</v>
      </c>
      <c r="EA27" s="336">
        <f>EA26</f>
        <v>0.95</v>
      </c>
      <c r="EB27" s="310"/>
      <c r="EC27" s="338">
        <f>EC26</f>
        <v>1.3149999999999999</v>
      </c>
      <c r="ED27" s="338">
        <f>IF(DU20=TRUE,M10,#N/A)</f>
        <v>0</v>
      </c>
      <c r="EE27" s="310"/>
      <c r="EF27" s="310"/>
      <c r="EG27" s="310"/>
      <c r="EH27" s="310"/>
      <c r="EI27" s="310"/>
      <c r="EJ27" s="310"/>
      <c r="EK27" s="310"/>
      <c r="EL27" s="310"/>
      <c r="EM27" s="310"/>
      <c r="EN27" s="310"/>
      <c r="EO27" s="310"/>
      <c r="EP27" s="310"/>
      <c r="EQ27" s="310"/>
      <c r="ER27" s="310"/>
      <c r="ES27" s="332" t="e">
        <v>#N/A</v>
      </c>
      <c r="ET27" s="332" t="e">
        <v>#N/A</v>
      </c>
      <c r="EU27" s="406" t="s">
        <v>144</v>
      </c>
      <c r="EV27" s="332" t="e">
        <f t="shared" ref="EV27:FC27" si="67">EV25</f>
        <v>#N/A</v>
      </c>
      <c r="EW27" s="332" t="e">
        <f t="shared" si="67"/>
        <v>#N/A</v>
      </c>
      <c r="EX27" s="413" t="e">
        <f t="shared" si="67"/>
        <v>#N/A</v>
      </c>
      <c r="EY27" s="413" t="e">
        <f t="shared" si="67"/>
        <v>#N/A</v>
      </c>
      <c r="EZ27" s="346" t="e">
        <f t="shared" si="67"/>
        <v>#N/A</v>
      </c>
      <c r="FA27" s="346" t="e">
        <f t="shared" si="67"/>
        <v>#N/A</v>
      </c>
      <c r="FB27" s="346" t="e">
        <f t="shared" si="67"/>
        <v>#N/A</v>
      </c>
      <c r="FC27" s="346" t="e">
        <f t="shared" si="67"/>
        <v>#N/A</v>
      </c>
      <c r="FD27" s="258" t="e">
        <v>#N/A</v>
      </c>
      <c r="FE27" s="258" t="e">
        <v>#N/A</v>
      </c>
      <c r="FF27" s="310"/>
      <c r="FG27" s="310"/>
      <c r="FH27" s="338" t="e">
        <v>#N/A</v>
      </c>
      <c r="FI27" s="338" t="e">
        <v>#N/A</v>
      </c>
      <c r="FJ27" s="310"/>
      <c r="FK27" s="338" t="b">
        <f t="shared" si="47"/>
        <v>1</v>
      </c>
      <c r="FL27" s="318" t="b">
        <v>1</v>
      </c>
      <c r="FM27" s="328" t="b">
        <f t="shared" si="49"/>
        <v>1</v>
      </c>
      <c r="FN27" s="328" t="b">
        <f t="shared" si="48"/>
        <v>0</v>
      </c>
      <c r="FO27" s="328">
        <v>4</v>
      </c>
      <c r="FP27" s="328" t="str">
        <f t="shared" si="50"/>
        <v>4 CURSOR [ ON ]</v>
      </c>
      <c r="FQ27" s="409">
        <f>FQ24</f>
        <v>-0.3</v>
      </c>
      <c r="FR27" s="409">
        <f>FR26</f>
        <v>-0.3</v>
      </c>
      <c r="FS27" s="417">
        <f>FS26</f>
        <v>-0.35000000000000003</v>
      </c>
      <c r="FT27" s="409">
        <f>FT24</f>
        <v>-0.95</v>
      </c>
      <c r="FU27" s="336">
        <f>FU26</f>
        <v>-0.35000000000000003</v>
      </c>
      <c r="FV27" s="336">
        <f>FV24</f>
        <v>-0.95</v>
      </c>
      <c r="FW27" s="416">
        <f t="shared" si="51"/>
        <v>-0.35000000000000003</v>
      </c>
      <c r="FX27" s="338">
        <f t="shared" si="52"/>
        <v>-0.95</v>
      </c>
      <c r="FY27" s="222" t="e">
        <f>FD31</f>
        <v>#N/A</v>
      </c>
      <c r="FZ27" s="222" t="e">
        <f>FE31</f>
        <v>#N/A</v>
      </c>
      <c r="GA27" s="420">
        <f>IF(BM10=TRUE,M22+J16,#N/A)</f>
        <v>0.95</v>
      </c>
      <c r="GB27" s="414">
        <f>GB26</f>
        <v>0.95</v>
      </c>
      <c r="GC27" s="328">
        <v>0.95</v>
      </c>
      <c r="GD27" s="328">
        <v>0.95</v>
      </c>
      <c r="GE27" s="311" t="b">
        <f t="shared" si="53"/>
        <v>0</v>
      </c>
      <c r="GF27" s="313" t="s">
        <v>334</v>
      </c>
      <c r="GG27" s="313">
        <v>0.35</v>
      </c>
      <c r="GH27" s="313">
        <v>0</v>
      </c>
      <c r="GI27" s="338" t="b">
        <f t="shared" si="54"/>
        <v>0</v>
      </c>
      <c r="GJ27" s="259" t="e">
        <f t="shared" si="60"/>
        <v>#N/A</v>
      </c>
      <c r="GK27" s="259" t="e">
        <f t="shared" si="61"/>
        <v>#N/A</v>
      </c>
      <c r="GL27" s="338" t="b">
        <f t="shared" si="55"/>
        <v>0</v>
      </c>
      <c r="GM27" s="260" t="e">
        <f t="shared" si="62"/>
        <v>#N/A</v>
      </c>
      <c r="GN27" s="260" t="e">
        <f t="shared" si="63"/>
        <v>#N/A</v>
      </c>
      <c r="GO27" s="310"/>
      <c r="GP27" s="338">
        <f t="shared" si="64"/>
        <v>1.2999999999999998</v>
      </c>
      <c r="GQ27" s="338">
        <f t="shared" si="65"/>
        <v>0.95</v>
      </c>
      <c r="GR27" s="310"/>
      <c r="GS27" s="310"/>
      <c r="GT27" s="310"/>
      <c r="GU27" s="310"/>
      <c r="GV27" s="310"/>
      <c r="GW27" s="310"/>
      <c r="GX27" s="314">
        <v>21</v>
      </c>
      <c r="GY27" s="316" t="s">
        <v>94</v>
      </c>
      <c r="GZ27" s="323">
        <v>40</v>
      </c>
      <c r="HA27" s="316">
        <v>40</v>
      </c>
      <c r="HB27" s="316">
        <v>17.5</v>
      </c>
      <c r="HC27" s="316">
        <f t="shared" si="39"/>
        <v>23.094010767585033</v>
      </c>
      <c r="HD27" s="316"/>
      <c r="HE27" s="316"/>
      <c r="HF27" s="316"/>
      <c r="HG27" s="310"/>
      <c r="HH27" s="310"/>
      <c r="HI27" s="310"/>
      <c r="HJ27" s="310"/>
      <c r="HK27" s="342">
        <v>13</v>
      </c>
      <c r="HL27" s="235" t="e">
        <f t="shared" si="5"/>
        <v>#N/A</v>
      </c>
      <c r="HM27" s="235" t="e">
        <f t="shared" si="6"/>
        <v>#N/A</v>
      </c>
      <c r="HN27" s="310"/>
      <c r="HO27" s="310"/>
      <c r="HP27" s="235" t="e">
        <f t="shared" si="7"/>
        <v>#N/A</v>
      </c>
      <c r="HQ27" s="235" t="e">
        <f t="shared" si="8"/>
        <v>#N/A</v>
      </c>
      <c r="HR27" s="310"/>
      <c r="HS27" s="310"/>
      <c r="HT27" s="235" t="e">
        <f t="shared" si="9"/>
        <v>#N/A</v>
      </c>
      <c r="HU27" s="235" t="e">
        <f t="shared" si="10"/>
        <v>#N/A</v>
      </c>
      <c r="HV27" s="310"/>
      <c r="HW27" s="310"/>
      <c r="HX27" s="235" t="e">
        <f t="shared" si="11"/>
        <v>#N/A</v>
      </c>
      <c r="HY27" s="235" t="e">
        <f t="shared" si="12"/>
        <v>#N/A</v>
      </c>
      <c r="HZ27" s="310"/>
      <c r="IA27" s="310"/>
      <c r="IB27" s="235" t="e">
        <f t="shared" si="13"/>
        <v>#N/A</v>
      </c>
      <c r="IC27" s="235" t="e">
        <f t="shared" si="14"/>
        <v>#N/A</v>
      </c>
      <c r="ID27" s="310"/>
      <c r="IE27" s="342">
        <v>13</v>
      </c>
      <c r="IF27" s="262" t="e">
        <f t="shared" si="15"/>
        <v>#N/A</v>
      </c>
      <c r="IG27" s="262" t="e">
        <f t="shared" si="16"/>
        <v>#N/A</v>
      </c>
      <c r="IH27" s="390"/>
      <c r="II27" s="390"/>
      <c r="IJ27" s="262" t="e">
        <f t="shared" si="17"/>
        <v>#N/A</v>
      </c>
      <c r="IK27" s="262" t="e">
        <f t="shared" si="18"/>
        <v>#N/A</v>
      </c>
      <c r="IL27" s="390"/>
      <c r="IM27" s="390"/>
      <c r="IN27" s="262" t="e">
        <f t="shared" si="19"/>
        <v>#N/A</v>
      </c>
      <c r="IO27" s="262" t="e">
        <f t="shared" si="20"/>
        <v>#N/A</v>
      </c>
      <c r="IP27" s="390"/>
      <c r="IQ27" s="390"/>
      <c r="IR27" s="262" t="e">
        <f t="shared" si="21"/>
        <v>#N/A</v>
      </c>
      <c r="IS27" s="262" t="e">
        <f t="shared" si="22"/>
        <v>#N/A</v>
      </c>
      <c r="IT27" s="390"/>
      <c r="IU27" s="390"/>
      <c r="IV27" s="262" t="e">
        <f t="shared" si="23"/>
        <v>#N/A</v>
      </c>
      <c r="IW27" s="262" t="e">
        <f t="shared" si="24"/>
        <v>#N/A</v>
      </c>
      <c r="IX27" s="310"/>
      <c r="IY27" s="310"/>
      <c r="IZ27" s="310"/>
      <c r="JA27" s="310"/>
      <c r="JB27" s="313" t="s">
        <v>325</v>
      </c>
      <c r="JC27" s="236" t="e">
        <f>JC22</f>
        <v>#N/A</v>
      </c>
      <c r="JD27" s="236" t="e">
        <f>JD26</f>
        <v>#N/A</v>
      </c>
      <c r="JE27" s="310"/>
      <c r="JF27" s="310"/>
      <c r="JG27" s="310"/>
      <c r="JH27" s="310"/>
      <c r="JI27" s="313" t="s">
        <v>325</v>
      </c>
      <c r="JJ27" s="263" t="e">
        <f>JJ22</f>
        <v>#N/A</v>
      </c>
      <c r="JK27" s="263" t="e">
        <f>JK26</f>
        <v>#N/A</v>
      </c>
      <c r="JL27" s="310"/>
      <c r="JM27" s="310"/>
      <c r="JN27" s="261" t="e">
        <f t="shared" si="25"/>
        <v>#N/A</v>
      </c>
      <c r="JO27" s="261" t="e">
        <f t="shared" si="26"/>
        <v>#N/A</v>
      </c>
      <c r="JP27" s="310"/>
      <c r="JQ27" s="310"/>
      <c r="JR27" s="261" t="e">
        <f t="shared" si="31"/>
        <v>#N/A</v>
      </c>
      <c r="JS27" s="261" t="e">
        <f t="shared" si="32"/>
        <v>#N/A</v>
      </c>
      <c r="JT27" s="310"/>
      <c r="JU27" s="310"/>
      <c r="JV27" s="261" t="e">
        <f t="shared" si="27"/>
        <v>#N/A</v>
      </c>
      <c r="JW27" s="261" t="e">
        <f t="shared" si="28"/>
        <v>#N/A</v>
      </c>
      <c r="JX27" s="310"/>
      <c r="JY27" s="310"/>
      <c r="JZ27" s="310"/>
      <c r="KA27" s="310"/>
      <c r="KB27" s="313" t="s">
        <v>373</v>
      </c>
      <c r="KC27" s="263" t="e">
        <f>KC19</f>
        <v>#N/A</v>
      </c>
      <c r="KD27" s="263" t="e">
        <f>KD19</f>
        <v>#N/A</v>
      </c>
      <c r="KE27" s="310"/>
      <c r="KF27" s="310"/>
      <c r="KG27" s="310"/>
      <c r="KH27" s="310"/>
      <c r="KI27" s="310"/>
      <c r="KJ27" s="310"/>
      <c r="KK27" s="310"/>
      <c r="KL27" s="329"/>
      <c r="KM27" s="310"/>
      <c r="KN27" s="267" t="e">
        <v>#N/A</v>
      </c>
      <c r="KO27" s="267" t="e">
        <v>#N/A</v>
      </c>
      <c r="KP27" s="328"/>
      <c r="KQ27" s="328"/>
      <c r="KR27" s="328"/>
      <c r="KS27" s="267" t="e">
        <v>#N/A</v>
      </c>
      <c r="KT27" s="267" t="e">
        <v>#N/A</v>
      </c>
      <c r="KU27" s="338"/>
      <c r="KV27" s="328"/>
      <c r="KW27" s="338"/>
      <c r="KX27" s="310"/>
      <c r="KY27" s="310"/>
      <c r="KZ27" s="310"/>
      <c r="LA27" s="310"/>
      <c r="LB27" s="310"/>
      <c r="LC27" s="310"/>
      <c r="LD27" s="310"/>
      <c r="LE27" s="310"/>
      <c r="LF27" s="310"/>
      <c r="LG27" s="310"/>
      <c r="LH27" s="391" t="e">
        <f>ON54</f>
        <v>#N/A</v>
      </c>
      <c r="LI27" s="391" t="e">
        <f>OO54-LH7</f>
        <v>#N/A</v>
      </c>
      <c r="LJ27" s="338" t="e">
        <v>#N/A</v>
      </c>
      <c r="LK27" s="338" t="e">
        <v>#N/A</v>
      </c>
      <c r="LL27" s="391"/>
      <c r="LM27" s="310"/>
      <c r="LN27" s="310"/>
      <c r="LO27" s="338">
        <f>ON49</f>
        <v>-1.2999999999999998</v>
      </c>
      <c r="LP27" s="338">
        <f>OO49+LO7</f>
        <v>-0.89999999999999991</v>
      </c>
      <c r="LQ27" s="338" t="e">
        <v>#N/A</v>
      </c>
      <c r="LR27" s="338" t="e">
        <v>#N/A</v>
      </c>
      <c r="LS27" s="391"/>
      <c r="LT27" s="310"/>
      <c r="LU27" s="310"/>
      <c r="LV27" s="338">
        <f>ON51+LV7</f>
        <v>1.3499999999999999</v>
      </c>
      <c r="LW27" s="338">
        <f>OO51</f>
        <v>0.95</v>
      </c>
      <c r="LX27" s="338" t="e">
        <v>#N/A</v>
      </c>
      <c r="LY27" s="338" t="e">
        <v>#N/A</v>
      </c>
      <c r="LZ27" s="391"/>
      <c r="MA27" s="310"/>
      <c r="MB27" s="310"/>
      <c r="MC27" s="338">
        <f>ON52-LO7*2</f>
        <v>1.1999999999999997</v>
      </c>
      <c r="MD27" s="338">
        <f>OO52</f>
        <v>-0.95</v>
      </c>
      <c r="ME27" s="338" t="e">
        <v>#N/A</v>
      </c>
      <c r="MF27" s="338" t="e">
        <v>#N/A</v>
      </c>
      <c r="MG27" s="391"/>
      <c r="MH27" s="310"/>
      <c r="MI27" s="310"/>
      <c r="MJ27" s="242" t="e">
        <v>#N/A</v>
      </c>
      <c r="MK27" s="242" t="e">
        <v>#N/A</v>
      </c>
      <c r="ML27" s="242" t="e">
        <v>#N/A</v>
      </c>
      <c r="MM27" s="242" t="e">
        <v>#N/A</v>
      </c>
      <c r="MN27" s="391"/>
      <c r="MO27" s="310"/>
      <c r="MP27" s="311" t="e">
        <v>#N/A</v>
      </c>
      <c r="MQ27" s="311" t="e">
        <v>#N/A</v>
      </c>
      <c r="MR27" s="311"/>
      <c r="MS27" s="311"/>
      <c r="MT27" s="310"/>
      <c r="MU27" s="310"/>
      <c r="MV27" s="310"/>
      <c r="MW27" s="310"/>
      <c r="MX27" s="310"/>
      <c r="MY27" s="338" t="s">
        <v>479</v>
      </c>
      <c r="MZ27" s="421">
        <f>MIN(MY26:MZ26)</f>
        <v>0</v>
      </c>
      <c r="NA27" s="338" t="s">
        <v>180</v>
      </c>
      <c r="NB27" s="421">
        <f>MAX(NA26:NB26)</f>
        <v>0</v>
      </c>
      <c r="NC27" s="310"/>
      <c r="ND27" s="310"/>
      <c r="NE27" s="310"/>
      <c r="NF27" s="310"/>
      <c r="NG27" s="310"/>
      <c r="NH27" s="310"/>
      <c r="NI27" s="310"/>
      <c r="NJ27" s="310"/>
      <c r="NK27" s="310"/>
      <c r="NL27" s="310"/>
      <c r="NM27" s="310"/>
      <c r="NN27" s="310"/>
      <c r="NO27" s="310"/>
      <c r="NP27" s="310"/>
      <c r="NQ27" s="310"/>
      <c r="NR27" s="310"/>
      <c r="NS27" s="398"/>
      <c r="NT27" s="398"/>
      <c r="NU27" s="398"/>
      <c r="NV27" s="398"/>
      <c r="NW27" s="310"/>
      <c r="NX27" s="310"/>
      <c r="NY27" s="310"/>
      <c r="NZ27" s="310"/>
      <c r="OA27" s="310"/>
      <c r="OB27" s="310"/>
      <c r="OC27" s="310"/>
      <c r="OD27" s="310"/>
      <c r="OE27" s="310"/>
      <c r="OF27" s="310"/>
      <c r="OG27" s="310"/>
      <c r="OH27" s="310"/>
      <c r="OI27" s="310"/>
      <c r="OJ27" s="310"/>
      <c r="OK27" s="310"/>
      <c r="OL27" s="310"/>
      <c r="OM27" s="228" t="e">
        <f>OM24</f>
        <v>#N/A</v>
      </c>
      <c r="ON27" s="228" t="e">
        <f>ON26</f>
        <v>#N/A</v>
      </c>
      <c r="OO27" s="228" t="e">
        <v>#N/A</v>
      </c>
      <c r="OP27" s="228" t="e">
        <v>#N/A</v>
      </c>
      <c r="OQ27" s="410"/>
      <c r="OR27" s="310"/>
      <c r="OS27" s="310"/>
      <c r="OT27" s="310"/>
      <c r="OU27" s="280" t="e">
        <v>#N/A</v>
      </c>
      <c r="OV27" s="280" t="e">
        <v>#N/A</v>
      </c>
      <c r="OW27" s="310"/>
      <c r="OX27" s="280" t="e">
        <v>#N/A</v>
      </c>
      <c r="OY27" s="280" t="e">
        <v>#N/A</v>
      </c>
      <c r="OZ27" s="310"/>
      <c r="PA27" s="281" t="e">
        <f>PA26</f>
        <v>#N/A</v>
      </c>
      <c r="PB27" s="281" t="e">
        <f>PB24</f>
        <v>#N/A</v>
      </c>
      <c r="PC27" s="310"/>
      <c r="PD27" s="310"/>
      <c r="PE27" s="313">
        <v>13</v>
      </c>
      <c r="PF27" s="318" t="b">
        <f t="shared" si="33"/>
        <v>0</v>
      </c>
      <c r="PG27" s="283" t="e">
        <f t="shared" si="34"/>
        <v>#N/A</v>
      </c>
      <c r="PH27" s="283" t="e">
        <f t="shared" si="35"/>
        <v>#N/A</v>
      </c>
      <c r="PI27" s="295" t="e">
        <f t="shared" si="36"/>
        <v>#N/A</v>
      </c>
      <c r="PJ27" s="310"/>
      <c r="PK27" s="310"/>
      <c r="PL27" s="310"/>
      <c r="PM27" s="310"/>
      <c r="PN27" s="328" t="e">
        <v>#N/A</v>
      </c>
      <c r="PO27" s="328" t="e">
        <v>#N/A</v>
      </c>
      <c r="PP27" s="328" t="e">
        <v>#N/A</v>
      </c>
      <c r="PQ27" s="310"/>
      <c r="PR27" s="310"/>
      <c r="PS27" s="342">
        <v>13</v>
      </c>
      <c r="PT27" s="261" t="e">
        <f t="shared" si="29"/>
        <v>#N/A</v>
      </c>
      <c r="PU27" s="261" t="e">
        <f t="shared" si="30"/>
        <v>#N/A</v>
      </c>
      <c r="PV27" s="310"/>
      <c r="PW27" s="310"/>
      <c r="PX27" s="310"/>
      <c r="PY27" s="400"/>
      <c r="PZ27" s="310"/>
      <c r="QA27" s="328" t="s">
        <v>491</v>
      </c>
      <c r="QB27" s="531" t="s">
        <v>495</v>
      </c>
      <c r="QC27" s="531"/>
      <c r="QD27" s="328" t="s">
        <v>496</v>
      </c>
      <c r="QE27" s="328" t="s">
        <v>497</v>
      </c>
      <c r="QF27" s="531" t="s">
        <v>498</v>
      </c>
      <c r="QG27" s="531"/>
      <c r="QH27" s="422"/>
      <c r="QI27" s="310"/>
      <c r="QJ27" s="310"/>
      <c r="QK27" s="400"/>
      <c r="QL27" s="310"/>
      <c r="QM27" s="328" t="s">
        <v>491</v>
      </c>
      <c r="QN27" s="531" t="s">
        <v>495</v>
      </c>
      <c r="QO27" s="531"/>
      <c r="QP27" s="328" t="s">
        <v>496</v>
      </c>
      <c r="QQ27" s="328" t="s">
        <v>497</v>
      </c>
      <c r="QR27" s="531" t="s">
        <v>498</v>
      </c>
      <c r="QS27" s="531"/>
      <c r="QT27" s="422"/>
      <c r="QU27" s="310"/>
      <c r="QV27" s="328" t="str">
        <f t="shared" si="56"/>
        <v>P4 &gt;&gt;</v>
      </c>
      <c r="QW27" s="402" t="str">
        <f>IF(G29&lt;&gt;"",G29,"")</f>
        <v>P4</v>
      </c>
      <c r="QX27" s="328">
        <f t="shared" si="57"/>
        <v>0.65</v>
      </c>
      <c r="QY27" s="328">
        <f t="shared" si="58"/>
        <v>0.65</v>
      </c>
      <c r="QZ27" s="310"/>
      <c r="RA27" s="310"/>
      <c r="RB27" s="328" t="s">
        <v>323</v>
      </c>
      <c r="RC27" s="328">
        <f>MIN(QY26,QY27)</f>
        <v>0.65</v>
      </c>
      <c r="RD27" s="411">
        <f>AVERAGE(QW17:QW18)</f>
        <v>1.2999999999999998</v>
      </c>
      <c r="RE27" s="328">
        <f>$RA$13</f>
        <v>0.42749999999999999</v>
      </c>
      <c r="RF27" s="338" t="b">
        <f>AND(RE27&lt;RC27,RE27&lt;RD27)</f>
        <v>1</v>
      </c>
      <c r="RG27" s="328">
        <v>0</v>
      </c>
      <c r="RH27" s="338">
        <f>RH26</f>
        <v>0.85499999999999998</v>
      </c>
      <c r="RI27" s="338">
        <f t="shared" si="59"/>
        <v>0.85499999999999998</v>
      </c>
      <c r="RJ27" s="310"/>
      <c r="RK27" s="310"/>
      <c r="RL27" s="310"/>
      <c r="RM27" s="310"/>
      <c r="RN27" s="310"/>
      <c r="RO27" s="310"/>
      <c r="RP27" s="310"/>
      <c r="RQ27" s="310"/>
      <c r="RR27" s="310"/>
      <c r="RS27" s="310"/>
      <c r="RT27" s="310"/>
      <c r="RU27" s="310"/>
      <c r="RV27" s="310"/>
      <c r="RW27" s="310"/>
      <c r="RX27" s="338"/>
      <c r="RY27" s="531" t="s">
        <v>13</v>
      </c>
      <c r="RZ27" s="531"/>
      <c r="SA27" s="310"/>
      <c r="SB27" s="310"/>
      <c r="SC27" s="310"/>
      <c r="SD27" s="310"/>
      <c r="SE27" s="310"/>
      <c r="SF27" s="310" t="s">
        <v>48</v>
      </c>
      <c r="SG27" s="310" t="s">
        <v>49</v>
      </c>
      <c r="SH27" s="310"/>
      <c r="SN27" s="310"/>
      <c r="SO27" s="220"/>
      <c r="SP27" s="220"/>
      <c r="SQ27" s="220"/>
      <c r="SR27" s="220"/>
      <c r="SS27" s="220"/>
      <c r="ST27" s="220"/>
      <c r="SU27" s="220"/>
      <c r="SV27" s="220"/>
      <c r="SW27" s="220"/>
      <c r="SX27" s="220"/>
      <c r="SY27" s="220"/>
      <c r="SZ27" s="220"/>
      <c r="TA27" s="220"/>
      <c r="TB27" s="220"/>
      <c r="TC27" s="220"/>
      <c r="TD27" s="220"/>
      <c r="TE27" s="220"/>
      <c r="TF27" s="220"/>
      <c r="TG27" s="220"/>
      <c r="TH27" s="220"/>
      <c r="TI27" s="220"/>
      <c r="TJ27" s="220"/>
      <c r="TK27" s="220"/>
      <c r="TL27" s="220"/>
      <c r="TM27" s="220"/>
      <c r="TN27" s="220"/>
      <c r="TO27" s="220"/>
      <c r="TP27" s="220"/>
      <c r="TQ27" s="220"/>
      <c r="TR27" s="220"/>
      <c r="TS27" s="220"/>
      <c r="TT27" s="220"/>
      <c r="TU27" s="220"/>
      <c r="TV27" s="220"/>
      <c r="TW27" s="220"/>
      <c r="TX27" s="220"/>
      <c r="TY27" s="220"/>
      <c r="TZ27" s="220"/>
      <c r="UA27" s="220"/>
      <c r="UB27" s="220"/>
      <c r="UC27" s="220"/>
      <c r="UD27" s="220"/>
      <c r="UE27" s="220"/>
      <c r="UF27" s="220"/>
      <c r="UG27" s="220"/>
      <c r="UH27" s="220"/>
      <c r="UI27" s="220"/>
      <c r="UJ27" s="220"/>
      <c r="UK27" s="216"/>
      <c r="UL27" s="216"/>
      <c r="UM27" s="216"/>
      <c r="UN27" s="216"/>
      <c r="UO27" s="216"/>
      <c r="UP27" s="216"/>
      <c r="UQ27" s="216"/>
      <c r="UR27" s="216"/>
      <c r="US27" s="216"/>
      <c r="UT27" s="216"/>
      <c r="UU27" s="216"/>
      <c r="UV27" s="216"/>
      <c r="UW27" s="216"/>
      <c r="UX27" s="216"/>
      <c r="UY27" s="216"/>
      <c r="UZ27" s="216"/>
      <c r="VA27" s="216"/>
    </row>
    <row r="28" spans="1:574" s="4" customFormat="1" ht="15" customHeight="1" x14ac:dyDescent="0.45">
      <c r="A28" s="51"/>
      <c r="B28" s="51"/>
      <c r="C28" s="52"/>
      <c r="D28" s="52"/>
      <c r="E28" s="52"/>
      <c r="F28" s="52"/>
      <c r="G28" s="48" t="str">
        <f>IF(CP13=TRUE,IF(BM9=TRUE,IF(H21&lt;&gt;"",H21,G21),""),"")</f>
        <v>P3</v>
      </c>
      <c r="H28" s="572">
        <f>IF(BM9=TRUE,IF(Q28&lt;&gt;"",IF(BP24=TRUE,J21+Q28,Q28),""),"")</f>
        <v>-0.65</v>
      </c>
      <c r="I28" s="573"/>
      <c r="J28" s="537">
        <f>IF(BM9=TRUE,IF(R28&lt;&gt;"",IF(BP24=TRUE,M21+R28,R28),""),"")</f>
        <v>0.65</v>
      </c>
      <c r="K28" s="538"/>
      <c r="L28" s="49">
        <f>IF(BM9=TRUE,IF(H28&lt;&gt;"",J21-H28,""),"")</f>
        <v>0</v>
      </c>
      <c r="M28" s="552">
        <f>IF(BM9=TRUE,IF(J28&lt;&gt;"",M21-J28,""),"")</f>
        <v>0</v>
      </c>
      <c r="N28" s="552"/>
      <c r="O28" s="59" t="str">
        <f>IF(L28="","",IF(BM9=TRUE,IF(BE27&lt;&gt;"",IF(BF27=TRUE,"PASS",BF27),""),""))</f>
        <v>PASS</v>
      </c>
      <c r="P28" s="510" t="str">
        <f t="shared" si="66"/>
        <v>P3 &gt;&gt;</v>
      </c>
      <c r="Q28" s="208">
        <v>-0.65</v>
      </c>
      <c r="R28" s="209">
        <v>0.65</v>
      </c>
      <c r="S28" s="225"/>
      <c r="T28" s="225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5"/>
      <c r="AM28" s="45"/>
      <c r="AN28" s="45"/>
      <c r="AO28" s="45"/>
      <c r="AP28" s="310"/>
      <c r="AQ28" s="310"/>
      <c r="AR28" s="310"/>
      <c r="AS28" s="310"/>
      <c r="AT28" s="310"/>
      <c r="AU28" s="310"/>
      <c r="AV28" s="310"/>
      <c r="AW28" s="310"/>
      <c r="AX28" s="310"/>
      <c r="AY28" s="310"/>
      <c r="AZ28" s="412" t="str">
        <f>G29</f>
        <v>P4</v>
      </c>
      <c r="BA28" s="338" t="b">
        <f>IF(L29&lt;&gt;"",ABS(L29)&lt;=$BF$16,"")</f>
        <v>1</v>
      </c>
      <c r="BB28" s="338" t="b">
        <f>IF(BA28&lt;&gt;"",IF(BA28=TRUE,FALSE,TRUE),"")</f>
        <v>0</v>
      </c>
      <c r="BC28" s="338" t="b">
        <f>IF(M29&lt;&gt;"",ABS(M29)&lt;=$BF$16,"")</f>
        <v>1</v>
      </c>
      <c r="BD28" s="338" t="b">
        <f>IF(BC28&lt;&gt;"",IF(BC28=TRUE,FALSE,TRUE),"")</f>
        <v>0</v>
      </c>
      <c r="BE28" s="338" t="b">
        <f>AND(BA28=TRUE,BC28=TRUE)</f>
        <v>1</v>
      </c>
      <c r="BF28" s="328" t="b">
        <f>IF(BE28&lt;&gt;"",IF(BE28=TRUE,TRUE,IF(BA28=FALSE,"N &gt;"&amp;$BF$16,"E &gt;"&amp;$BF$16)),"")</f>
        <v>1</v>
      </c>
      <c r="BG28" s="338" t="b">
        <f>IF(BF28&lt;&gt;"",IF(BF28=TRUE,FALSE,TRUE),"")</f>
        <v>0</v>
      </c>
      <c r="BH28" s="310"/>
      <c r="BI28" s="310"/>
      <c r="BJ28" s="310"/>
      <c r="BK28" s="310" t="e">
        <f>IF(AY15=TRUE,0,#N/A)</f>
        <v>#N/A</v>
      </c>
      <c r="BL28" s="310" t="e">
        <f>IF(AY15=TRUE,1,#N/A)</f>
        <v>#N/A</v>
      </c>
      <c r="BM28" s="310" t="s">
        <v>73</v>
      </c>
      <c r="BN28" s="310"/>
      <c r="BO28" s="310"/>
      <c r="BP28" s="310"/>
      <c r="BQ28" s="310"/>
      <c r="BR28" s="310"/>
      <c r="BS28" s="310"/>
      <c r="BT28" s="310"/>
      <c r="BU28" s="310"/>
      <c r="BV28" s="310"/>
      <c r="BW28" s="310"/>
      <c r="BX28" s="400">
        <f>_xlfn.AGGREGATE(4,6,BZ25:BZ35)-_xlfn.AGGREGATE(5,6,BZ25:BZ35)</f>
        <v>0</v>
      </c>
      <c r="BY28" s="246" t="e">
        <f>BY25</f>
        <v>#N/A</v>
      </c>
      <c r="BZ28" s="248" t="e">
        <f>BZ27</f>
        <v>#N/A</v>
      </c>
      <c r="CA28" s="310"/>
      <c r="CB28" s="310"/>
      <c r="CC28" s="310"/>
      <c r="CD28" s="310"/>
      <c r="CE28" s="310"/>
      <c r="CF28" s="310"/>
      <c r="CG28" s="310"/>
      <c r="CH28" s="310"/>
      <c r="CI28" s="310"/>
      <c r="CJ28" s="338" t="s">
        <v>12</v>
      </c>
      <c r="CK28" s="338" t="b">
        <f>BE7</f>
        <v>1</v>
      </c>
      <c r="CL28" s="310"/>
      <c r="CM28" s="338" t="s">
        <v>254</v>
      </c>
      <c r="CN28" s="336" t="e">
        <f>IF(BY20=TRUE,IF(AY16=TRUE,BY31,BY25)-IF(AT41=TRUE,C43,0),#N/A)</f>
        <v>#N/A</v>
      </c>
      <c r="CO28" s="338" t="e">
        <f>IF(BY20=TRUE,IF(AY16=TRUE,BZ31,BZ25)+IF(AT39=TRUE,C40,0),#N/A)</f>
        <v>#N/A</v>
      </c>
      <c r="CP28" s="338" t="s">
        <v>256</v>
      </c>
      <c r="CQ28" s="310"/>
      <c r="CR28" s="310"/>
      <c r="CS28" s="310"/>
      <c r="CT28" s="310"/>
      <c r="CU28" s="310"/>
      <c r="CV28" s="310"/>
      <c r="CW28" s="310"/>
      <c r="CX28" s="310"/>
      <c r="CY28" s="310"/>
      <c r="CZ28" s="310"/>
      <c r="DA28" s="310"/>
      <c r="DB28" s="310"/>
      <c r="DC28" s="301" t="e">
        <f>IF(DD6=TRUE,DA9+BT7/2,#N/A)</f>
        <v>#N/A</v>
      </c>
      <c r="DD28" s="280" t="e">
        <f>DD27</f>
        <v>#N/A</v>
      </c>
      <c r="DE28" s="310"/>
      <c r="DF28" s="280" t="e">
        <f>IF(DG6=TRUE,(CL22-BY22)+BT7/2,#N/A)</f>
        <v>#N/A</v>
      </c>
      <c r="DG28" s="280" t="e">
        <f>DG23</f>
        <v>#N/A</v>
      </c>
      <c r="DH28" s="310"/>
      <c r="DI28" s="310"/>
      <c r="DJ28" s="310"/>
      <c r="DK28" s="313">
        <v>20</v>
      </c>
      <c r="DL28" s="282" t="e">
        <f t="shared" si="3"/>
        <v>#N/A</v>
      </c>
      <c r="DM28" s="291" t="e">
        <f t="shared" si="4"/>
        <v>#N/A</v>
      </c>
      <c r="DN28" s="310"/>
      <c r="DO28" s="310"/>
      <c r="DP28" s="310"/>
      <c r="DQ28" s="310"/>
      <c r="DR28" s="310"/>
      <c r="DS28" s="310"/>
      <c r="DT28" s="310">
        <f>_xlfn.AGGREGATE(4,6,DV25:DV29)-_xlfn.AGGREGATE(5,6,DV25:DV29)</f>
        <v>1.9</v>
      </c>
      <c r="DU28" s="246">
        <f>DU25</f>
        <v>-0.95</v>
      </c>
      <c r="DV28" s="248">
        <f>DV27</f>
        <v>-0.95</v>
      </c>
      <c r="DW28" s="310"/>
      <c r="DX28" s="338" t="s">
        <v>96</v>
      </c>
      <c r="DY28" s="372" t="b">
        <v>0</v>
      </c>
      <c r="DZ28" s="336">
        <f>DU26+IF(DY28=TRUE,C42,0)</f>
        <v>0.95</v>
      </c>
      <c r="EA28" s="336">
        <f>DV27-IF(DY26=TRUE,C41,0)</f>
        <v>-0.95</v>
      </c>
      <c r="EB28" s="310"/>
      <c r="EC28" s="338" t="e">
        <v>#N/A</v>
      </c>
      <c r="ED28" s="338" t="e">
        <v>#N/A</v>
      </c>
      <c r="EE28" s="310"/>
      <c r="EF28" s="310"/>
      <c r="EG28" s="310"/>
      <c r="EH28" s="310"/>
      <c r="EI28" s="310"/>
      <c r="EJ28" s="310"/>
      <c r="EK28" s="310"/>
      <c r="EL28" s="310"/>
      <c r="EM28" s="310"/>
      <c r="EN28" s="310"/>
      <c r="EO28" s="310"/>
      <c r="EP28" s="310"/>
      <c r="EQ28" s="310"/>
      <c r="ER28" s="310"/>
      <c r="ES28" s="332" t="e">
        <v>#N/A</v>
      </c>
      <c r="ET28" s="332" t="e">
        <v>#N/A</v>
      </c>
      <c r="EU28" s="406" t="s">
        <v>149</v>
      </c>
      <c r="EV28" s="332" t="e">
        <f>EV21+(EV10/SQRT(3))+(1*(EV10/SQRT(3)))</f>
        <v>#N/A</v>
      </c>
      <c r="EW28" s="332" t="e">
        <f>EW21</f>
        <v>#N/A</v>
      </c>
      <c r="EX28" s="332" t="e">
        <f>EV31</f>
        <v>#N/A</v>
      </c>
      <c r="EY28" s="413" t="e">
        <f>EY27</f>
        <v>#N/A</v>
      </c>
      <c r="EZ28" s="346" t="e">
        <f>EZ20</f>
        <v>#N/A</v>
      </c>
      <c r="FA28" s="346" t="e">
        <f>FA21+(2*(EV10/SQRT(3)))</f>
        <v>#N/A</v>
      </c>
      <c r="FB28" s="346" t="e">
        <f>FB27</f>
        <v>#N/A</v>
      </c>
      <c r="FC28" s="346" t="e">
        <f>FC20+(EV10/SQRT(3))</f>
        <v>#N/A</v>
      </c>
      <c r="FD28" s="258" t="e">
        <v>#N/A</v>
      </c>
      <c r="FE28" s="258" t="e">
        <v>#N/A</v>
      </c>
      <c r="FF28" s="310"/>
      <c r="FG28" s="310"/>
      <c r="FH28" s="338" t="e">
        <v>#N/A</v>
      </c>
      <c r="FI28" s="338" t="e">
        <v>#N/A</v>
      </c>
      <c r="FJ28" s="310"/>
      <c r="FK28" s="338" t="b">
        <f t="shared" si="47"/>
        <v>1</v>
      </c>
      <c r="FL28" s="318" t="b">
        <v>0</v>
      </c>
      <c r="FM28" s="328" t="b">
        <f t="shared" si="49"/>
        <v>0</v>
      </c>
      <c r="FN28" s="328" t="b">
        <f t="shared" si="48"/>
        <v>1</v>
      </c>
      <c r="FO28" s="328">
        <v>5</v>
      </c>
      <c r="FP28" s="328" t="str">
        <f t="shared" si="50"/>
        <v>5 CURSOR [ ON ]</v>
      </c>
      <c r="FQ28" s="338" t="e">
        <v>#N/A</v>
      </c>
      <c r="FR28" s="338" t="e">
        <v>#N/A</v>
      </c>
      <c r="FS28" s="338" t="e">
        <v>#N/A</v>
      </c>
      <c r="FT28" s="338" t="e">
        <v>#N/A</v>
      </c>
      <c r="FU28" s="338" t="e">
        <v>#N/A</v>
      </c>
      <c r="FV28" s="338" t="e">
        <v>#N/A</v>
      </c>
      <c r="FW28" s="338" t="e">
        <v>#N/A</v>
      </c>
      <c r="FX28" s="338" t="e">
        <v>#N/A</v>
      </c>
      <c r="FY28" s="222" t="e">
        <f>FD34</f>
        <v>#N/A</v>
      </c>
      <c r="FZ28" s="222" t="e">
        <f>FE34</f>
        <v>#N/A</v>
      </c>
      <c r="GA28" s="420">
        <f>GA27</f>
        <v>0.95</v>
      </c>
      <c r="GB28" s="336">
        <f>GB25</f>
        <v>-0.95</v>
      </c>
      <c r="GC28" s="328">
        <v>0.95</v>
      </c>
      <c r="GD28" s="328">
        <v>-0.95</v>
      </c>
      <c r="GE28" s="311" t="b">
        <f t="shared" si="53"/>
        <v>0</v>
      </c>
      <c r="GF28" s="313" t="s">
        <v>335</v>
      </c>
      <c r="GG28" s="313">
        <v>0.35</v>
      </c>
      <c r="GH28" s="313">
        <v>0</v>
      </c>
      <c r="GI28" s="338" t="b">
        <f t="shared" si="54"/>
        <v>0</v>
      </c>
      <c r="GJ28" s="259" t="e">
        <f t="shared" si="60"/>
        <v>#N/A</v>
      </c>
      <c r="GK28" s="259" t="e">
        <f t="shared" si="61"/>
        <v>#N/A</v>
      </c>
      <c r="GL28" s="338" t="b">
        <f t="shared" si="55"/>
        <v>0</v>
      </c>
      <c r="GM28" s="260" t="e">
        <f t="shared" si="62"/>
        <v>#N/A</v>
      </c>
      <c r="GN28" s="260" t="e">
        <f t="shared" si="63"/>
        <v>#N/A</v>
      </c>
      <c r="GO28" s="310"/>
      <c r="GP28" s="338">
        <f t="shared" si="64"/>
        <v>1.2999999999999998</v>
      </c>
      <c r="GQ28" s="338">
        <f t="shared" si="65"/>
        <v>-0.95</v>
      </c>
      <c r="GR28" s="310"/>
      <c r="GS28" s="310"/>
      <c r="GT28" s="310"/>
      <c r="GU28" s="310"/>
      <c r="GV28" s="310"/>
      <c r="GW28" s="310" t="b">
        <f>IF(GY6=22,FALSE,TRUE)</f>
        <v>1</v>
      </c>
      <c r="GX28" s="314">
        <v>22</v>
      </c>
      <c r="GY28" s="316" t="str">
        <f>"CIRCLE PILE D = "&amp;L9&amp;" cm."</f>
        <v>CIRCLE PILE D = 35 cm.</v>
      </c>
      <c r="GZ28" s="323">
        <f>L9</f>
        <v>35</v>
      </c>
      <c r="HA28" s="338"/>
      <c r="HB28" s="338"/>
      <c r="HC28" s="338"/>
      <c r="HD28" s="338"/>
      <c r="HE28" s="338"/>
      <c r="HF28" s="338"/>
      <c r="HG28" s="310"/>
      <c r="HH28" s="310"/>
      <c r="HI28" s="310"/>
      <c r="HJ28" s="310"/>
      <c r="HK28" s="342">
        <v>14</v>
      </c>
      <c r="HL28" s="235" t="e">
        <f t="shared" si="5"/>
        <v>#N/A</v>
      </c>
      <c r="HM28" s="235" t="e">
        <f t="shared" si="6"/>
        <v>#N/A</v>
      </c>
      <c r="HN28" s="310"/>
      <c r="HO28" s="310"/>
      <c r="HP28" s="235" t="e">
        <f t="shared" si="7"/>
        <v>#N/A</v>
      </c>
      <c r="HQ28" s="235" t="e">
        <f t="shared" si="8"/>
        <v>#N/A</v>
      </c>
      <c r="HR28" s="310"/>
      <c r="HS28" s="310"/>
      <c r="HT28" s="235" t="e">
        <f t="shared" si="9"/>
        <v>#N/A</v>
      </c>
      <c r="HU28" s="235" t="e">
        <f t="shared" si="10"/>
        <v>#N/A</v>
      </c>
      <c r="HV28" s="310"/>
      <c r="HW28" s="310"/>
      <c r="HX28" s="235" t="e">
        <f t="shared" si="11"/>
        <v>#N/A</v>
      </c>
      <c r="HY28" s="235" t="e">
        <f t="shared" si="12"/>
        <v>#N/A</v>
      </c>
      <c r="HZ28" s="310"/>
      <c r="IA28" s="310"/>
      <c r="IB28" s="235" t="e">
        <f t="shared" si="13"/>
        <v>#N/A</v>
      </c>
      <c r="IC28" s="235" t="e">
        <f t="shared" si="14"/>
        <v>#N/A</v>
      </c>
      <c r="ID28" s="310"/>
      <c r="IE28" s="342">
        <v>14</v>
      </c>
      <c r="IF28" s="262" t="e">
        <f t="shared" si="15"/>
        <v>#N/A</v>
      </c>
      <c r="IG28" s="262" t="e">
        <f t="shared" si="16"/>
        <v>#N/A</v>
      </c>
      <c r="IH28" s="390"/>
      <c r="II28" s="390"/>
      <c r="IJ28" s="262" t="e">
        <f t="shared" si="17"/>
        <v>#N/A</v>
      </c>
      <c r="IK28" s="262" t="e">
        <f t="shared" si="18"/>
        <v>#N/A</v>
      </c>
      <c r="IL28" s="390"/>
      <c r="IM28" s="390"/>
      <c r="IN28" s="262" t="e">
        <f t="shared" si="19"/>
        <v>#N/A</v>
      </c>
      <c r="IO28" s="262" t="e">
        <f t="shared" si="20"/>
        <v>#N/A</v>
      </c>
      <c r="IP28" s="390"/>
      <c r="IQ28" s="390"/>
      <c r="IR28" s="262" t="e">
        <f t="shared" si="21"/>
        <v>#N/A</v>
      </c>
      <c r="IS28" s="262" t="e">
        <f t="shared" si="22"/>
        <v>#N/A</v>
      </c>
      <c r="IT28" s="390"/>
      <c r="IU28" s="390"/>
      <c r="IV28" s="262" t="e">
        <f t="shared" si="23"/>
        <v>#N/A</v>
      </c>
      <c r="IW28" s="262" t="e">
        <f t="shared" si="24"/>
        <v>#N/A</v>
      </c>
      <c r="IX28" s="310"/>
      <c r="IY28" s="310"/>
      <c r="IZ28" s="310"/>
      <c r="JA28" s="310"/>
      <c r="JB28" s="313" t="s">
        <v>326</v>
      </c>
      <c r="JC28" s="236" t="e">
        <f>IZ24-($IZ$10/2)</f>
        <v>#N/A</v>
      </c>
      <c r="JD28" s="236" t="e">
        <f>JD25</f>
        <v>#N/A</v>
      </c>
      <c r="JE28" s="310"/>
      <c r="JF28" s="310"/>
      <c r="JG28" s="310"/>
      <c r="JH28" s="310"/>
      <c r="JI28" s="313" t="s">
        <v>326</v>
      </c>
      <c r="JJ28" s="263" t="e">
        <f>JG24-($IZ$10/2)</f>
        <v>#N/A</v>
      </c>
      <c r="JK28" s="263" t="e">
        <f>JK25</f>
        <v>#N/A</v>
      </c>
      <c r="JL28" s="310"/>
      <c r="JM28" s="310"/>
      <c r="JN28" s="261" t="e">
        <f t="shared" si="25"/>
        <v>#N/A</v>
      </c>
      <c r="JO28" s="261" t="e">
        <f t="shared" si="26"/>
        <v>#N/A</v>
      </c>
      <c r="JP28" s="310"/>
      <c r="JQ28" s="310"/>
      <c r="JR28" s="261" t="e">
        <f t="shared" si="31"/>
        <v>#N/A</v>
      </c>
      <c r="JS28" s="261" t="e">
        <f t="shared" si="32"/>
        <v>#N/A</v>
      </c>
      <c r="JT28" s="310"/>
      <c r="JU28" s="310"/>
      <c r="JV28" s="261" t="e">
        <f t="shared" si="27"/>
        <v>#N/A</v>
      </c>
      <c r="JW28" s="261" t="e">
        <f t="shared" si="28"/>
        <v>#N/A</v>
      </c>
      <c r="JX28" s="310"/>
      <c r="JY28" s="310"/>
      <c r="JZ28" s="310"/>
      <c r="KA28" s="310"/>
      <c r="KB28" s="338"/>
      <c r="KC28" s="264" t="e">
        <v>#N/A</v>
      </c>
      <c r="KD28" s="264" t="e">
        <v>#N/A</v>
      </c>
      <c r="KE28" s="310"/>
      <c r="KF28" s="310"/>
      <c r="KG28" s="310"/>
      <c r="KH28" s="310"/>
      <c r="KI28" s="310"/>
      <c r="KJ28" s="310"/>
      <c r="KK28" s="310"/>
      <c r="KL28" s="310"/>
      <c r="KM28" s="330"/>
      <c r="KN28" s="242" t="e">
        <f>IF(KR10=TRUE,ON50-KN9-KO9/4,#N/A)</f>
        <v>#N/A</v>
      </c>
      <c r="KO28" s="243" t="e">
        <f>KO24</f>
        <v>#N/A</v>
      </c>
      <c r="KP28" s="328"/>
      <c r="KQ28" s="328"/>
      <c r="KR28" s="328"/>
      <c r="KS28" s="270" t="e">
        <f>KS23</f>
        <v>#N/A</v>
      </c>
      <c r="KT28" s="257" t="e">
        <f>IF(KW10=TRUE,OO52-KO9/4,#N/A)</f>
        <v>#N/A</v>
      </c>
      <c r="KU28" s="338"/>
      <c r="KV28" s="328"/>
      <c r="KW28" s="338"/>
      <c r="KX28" s="310"/>
      <c r="KY28" s="310"/>
      <c r="KZ28" s="310"/>
      <c r="LA28" s="310"/>
      <c r="LB28" s="310"/>
      <c r="LC28" s="310"/>
      <c r="LD28" s="310"/>
      <c r="LE28" s="310"/>
      <c r="LF28" s="310"/>
      <c r="LG28" s="310"/>
      <c r="LH28" s="391" t="e">
        <f>LH27</f>
        <v>#N/A</v>
      </c>
      <c r="LI28" s="391" t="e">
        <f>OO54-LI7*1.25</f>
        <v>#N/A</v>
      </c>
      <c r="LJ28" s="338" t="e">
        <v>#N/A</v>
      </c>
      <c r="LK28" s="338" t="e">
        <v>#N/A</v>
      </c>
      <c r="LL28" s="391"/>
      <c r="LM28" s="310"/>
      <c r="LN28" s="310"/>
      <c r="LO28" s="338">
        <f>LO27</f>
        <v>-1.2999999999999998</v>
      </c>
      <c r="LP28" s="338">
        <f>OO49+LP7*1.5</f>
        <v>-5.0000000000000044E-2</v>
      </c>
      <c r="LQ28" s="338" t="e">
        <v>#N/A</v>
      </c>
      <c r="LR28" s="338" t="e">
        <v>#N/A</v>
      </c>
      <c r="LS28" s="391"/>
      <c r="LT28" s="310"/>
      <c r="LU28" s="310"/>
      <c r="LV28" s="338">
        <f>ON51+LW7*1.5</f>
        <v>2.1999999999999997</v>
      </c>
      <c r="LW28" s="338">
        <f>LW27</f>
        <v>0.95</v>
      </c>
      <c r="LX28" s="338" t="e">
        <v>#N/A</v>
      </c>
      <c r="LY28" s="338" t="e">
        <v>#N/A</v>
      </c>
      <c r="LZ28" s="391"/>
      <c r="MA28" s="310"/>
      <c r="MB28" s="310"/>
      <c r="MC28" s="338">
        <f>MC27-MD7*1.5</f>
        <v>0.29999999999999982</v>
      </c>
      <c r="MD28" s="338">
        <f>MD27</f>
        <v>-0.95</v>
      </c>
      <c r="ME28" s="338" t="e">
        <v>#N/A</v>
      </c>
      <c r="MF28" s="338" t="e">
        <v>#N/A</v>
      </c>
      <c r="MG28" s="391"/>
      <c r="MH28" s="310"/>
      <c r="MI28" s="310"/>
      <c r="MJ28" s="242" t="e">
        <v>#N/A</v>
      </c>
      <c r="MK28" s="242" t="e">
        <v>#N/A</v>
      </c>
      <c r="ML28" s="242" t="e">
        <v>#N/A</v>
      </c>
      <c r="MM28" s="242" t="e">
        <v>#N/A</v>
      </c>
      <c r="MN28" s="391"/>
      <c r="MO28" s="310"/>
      <c r="MP28" s="311" t="e">
        <v>#N/A</v>
      </c>
      <c r="MQ28" s="311" t="e">
        <v>#N/A</v>
      </c>
      <c r="MR28" s="311"/>
      <c r="MS28" s="311"/>
      <c r="MT28" s="310"/>
      <c r="MU28" s="310"/>
      <c r="MV28" s="310"/>
      <c r="MW28" s="310"/>
      <c r="MX28" s="310"/>
      <c r="MY28" s="310"/>
      <c r="MZ28" s="310" t="s">
        <v>483</v>
      </c>
      <c r="NA28" s="310">
        <v>2.5000000000000001E-2</v>
      </c>
      <c r="NB28" s="310"/>
      <c r="NC28" s="310"/>
      <c r="ND28" s="310"/>
      <c r="NE28" s="310"/>
      <c r="NF28" s="310"/>
      <c r="NG28" s="310"/>
      <c r="NH28" s="310"/>
      <c r="NI28" s="310"/>
      <c r="NJ28" s="310"/>
      <c r="NK28" s="310"/>
      <c r="NL28" s="310"/>
      <c r="NM28" s="310"/>
      <c r="NN28" s="310"/>
      <c r="NO28" s="423" t="str" cm="1">
        <f t="array" ref="NO28:NO32">G26:G30</f>
        <v>P1</v>
      </c>
      <c r="NP28" s="420">
        <f>IF(AND($CP$13=TRUE,$CU$11=TRUE),H26+J26,#N/A)</f>
        <v>-1.3</v>
      </c>
      <c r="NQ28" s="310"/>
      <c r="NR28" s="310"/>
      <c r="NS28" s="310"/>
      <c r="NT28" s="310"/>
      <c r="NU28" s="310"/>
      <c r="NV28" s="310"/>
      <c r="NW28" s="310"/>
      <c r="NX28" s="310"/>
      <c r="NY28" s="310"/>
      <c r="NZ28" s="310"/>
      <c r="OA28" s="310"/>
      <c r="OB28" s="310"/>
      <c r="OC28" s="310"/>
      <c r="OD28" s="310"/>
      <c r="OE28" s="310"/>
      <c r="OF28" s="310"/>
      <c r="OG28" s="310"/>
      <c r="OH28" s="310"/>
      <c r="OI28" s="310"/>
      <c r="OJ28" s="310"/>
      <c r="OK28" s="310"/>
      <c r="OL28" s="310"/>
      <c r="OM28" s="228" t="e">
        <v>#N/A</v>
      </c>
      <c r="ON28" s="228" t="e">
        <v>#N/A</v>
      </c>
      <c r="OO28" s="230" t="e">
        <f>OM36+(OM37-OM36)/2</f>
        <v>#N/A</v>
      </c>
      <c r="OP28" s="230" t="e">
        <f>ON36</f>
        <v>#N/A</v>
      </c>
      <c r="OQ28" s="410" t="e">
        <f>OM37-OM36</f>
        <v>#N/A</v>
      </c>
      <c r="OR28" s="310"/>
      <c r="OS28" s="310"/>
      <c r="OT28" s="310"/>
      <c r="OU28" s="280" t="e">
        <f>OU21</f>
        <v>#N/A</v>
      </c>
      <c r="OV28" s="280" t="e">
        <f>OV24</f>
        <v>#N/A</v>
      </c>
      <c r="OW28" s="310"/>
      <c r="OX28" s="280" t="e">
        <f>OX23</f>
        <v>#N/A</v>
      </c>
      <c r="OY28" s="280" t="e">
        <f>OY23</f>
        <v>#N/A</v>
      </c>
      <c r="OZ28" s="310"/>
      <c r="PA28" s="280" t="e">
        <f>IF(OT9=TRUE,OX18,#N/A)</f>
        <v>#N/A</v>
      </c>
      <c r="PB28" s="280" t="e">
        <f>PB27</f>
        <v>#N/A</v>
      </c>
      <c r="PC28" s="310"/>
      <c r="PD28" s="310"/>
      <c r="PE28" s="313">
        <v>14</v>
      </c>
      <c r="PF28" s="318" t="b">
        <f t="shared" si="33"/>
        <v>0</v>
      </c>
      <c r="PG28" s="283" t="e">
        <f t="shared" si="34"/>
        <v>#N/A</v>
      </c>
      <c r="PH28" s="283" t="e">
        <f t="shared" si="35"/>
        <v>#N/A</v>
      </c>
      <c r="PI28" s="295" t="e">
        <f t="shared" si="36"/>
        <v>#N/A</v>
      </c>
      <c r="PJ28" s="310"/>
      <c r="PK28" s="310"/>
      <c r="PL28" s="310"/>
      <c r="PM28" s="310"/>
      <c r="PN28" s="328" t="e">
        <v>#N/A</v>
      </c>
      <c r="PO28" s="328" t="e">
        <v>#N/A</v>
      </c>
      <c r="PP28" s="328" t="e">
        <v>#N/A</v>
      </c>
      <c r="PQ28" s="310"/>
      <c r="PR28" s="310"/>
      <c r="PS28" s="342">
        <v>14</v>
      </c>
      <c r="PT28" s="261" t="e">
        <f t="shared" si="29"/>
        <v>#N/A</v>
      </c>
      <c r="PU28" s="261" t="e">
        <f t="shared" si="30"/>
        <v>#N/A</v>
      </c>
      <c r="PV28" s="310"/>
      <c r="PW28" s="310"/>
      <c r="PX28" s="310"/>
      <c r="PY28" s="400"/>
      <c r="PZ28" s="424" t="s">
        <v>492</v>
      </c>
      <c r="QA28" s="338">
        <f>IF(J26&lt;&gt;"",J26,#N/A)</f>
        <v>-0.65</v>
      </c>
      <c r="QB28" s="531" t="e">
        <f>IF(QA28&lt;QA29,M44,"NOT GOVERNING")</f>
        <v>#N/A</v>
      </c>
      <c r="QC28" s="683"/>
      <c r="QD28" s="531" t="e">
        <f>IF(PZ20=TRUE,(QB21-QB22)*100,#N/A)</f>
        <v>#N/A</v>
      </c>
      <c r="QE28" s="531" t="e">
        <f>IF(PZ20=TRUE,C51,#N/A)</f>
        <v>#N/A</v>
      </c>
      <c r="QF28" s="531" t="e">
        <f>IF(QA28&lt;QA29,QB28/(QD28*QE28),"NOT GOVERNING")</f>
        <v>#N/A</v>
      </c>
      <c r="QG28" s="683"/>
      <c r="QH28" s="531" t="e">
        <f>IF(QA28&lt;QA29,TRUE,FALSE)</f>
        <v>#N/A</v>
      </c>
      <c r="QI28" s="310"/>
      <c r="QJ28" s="310"/>
      <c r="QK28" s="400"/>
      <c r="QL28" s="424" t="s">
        <v>492</v>
      </c>
      <c r="QM28" s="387">
        <f>H27</f>
        <v>0.65</v>
      </c>
      <c r="QN28" s="531" t="e">
        <f>IF(QM29&lt;QM28,M45,"NOT GOVERNING")</f>
        <v>#N/A</v>
      </c>
      <c r="QO28" s="683"/>
      <c r="QP28" s="531" t="e">
        <f>IF(QL20=TRUE,(QM22-QM21)*100,#N/A)</f>
        <v>#N/A</v>
      </c>
      <c r="QQ28" s="531" t="e">
        <f>IF(QL20=TRUE,C51,#N/A)</f>
        <v>#N/A</v>
      </c>
      <c r="QR28" s="531" t="e">
        <f>IF(QM29&lt;QM28,QN28/(QP28*QQ28),"NOT GOVERNING")</f>
        <v>#N/A</v>
      </c>
      <c r="QS28" s="683"/>
      <c r="QT28" s="531" t="e">
        <f>IF(QM29&lt;QM28,TRUE,FALSE)</f>
        <v>#N/A</v>
      </c>
      <c r="QU28" s="310"/>
      <c r="QV28" s="328" t="str">
        <f t="shared" si="56"/>
        <v>P5 &gt;&gt;</v>
      </c>
      <c r="QW28" s="402" t="str">
        <f>IF(G30&lt;&gt;"",G30,"")</f>
        <v>P5</v>
      </c>
      <c r="QX28" s="328">
        <f t="shared" si="57"/>
        <v>0</v>
      </c>
      <c r="QY28" s="328">
        <f t="shared" si="58"/>
        <v>0</v>
      </c>
      <c r="QZ28" s="310"/>
      <c r="RA28" s="310"/>
      <c r="RB28" s="310"/>
      <c r="RC28" s="310"/>
      <c r="RD28" s="310"/>
      <c r="RE28" s="310"/>
      <c r="RF28" s="310"/>
      <c r="RG28" s="310"/>
      <c r="RH28" s="328" t="s">
        <v>525</v>
      </c>
      <c r="RI28" s="338">
        <f>SUM(RI24:RI27)</f>
        <v>3.42</v>
      </c>
      <c r="RJ28" s="310"/>
      <c r="RK28" s="310"/>
      <c r="RL28" s="310"/>
      <c r="RM28" s="310"/>
      <c r="RN28" s="310"/>
      <c r="RO28" s="310"/>
      <c r="RP28" s="310"/>
      <c r="RQ28" s="310"/>
      <c r="RR28" s="310"/>
      <c r="RS28" s="310"/>
      <c r="RT28" s="310"/>
      <c r="RU28" s="310"/>
      <c r="RV28" s="310"/>
      <c r="RW28" s="310"/>
      <c r="RX28" s="338"/>
      <c r="RY28" s="328" t="s">
        <v>48</v>
      </c>
      <c r="RZ28" s="328" t="s">
        <v>49</v>
      </c>
      <c r="SA28" s="329" t="s">
        <v>623</v>
      </c>
      <c r="SB28" s="329" t="s">
        <v>624</v>
      </c>
      <c r="SC28" s="329" t="s">
        <v>626</v>
      </c>
      <c r="SD28" s="329"/>
      <c r="SE28" s="329" t="s">
        <v>106</v>
      </c>
      <c r="SF28" s="513" t="e">
        <f>RY29</f>
        <v>#N/A</v>
      </c>
      <c r="SG28" s="513" t="e">
        <f>RZ29</f>
        <v>#N/A</v>
      </c>
      <c r="SH28" s="329"/>
      <c r="SN28" s="310"/>
      <c r="SO28" s="220"/>
      <c r="SP28" s="220"/>
      <c r="SQ28" s="220"/>
      <c r="SR28" s="220"/>
      <c r="SS28" s="220"/>
      <c r="ST28" s="220"/>
      <c r="SU28" s="220"/>
      <c r="SV28" s="220"/>
      <c r="SW28" s="220"/>
      <c r="SX28" s="220"/>
      <c r="SY28" s="220"/>
      <c r="SZ28" s="220"/>
      <c r="TA28" s="220"/>
      <c r="TB28" s="220"/>
      <c r="TC28" s="220"/>
      <c r="TD28" s="220"/>
      <c r="TE28" s="220"/>
      <c r="TF28" s="220"/>
      <c r="TG28" s="220"/>
      <c r="TH28" s="220"/>
      <c r="TI28" s="220"/>
      <c r="TJ28" s="220"/>
      <c r="TK28" s="220"/>
      <c r="TL28" s="220"/>
      <c r="TM28" s="220"/>
      <c r="TN28" s="220"/>
      <c r="TO28" s="220"/>
      <c r="TP28" s="220"/>
      <c r="TQ28" s="220"/>
      <c r="TR28" s="220"/>
      <c r="TS28" s="220"/>
      <c r="TT28" s="220"/>
      <c r="TU28" s="220"/>
      <c r="TV28" s="220"/>
      <c r="TW28" s="220"/>
      <c r="TX28" s="220"/>
      <c r="TY28" s="220"/>
      <c r="TZ28" s="220"/>
      <c r="UA28" s="220"/>
      <c r="UB28" s="220"/>
      <c r="UC28" s="220"/>
      <c r="UD28" s="220"/>
      <c r="UE28" s="220"/>
      <c r="UF28" s="220"/>
      <c r="UG28" s="220"/>
      <c r="UH28" s="220"/>
      <c r="UI28" s="220"/>
      <c r="UJ28" s="220"/>
      <c r="UK28" s="216"/>
      <c r="UL28" s="216"/>
      <c r="UM28" s="216"/>
      <c r="UN28" s="216"/>
      <c r="UO28" s="216"/>
      <c r="UP28" s="216"/>
      <c r="UQ28" s="216"/>
      <c r="UR28" s="216"/>
      <c r="US28" s="216"/>
      <c r="UT28" s="216"/>
      <c r="UU28" s="216"/>
      <c r="UV28" s="216"/>
      <c r="UW28" s="216"/>
      <c r="UX28" s="216"/>
      <c r="UY28" s="216"/>
      <c r="UZ28" s="216"/>
      <c r="VA28" s="216"/>
    </row>
    <row r="29" spans="1:574" s="4" customFormat="1" ht="15" customHeight="1" x14ac:dyDescent="0.45">
      <c r="A29" s="51"/>
      <c r="B29" s="51"/>
      <c r="C29" s="52"/>
      <c r="D29" s="52"/>
      <c r="E29" s="52"/>
      <c r="F29" s="52"/>
      <c r="G29" s="48" t="str">
        <f>IF(CP13=TRUE,IF(BM10=TRUE,IF(H22&lt;&gt;"",H22,G22),""),"")</f>
        <v>P4</v>
      </c>
      <c r="H29" s="572">
        <f>IF(BM10=TRUE,IF(Q29&lt;&gt;"",IF(BP24=TRUE,J22+Q29,Q29),""),"")</f>
        <v>0.65</v>
      </c>
      <c r="I29" s="573"/>
      <c r="J29" s="537">
        <f>IF(BM10=TRUE,IF(R29&lt;&gt;"",IF(BP24=TRUE,M22+R29,R29),""),"")</f>
        <v>0.65</v>
      </c>
      <c r="K29" s="538"/>
      <c r="L29" s="49">
        <f>IF(BM10=TRUE,IF(H29&lt;&gt;"",J22-H29,""),"")</f>
        <v>0</v>
      </c>
      <c r="M29" s="552">
        <f>IF(BM10=TRUE,IF(J29&lt;&gt;"",M22-J29,""),"")</f>
        <v>0</v>
      </c>
      <c r="N29" s="552"/>
      <c r="O29" s="59" t="str">
        <f>IF(L29="","",IF(BM10=TRUE,IF(BE28&lt;&gt;"",IF(BF28=TRUE,"PASS",BF28),""),""))</f>
        <v>PASS</v>
      </c>
      <c r="P29" s="510" t="str">
        <f t="shared" si="66"/>
        <v>P4 &gt;&gt;</v>
      </c>
      <c r="Q29" s="208">
        <v>0.65</v>
      </c>
      <c r="R29" s="209">
        <v>0.65</v>
      </c>
      <c r="S29" s="50"/>
      <c r="T29" s="50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5"/>
      <c r="AM29" s="45"/>
      <c r="AN29" s="45"/>
      <c r="AO29" s="45"/>
      <c r="AP29" s="310"/>
      <c r="AQ29" s="310"/>
      <c r="AR29" s="310"/>
      <c r="AS29" s="310"/>
      <c r="AT29" s="310"/>
      <c r="AU29" s="310"/>
      <c r="AV29" s="310"/>
      <c r="AW29" s="310"/>
      <c r="AX29" s="310"/>
      <c r="AY29" s="310"/>
      <c r="AZ29" s="412" t="str">
        <f>G30</f>
        <v>P5</v>
      </c>
      <c r="BA29" s="338" t="b">
        <f>IF(L30&lt;&gt;"",ABS(L30)&lt;=$BF$16,"")</f>
        <v>1</v>
      </c>
      <c r="BB29" s="338" t="b">
        <f>IF(BA29&lt;&gt;"",IF(BA29=TRUE,FALSE,TRUE),"")</f>
        <v>0</v>
      </c>
      <c r="BC29" s="338" t="b">
        <f>IF(M30&lt;&gt;"",ABS(M30)&lt;=$BF$16,"")</f>
        <v>1</v>
      </c>
      <c r="BD29" s="338" t="b">
        <f>IF(BC29&lt;&gt;"",IF(BC29=TRUE,FALSE,TRUE),"")</f>
        <v>0</v>
      </c>
      <c r="BE29" s="338" t="b">
        <f>AND(BA29=TRUE,BC29=TRUE)</f>
        <v>1</v>
      </c>
      <c r="BF29" s="328" t="b">
        <f>IF(BE29&lt;&gt;"",IF(BE29=TRUE,TRUE,IF(BA29=FALSE,"N &gt;"&amp;$BF$16,"E &gt;"&amp;$BF$16)),"")</f>
        <v>1</v>
      </c>
      <c r="BG29" s="338" t="b">
        <f>IF(BF29&lt;&gt;"",IF(BF29=TRUE,FALSE,TRUE),"")</f>
        <v>0</v>
      </c>
      <c r="BH29" s="310"/>
      <c r="BI29" s="310"/>
      <c r="BJ29" s="310"/>
      <c r="BK29" s="310" t="e">
        <v>#N/A</v>
      </c>
      <c r="BL29" s="310" t="e">
        <v>#N/A</v>
      </c>
      <c r="BM29" s="310"/>
      <c r="BN29" s="310"/>
      <c r="BO29" s="310"/>
      <c r="BP29" s="314"/>
      <c r="BQ29" s="425"/>
      <c r="BR29" s="426"/>
      <c r="BS29" s="310"/>
      <c r="BT29" s="310"/>
      <c r="BU29" s="310"/>
      <c r="BV29" s="310"/>
      <c r="BW29" s="310" t="s">
        <v>97</v>
      </c>
      <c r="BX29" s="400">
        <f>MAX(BX27:BX28)</f>
        <v>0</v>
      </c>
      <c r="BY29" s="246" t="e">
        <f>BY25</f>
        <v>#N/A</v>
      </c>
      <c r="BZ29" s="248" t="e">
        <f>BZ25</f>
        <v>#N/A</v>
      </c>
      <c r="CA29" s="310"/>
      <c r="CB29" s="310"/>
      <c r="CC29" s="310"/>
      <c r="CD29" s="310"/>
      <c r="CE29" s="310"/>
      <c r="CF29" s="310"/>
      <c r="CG29" s="310"/>
      <c r="CH29" s="310"/>
      <c r="CI29" s="310"/>
      <c r="CJ29" s="531" t="s">
        <v>227</v>
      </c>
      <c r="CK29" s="531"/>
      <c r="CL29" s="310"/>
      <c r="CM29" s="338" t="s">
        <v>255</v>
      </c>
      <c r="CN29" s="338" t="e">
        <f>IF(BY20=TRUE,IF(AY16=TRUE,BY32,BY26)+IF(AT42=TRUE,C42,0),#N/A)</f>
        <v>#N/A</v>
      </c>
      <c r="CO29" s="338" t="e">
        <f>CO28</f>
        <v>#N/A</v>
      </c>
      <c r="CP29" s="338" t="s">
        <v>256</v>
      </c>
      <c r="CQ29" s="310"/>
      <c r="CR29" s="310"/>
      <c r="CS29" s="310"/>
      <c r="CT29" s="310"/>
      <c r="CU29" s="310"/>
      <c r="CV29" s="310"/>
      <c r="CW29" s="321">
        <f>M24-J38</f>
        <v>0</v>
      </c>
      <c r="CX29" s="310"/>
      <c r="CY29" s="310"/>
      <c r="CZ29" s="310"/>
      <c r="DA29" s="310"/>
      <c r="DB29" s="310"/>
      <c r="DC29" s="301" t="e">
        <f>DC28</f>
        <v>#N/A</v>
      </c>
      <c r="DD29" s="280" t="e">
        <f>DD26</f>
        <v>#N/A</v>
      </c>
      <c r="DE29" s="310"/>
      <c r="DF29" s="280" t="e">
        <f>DF28</f>
        <v>#N/A</v>
      </c>
      <c r="DG29" s="280" t="e">
        <f>DG24</f>
        <v>#N/A</v>
      </c>
      <c r="DH29" s="310"/>
      <c r="DI29" s="310"/>
      <c r="DJ29" s="310"/>
      <c r="DK29" s="313">
        <v>21</v>
      </c>
      <c r="DL29" s="282" t="e">
        <f t="shared" si="3"/>
        <v>#N/A</v>
      </c>
      <c r="DM29" s="291" t="e">
        <f t="shared" si="4"/>
        <v>#N/A</v>
      </c>
      <c r="DN29" s="310"/>
      <c r="DO29" s="310"/>
      <c r="DP29" s="310"/>
      <c r="DQ29" s="310"/>
      <c r="DR29" s="310"/>
      <c r="DS29" s="310"/>
      <c r="DT29" s="310">
        <f>MAX(DT27:DT28)</f>
        <v>1.9</v>
      </c>
      <c r="DU29" s="246">
        <f>DU25</f>
        <v>-0.95</v>
      </c>
      <c r="DV29" s="246">
        <f>DV25</f>
        <v>0.95</v>
      </c>
      <c r="DW29" s="310"/>
      <c r="DX29" s="310"/>
      <c r="DY29" s="310"/>
      <c r="DZ29" s="336">
        <f>DZ26</f>
        <v>-0.95</v>
      </c>
      <c r="EA29" s="336">
        <f>EA28</f>
        <v>-0.95</v>
      </c>
      <c r="EB29" s="310"/>
      <c r="EC29" s="338">
        <f>EC27</f>
        <v>1.3149999999999999</v>
      </c>
      <c r="ED29" s="338">
        <f>ED27</f>
        <v>0</v>
      </c>
      <c r="EE29" s="310"/>
      <c r="EF29" s="310"/>
      <c r="EG29" s="310"/>
      <c r="EH29" s="310"/>
      <c r="EI29" s="310"/>
      <c r="EJ29" s="310"/>
      <c r="EK29" s="310"/>
      <c r="EL29" s="310"/>
      <c r="EM29" s="310"/>
      <c r="EN29" s="310"/>
      <c r="EO29" s="310"/>
      <c r="EP29" s="310"/>
      <c r="EQ29" s="310"/>
      <c r="ER29" s="310"/>
      <c r="ES29" s="332" t="e">
        <v>#N/A</v>
      </c>
      <c r="ET29" s="332" t="e">
        <v>#N/A</v>
      </c>
      <c r="EU29" s="330"/>
      <c r="EV29" s="332" t="e">
        <v>#N/A</v>
      </c>
      <c r="EW29" s="332" t="e">
        <v>#N/A</v>
      </c>
      <c r="EX29" s="332" t="e">
        <v>#N/A</v>
      </c>
      <c r="EY29" s="332" t="e">
        <v>#N/A</v>
      </c>
      <c r="EZ29" s="346" t="e">
        <v>#N/A</v>
      </c>
      <c r="FA29" s="346" t="e">
        <v>#N/A</v>
      </c>
      <c r="FB29" s="346" t="e">
        <v>#N/A</v>
      </c>
      <c r="FC29" s="346" t="e">
        <v>#N/A</v>
      </c>
      <c r="FD29" s="258" t="e">
        <v>#N/A</v>
      </c>
      <c r="FE29" s="258" t="e">
        <v>#N/A</v>
      </c>
      <c r="FF29" s="310"/>
      <c r="FG29" s="310"/>
      <c r="FH29" s="338" t="e">
        <v>#N/A</v>
      </c>
      <c r="FI29" s="338" t="e">
        <v>#N/A</v>
      </c>
      <c r="FJ29" s="310"/>
      <c r="FK29" s="338" t="b">
        <f t="shared" si="47"/>
        <v>1</v>
      </c>
      <c r="FL29" s="318" t="b">
        <v>0</v>
      </c>
      <c r="FM29" s="328" t="b">
        <f t="shared" si="49"/>
        <v>0</v>
      </c>
      <c r="FN29" s="328" t="b">
        <f t="shared" si="48"/>
        <v>1</v>
      </c>
      <c r="FO29" s="328">
        <v>6</v>
      </c>
      <c r="FP29" s="328" t="str">
        <f t="shared" si="50"/>
        <v>6 CURSOR [ ON ]</v>
      </c>
      <c r="FQ29" s="338" t="e">
        <v>#N/A</v>
      </c>
      <c r="FR29" s="338" t="e">
        <v>#N/A</v>
      </c>
      <c r="FS29" s="338" t="e">
        <v>#N/A</v>
      </c>
      <c r="FT29" s="338" t="e">
        <v>#N/A</v>
      </c>
      <c r="FU29" s="338" t="e">
        <v>#N/A</v>
      </c>
      <c r="FV29" s="338" t="e">
        <v>#N/A</v>
      </c>
      <c r="FW29" s="338" t="e">
        <v>#N/A</v>
      </c>
      <c r="FX29" s="338" t="e">
        <v>#N/A</v>
      </c>
      <c r="FY29" s="222" t="e">
        <f>FD37</f>
        <v>#N/A</v>
      </c>
      <c r="FZ29" s="222" t="e">
        <f>FE37</f>
        <v>#N/A</v>
      </c>
      <c r="GA29" s="338" t="e">
        <v>#N/A</v>
      </c>
      <c r="GB29" s="338" t="e">
        <v>#N/A</v>
      </c>
      <c r="GC29" s="328" t="e">
        <v>#N/A</v>
      </c>
      <c r="GD29" s="328" t="e">
        <v>#N/A</v>
      </c>
      <c r="GE29" s="311" t="b">
        <f t="shared" si="53"/>
        <v>1</v>
      </c>
      <c r="GF29" s="313" t="s">
        <v>336</v>
      </c>
      <c r="GG29" s="313">
        <v>0</v>
      </c>
      <c r="GH29" s="313">
        <v>0</v>
      </c>
      <c r="GI29" s="338" t="b">
        <f t="shared" si="54"/>
        <v>0</v>
      </c>
      <c r="GJ29" s="259" t="e">
        <f t="shared" si="60"/>
        <v>#N/A</v>
      </c>
      <c r="GK29" s="259" t="e">
        <f t="shared" si="61"/>
        <v>#N/A</v>
      </c>
      <c r="GL29" s="338" t="b">
        <f t="shared" si="55"/>
        <v>0</v>
      </c>
      <c r="GM29" s="260" t="e">
        <f t="shared" si="62"/>
        <v>#N/A</v>
      </c>
      <c r="GN29" s="260" t="e">
        <f t="shared" si="63"/>
        <v>#N/A</v>
      </c>
      <c r="GO29" s="310"/>
      <c r="GP29" s="338" t="e">
        <f t="shared" si="64"/>
        <v>#N/A</v>
      </c>
      <c r="GQ29" s="338" t="e">
        <f t="shared" si="65"/>
        <v>#N/A</v>
      </c>
      <c r="GR29" s="310"/>
      <c r="GS29" s="310"/>
      <c r="GT29" s="310"/>
      <c r="GU29" s="310"/>
      <c r="GV29" s="310"/>
      <c r="GW29" s="310"/>
      <c r="GX29" s="310"/>
      <c r="GY29" s="310"/>
      <c r="GZ29" s="310"/>
      <c r="HA29" s="310"/>
      <c r="HB29" s="310"/>
      <c r="HC29" s="310"/>
      <c r="HD29" s="310"/>
      <c r="HE29" s="310"/>
      <c r="HF29" s="310"/>
      <c r="HG29" s="310"/>
      <c r="HH29" s="310"/>
      <c r="HI29" s="310"/>
      <c r="HJ29" s="310"/>
      <c r="HK29" s="342">
        <v>15</v>
      </c>
      <c r="HL29" s="235" t="e">
        <f t="shared" si="5"/>
        <v>#N/A</v>
      </c>
      <c r="HM29" s="235" t="e">
        <f t="shared" si="6"/>
        <v>#N/A</v>
      </c>
      <c r="HN29" s="310"/>
      <c r="HO29" s="310"/>
      <c r="HP29" s="235" t="e">
        <f t="shared" si="7"/>
        <v>#N/A</v>
      </c>
      <c r="HQ29" s="235" t="e">
        <f t="shared" si="8"/>
        <v>#N/A</v>
      </c>
      <c r="HR29" s="310"/>
      <c r="HS29" s="310"/>
      <c r="HT29" s="235" t="e">
        <f t="shared" si="9"/>
        <v>#N/A</v>
      </c>
      <c r="HU29" s="235" t="e">
        <f t="shared" si="10"/>
        <v>#N/A</v>
      </c>
      <c r="HV29" s="310"/>
      <c r="HW29" s="310"/>
      <c r="HX29" s="235" t="e">
        <f t="shared" si="11"/>
        <v>#N/A</v>
      </c>
      <c r="HY29" s="235" t="e">
        <f t="shared" si="12"/>
        <v>#N/A</v>
      </c>
      <c r="HZ29" s="310"/>
      <c r="IA29" s="310"/>
      <c r="IB29" s="235" t="e">
        <f t="shared" si="13"/>
        <v>#N/A</v>
      </c>
      <c r="IC29" s="235" t="e">
        <f t="shared" si="14"/>
        <v>#N/A</v>
      </c>
      <c r="ID29" s="310"/>
      <c r="IE29" s="342">
        <v>15</v>
      </c>
      <c r="IF29" s="262" t="e">
        <f t="shared" si="15"/>
        <v>#N/A</v>
      </c>
      <c r="IG29" s="262" t="e">
        <f t="shared" si="16"/>
        <v>#N/A</v>
      </c>
      <c r="IH29" s="390"/>
      <c r="II29" s="390"/>
      <c r="IJ29" s="262" t="e">
        <f t="shared" si="17"/>
        <v>#N/A</v>
      </c>
      <c r="IK29" s="262" t="e">
        <f t="shared" si="18"/>
        <v>#N/A</v>
      </c>
      <c r="IL29" s="390"/>
      <c r="IM29" s="390"/>
      <c r="IN29" s="262" t="e">
        <f t="shared" si="19"/>
        <v>#N/A</v>
      </c>
      <c r="IO29" s="262" t="e">
        <f t="shared" si="20"/>
        <v>#N/A</v>
      </c>
      <c r="IP29" s="390"/>
      <c r="IQ29" s="390"/>
      <c r="IR29" s="262" t="e">
        <f t="shared" si="21"/>
        <v>#N/A</v>
      </c>
      <c r="IS29" s="262" t="e">
        <f t="shared" si="22"/>
        <v>#N/A</v>
      </c>
      <c r="IT29" s="390"/>
      <c r="IU29" s="390"/>
      <c r="IV29" s="262" t="e">
        <f t="shared" si="23"/>
        <v>#N/A</v>
      </c>
      <c r="IW29" s="262" t="e">
        <f t="shared" si="24"/>
        <v>#N/A</v>
      </c>
      <c r="IX29" s="310"/>
      <c r="IY29" s="310"/>
      <c r="IZ29" s="310"/>
      <c r="JA29" s="310"/>
      <c r="JB29" s="313" t="s">
        <v>372</v>
      </c>
      <c r="JC29" s="236" t="e">
        <f>JC28</f>
        <v>#N/A</v>
      </c>
      <c r="JD29" s="236" t="e">
        <f>JA24+($IZ$10/2)-$IZ$9</f>
        <v>#N/A</v>
      </c>
      <c r="JE29" s="310"/>
      <c r="JF29" s="310"/>
      <c r="JG29" s="310"/>
      <c r="JH29" s="310"/>
      <c r="JI29" s="313" t="s">
        <v>372</v>
      </c>
      <c r="JJ29" s="263" t="e">
        <f>JJ28</f>
        <v>#N/A</v>
      </c>
      <c r="JK29" s="263" t="e">
        <f>JH24+($IZ$10/2)-$IZ$9</f>
        <v>#N/A</v>
      </c>
      <c r="JL29" s="310"/>
      <c r="JM29" s="310"/>
      <c r="JN29" s="261" t="e">
        <f t="shared" si="25"/>
        <v>#N/A</v>
      </c>
      <c r="JO29" s="261" t="e">
        <f t="shared" si="26"/>
        <v>#N/A</v>
      </c>
      <c r="JP29" s="310"/>
      <c r="JQ29" s="310"/>
      <c r="JR29" s="261" t="e">
        <f t="shared" si="31"/>
        <v>#N/A</v>
      </c>
      <c r="JS29" s="261" t="e">
        <f t="shared" si="32"/>
        <v>#N/A</v>
      </c>
      <c r="JT29" s="310"/>
      <c r="JU29" s="310"/>
      <c r="JV29" s="261" t="e">
        <f t="shared" si="27"/>
        <v>#N/A</v>
      </c>
      <c r="JW29" s="261" t="e">
        <f t="shared" si="28"/>
        <v>#N/A</v>
      </c>
      <c r="JX29" s="310"/>
      <c r="JY29" s="342" t="s">
        <v>353</v>
      </c>
      <c r="JZ29" s="313" t="s">
        <v>375</v>
      </c>
      <c r="KA29" s="343" t="b">
        <f>AND(AZ32=TRUE,AZ33=TRUE,AZ34=TRUE,$GY$6&gt;=$GX$14,$GY$6&lt;=$GX$20,JM11=TRUE)</f>
        <v>0</v>
      </c>
      <c r="KB29" s="313" t="s">
        <v>106</v>
      </c>
      <c r="KC29" s="263" t="e">
        <f>JZ31-($IZ$10/2)+$IZ$9</f>
        <v>#N/A</v>
      </c>
      <c r="KD29" s="263" t="e">
        <f>KA31+$IZ$10/2</f>
        <v>#N/A</v>
      </c>
      <c r="KE29" s="310"/>
      <c r="KF29" s="310"/>
      <c r="KG29" s="310"/>
      <c r="KH29" s="310"/>
      <c r="KI29" s="310"/>
      <c r="KJ29" s="310"/>
      <c r="KK29" s="310"/>
      <c r="KL29" s="310"/>
      <c r="KM29" s="310"/>
      <c r="KN29" s="242" t="e">
        <f>KN28</f>
        <v>#N/A</v>
      </c>
      <c r="KO29" s="242" t="e">
        <f>IF(KR10=TRUE,OO57,#N/A)</f>
        <v>#N/A</v>
      </c>
      <c r="KP29" s="328"/>
      <c r="KQ29" s="328"/>
      <c r="KR29" s="328"/>
      <c r="KS29" s="257" t="e">
        <f>IF(KW10=TRUE,ON57,#N/A)</f>
        <v>#N/A</v>
      </c>
      <c r="KT29" s="257" t="e">
        <f>KT28</f>
        <v>#N/A</v>
      </c>
      <c r="KU29" s="338"/>
      <c r="KV29" s="328"/>
      <c r="KW29" s="338"/>
      <c r="KX29" s="310"/>
      <c r="KY29" s="310"/>
      <c r="KZ29" s="310"/>
      <c r="LA29" s="310"/>
      <c r="LB29" s="310"/>
      <c r="LC29" s="310"/>
      <c r="LD29" s="310"/>
      <c r="LE29" s="310"/>
      <c r="LF29" s="310"/>
      <c r="LG29" s="310"/>
      <c r="LH29" s="391">
        <f>ON51</f>
        <v>1.2999999999999998</v>
      </c>
      <c r="LI29" s="391" t="e">
        <f>LI28</f>
        <v>#N/A</v>
      </c>
      <c r="LJ29" s="338" t="e">
        <v>#N/A</v>
      </c>
      <c r="LK29" s="338" t="e">
        <v>#N/A</v>
      </c>
      <c r="LL29" s="391"/>
      <c r="LM29" s="310"/>
      <c r="LN29" s="310"/>
      <c r="LO29" s="338">
        <f>ON52</f>
        <v>1.2999999999999998</v>
      </c>
      <c r="LP29" s="338">
        <f>LP28</f>
        <v>-5.0000000000000044E-2</v>
      </c>
      <c r="LQ29" s="338" t="e">
        <v>#N/A</v>
      </c>
      <c r="LR29" s="338" t="e">
        <v>#N/A</v>
      </c>
      <c r="LS29" s="391"/>
      <c r="LT29" s="310"/>
      <c r="LU29" s="310"/>
      <c r="LV29" s="338">
        <f>LV28</f>
        <v>2.1999999999999997</v>
      </c>
      <c r="LW29" s="338" t="e">
        <f>OO54</f>
        <v>#N/A</v>
      </c>
      <c r="LX29" s="338" t="e">
        <v>#N/A</v>
      </c>
      <c r="LY29" s="338" t="e">
        <v>#N/A</v>
      </c>
      <c r="LZ29" s="391"/>
      <c r="MA29" s="310"/>
      <c r="MB29" s="310"/>
      <c r="MC29" s="338">
        <f>MC28</f>
        <v>0.29999999999999982</v>
      </c>
      <c r="MD29" s="338">
        <f>OO49</f>
        <v>-0.95</v>
      </c>
      <c r="ME29" s="338" t="e">
        <v>#N/A</v>
      </c>
      <c r="MF29" s="338" t="e">
        <v>#N/A</v>
      </c>
      <c r="MG29" s="391"/>
      <c r="MH29" s="310"/>
      <c r="MI29" s="310"/>
      <c r="MJ29" s="242" t="e">
        <v>#N/A</v>
      </c>
      <c r="MK29" s="242" t="e">
        <v>#N/A</v>
      </c>
      <c r="ML29" s="242" t="e">
        <v>#N/A</v>
      </c>
      <c r="MM29" s="242" t="e">
        <v>#N/A</v>
      </c>
      <c r="MN29" s="391"/>
      <c r="MO29" s="310"/>
      <c r="MP29" s="311" t="e">
        <v>#N/A</v>
      </c>
      <c r="MQ29" s="311" t="e">
        <v>#N/A</v>
      </c>
      <c r="MR29" s="311"/>
      <c r="MS29" s="311"/>
      <c r="MT29" s="310" t="s">
        <v>90</v>
      </c>
      <c r="MU29" s="310" t="b">
        <f>IF(CP13=TRUE,BL9,FALSE)</f>
        <v>0</v>
      </c>
      <c r="MV29" s="310"/>
      <c r="MW29" s="310" t="s">
        <v>480</v>
      </c>
      <c r="MX29" s="310"/>
      <c r="MY29" s="310"/>
      <c r="MZ29" s="310" t="s">
        <v>482</v>
      </c>
      <c r="NA29" s="310">
        <f>AU57</f>
        <v>0.02</v>
      </c>
      <c r="NB29" s="310"/>
      <c r="NC29" s="310"/>
      <c r="ND29" s="310"/>
      <c r="NE29" s="310"/>
      <c r="NF29" s="310"/>
      <c r="NG29" s="310"/>
      <c r="NH29" s="310"/>
      <c r="NI29" s="310"/>
      <c r="NJ29" s="310"/>
      <c r="NK29" s="310"/>
      <c r="NL29" s="310"/>
      <c r="NM29" s="310"/>
      <c r="NN29" s="310"/>
      <c r="NO29" s="338" t="str">
        <v>P2</v>
      </c>
      <c r="NP29" s="427">
        <f t="shared" ref="NP29:NP32" si="68">IF(AND($CP$13=TRUE,$CU$11=TRUE),H27+J27,#N/A)</f>
        <v>0</v>
      </c>
      <c r="NQ29" s="310"/>
      <c r="NR29" s="310"/>
      <c r="NS29" s="310"/>
      <c r="NT29" s="310"/>
      <c r="NU29" s="310"/>
      <c r="NV29" s="310"/>
      <c r="NW29" s="310"/>
      <c r="NX29" s="310"/>
      <c r="NY29" s="310"/>
      <c r="NZ29" s="310"/>
      <c r="OA29" s="310"/>
      <c r="OB29" s="310"/>
      <c r="OC29" s="310"/>
      <c r="OD29" s="310"/>
      <c r="OE29" s="310"/>
      <c r="OF29" s="310"/>
      <c r="OG29" s="310"/>
      <c r="OH29" s="310"/>
      <c r="OI29" s="310"/>
      <c r="OJ29" s="310"/>
      <c r="OK29" s="310"/>
      <c r="OL29" s="310"/>
      <c r="OM29" s="228" t="e">
        <f>IF(ON21=TRUE,OM14-ON13/4,#N/A)</f>
        <v>#N/A</v>
      </c>
      <c r="ON29" s="228" t="e">
        <f>ON24</f>
        <v>#N/A</v>
      </c>
      <c r="OO29" s="230" t="e">
        <f>OM40+(OM41-OM40)/2</f>
        <v>#N/A</v>
      </c>
      <c r="OP29" s="230" t="e">
        <f>ON40</f>
        <v>#N/A</v>
      </c>
      <c r="OQ29" s="410" t="e">
        <f>OM41-OM40</f>
        <v>#N/A</v>
      </c>
      <c r="OR29" s="310"/>
      <c r="OS29" s="310"/>
      <c r="OT29" s="310"/>
      <c r="OU29" s="280" t="e">
        <f>IF(OV8=TRUE,M11+MIN(O12:O13)/2,#N/A)</f>
        <v>#N/A</v>
      </c>
      <c r="OV29" s="280" t="e">
        <f>OV25</f>
        <v>#N/A</v>
      </c>
      <c r="OW29" s="310">
        <f>AU57*9</f>
        <v>0.18</v>
      </c>
      <c r="OX29" s="280" t="e">
        <f>OX28+OW29</f>
        <v>#N/A</v>
      </c>
      <c r="OY29" s="280" t="e">
        <f>OY28</f>
        <v>#N/A</v>
      </c>
      <c r="OZ29" s="310"/>
      <c r="PA29" s="338"/>
      <c r="PB29" s="338"/>
      <c r="PC29" s="310"/>
      <c r="PD29" s="310"/>
      <c r="PE29" s="313">
        <v>15</v>
      </c>
      <c r="PF29" s="318" t="b">
        <f t="shared" si="33"/>
        <v>0</v>
      </c>
      <c r="PG29" s="283" t="e">
        <f t="shared" si="34"/>
        <v>#N/A</v>
      </c>
      <c r="PH29" s="283" t="e">
        <f t="shared" si="35"/>
        <v>#N/A</v>
      </c>
      <c r="PI29" s="295" t="e">
        <f t="shared" si="36"/>
        <v>#N/A</v>
      </c>
      <c r="PJ29" s="310"/>
      <c r="PK29" s="310"/>
      <c r="PL29" s="310"/>
      <c r="PM29" s="310"/>
      <c r="PN29" s="328" t="e">
        <v>#N/A</v>
      </c>
      <c r="PO29" s="328" t="e">
        <v>#N/A</v>
      </c>
      <c r="PP29" s="328" t="e">
        <v>#N/A</v>
      </c>
      <c r="PQ29" s="310"/>
      <c r="PR29" s="310"/>
      <c r="PS29" s="342">
        <v>15</v>
      </c>
      <c r="PT29" s="261" t="e">
        <f t="shared" si="29"/>
        <v>#N/A</v>
      </c>
      <c r="PU29" s="261" t="e">
        <f t="shared" si="30"/>
        <v>#N/A</v>
      </c>
      <c r="PV29" s="310"/>
      <c r="PW29" s="310"/>
      <c r="PX29" s="310"/>
      <c r="PY29" s="400"/>
      <c r="PZ29" s="424" t="s">
        <v>493</v>
      </c>
      <c r="QA29" s="338" t="e">
        <f>QA21</f>
        <v>#N/A</v>
      </c>
      <c r="QB29" s="683"/>
      <c r="QC29" s="683"/>
      <c r="QD29" s="683"/>
      <c r="QE29" s="683"/>
      <c r="QF29" s="683"/>
      <c r="QG29" s="683"/>
      <c r="QH29" s="683"/>
      <c r="QI29" s="310"/>
      <c r="QJ29" s="310"/>
      <c r="QK29" s="400"/>
      <c r="QL29" s="424" t="s">
        <v>500</v>
      </c>
      <c r="QM29" s="338" t="e">
        <f>QN21</f>
        <v>#N/A</v>
      </c>
      <c r="QN29" s="683"/>
      <c r="QO29" s="683"/>
      <c r="QP29" s="683"/>
      <c r="QQ29" s="531"/>
      <c r="QR29" s="683"/>
      <c r="QS29" s="683"/>
      <c r="QT29" s="683"/>
      <c r="QU29" s="310"/>
      <c r="QV29" s="310"/>
      <c r="QW29" s="310"/>
      <c r="QX29" s="310"/>
      <c r="QY29" s="310"/>
      <c r="QZ29" s="310"/>
      <c r="RA29" s="310"/>
      <c r="RB29" s="310"/>
      <c r="RC29" s="310"/>
      <c r="RD29" s="310"/>
      <c r="RE29" s="310"/>
      <c r="RF29" s="310"/>
      <c r="RG29" s="310"/>
      <c r="RH29" s="310"/>
      <c r="RI29" s="310"/>
      <c r="RJ29" s="310"/>
      <c r="RK29" s="310"/>
      <c r="RL29" s="310"/>
      <c r="RM29" s="310"/>
      <c r="RN29" s="310"/>
      <c r="RO29" s="310"/>
      <c r="RP29" s="310"/>
      <c r="RQ29" s="310"/>
      <c r="RR29" s="310"/>
      <c r="RS29" s="310"/>
      <c r="RT29" s="310"/>
      <c r="RU29" s="310"/>
      <c r="RV29" s="310"/>
      <c r="RW29" s="310"/>
      <c r="RX29" s="328" t="s">
        <v>106</v>
      </c>
      <c r="RY29" s="338" t="e">
        <f>IF(AND(SB29=TRUE,SA29=FALSE),R26,#N/A)</f>
        <v>#N/A</v>
      </c>
      <c r="RZ29" s="338" t="e">
        <f>IF(AND(SB29=TRUE,SA29=FALSE),Q26,#N/A)</f>
        <v>#N/A</v>
      </c>
      <c r="SA29" s="338" t="b">
        <f>CO17</f>
        <v>1</v>
      </c>
      <c r="SB29" s="338" t="b">
        <f>IF(AND(Q26="",R26=""),FALSE,TRUE)</f>
        <v>1</v>
      </c>
      <c r="SC29" s="310" t="b">
        <f>IF(BM7=TRUE,IF(SA29=TRUE,FALSE,TRUE),FALSE)</f>
        <v>0</v>
      </c>
      <c r="SD29" s="310"/>
      <c r="SE29" s="310"/>
      <c r="SF29" s="513" t="e">
        <f>SF28+0.25</f>
        <v>#N/A</v>
      </c>
      <c r="SG29" s="513" t="e">
        <f>SG28+0.25</f>
        <v>#N/A</v>
      </c>
      <c r="SH29" s="310"/>
      <c r="SI29" s="310"/>
      <c r="SJ29" s="310"/>
      <c r="SK29" s="310"/>
      <c r="SL29" s="310"/>
      <c r="SM29" s="310"/>
      <c r="SN29" s="310"/>
      <c r="SO29" s="220"/>
      <c r="SP29" s="220"/>
      <c r="SQ29" s="220"/>
      <c r="SR29" s="220"/>
      <c r="SS29" s="220"/>
      <c r="ST29" s="220"/>
      <c r="SU29" s="220"/>
      <c r="SV29" s="220"/>
      <c r="SW29" s="220"/>
      <c r="SX29" s="220"/>
      <c r="SY29" s="220"/>
      <c r="SZ29" s="220"/>
      <c r="TA29" s="220"/>
      <c r="TB29" s="220"/>
      <c r="TC29" s="220"/>
      <c r="TD29" s="220"/>
      <c r="TE29" s="220"/>
      <c r="TF29" s="220"/>
      <c r="TG29" s="220"/>
      <c r="TH29" s="220"/>
      <c r="TI29" s="220"/>
      <c r="TJ29" s="220"/>
      <c r="TK29" s="220"/>
      <c r="TL29" s="220"/>
      <c r="TM29" s="220"/>
      <c r="TN29" s="220"/>
      <c r="TO29" s="220"/>
      <c r="TP29" s="220"/>
      <c r="TQ29" s="220"/>
      <c r="TR29" s="220"/>
      <c r="TS29" s="220"/>
      <c r="TT29" s="220"/>
      <c r="TU29" s="220"/>
      <c r="TV29" s="220"/>
      <c r="TW29" s="220"/>
      <c r="TX29" s="220"/>
      <c r="TY29" s="220"/>
      <c r="TZ29" s="220"/>
      <c r="UA29" s="220"/>
      <c r="UB29" s="220"/>
      <c r="UC29" s="220"/>
      <c r="UD29" s="220"/>
      <c r="UE29" s="220"/>
      <c r="UF29" s="220"/>
      <c r="UG29" s="220"/>
      <c r="UH29" s="220"/>
      <c r="UI29" s="220"/>
      <c r="UJ29" s="220"/>
      <c r="UK29" s="216"/>
      <c r="UL29" s="216"/>
      <c r="UM29" s="216"/>
      <c r="UN29" s="216"/>
      <c r="UO29" s="216"/>
      <c r="UP29" s="216"/>
      <c r="UQ29" s="216"/>
      <c r="UR29" s="216"/>
      <c r="US29" s="216"/>
      <c r="UT29" s="216"/>
      <c r="UU29" s="216"/>
      <c r="UV29" s="216"/>
      <c r="UW29" s="216"/>
      <c r="UX29" s="216"/>
      <c r="UY29" s="216"/>
      <c r="UZ29" s="216"/>
      <c r="VA29" s="216"/>
    </row>
    <row r="30" spans="1:574" s="4" customFormat="1" ht="15" customHeight="1" x14ac:dyDescent="0.45">
      <c r="A30" s="51"/>
      <c r="B30" s="51"/>
      <c r="C30" s="52"/>
      <c r="D30" s="52"/>
      <c r="E30" s="52"/>
      <c r="F30" s="52"/>
      <c r="G30" s="60" t="str">
        <f>IF(CP13=TRUE,IF(BM11=TRUE,IF(H23&lt;&gt;"",H23,G23),""),"")</f>
        <v>P5</v>
      </c>
      <c r="H30" s="555">
        <f>IF(BM11=TRUE,IF(Q30&lt;&gt;"",IF(BP24=TRUE,J23+Q30,Q30),""),"")</f>
        <v>0</v>
      </c>
      <c r="I30" s="555"/>
      <c r="J30" s="539">
        <f>IF(BM11=TRUE,IF(R30&lt;&gt;"",IF(BP24=TRUE,M23+R30,R30),""),"")</f>
        <v>0</v>
      </c>
      <c r="K30" s="540"/>
      <c r="L30" s="61">
        <f>IF(BM11=TRUE,IF(H30&lt;&gt;"",J23-H30,""),"")</f>
        <v>0</v>
      </c>
      <c r="M30" s="556">
        <f>IF(BM11=TRUE,IF(J30&lt;&gt;"",M23-J30,""),"")</f>
        <v>0</v>
      </c>
      <c r="N30" s="556"/>
      <c r="O30" s="62" t="str">
        <f>IF(L30="","",IF(BM11=TRUE,IF(BE29&lt;&gt;"",IF(BF29=TRUE,"PASS",BF29),""),""))</f>
        <v>PASS</v>
      </c>
      <c r="P30" s="510" t="str">
        <f t="shared" si="66"/>
        <v>P5 &gt;&gt;</v>
      </c>
      <c r="Q30" s="208">
        <v>0</v>
      </c>
      <c r="R30" s="209">
        <v>0</v>
      </c>
      <c r="S30" s="50"/>
      <c r="T30" s="50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5"/>
      <c r="AM30" s="45"/>
      <c r="AN30" s="45"/>
      <c r="AO30" s="45"/>
      <c r="AP30" s="310"/>
      <c r="AQ30" s="310"/>
      <c r="AR30" s="310"/>
      <c r="AS30" s="310"/>
      <c r="AT30" s="310"/>
      <c r="AU30" s="310"/>
      <c r="AV30" s="310"/>
      <c r="AW30" s="310"/>
      <c r="AX30" s="310"/>
      <c r="AY30" s="310"/>
      <c r="AZ30" s="310"/>
      <c r="BA30" s="310"/>
      <c r="BB30" s="310"/>
      <c r="BC30" s="310"/>
      <c r="BD30" s="310"/>
      <c r="BE30" s="310"/>
      <c r="BF30" s="310"/>
      <c r="BG30" s="310"/>
      <c r="BH30" s="310"/>
      <c r="BI30" s="310"/>
      <c r="BJ30" s="310"/>
      <c r="BK30" s="310">
        <f>IF(AY16=TRUE,0,#N/A)</f>
        <v>0</v>
      </c>
      <c r="BL30" s="310">
        <f>IF(AY16=TRUE,0,#N/A)</f>
        <v>0</v>
      </c>
      <c r="BM30" s="310"/>
      <c r="BN30" s="310"/>
      <c r="BO30" s="310"/>
      <c r="BP30" s="314"/>
      <c r="BQ30" s="425"/>
      <c r="BR30" s="426"/>
      <c r="BS30" s="310"/>
      <c r="BT30" s="310"/>
      <c r="BU30" s="310"/>
      <c r="BV30" s="310"/>
      <c r="BW30" s="310"/>
      <c r="BX30" s="400"/>
      <c r="BY30" s="247" t="e">
        <v>#N/A</v>
      </c>
      <c r="BZ30" s="247" t="e">
        <v>#N/A</v>
      </c>
      <c r="CA30" s="310"/>
      <c r="CB30" s="310"/>
      <c r="CC30" s="310"/>
      <c r="CD30" s="310"/>
      <c r="CE30" s="310"/>
      <c r="CF30" s="310"/>
      <c r="CG30" s="310"/>
      <c r="CH30" s="310"/>
      <c r="CI30" s="310"/>
      <c r="CJ30" s="328" t="s">
        <v>48</v>
      </c>
      <c r="CK30" s="328" t="s">
        <v>49</v>
      </c>
      <c r="CL30" s="310"/>
      <c r="CM30" s="338" t="s">
        <v>255</v>
      </c>
      <c r="CN30" s="338" t="e">
        <f>CN29</f>
        <v>#N/A</v>
      </c>
      <c r="CO30" s="338" t="e">
        <f>IF(BY20=TRUE,IF(AY16=TRUE,BZ33,BZ27)-IF(AT40=TRUE,C41,0),#N/A)</f>
        <v>#N/A</v>
      </c>
      <c r="CP30" s="338" t="s">
        <v>257</v>
      </c>
      <c r="CQ30" s="310"/>
      <c r="CR30" s="310"/>
      <c r="CS30" s="310"/>
      <c r="CT30" s="310"/>
      <c r="CU30" s="310"/>
      <c r="CV30" s="310"/>
      <c r="CW30" s="310"/>
      <c r="CX30" s="310"/>
      <c r="CY30" s="310"/>
      <c r="CZ30" s="310"/>
      <c r="DA30" s="310"/>
      <c r="DB30" s="310"/>
      <c r="DC30" s="310"/>
      <c r="DD30" s="310"/>
      <c r="DE30" s="310"/>
      <c r="DF30" s="310"/>
      <c r="DG30" s="310"/>
      <c r="DH30" s="310"/>
      <c r="DI30" s="310"/>
      <c r="DJ30" s="310"/>
      <c r="DK30" s="313">
        <v>22</v>
      </c>
      <c r="DL30" s="282" t="e">
        <f t="shared" si="3"/>
        <v>#N/A</v>
      </c>
      <c r="DM30" s="291" t="e">
        <f t="shared" si="4"/>
        <v>#N/A</v>
      </c>
      <c r="DN30" s="310"/>
      <c r="DO30" s="310"/>
      <c r="DP30" s="310"/>
      <c r="DQ30" s="310"/>
      <c r="DR30" s="310"/>
      <c r="DS30" s="310"/>
      <c r="DT30" s="310"/>
      <c r="DU30" s="310"/>
      <c r="DV30" s="310"/>
      <c r="DW30" s="310"/>
      <c r="DX30" s="310" t="s">
        <v>99</v>
      </c>
      <c r="DY30" s="310"/>
      <c r="DZ30" s="336">
        <f>DZ26</f>
        <v>-0.95</v>
      </c>
      <c r="EA30" s="336">
        <f>EA26</f>
        <v>0.95</v>
      </c>
      <c r="EB30" s="310"/>
      <c r="EC30" s="338">
        <f>EC29</f>
        <v>1.3149999999999999</v>
      </c>
      <c r="ED30" s="336">
        <f>ED17</f>
        <v>-0.95</v>
      </c>
      <c r="EE30" s="310"/>
      <c r="EF30" s="310"/>
      <c r="EG30" s="310"/>
      <c r="EH30" s="310"/>
      <c r="EI30" s="310"/>
      <c r="EJ30" s="310"/>
      <c r="EK30" s="310"/>
      <c r="EL30" s="310"/>
      <c r="EM30" s="310"/>
      <c r="EN30" s="310"/>
      <c r="EO30" s="310"/>
      <c r="EP30" s="310"/>
      <c r="EQ30" s="310"/>
      <c r="ER30" s="310"/>
      <c r="ES30" s="332" t="e">
        <v>#N/A</v>
      </c>
      <c r="ET30" s="332" t="e">
        <v>#N/A</v>
      </c>
      <c r="EU30" s="406" t="s">
        <v>149</v>
      </c>
      <c r="EV30" s="332" t="e">
        <f t="shared" ref="EV30:FC30" si="69">EV28</f>
        <v>#N/A</v>
      </c>
      <c r="EW30" s="332" t="e">
        <f t="shared" si="69"/>
        <v>#N/A</v>
      </c>
      <c r="EX30" s="332" t="e">
        <f t="shared" si="69"/>
        <v>#N/A</v>
      </c>
      <c r="EY30" s="332" t="e">
        <f t="shared" si="69"/>
        <v>#N/A</v>
      </c>
      <c r="EZ30" s="346" t="e">
        <f t="shared" si="69"/>
        <v>#N/A</v>
      </c>
      <c r="FA30" s="346" t="e">
        <f t="shared" si="69"/>
        <v>#N/A</v>
      </c>
      <c r="FB30" s="346" t="e">
        <f t="shared" si="69"/>
        <v>#N/A</v>
      </c>
      <c r="FC30" s="346" t="e">
        <f t="shared" si="69"/>
        <v>#N/A</v>
      </c>
      <c r="FD30" s="258" t="e">
        <v>#N/A</v>
      </c>
      <c r="FE30" s="258" t="e">
        <v>#N/A</v>
      </c>
      <c r="FF30" s="310"/>
      <c r="FG30" s="310"/>
      <c r="FH30" s="338" t="e">
        <v>#N/A</v>
      </c>
      <c r="FI30" s="338" t="e">
        <v>#N/A</v>
      </c>
      <c r="FJ30" s="310"/>
      <c r="FK30" s="338" t="b">
        <f t="shared" si="47"/>
        <v>0</v>
      </c>
      <c r="FL30" s="318" t="b">
        <v>0</v>
      </c>
      <c r="FM30" s="328" t="b">
        <f t="shared" si="49"/>
        <v>0</v>
      </c>
      <c r="FN30" s="328" t="b">
        <f t="shared" si="48"/>
        <v>0</v>
      </c>
      <c r="FO30" s="328">
        <v>7</v>
      </c>
      <c r="FP30" s="328" t="str">
        <f t="shared" si="50"/>
        <v>7 CURSOR [ ON ]</v>
      </c>
      <c r="FQ30" s="338" t="e">
        <v>#N/A</v>
      </c>
      <c r="FR30" s="338" t="e">
        <v>#N/A</v>
      </c>
      <c r="FS30" s="338" t="e">
        <v>#N/A</v>
      </c>
      <c r="FT30" s="338" t="e">
        <v>#N/A</v>
      </c>
      <c r="FU30" s="338" t="e">
        <v>#N/A</v>
      </c>
      <c r="FV30" s="338" t="e">
        <v>#N/A</v>
      </c>
      <c r="FW30" s="338" t="e">
        <v>#N/A</v>
      </c>
      <c r="FX30" s="338" t="e">
        <v>#N/A</v>
      </c>
      <c r="FY30" s="222" t="e">
        <f>FD40</f>
        <v>#N/A</v>
      </c>
      <c r="FZ30" s="222" t="e">
        <f>FE40</f>
        <v>#N/A</v>
      </c>
      <c r="GA30" s="338" t="e">
        <v>#N/A</v>
      </c>
      <c r="GB30" s="338" t="e">
        <v>#N/A</v>
      </c>
      <c r="GC30" s="328" t="e">
        <v>#N/A</v>
      </c>
      <c r="GD30" s="328" t="e">
        <v>#N/A</v>
      </c>
      <c r="GE30" s="311" t="b">
        <f t="shared" si="53"/>
        <v>1</v>
      </c>
      <c r="GF30" s="313" t="s">
        <v>337</v>
      </c>
      <c r="GG30" s="313">
        <v>0</v>
      </c>
      <c r="GH30" s="313">
        <v>0</v>
      </c>
      <c r="GI30" s="338" t="b">
        <f t="shared" si="54"/>
        <v>0</v>
      </c>
      <c r="GJ30" s="259" t="e">
        <f t="shared" si="60"/>
        <v>#N/A</v>
      </c>
      <c r="GK30" s="259" t="e">
        <f t="shared" si="61"/>
        <v>#N/A</v>
      </c>
      <c r="GL30" s="338" t="b">
        <f t="shared" si="55"/>
        <v>0</v>
      </c>
      <c r="GM30" s="260" t="e">
        <f t="shared" si="62"/>
        <v>#N/A</v>
      </c>
      <c r="GN30" s="260" t="e">
        <f t="shared" si="63"/>
        <v>#N/A</v>
      </c>
      <c r="GO30" s="310"/>
      <c r="GP30" s="338" t="e">
        <f t="shared" si="64"/>
        <v>#N/A</v>
      </c>
      <c r="GQ30" s="338" t="e">
        <f t="shared" si="65"/>
        <v>#N/A</v>
      </c>
      <c r="GR30" s="310"/>
      <c r="GS30" s="310"/>
      <c r="GT30" s="310"/>
      <c r="GU30" s="310"/>
      <c r="GV30" s="310"/>
      <c r="GW30" s="310"/>
      <c r="GX30" s="310"/>
      <c r="GY30" s="310"/>
      <c r="GZ30" s="310"/>
      <c r="HA30" s="310"/>
      <c r="HB30" s="310"/>
      <c r="HC30" s="310"/>
      <c r="HD30" s="310"/>
      <c r="HE30" s="310"/>
      <c r="HF30" s="310"/>
      <c r="HG30" s="310"/>
      <c r="HH30" s="310"/>
      <c r="HI30" s="310"/>
      <c r="HJ30" s="310"/>
      <c r="HK30" s="342">
        <v>16</v>
      </c>
      <c r="HL30" s="235" t="e">
        <f t="shared" si="5"/>
        <v>#N/A</v>
      </c>
      <c r="HM30" s="235" t="e">
        <f t="shared" si="6"/>
        <v>#N/A</v>
      </c>
      <c r="HN30" s="310"/>
      <c r="HO30" s="310"/>
      <c r="HP30" s="235" t="e">
        <f t="shared" si="7"/>
        <v>#N/A</v>
      </c>
      <c r="HQ30" s="235" t="e">
        <f t="shared" si="8"/>
        <v>#N/A</v>
      </c>
      <c r="HR30" s="310"/>
      <c r="HS30" s="310"/>
      <c r="HT30" s="235" t="e">
        <f t="shared" si="9"/>
        <v>#N/A</v>
      </c>
      <c r="HU30" s="235" t="e">
        <f t="shared" si="10"/>
        <v>#N/A</v>
      </c>
      <c r="HV30" s="310"/>
      <c r="HW30" s="310"/>
      <c r="HX30" s="235" t="e">
        <f t="shared" si="11"/>
        <v>#N/A</v>
      </c>
      <c r="HY30" s="235" t="e">
        <f t="shared" si="12"/>
        <v>#N/A</v>
      </c>
      <c r="HZ30" s="310"/>
      <c r="IA30" s="310"/>
      <c r="IB30" s="235" t="e">
        <f t="shared" si="13"/>
        <v>#N/A</v>
      </c>
      <c r="IC30" s="235" t="e">
        <f t="shared" si="14"/>
        <v>#N/A</v>
      </c>
      <c r="ID30" s="310"/>
      <c r="IE30" s="342">
        <v>16</v>
      </c>
      <c r="IF30" s="262" t="e">
        <f t="shared" si="15"/>
        <v>#N/A</v>
      </c>
      <c r="IG30" s="262" t="e">
        <f t="shared" si="16"/>
        <v>#N/A</v>
      </c>
      <c r="IH30" s="390"/>
      <c r="II30" s="390"/>
      <c r="IJ30" s="262" t="e">
        <f t="shared" si="17"/>
        <v>#N/A</v>
      </c>
      <c r="IK30" s="262" t="e">
        <f t="shared" si="18"/>
        <v>#N/A</v>
      </c>
      <c r="IL30" s="390"/>
      <c r="IM30" s="390"/>
      <c r="IN30" s="262" t="e">
        <f t="shared" si="19"/>
        <v>#N/A</v>
      </c>
      <c r="IO30" s="262" t="e">
        <f t="shared" si="20"/>
        <v>#N/A</v>
      </c>
      <c r="IP30" s="390"/>
      <c r="IQ30" s="390"/>
      <c r="IR30" s="262" t="e">
        <f t="shared" si="21"/>
        <v>#N/A</v>
      </c>
      <c r="IS30" s="262" t="e">
        <f t="shared" si="22"/>
        <v>#N/A</v>
      </c>
      <c r="IT30" s="390"/>
      <c r="IU30" s="390"/>
      <c r="IV30" s="262" t="e">
        <f t="shared" si="23"/>
        <v>#N/A</v>
      </c>
      <c r="IW30" s="262" t="e">
        <f t="shared" si="24"/>
        <v>#N/A</v>
      </c>
      <c r="IX30" s="310"/>
      <c r="IY30" s="310"/>
      <c r="IZ30" s="310"/>
      <c r="JA30" s="310"/>
      <c r="JB30" s="313" t="s">
        <v>373</v>
      </c>
      <c r="JC30" s="236" t="e">
        <f>JC22</f>
        <v>#N/A</v>
      </c>
      <c r="JD30" s="236" t="e">
        <f>JD22</f>
        <v>#N/A</v>
      </c>
      <c r="JE30" s="310"/>
      <c r="JF30" s="310"/>
      <c r="JG30" s="310"/>
      <c r="JH30" s="310"/>
      <c r="JI30" s="313" t="s">
        <v>373</v>
      </c>
      <c r="JJ30" s="263" t="e">
        <f>JJ22</f>
        <v>#N/A</v>
      </c>
      <c r="JK30" s="263" t="e">
        <f>JK22</f>
        <v>#N/A</v>
      </c>
      <c r="JL30" s="310"/>
      <c r="JM30" s="310"/>
      <c r="JN30" s="261" t="e">
        <f t="shared" si="25"/>
        <v>#N/A</v>
      </c>
      <c r="JO30" s="261" t="e">
        <f t="shared" si="26"/>
        <v>#N/A</v>
      </c>
      <c r="JP30" s="310"/>
      <c r="JQ30" s="310"/>
      <c r="JR30" s="261" t="e">
        <f t="shared" si="31"/>
        <v>#N/A</v>
      </c>
      <c r="JS30" s="261" t="e">
        <f t="shared" si="32"/>
        <v>#N/A</v>
      </c>
      <c r="JT30" s="310"/>
      <c r="JU30" s="310"/>
      <c r="JV30" s="261" t="e">
        <f t="shared" si="27"/>
        <v>#N/A</v>
      </c>
      <c r="JW30" s="261" t="e">
        <f t="shared" si="28"/>
        <v>#N/A</v>
      </c>
      <c r="JX30" s="310"/>
      <c r="JY30" s="342" t="s">
        <v>355</v>
      </c>
      <c r="JZ30" s="342" t="s">
        <v>48</v>
      </c>
      <c r="KA30" s="353" t="s">
        <v>49</v>
      </c>
      <c r="KB30" s="313" t="s">
        <v>144</v>
      </c>
      <c r="KC30" s="263" t="e">
        <f>JZ31+($IZ$10/2)-$IZ$9</f>
        <v>#N/A</v>
      </c>
      <c r="KD30" s="263" t="e">
        <f>KD29</f>
        <v>#N/A</v>
      </c>
      <c r="KE30" s="310"/>
      <c r="KF30" s="310"/>
      <c r="KG30" s="310"/>
      <c r="KH30" s="310"/>
      <c r="KI30" s="310"/>
      <c r="KJ30" s="310"/>
      <c r="KK30" s="310"/>
      <c r="KL30" s="310"/>
      <c r="KM30" s="310"/>
      <c r="KN30" s="267" t="e">
        <v>#N/A</v>
      </c>
      <c r="KO30" s="267" t="e">
        <v>#N/A</v>
      </c>
      <c r="KP30" s="328"/>
      <c r="KQ30" s="328"/>
      <c r="KR30" s="328"/>
      <c r="KS30" s="267" t="e">
        <v>#N/A</v>
      </c>
      <c r="KT30" s="267" t="e">
        <v>#N/A</v>
      </c>
      <c r="KU30" s="338"/>
      <c r="KV30" s="328"/>
      <c r="KW30" s="338"/>
      <c r="KX30" s="310"/>
      <c r="KY30" s="310"/>
      <c r="KZ30" s="310"/>
      <c r="LA30" s="338"/>
      <c r="LB30" s="328" t="s">
        <v>468</v>
      </c>
      <c r="LC30" s="328" t="s">
        <v>467</v>
      </c>
      <c r="LD30" s="328" t="s">
        <v>466</v>
      </c>
      <c r="LE30" s="310"/>
      <c r="LF30" s="310"/>
      <c r="LG30" s="310"/>
      <c r="LH30" s="391">
        <f>LH29</f>
        <v>1.2999999999999998</v>
      </c>
      <c r="LI30" s="391" t="e">
        <f>LI27</f>
        <v>#N/A</v>
      </c>
      <c r="LJ30" s="338" t="e">
        <v>#N/A</v>
      </c>
      <c r="LK30" s="338" t="e">
        <v>#N/A</v>
      </c>
      <c r="LL30" s="391"/>
      <c r="LM30" s="310"/>
      <c r="LN30" s="310"/>
      <c r="LO30" s="338">
        <f>LO29</f>
        <v>1.2999999999999998</v>
      </c>
      <c r="LP30" s="338">
        <f>OO52+LO7</f>
        <v>-0.89999999999999991</v>
      </c>
      <c r="LQ30" s="338" t="e">
        <v>#N/A</v>
      </c>
      <c r="LR30" s="338" t="e">
        <v>#N/A</v>
      </c>
      <c r="LS30" s="391"/>
      <c r="LT30" s="310"/>
      <c r="LU30" s="310"/>
      <c r="LV30" s="338">
        <f>LV27</f>
        <v>1.3499999999999999</v>
      </c>
      <c r="LW30" s="338" t="e">
        <f>LW29</f>
        <v>#N/A</v>
      </c>
      <c r="LX30" s="338" t="e">
        <v>#N/A</v>
      </c>
      <c r="LY30" s="338" t="e">
        <v>#N/A</v>
      </c>
      <c r="LZ30" s="391"/>
      <c r="MA30" s="310"/>
      <c r="MB30" s="310"/>
      <c r="MC30" s="338">
        <f>MC27</f>
        <v>1.1999999999999997</v>
      </c>
      <c r="MD30" s="338">
        <f>MD29</f>
        <v>-0.95</v>
      </c>
      <c r="ME30" s="338" t="e">
        <v>#N/A</v>
      </c>
      <c r="MF30" s="338" t="e">
        <v>#N/A</v>
      </c>
      <c r="MG30" s="391"/>
      <c r="MH30" s="310"/>
      <c r="MI30" s="310"/>
      <c r="MJ30" s="242" t="e">
        <v>#N/A</v>
      </c>
      <c r="MK30" s="242" t="e">
        <v>#N/A</v>
      </c>
      <c r="ML30" s="242" t="e">
        <v>#N/A</v>
      </c>
      <c r="MM30" s="242" t="e">
        <v>#N/A</v>
      </c>
      <c r="MN30" s="391"/>
      <c r="MO30" s="310"/>
      <c r="MP30" s="311" t="e">
        <v>#N/A</v>
      </c>
      <c r="MQ30" s="311" t="e">
        <v>#N/A</v>
      </c>
      <c r="MR30" s="311"/>
      <c r="MS30" s="311"/>
      <c r="MT30" s="328" t="s">
        <v>48</v>
      </c>
      <c r="MU30" s="328" t="s">
        <v>49</v>
      </c>
      <c r="MV30" s="310"/>
      <c r="MW30" s="328" t="s">
        <v>48</v>
      </c>
      <c r="MX30" s="328" t="s">
        <v>49</v>
      </c>
      <c r="MY30" s="310"/>
      <c r="MZ30" s="310" t="s">
        <v>481</v>
      </c>
      <c r="NA30" s="310">
        <f>F50/100</f>
        <v>7.4999999999999997E-2</v>
      </c>
      <c r="NB30" s="310"/>
      <c r="NC30" s="310"/>
      <c r="ND30" s="310"/>
      <c r="NE30" s="310"/>
      <c r="NF30" s="310"/>
      <c r="NG30" s="310"/>
      <c r="NH30" s="310"/>
      <c r="NI30" s="310"/>
      <c r="NJ30" s="310"/>
      <c r="NK30" s="310"/>
      <c r="NL30" s="310"/>
      <c r="NM30" s="310"/>
      <c r="NN30" s="310"/>
      <c r="NO30" s="338" t="str">
        <v>P3</v>
      </c>
      <c r="NP30" s="305">
        <f t="shared" si="68"/>
        <v>0</v>
      </c>
      <c r="NQ30" s="310"/>
      <c r="NR30" s="310"/>
      <c r="NS30" s="310"/>
      <c r="NT30" s="310"/>
      <c r="NU30" s="310"/>
      <c r="NV30" s="310"/>
      <c r="NW30" s="310"/>
      <c r="NX30" s="310"/>
      <c r="NY30" s="310"/>
      <c r="NZ30" s="310"/>
      <c r="OA30" s="310"/>
      <c r="OB30" s="310"/>
      <c r="OC30" s="310"/>
      <c r="OD30" s="310"/>
      <c r="OE30" s="310"/>
      <c r="OF30" s="310"/>
      <c r="OG30" s="310"/>
      <c r="OH30" s="310"/>
      <c r="OI30" s="310"/>
      <c r="OJ30" s="310"/>
      <c r="OK30" s="310"/>
      <c r="OL30" s="310"/>
      <c r="OM30" s="228" t="e">
        <f>OM29</f>
        <v>#N/A</v>
      </c>
      <c r="ON30" s="228" t="e">
        <f>IF(ON20=TRUE,OM11,#N/A)</f>
        <v>#N/A</v>
      </c>
      <c r="OO30" s="230" t="e">
        <f>OM43+(OM44-OM43)/2</f>
        <v>#N/A</v>
      </c>
      <c r="OP30" s="230" t="e">
        <f>OP29</f>
        <v>#N/A</v>
      </c>
      <c r="OQ30" s="410" t="e">
        <f>OM44-OM43</f>
        <v>#N/A</v>
      </c>
      <c r="OR30" s="310"/>
      <c r="OS30" s="310"/>
      <c r="OT30" s="310"/>
      <c r="OU30" s="280" t="e">
        <f>OU29</f>
        <v>#N/A</v>
      </c>
      <c r="OV30" s="280" t="e">
        <f>OV26</f>
        <v>#N/A</v>
      </c>
      <c r="OW30" s="310">
        <f>AU57</f>
        <v>0.02</v>
      </c>
      <c r="OX30" s="280" t="e">
        <v>#N/A</v>
      </c>
      <c r="OY30" s="280" t="e">
        <v>#N/A</v>
      </c>
      <c r="OZ30" s="310"/>
      <c r="PA30" s="338"/>
      <c r="PB30" s="338"/>
      <c r="PC30" s="310"/>
      <c r="PD30" s="310"/>
      <c r="PE30" s="313">
        <v>16</v>
      </c>
      <c r="PF30" s="318" t="b">
        <f t="shared" si="33"/>
        <v>0</v>
      </c>
      <c r="PG30" s="283" t="e">
        <f t="shared" si="34"/>
        <v>#N/A</v>
      </c>
      <c r="PH30" s="283" t="e">
        <f t="shared" si="35"/>
        <v>#N/A</v>
      </c>
      <c r="PI30" s="295" t="e">
        <f t="shared" si="36"/>
        <v>#N/A</v>
      </c>
      <c r="PJ30" s="310"/>
      <c r="PK30" s="310"/>
      <c r="PL30" s="310"/>
      <c r="PM30" s="310"/>
      <c r="PN30" s="328" t="e">
        <v>#N/A</v>
      </c>
      <c r="PO30" s="328" t="e">
        <v>#N/A</v>
      </c>
      <c r="PP30" s="328" t="e">
        <v>#N/A</v>
      </c>
      <c r="PQ30" s="310"/>
      <c r="PR30" s="310"/>
      <c r="PS30" s="342">
        <v>16</v>
      </c>
      <c r="PT30" s="261" t="e">
        <f t="shared" si="29"/>
        <v>#N/A</v>
      </c>
      <c r="PU30" s="261" t="e">
        <f t="shared" si="30"/>
        <v>#N/A</v>
      </c>
      <c r="PV30" s="310"/>
      <c r="PW30" s="310"/>
      <c r="PX30" s="310"/>
      <c r="PY30" s="400"/>
      <c r="PZ30" s="310"/>
      <c r="QA30" s="310" t="s">
        <v>494</v>
      </c>
      <c r="QB30" s="310"/>
      <c r="QC30" s="310"/>
      <c r="QD30" s="310"/>
      <c r="QE30" s="310"/>
      <c r="QF30" s="310"/>
      <c r="QG30" s="310"/>
      <c r="QH30" s="422"/>
      <c r="QI30" s="310"/>
      <c r="QJ30" s="310"/>
      <c r="QK30" s="400"/>
      <c r="QL30" s="310"/>
      <c r="QM30" s="310"/>
      <c r="QN30" s="310"/>
      <c r="QO30" s="310"/>
      <c r="QP30" s="310"/>
      <c r="QQ30" s="310"/>
      <c r="QR30" s="310"/>
      <c r="QS30" s="310"/>
      <c r="QT30" s="422"/>
      <c r="QU30" s="310"/>
      <c r="QV30" s="310"/>
      <c r="QW30" s="310"/>
      <c r="QX30" s="310"/>
      <c r="QY30" s="310"/>
      <c r="QZ30" s="310"/>
      <c r="RA30" s="310"/>
      <c r="RB30" s="310"/>
      <c r="RC30" s="310"/>
      <c r="RD30" s="310"/>
      <c r="RE30" s="310"/>
      <c r="RF30" s="310"/>
      <c r="RG30" s="310"/>
      <c r="RH30" s="310"/>
      <c r="RI30" s="310"/>
      <c r="RJ30" s="310"/>
      <c r="RK30" s="310"/>
      <c r="RL30" s="310"/>
      <c r="RM30" s="310"/>
      <c r="RN30" s="310"/>
      <c r="RO30" s="310"/>
      <c r="RP30" s="310"/>
      <c r="RQ30" s="310"/>
      <c r="RR30" s="310"/>
      <c r="RS30" s="310"/>
      <c r="RT30" s="310"/>
      <c r="RU30" s="310"/>
      <c r="RV30" s="310"/>
      <c r="RW30" s="310"/>
      <c r="RX30" s="328" t="s">
        <v>144</v>
      </c>
      <c r="RY30" s="338">
        <f t="shared" ref="RY30:RY33" si="70">IF(AND(SB30=TRUE,SA30=FALSE),R27,#N/A)</f>
        <v>-0.65</v>
      </c>
      <c r="RZ30" s="338">
        <f t="shared" ref="RZ30:RZ33" si="71">IF(AND(SB30=TRUE,SA30=FALSE),Q27,#N/A)</f>
        <v>0.65</v>
      </c>
      <c r="SA30" s="338" t="b">
        <f t="shared" ref="SA30:SA33" si="72">CO18</f>
        <v>0</v>
      </c>
      <c r="SB30" s="338" t="b">
        <f t="shared" ref="SB30:SB33" si="73">IF(AND(Q27="",R27=""),FALSE,TRUE)</f>
        <v>1</v>
      </c>
      <c r="SC30" s="310" t="b">
        <f>IF(BM8=TRUE,IF(SA30=TRUE,FALSE,TRUE),FALSE)</f>
        <v>1</v>
      </c>
      <c r="SD30" s="310"/>
      <c r="SE30" s="310"/>
      <c r="SF30" s="513" t="e">
        <f>SF29+0.25</f>
        <v>#N/A</v>
      </c>
      <c r="SG30" s="513" t="e">
        <f>SG29</f>
        <v>#N/A</v>
      </c>
      <c r="SH30" s="247" t="e">
        <f>SF30-0.1</f>
        <v>#N/A</v>
      </c>
      <c r="SI30" s="247" t="e">
        <f>SG30</f>
        <v>#N/A</v>
      </c>
      <c r="SJ30" s="310" t="b">
        <v>0</v>
      </c>
      <c r="SK30" s="310"/>
      <c r="SL30" s="310"/>
      <c r="SM30" s="310"/>
      <c r="SN30" s="310"/>
      <c r="SO30" s="220"/>
      <c r="SP30" s="220"/>
      <c r="SQ30" s="220"/>
      <c r="SR30" s="220"/>
      <c r="SS30" s="220"/>
      <c r="ST30" s="220"/>
      <c r="SU30" s="220"/>
      <c r="SV30" s="220"/>
      <c r="SW30" s="220"/>
      <c r="SX30" s="220"/>
      <c r="SY30" s="220"/>
      <c r="SZ30" s="220"/>
      <c r="TA30" s="220"/>
      <c r="TB30" s="220"/>
      <c r="TC30" s="220"/>
      <c r="TD30" s="220"/>
      <c r="TE30" s="220"/>
      <c r="TF30" s="220"/>
      <c r="TG30" s="220"/>
      <c r="TH30" s="220"/>
      <c r="TI30" s="220"/>
      <c r="TJ30" s="220"/>
      <c r="TK30" s="220"/>
      <c r="TL30" s="220"/>
      <c r="TM30" s="220"/>
      <c r="TN30" s="220"/>
      <c r="TO30" s="220"/>
      <c r="TP30" s="220"/>
      <c r="TQ30" s="220"/>
      <c r="TR30" s="220"/>
      <c r="TS30" s="220"/>
      <c r="TT30" s="220"/>
      <c r="TU30" s="220"/>
      <c r="TV30" s="220"/>
      <c r="TW30" s="220"/>
      <c r="TX30" s="220"/>
      <c r="TY30" s="220"/>
      <c r="TZ30" s="220"/>
      <c r="UA30" s="220"/>
      <c r="UB30" s="220"/>
      <c r="UC30" s="220"/>
      <c r="UD30" s="220"/>
      <c r="UE30" s="220"/>
      <c r="UF30" s="220"/>
      <c r="UG30" s="220"/>
      <c r="UH30" s="220"/>
      <c r="UI30" s="220"/>
      <c r="UJ30" s="220"/>
      <c r="UK30" s="216"/>
      <c r="UL30" s="216"/>
      <c r="UM30" s="216"/>
      <c r="UN30" s="216"/>
      <c r="UO30" s="216"/>
      <c r="UP30" s="216"/>
      <c r="UQ30" s="216"/>
      <c r="UR30" s="216"/>
      <c r="US30" s="216"/>
      <c r="UT30" s="216"/>
      <c r="UU30" s="216"/>
      <c r="UV30" s="216"/>
      <c r="UW30" s="216"/>
      <c r="UX30" s="216"/>
      <c r="UY30" s="216"/>
      <c r="UZ30" s="216"/>
      <c r="VA30" s="216"/>
    </row>
    <row r="31" spans="1:574" s="4" customFormat="1" ht="15" customHeight="1" x14ac:dyDescent="0.45">
      <c r="A31" s="51"/>
      <c r="B31" s="51"/>
      <c r="C31" s="52"/>
      <c r="D31" s="52"/>
      <c r="E31" s="52"/>
      <c r="F31" s="52"/>
      <c r="G31" s="199" t="s">
        <v>325</v>
      </c>
      <c r="H31" s="726">
        <f>IF(JM11=TRUE,IF(Q33&lt;&gt;"",Q33,""),"")</f>
        <v>0.65</v>
      </c>
      <c r="I31" s="726"/>
      <c r="J31" s="630">
        <f>IF(JM11=TRUE,IF(R33&lt;&gt;"",R33,""),"")</f>
        <v>-1</v>
      </c>
      <c r="K31" s="630"/>
      <c r="L31" s="27"/>
      <c r="M31" s="631"/>
      <c r="N31" s="631"/>
      <c r="O31" s="58"/>
      <c r="P31" s="50"/>
      <c r="Q31" s="550" t="s">
        <v>214</v>
      </c>
      <c r="R31" s="551"/>
      <c r="S31" s="50"/>
      <c r="T31" s="50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5"/>
      <c r="AM31" s="45"/>
      <c r="AN31" s="45"/>
      <c r="AO31" s="45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 t="s">
        <v>408</v>
      </c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>
        <f>IF(AY16=TRUE,1,#N/A)</f>
        <v>1</v>
      </c>
      <c r="BL31" s="310">
        <f>IF(AY16=TRUE,0,#N/A)</f>
        <v>0</v>
      </c>
      <c r="BM31" s="310"/>
      <c r="BN31" s="310"/>
      <c r="BO31" s="310"/>
      <c r="BP31" s="314"/>
      <c r="BQ31" s="425"/>
      <c r="BR31" s="426"/>
      <c r="BS31" s="310"/>
      <c r="BT31" s="310"/>
      <c r="BU31" s="310"/>
      <c r="BV31" s="310"/>
      <c r="BW31" s="310"/>
      <c r="BX31" s="400"/>
      <c r="BY31" s="246" t="e">
        <f>BY50-J16</f>
        <v>#N/A</v>
      </c>
      <c r="BZ31" s="248" t="e">
        <f>BZ50+J16</f>
        <v>#N/A</v>
      </c>
      <c r="CA31" s="310"/>
      <c r="CB31" s="310"/>
      <c r="CC31" s="310"/>
      <c r="CD31" s="310"/>
      <c r="CE31" s="310"/>
      <c r="CF31" s="310"/>
      <c r="CG31" s="310"/>
      <c r="CH31" s="310" t="s">
        <v>226</v>
      </c>
      <c r="CI31" s="310"/>
      <c r="CJ31" s="257" t="e">
        <f>IF(AND(CK27=TRUE,CK28=TRUE),CK21-$BT$7/2,#N/A)</f>
        <v>#N/A</v>
      </c>
      <c r="CK31" s="257" t="e">
        <f>IF(AND(CK27=TRUE,CK28=TRUE),CL21+$BT$7/2,#N/A)</f>
        <v>#N/A</v>
      </c>
      <c r="CL31" s="310"/>
      <c r="CM31" s="338" t="s">
        <v>254</v>
      </c>
      <c r="CN31" s="338" t="e">
        <f>CN28</f>
        <v>#N/A</v>
      </c>
      <c r="CO31" s="338" t="e">
        <f>CO30</f>
        <v>#N/A</v>
      </c>
      <c r="CP31" s="338" t="s">
        <v>257</v>
      </c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38" t="s">
        <v>283</v>
      </c>
      <c r="DD31" s="338"/>
      <c r="DE31" s="310"/>
      <c r="DF31" s="338" t="s">
        <v>283</v>
      </c>
      <c r="DG31" s="338"/>
      <c r="DH31" s="310"/>
      <c r="DI31" s="310"/>
      <c r="DJ31" s="310"/>
      <c r="DK31" s="313">
        <v>23</v>
      </c>
      <c r="DL31" s="282" t="e">
        <f t="shared" si="3"/>
        <v>#N/A</v>
      </c>
      <c r="DM31" s="291" t="e">
        <f t="shared" si="4"/>
        <v>#N/A</v>
      </c>
      <c r="DN31" s="310"/>
      <c r="DO31" s="310"/>
      <c r="DP31" s="310"/>
      <c r="DQ31" s="310"/>
      <c r="DR31" s="310"/>
      <c r="DS31" s="310"/>
      <c r="DT31" s="310" t="s">
        <v>101</v>
      </c>
      <c r="DU31" s="340">
        <f>IF(J36=0,#N/A,J36)</f>
        <v>0.18571428571428572</v>
      </c>
      <c r="DV31" s="341" t="e">
        <f>IF(J38=0,#N/A,J38)</f>
        <v>#N/A</v>
      </c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32" t="e">
        <v>#N/A</v>
      </c>
      <c r="ET31" s="332" t="e">
        <v>#N/A</v>
      </c>
      <c r="EU31" s="406" t="s">
        <v>152</v>
      </c>
      <c r="EV31" s="332" t="e">
        <f>EV30-(EV10/SQRT(3))</f>
        <v>#N/A</v>
      </c>
      <c r="EW31" s="428" t="e">
        <f>EW21-EV10</f>
        <v>#N/A</v>
      </c>
      <c r="EX31" s="332" t="e">
        <f>EV30</f>
        <v>#N/A</v>
      </c>
      <c r="EY31" s="332" t="e">
        <f>EY24</f>
        <v>#N/A</v>
      </c>
      <c r="EZ31" s="346" t="e">
        <f>EZ30+EV10</f>
        <v>#N/A</v>
      </c>
      <c r="FA31" s="346" t="e">
        <f>FA21+((2/3)*(EV10/SQRT(3)))</f>
        <v>#N/A</v>
      </c>
      <c r="FB31" s="346" t="e">
        <f>FB24</f>
        <v>#N/A</v>
      </c>
      <c r="FC31" s="346" t="e">
        <f>FC20+(EV10/SQRT(3))+(1*EV10/SQRT(3))</f>
        <v>#N/A</v>
      </c>
      <c r="FD31" s="258" t="e">
        <v>#N/A</v>
      </c>
      <c r="FE31" s="258" t="e">
        <v>#N/A</v>
      </c>
      <c r="FF31" s="310"/>
      <c r="FG31" s="310"/>
      <c r="FH31" s="310"/>
      <c r="FI31" s="310"/>
      <c r="FJ31" s="310"/>
      <c r="FK31" s="338" t="b">
        <f t="shared" si="47"/>
        <v>0</v>
      </c>
      <c r="FL31" s="318" t="b">
        <v>0</v>
      </c>
      <c r="FM31" s="328" t="b">
        <f t="shared" si="49"/>
        <v>0</v>
      </c>
      <c r="FN31" s="328" t="b">
        <f>IF(AND(FM31=FALSE,FK31=TRUE),TRUE,FALSE)</f>
        <v>0</v>
      </c>
      <c r="FO31" s="328">
        <v>8</v>
      </c>
      <c r="FP31" s="328" t="str">
        <f t="shared" si="50"/>
        <v>8 CURSOR [ ON ]</v>
      </c>
      <c r="FQ31" s="328"/>
      <c r="FR31" s="328"/>
      <c r="FS31" s="328"/>
      <c r="FT31" s="328"/>
      <c r="FU31" s="338"/>
      <c r="FV31" s="338"/>
      <c r="FW31" s="338"/>
      <c r="FX31" s="338"/>
      <c r="FY31" s="222"/>
      <c r="FZ31" s="222"/>
      <c r="GA31" s="338" t="e">
        <v>#N/A</v>
      </c>
      <c r="GB31" s="338" t="e">
        <v>#N/A</v>
      </c>
      <c r="GC31" s="328" t="e">
        <v>#N/A</v>
      </c>
      <c r="GD31" s="328" t="e">
        <v>#N/A</v>
      </c>
      <c r="GE31" s="311"/>
      <c r="GF31" s="310"/>
      <c r="GG31" s="310"/>
      <c r="GH31" s="310"/>
      <c r="GI31" s="310"/>
      <c r="GJ31" s="310"/>
      <c r="GK31" s="310"/>
      <c r="GL31" s="310"/>
      <c r="GM31" s="310"/>
      <c r="GN31" s="310"/>
      <c r="GO31" s="310"/>
      <c r="GP31" s="310"/>
      <c r="GQ31" s="310"/>
      <c r="GR31" s="310"/>
      <c r="GS31" s="310"/>
      <c r="GT31" s="310"/>
      <c r="GU31" s="310"/>
      <c r="GV31" s="310"/>
      <c r="GW31" s="310"/>
      <c r="GX31" s="310"/>
      <c r="GY31" s="310"/>
      <c r="GZ31" s="310"/>
      <c r="HA31" s="310"/>
      <c r="HB31" s="310"/>
      <c r="HC31" s="310"/>
      <c r="HD31" s="310"/>
      <c r="HE31" s="310"/>
      <c r="HF31" s="310"/>
      <c r="HG31" s="310"/>
      <c r="HH31" s="310"/>
      <c r="HI31" s="310"/>
      <c r="HJ31" s="310"/>
      <c r="HK31" s="342">
        <v>17</v>
      </c>
      <c r="HL31" s="235" t="e">
        <f t="shared" si="5"/>
        <v>#N/A</v>
      </c>
      <c r="HM31" s="235" t="e">
        <f t="shared" si="6"/>
        <v>#N/A</v>
      </c>
      <c r="HN31" s="310"/>
      <c r="HO31" s="310"/>
      <c r="HP31" s="235" t="e">
        <f t="shared" si="7"/>
        <v>#N/A</v>
      </c>
      <c r="HQ31" s="235" t="e">
        <f t="shared" si="8"/>
        <v>#N/A</v>
      </c>
      <c r="HR31" s="310"/>
      <c r="HS31" s="310"/>
      <c r="HT31" s="235" t="e">
        <f t="shared" si="9"/>
        <v>#N/A</v>
      </c>
      <c r="HU31" s="235" t="e">
        <f t="shared" si="10"/>
        <v>#N/A</v>
      </c>
      <c r="HV31" s="310"/>
      <c r="HW31" s="310"/>
      <c r="HX31" s="235" t="e">
        <f t="shared" si="11"/>
        <v>#N/A</v>
      </c>
      <c r="HY31" s="235" t="e">
        <f t="shared" si="12"/>
        <v>#N/A</v>
      </c>
      <c r="HZ31" s="310"/>
      <c r="IA31" s="310"/>
      <c r="IB31" s="235" t="e">
        <f t="shared" si="13"/>
        <v>#N/A</v>
      </c>
      <c r="IC31" s="235" t="e">
        <f t="shared" si="14"/>
        <v>#N/A</v>
      </c>
      <c r="ID31" s="310"/>
      <c r="IE31" s="342">
        <v>17</v>
      </c>
      <c r="IF31" s="262" t="e">
        <f t="shared" si="15"/>
        <v>#N/A</v>
      </c>
      <c r="IG31" s="262" t="e">
        <f t="shared" si="16"/>
        <v>#N/A</v>
      </c>
      <c r="IH31" s="390"/>
      <c r="II31" s="390"/>
      <c r="IJ31" s="262" t="e">
        <f t="shared" si="17"/>
        <v>#N/A</v>
      </c>
      <c r="IK31" s="262" t="e">
        <f t="shared" si="18"/>
        <v>#N/A</v>
      </c>
      <c r="IL31" s="390"/>
      <c r="IM31" s="390"/>
      <c r="IN31" s="262" t="e">
        <f t="shared" si="19"/>
        <v>#N/A</v>
      </c>
      <c r="IO31" s="262" t="e">
        <f t="shared" si="20"/>
        <v>#N/A</v>
      </c>
      <c r="IP31" s="390"/>
      <c r="IQ31" s="390"/>
      <c r="IR31" s="262" t="e">
        <f t="shared" si="21"/>
        <v>#N/A</v>
      </c>
      <c r="IS31" s="262" t="e">
        <f t="shared" si="22"/>
        <v>#N/A</v>
      </c>
      <c r="IT31" s="390"/>
      <c r="IU31" s="390"/>
      <c r="IV31" s="262" t="e">
        <f t="shared" si="23"/>
        <v>#N/A</v>
      </c>
      <c r="IW31" s="262" t="e">
        <f t="shared" si="24"/>
        <v>#N/A</v>
      </c>
      <c r="IX31" s="310"/>
      <c r="IY31" s="310"/>
      <c r="IZ31" s="310"/>
      <c r="JA31" s="310"/>
      <c r="JB31" s="338"/>
      <c r="JC31" s="228" t="e">
        <v>#N/A</v>
      </c>
      <c r="JD31" s="228" t="e">
        <v>#N/A</v>
      </c>
      <c r="JE31" s="310"/>
      <c r="JF31" s="310"/>
      <c r="JG31" s="310"/>
      <c r="JH31" s="310"/>
      <c r="JI31" s="338"/>
      <c r="JJ31" s="264" t="e">
        <v>#N/A</v>
      </c>
      <c r="JK31" s="264" t="e">
        <v>#N/A</v>
      </c>
      <c r="JL31" s="310"/>
      <c r="JM31" s="310"/>
      <c r="JN31" s="261" t="e">
        <f t="shared" si="25"/>
        <v>#N/A</v>
      </c>
      <c r="JO31" s="261" t="e">
        <f t="shared" si="26"/>
        <v>#N/A</v>
      </c>
      <c r="JP31" s="310"/>
      <c r="JQ31" s="310"/>
      <c r="JR31" s="261" t="e">
        <f t="shared" si="31"/>
        <v>#N/A</v>
      </c>
      <c r="JS31" s="261" t="e">
        <f t="shared" si="32"/>
        <v>#N/A</v>
      </c>
      <c r="JT31" s="310"/>
      <c r="JU31" s="310"/>
      <c r="JV31" s="261" t="e">
        <f t="shared" si="27"/>
        <v>#N/A</v>
      </c>
      <c r="JW31" s="261" t="e">
        <f t="shared" si="28"/>
        <v>#N/A</v>
      </c>
      <c r="JX31" s="310"/>
      <c r="JY31" s="313" t="s">
        <v>72</v>
      </c>
      <c r="JZ31" s="362" t="e">
        <f>IF(KA29=TRUE,$J$33,#N/A)</f>
        <v>#N/A</v>
      </c>
      <c r="KA31" s="363" t="e">
        <f>IF(KA29=TRUE,$H$33,#N/A)</f>
        <v>#N/A</v>
      </c>
      <c r="KB31" s="313" t="s">
        <v>149</v>
      </c>
      <c r="KC31" s="263" t="e">
        <f>JZ31+($IZ$10/2)</f>
        <v>#N/A</v>
      </c>
      <c r="KD31" s="263" t="e">
        <f>KA31+($IZ$10/2)-$IZ$9</f>
        <v>#N/A</v>
      </c>
      <c r="KE31" s="310"/>
      <c r="KF31" s="310"/>
      <c r="KG31" s="310"/>
      <c r="KH31" s="310"/>
      <c r="KI31" s="310"/>
      <c r="KJ31" s="310"/>
      <c r="KK31" s="310"/>
      <c r="KL31" s="310"/>
      <c r="KM31" s="310"/>
      <c r="KN31" s="242" t="e">
        <f>KN29</f>
        <v>#N/A</v>
      </c>
      <c r="KO31" s="242" t="e">
        <f>KO29</f>
        <v>#N/A</v>
      </c>
      <c r="KP31" s="328"/>
      <c r="KQ31" s="328"/>
      <c r="KR31" s="328"/>
      <c r="KS31" s="257" t="e">
        <f>KS29</f>
        <v>#N/A</v>
      </c>
      <c r="KT31" s="257" t="e">
        <f>KT29</f>
        <v>#N/A</v>
      </c>
      <c r="KU31" s="338"/>
      <c r="KV31" s="328"/>
      <c r="KW31" s="338"/>
      <c r="KX31" s="310"/>
      <c r="KY31" s="310"/>
      <c r="KZ31" s="310"/>
      <c r="LA31" s="412" t="str">
        <f>G26</f>
        <v>P1</v>
      </c>
      <c r="LB31" s="429" t="e">
        <f>IF(AND(CP13=TRUE,CU11=TRUE,BL9=TRUE),SQRT(($M$11-J26)^2+($M$10-H26)^2)-(0.5*O12),#N/A)</f>
        <v>#N/A</v>
      </c>
      <c r="LC31" s="306" t="e">
        <f>IF(CP13=TRUE,IF(LB31=MAX($LB$31:$LB$33,$LB$35:$LB$37),TRUE,FALSE),#N/A)</f>
        <v>#N/A</v>
      </c>
      <c r="LD31" s="430" t="e">
        <f>IF(AND(CP13=TRUE,CU11=TRUE),(M44*LB31),#N/A)</f>
        <v>#N/A</v>
      </c>
      <c r="LE31" s="310"/>
      <c r="LF31" s="310"/>
      <c r="LG31" s="310"/>
      <c r="LH31" s="347" t="e">
        <v>#N/A</v>
      </c>
      <c r="LI31" s="347" t="e">
        <v>#N/A</v>
      </c>
      <c r="LJ31" s="338" t="e">
        <v>#N/A</v>
      </c>
      <c r="LK31" s="338" t="e">
        <v>#N/A</v>
      </c>
      <c r="LL31" s="391"/>
      <c r="LM31" s="310"/>
      <c r="LN31" s="310"/>
      <c r="LO31" s="347" t="e">
        <v>#N/A</v>
      </c>
      <c r="LP31" s="347" t="e">
        <v>#N/A</v>
      </c>
      <c r="LQ31" s="338" t="e">
        <v>#N/A</v>
      </c>
      <c r="LR31" s="338" t="e">
        <v>#N/A</v>
      </c>
      <c r="LS31" s="391"/>
      <c r="LT31" s="310"/>
      <c r="LU31" s="310"/>
      <c r="LV31" s="347" t="e">
        <v>#N/A</v>
      </c>
      <c r="LW31" s="347" t="e">
        <v>#N/A</v>
      </c>
      <c r="LX31" s="338" t="e">
        <v>#N/A</v>
      </c>
      <c r="LY31" s="338" t="e">
        <v>#N/A</v>
      </c>
      <c r="LZ31" s="391"/>
      <c r="MA31" s="310"/>
      <c r="MB31" s="310"/>
      <c r="MC31" s="347" t="e">
        <v>#N/A</v>
      </c>
      <c r="MD31" s="347" t="e">
        <v>#N/A</v>
      </c>
      <c r="ME31" s="338" t="e">
        <v>#N/A</v>
      </c>
      <c r="MF31" s="338" t="e">
        <v>#N/A</v>
      </c>
      <c r="MG31" s="391"/>
      <c r="MH31" s="310"/>
      <c r="MI31" s="310"/>
      <c r="MJ31" s="242" t="e">
        <v>#N/A</v>
      </c>
      <c r="MK31" s="242" t="e">
        <v>#N/A</v>
      </c>
      <c r="ML31" s="242" t="e">
        <v>#N/A</v>
      </c>
      <c r="MM31" s="242" t="e">
        <v>#N/A</v>
      </c>
      <c r="MN31" s="391"/>
      <c r="MO31" s="310"/>
      <c r="MP31" s="311" t="e">
        <v>#N/A</v>
      </c>
      <c r="MQ31" s="311" t="e">
        <v>#N/A</v>
      </c>
      <c r="MR31" s="311"/>
      <c r="MS31" s="311"/>
      <c r="MT31" s="296" t="e">
        <f>IF(MU29=TRUE,MZ27,#N/A)</f>
        <v>#N/A</v>
      </c>
      <c r="MU31" s="296" t="e">
        <f>IF(MU29=TRUE,MX8,#N/A)</f>
        <v>#N/A</v>
      </c>
      <c r="MV31" s="310"/>
      <c r="MW31" s="280" t="e">
        <f>IF($MU$29=TRUE,$MU$17-$BT$7/2,#N/A)</f>
        <v>#N/A</v>
      </c>
      <c r="MX31" s="280" t="e">
        <f>IF($MU$29=TRUE,-0.3,#N/A)</f>
        <v>#N/A</v>
      </c>
      <c r="MY31" s="310"/>
      <c r="MZ31" s="310" t="s">
        <v>268</v>
      </c>
      <c r="NA31" s="431" t="e">
        <f>MT33-MT32-NA30*2</f>
        <v>#N/A</v>
      </c>
      <c r="NB31" s="310"/>
      <c r="NC31" s="310"/>
      <c r="ND31" s="310"/>
      <c r="NE31" s="310"/>
      <c r="NF31" s="310"/>
      <c r="NG31" s="310"/>
      <c r="NH31" s="310"/>
      <c r="NI31" s="310"/>
      <c r="NJ31" s="310"/>
      <c r="NK31" s="310"/>
      <c r="NL31" s="310"/>
      <c r="NM31" s="310"/>
      <c r="NN31" s="310"/>
      <c r="NO31" s="338" t="str">
        <v>P4</v>
      </c>
      <c r="NP31" s="308">
        <f t="shared" si="68"/>
        <v>1.3</v>
      </c>
      <c r="NQ31" s="310"/>
      <c r="NR31" s="310"/>
      <c r="NS31" s="310"/>
      <c r="NT31" s="310"/>
      <c r="NU31" s="310"/>
      <c r="NV31" s="310"/>
      <c r="NW31" s="310"/>
      <c r="NX31" s="310"/>
      <c r="NY31" s="310"/>
      <c r="NZ31" s="310"/>
      <c r="OA31" s="310"/>
      <c r="OB31" s="310"/>
      <c r="OC31" s="310"/>
      <c r="OD31" s="310"/>
      <c r="OE31" s="310"/>
      <c r="OF31" s="310"/>
      <c r="OG31" s="310"/>
      <c r="OH31" s="310"/>
      <c r="OI31" s="310"/>
      <c r="OJ31" s="310"/>
      <c r="OK31" s="310"/>
      <c r="OL31" s="310"/>
      <c r="OM31" s="228" t="e">
        <v>#N/A</v>
      </c>
      <c r="ON31" s="228" t="e">
        <v>#N/A</v>
      </c>
      <c r="OO31" s="310"/>
      <c r="OP31" s="310"/>
      <c r="OQ31" s="310"/>
      <c r="OR31" s="310"/>
      <c r="OS31" s="310"/>
      <c r="OT31" s="310"/>
      <c r="OU31" s="310"/>
      <c r="OV31" s="310"/>
      <c r="OW31" s="310"/>
      <c r="OX31" s="280" t="e">
        <f>OX26</f>
        <v>#N/A</v>
      </c>
      <c r="OY31" s="280" t="e">
        <f>OY26</f>
        <v>#N/A</v>
      </c>
      <c r="OZ31" s="310"/>
      <c r="PA31" s="338"/>
      <c r="PB31" s="338"/>
      <c r="PC31" s="310"/>
      <c r="PD31" s="310"/>
      <c r="PE31" s="313">
        <v>17</v>
      </c>
      <c r="PF31" s="318" t="b">
        <f t="shared" si="33"/>
        <v>0</v>
      </c>
      <c r="PG31" s="283" t="e">
        <f t="shared" si="34"/>
        <v>#N/A</v>
      </c>
      <c r="PH31" s="283" t="e">
        <f t="shared" si="35"/>
        <v>#N/A</v>
      </c>
      <c r="PI31" s="295" t="e">
        <f t="shared" si="36"/>
        <v>#N/A</v>
      </c>
      <c r="PJ31" s="310"/>
      <c r="PK31" s="310"/>
      <c r="PL31" s="310"/>
      <c r="PM31" s="310"/>
      <c r="PN31" s="310"/>
      <c r="PO31" s="310"/>
      <c r="PP31" s="310"/>
      <c r="PQ31" s="310"/>
      <c r="PR31" s="310"/>
      <c r="PS31" s="342">
        <v>17</v>
      </c>
      <c r="PT31" s="261" t="e">
        <f t="shared" si="29"/>
        <v>#N/A</v>
      </c>
      <c r="PU31" s="261" t="e">
        <f t="shared" si="30"/>
        <v>#N/A</v>
      </c>
      <c r="PV31" s="310"/>
      <c r="PW31" s="310"/>
      <c r="PX31" s="310"/>
      <c r="PY31" s="400"/>
      <c r="PZ31" s="424" t="s">
        <v>492</v>
      </c>
      <c r="QA31" s="338">
        <f>IF(J27&lt;&gt;"",J27,#N/A)</f>
        <v>-0.65</v>
      </c>
      <c r="QB31" s="531" t="e">
        <f>IF(QA31&gt;QA32,M45,"NOT GOVERNING")</f>
        <v>#N/A</v>
      </c>
      <c r="QC31" s="683"/>
      <c r="QD31" s="531" t="e">
        <f>IF(PZ20=TRUE,(QB24-QB25)*100,#N/A)</f>
        <v>#N/A</v>
      </c>
      <c r="QE31" s="531" t="e">
        <f>IF(PZ20=TRUE,C51,#N/A)</f>
        <v>#N/A</v>
      </c>
      <c r="QF31" s="531" t="e">
        <f>IF(QA31&gt;QA32,QB31/(QD31*QE31),"NOT GOVERNING")</f>
        <v>#N/A</v>
      </c>
      <c r="QG31" s="683"/>
      <c r="QH31" s="531" t="e">
        <f>IF(QA31&gt;QA32,TRUE,FALSE)</f>
        <v>#N/A</v>
      </c>
      <c r="QI31" s="310"/>
      <c r="QJ31" s="310"/>
      <c r="QK31" s="400"/>
      <c r="QL31" s="424" t="s">
        <v>492</v>
      </c>
      <c r="QM31" s="387">
        <f>H26</f>
        <v>-0.65</v>
      </c>
      <c r="QN31" s="531" t="e">
        <f>IF(QM32&gt;QM31,M44,"NOT GOVERNING")</f>
        <v>#N/A</v>
      </c>
      <c r="QO31" s="683"/>
      <c r="QP31" s="531" t="e">
        <f>IF(QL20=TRUE,(QM22-QM21)*100,#N/A)</f>
        <v>#N/A</v>
      </c>
      <c r="QQ31" s="531" t="e">
        <f>IF(QL20=TRUE,C51,#N/A)</f>
        <v>#N/A</v>
      </c>
      <c r="QR31" s="531" t="e">
        <f>IF(QM32&gt;QM31,QN31/(QP31*QQ31),"NOT GOVERNING")</f>
        <v>#N/A</v>
      </c>
      <c r="QS31" s="683"/>
      <c r="QT31" s="531" t="e">
        <f>IF(QM31&lt;QM32,TRUE,FALSE)</f>
        <v>#N/A</v>
      </c>
      <c r="QU31" s="310"/>
      <c r="QV31" s="310"/>
      <c r="QW31" s="310"/>
      <c r="QX31" s="310"/>
      <c r="QY31" s="310"/>
      <c r="QZ31" s="310"/>
      <c r="RA31" s="310"/>
      <c r="RB31" s="310"/>
      <c r="RC31" s="310"/>
      <c r="RD31" s="310"/>
      <c r="RE31" s="310"/>
      <c r="RF31" s="310"/>
      <c r="RG31" s="310"/>
      <c r="RH31" s="310"/>
      <c r="RI31" s="310"/>
      <c r="RJ31" s="310"/>
      <c r="RK31" s="310"/>
      <c r="RL31" s="310"/>
      <c r="RM31" s="310"/>
      <c r="RN31" s="310"/>
      <c r="RO31" s="310"/>
      <c r="RP31" s="310"/>
      <c r="RQ31" s="310"/>
      <c r="RR31" s="310"/>
      <c r="RS31" s="310"/>
      <c r="RT31" s="310"/>
      <c r="RU31" s="310"/>
      <c r="RV31" s="310"/>
      <c r="RW31" s="310"/>
      <c r="RX31" s="328" t="s">
        <v>149</v>
      </c>
      <c r="RY31" s="338" t="e">
        <f t="shared" si="70"/>
        <v>#N/A</v>
      </c>
      <c r="RZ31" s="338" t="e">
        <f t="shared" si="71"/>
        <v>#N/A</v>
      </c>
      <c r="SA31" s="338" t="b">
        <f t="shared" si="72"/>
        <v>1</v>
      </c>
      <c r="SB31" s="338" t="b">
        <f t="shared" si="73"/>
        <v>1</v>
      </c>
      <c r="SC31" s="310" t="b">
        <f>IF(BM9=TRUE,IF(SA31=TRUE,FALSE,TRUE),FALSE)</f>
        <v>0</v>
      </c>
      <c r="SD31" s="310"/>
      <c r="SE31" s="310"/>
      <c r="SF31" s="247" t="e">
        <v>#N/A</v>
      </c>
      <c r="SG31" s="247" t="e">
        <v>#N/A</v>
      </c>
      <c r="SH31" s="247"/>
      <c r="SI31" s="247"/>
      <c r="SJ31" s="310"/>
      <c r="SK31" s="310"/>
      <c r="SL31" s="310"/>
      <c r="SM31" s="310"/>
      <c r="SN31" s="310"/>
      <c r="SO31" s="220"/>
      <c r="SP31" s="220"/>
      <c r="SQ31" s="220"/>
      <c r="SR31" s="220"/>
      <c r="SS31" s="220"/>
      <c r="ST31" s="220"/>
      <c r="SU31" s="220"/>
      <c r="SV31" s="220"/>
      <c r="SW31" s="220"/>
      <c r="SX31" s="220"/>
      <c r="SY31" s="220"/>
      <c r="SZ31" s="220"/>
      <c r="TA31" s="220"/>
      <c r="TB31" s="220"/>
      <c r="TC31" s="220"/>
      <c r="TD31" s="220"/>
      <c r="TE31" s="220"/>
      <c r="TF31" s="220"/>
      <c r="TG31" s="220"/>
      <c r="TH31" s="220"/>
      <c r="TI31" s="220"/>
      <c r="TJ31" s="220"/>
      <c r="TK31" s="220"/>
      <c r="TL31" s="220"/>
      <c r="TM31" s="220"/>
      <c r="TN31" s="220"/>
      <c r="TO31" s="220"/>
      <c r="TP31" s="220"/>
      <c r="TQ31" s="220"/>
      <c r="TR31" s="220"/>
      <c r="TS31" s="220"/>
      <c r="TT31" s="220"/>
      <c r="TU31" s="220"/>
      <c r="TV31" s="220"/>
      <c r="TW31" s="220"/>
      <c r="TX31" s="220"/>
      <c r="TY31" s="220"/>
      <c r="TZ31" s="220"/>
      <c r="UA31" s="220"/>
      <c r="UB31" s="220"/>
      <c r="UC31" s="220"/>
      <c r="UD31" s="220"/>
      <c r="UE31" s="220"/>
      <c r="UF31" s="220"/>
      <c r="UG31" s="220"/>
      <c r="UH31" s="220"/>
      <c r="UI31" s="220"/>
      <c r="UJ31" s="220"/>
      <c r="UK31" s="216"/>
      <c r="UL31" s="216"/>
      <c r="UM31" s="216"/>
      <c r="UN31" s="216"/>
      <c r="UO31" s="216"/>
      <c r="UP31" s="216"/>
      <c r="UQ31" s="216"/>
      <c r="UR31" s="216"/>
      <c r="US31" s="216"/>
      <c r="UT31" s="216"/>
      <c r="UU31" s="216"/>
      <c r="UV31" s="216"/>
      <c r="UW31" s="216"/>
      <c r="UX31" s="216"/>
      <c r="UY31" s="216"/>
      <c r="UZ31" s="216"/>
      <c r="VA31" s="216"/>
    </row>
    <row r="32" spans="1:574" s="4" customFormat="1" ht="15" customHeight="1" x14ac:dyDescent="0.45">
      <c r="A32" s="51"/>
      <c r="B32" s="51"/>
      <c r="C32" s="52"/>
      <c r="D32" s="52"/>
      <c r="E32" s="52"/>
      <c r="F32" s="52"/>
      <c r="G32" s="200" t="s">
        <v>326</v>
      </c>
      <c r="H32" s="632">
        <f>IF(AND(JM11=TRUE,Q34&lt;&gt;""),Q34,"")</f>
        <v>0.65</v>
      </c>
      <c r="I32" s="632"/>
      <c r="J32" s="633">
        <f>IF(AND(JM11=TRUE,R34&lt;&gt;""),R34,"")</f>
        <v>1</v>
      </c>
      <c r="K32" s="633"/>
      <c r="L32" s="49"/>
      <c r="M32" s="552"/>
      <c r="N32" s="552"/>
      <c r="O32" s="59"/>
      <c r="P32" s="50"/>
      <c r="Q32" s="56" t="s">
        <v>82</v>
      </c>
      <c r="R32" s="56" t="s">
        <v>84</v>
      </c>
      <c r="S32" s="50"/>
      <c r="T32" s="50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5"/>
      <c r="AM32" s="45"/>
      <c r="AN32" s="45"/>
      <c r="AO32" s="45"/>
      <c r="AP32" s="310"/>
      <c r="AQ32" s="310"/>
      <c r="AR32" s="310"/>
      <c r="AS32" s="310"/>
      <c r="AT32" s="310" t="s">
        <v>209</v>
      </c>
      <c r="AU32" s="310"/>
      <c r="AV32" s="310"/>
      <c r="AW32" s="310"/>
      <c r="AX32" s="310"/>
      <c r="AY32" s="310"/>
      <c r="AZ32" s="338" t="b">
        <f>IF(JM11=TRUE,IF(Q33&lt;&gt;"",TRUE,FALSE),"")</f>
        <v>1</v>
      </c>
      <c r="BA32" s="531">
        <f>COUNTIF(AZ32:AZ34,TRUE)</f>
        <v>2</v>
      </c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4"/>
      <c r="BQ32" s="425"/>
      <c r="BR32" s="426"/>
      <c r="BS32" s="310"/>
      <c r="BT32" s="310"/>
      <c r="BU32" s="310"/>
      <c r="BV32" s="310"/>
      <c r="BW32" s="310"/>
      <c r="BX32" s="400"/>
      <c r="BY32" s="246" t="e">
        <f>BY50+J16</f>
        <v>#N/A</v>
      </c>
      <c r="BZ32" s="248" t="e">
        <f>BZ31</f>
        <v>#N/A</v>
      </c>
      <c r="CA32" s="310"/>
      <c r="CB32" s="310"/>
      <c r="CC32" s="310"/>
      <c r="CD32" s="310"/>
      <c r="CE32" s="310"/>
      <c r="CF32" s="310"/>
      <c r="CG32" s="310"/>
      <c r="CH32" s="310"/>
      <c r="CI32" s="310"/>
      <c r="CJ32" s="257" t="e">
        <f>IF(AND(CK27=TRUE,CK28=TRUE),CK21+$BT$7/2,#N/A)</f>
        <v>#N/A</v>
      </c>
      <c r="CK32" s="257" t="e">
        <f>CK31</f>
        <v>#N/A</v>
      </c>
      <c r="CL32" s="310"/>
      <c r="CM32" s="338" t="s">
        <v>254</v>
      </c>
      <c r="CN32" s="338" t="e">
        <f>CN28</f>
        <v>#N/A</v>
      </c>
      <c r="CO32" s="338" t="e">
        <f>CO28</f>
        <v>#N/A</v>
      </c>
      <c r="CP32" s="338" t="s">
        <v>256</v>
      </c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38" t="s">
        <v>48</v>
      </c>
      <c r="DD32" s="338" t="s">
        <v>49</v>
      </c>
      <c r="DE32" s="310"/>
      <c r="DF32" s="338" t="s">
        <v>48</v>
      </c>
      <c r="DG32" s="338" t="s">
        <v>49</v>
      </c>
      <c r="DH32" s="310"/>
      <c r="DI32" s="310"/>
      <c r="DJ32" s="310"/>
      <c r="DK32" s="313">
        <v>24</v>
      </c>
      <c r="DL32" s="282" t="e">
        <f t="shared" si="3"/>
        <v>#N/A</v>
      </c>
      <c r="DM32" s="291" t="e">
        <f t="shared" si="4"/>
        <v>#N/A</v>
      </c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32" t="e">
        <v>#N/A</v>
      </c>
      <c r="ET32" s="332" t="e">
        <v>#N/A</v>
      </c>
      <c r="EU32" s="330"/>
      <c r="EV32" s="332" t="e">
        <v>#N/A</v>
      </c>
      <c r="EW32" s="332" t="e">
        <v>#N/A</v>
      </c>
      <c r="EX32" s="332" t="e">
        <v>#N/A</v>
      </c>
      <c r="EY32" s="332" t="e">
        <v>#N/A</v>
      </c>
      <c r="EZ32" s="346" t="e">
        <v>#N/A</v>
      </c>
      <c r="FA32" s="346" t="e">
        <v>#N/A</v>
      </c>
      <c r="FB32" s="346" t="e">
        <v>#N/A</v>
      </c>
      <c r="FC32" s="346" t="e">
        <v>#N/A</v>
      </c>
      <c r="FD32" s="258" t="e">
        <v>#N/A</v>
      </c>
      <c r="FE32" s="258" t="e">
        <v>#N/A</v>
      </c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29"/>
      <c r="FR32" s="329"/>
      <c r="FS32" s="329"/>
      <c r="FT32" s="329"/>
      <c r="FU32" s="310"/>
      <c r="FV32" s="310"/>
      <c r="FW32" s="310"/>
      <c r="FX32" s="310"/>
      <c r="FY32" s="310"/>
      <c r="FZ32" s="310"/>
      <c r="GA32" s="338"/>
      <c r="GB32" s="338"/>
      <c r="GC32" s="328"/>
      <c r="GD32" s="328"/>
      <c r="GE32" s="311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29"/>
      <c r="GY32" s="329"/>
      <c r="GZ32" s="310"/>
      <c r="HA32" s="310"/>
      <c r="HB32" s="310"/>
      <c r="HC32" s="310">
        <v>7070.8343248654046</v>
      </c>
      <c r="HD32" s="310"/>
      <c r="HE32" s="310"/>
      <c r="HF32" s="310"/>
      <c r="HG32" s="310"/>
      <c r="HH32" s="310"/>
      <c r="HI32" s="310"/>
      <c r="HJ32" s="310"/>
      <c r="HK32" s="342">
        <v>18</v>
      </c>
      <c r="HL32" s="235" t="e">
        <f t="shared" si="5"/>
        <v>#N/A</v>
      </c>
      <c r="HM32" s="235" t="e">
        <f t="shared" si="6"/>
        <v>#N/A</v>
      </c>
      <c r="HN32" s="310"/>
      <c r="HO32" s="310"/>
      <c r="HP32" s="235" t="e">
        <f t="shared" si="7"/>
        <v>#N/A</v>
      </c>
      <c r="HQ32" s="235" t="e">
        <f t="shared" si="8"/>
        <v>#N/A</v>
      </c>
      <c r="HR32" s="310"/>
      <c r="HS32" s="310"/>
      <c r="HT32" s="235" t="e">
        <f t="shared" si="9"/>
        <v>#N/A</v>
      </c>
      <c r="HU32" s="235" t="e">
        <f t="shared" si="10"/>
        <v>#N/A</v>
      </c>
      <c r="HV32" s="310"/>
      <c r="HW32" s="310"/>
      <c r="HX32" s="235" t="e">
        <f t="shared" si="11"/>
        <v>#N/A</v>
      </c>
      <c r="HY32" s="235" t="e">
        <f t="shared" si="12"/>
        <v>#N/A</v>
      </c>
      <c r="HZ32" s="310"/>
      <c r="IA32" s="310"/>
      <c r="IB32" s="235" t="e">
        <f t="shared" si="13"/>
        <v>#N/A</v>
      </c>
      <c r="IC32" s="235" t="e">
        <f t="shared" si="14"/>
        <v>#N/A</v>
      </c>
      <c r="ID32" s="310"/>
      <c r="IE32" s="342">
        <v>18</v>
      </c>
      <c r="IF32" s="262" t="e">
        <f t="shared" si="15"/>
        <v>#N/A</v>
      </c>
      <c r="IG32" s="262" t="e">
        <f t="shared" si="16"/>
        <v>#N/A</v>
      </c>
      <c r="IH32" s="390"/>
      <c r="II32" s="390"/>
      <c r="IJ32" s="262" t="e">
        <f t="shared" si="17"/>
        <v>#N/A</v>
      </c>
      <c r="IK32" s="262" t="e">
        <f t="shared" si="18"/>
        <v>#N/A</v>
      </c>
      <c r="IL32" s="390"/>
      <c r="IM32" s="390"/>
      <c r="IN32" s="262" t="e">
        <f t="shared" si="19"/>
        <v>#N/A</v>
      </c>
      <c r="IO32" s="262" t="e">
        <f t="shared" si="20"/>
        <v>#N/A</v>
      </c>
      <c r="IP32" s="390"/>
      <c r="IQ32" s="390"/>
      <c r="IR32" s="262" t="e">
        <f t="shared" si="21"/>
        <v>#N/A</v>
      </c>
      <c r="IS32" s="262" t="e">
        <f t="shared" si="22"/>
        <v>#N/A</v>
      </c>
      <c r="IT32" s="390"/>
      <c r="IU32" s="390"/>
      <c r="IV32" s="262" t="e">
        <f t="shared" si="23"/>
        <v>#N/A</v>
      </c>
      <c r="IW32" s="262" t="e">
        <f t="shared" si="24"/>
        <v>#N/A</v>
      </c>
      <c r="IX32" s="310"/>
      <c r="IY32" s="342" t="s">
        <v>353</v>
      </c>
      <c r="IZ32" s="313" t="s">
        <v>375</v>
      </c>
      <c r="JA32" s="343" t="b">
        <f>AND($GY$6&gt;=$GX$14,$GY$6&lt;=$GX$20,$BM$9=TRUE)</f>
        <v>0</v>
      </c>
      <c r="JB32" s="313" t="s">
        <v>106</v>
      </c>
      <c r="JC32" s="236" t="e">
        <f>IZ34-($IZ$10/2)+$IZ$9</f>
        <v>#N/A</v>
      </c>
      <c r="JD32" s="236" t="e">
        <f>JA34+$IZ$10/2</f>
        <v>#N/A</v>
      </c>
      <c r="JE32" s="310"/>
      <c r="JF32" s="342" t="s">
        <v>353</v>
      </c>
      <c r="JG32" s="313" t="s">
        <v>375</v>
      </c>
      <c r="JH32" s="343" t="b">
        <f>IF(CP13=TRUE,AND($GY$6&gt;=$GX$14,$GY$6&lt;=$GX$20,$BM$9=TRUE,$BE$7=TRUE,CU11=TRUE),FALSE)</f>
        <v>0</v>
      </c>
      <c r="JI32" s="313" t="s">
        <v>106</v>
      </c>
      <c r="JJ32" s="263" t="e">
        <f>JG34-($IZ$10/2)+$IZ$9</f>
        <v>#N/A</v>
      </c>
      <c r="JK32" s="263" t="e">
        <f>JH34+$IZ$10/2</f>
        <v>#N/A</v>
      </c>
      <c r="JL32" s="310"/>
      <c r="JM32" s="310"/>
      <c r="JN32" s="261" t="e">
        <f t="shared" si="25"/>
        <v>#N/A</v>
      </c>
      <c r="JO32" s="261" t="e">
        <f t="shared" si="26"/>
        <v>#N/A</v>
      </c>
      <c r="JP32" s="310"/>
      <c r="JQ32" s="310"/>
      <c r="JR32" s="261" t="e">
        <f t="shared" si="31"/>
        <v>#N/A</v>
      </c>
      <c r="JS32" s="261" t="e">
        <f t="shared" si="32"/>
        <v>#N/A</v>
      </c>
      <c r="JT32" s="310"/>
      <c r="JU32" s="310"/>
      <c r="JV32" s="261" t="e">
        <f t="shared" si="27"/>
        <v>#N/A</v>
      </c>
      <c r="JW32" s="261" t="e">
        <f t="shared" si="28"/>
        <v>#N/A</v>
      </c>
      <c r="JX32" s="310"/>
      <c r="JY32" s="310"/>
      <c r="JZ32" s="310"/>
      <c r="KA32" s="310"/>
      <c r="KB32" s="313" t="s">
        <v>152</v>
      </c>
      <c r="KC32" s="263" t="e">
        <f>KC31</f>
        <v>#N/A</v>
      </c>
      <c r="KD32" s="263" t="e">
        <f>KA31-($IZ$10/2)+$IZ$9</f>
        <v>#N/A</v>
      </c>
      <c r="KE32" s="310"/>
      <c r="KF32" s="310"/>
      <c r="KG32" s="310"/>
      <c r="KH32" s="310"/>
      <c r="KI32" s="310"/>
      <c r="KJ32" s="310"/>
      <c r="KK32" s="310"/>
      <c r="KL32" s="310"/>
      <c r="KM32" s="310"/>
      <c r="KN32" s="242" t="e">
        <f>KN31</f>
        <v>#N/A</v>
      </c>
      <c r="KO32" s="242" t="e">
        <f>IF(KR10=TRUE,OO51,#N/A)</f>
        <v>#N/A</v>
      </c>
      <c r="KP32" s="328"/>
      <c r="KQ32" s="328"/>
      <c r="KR32" s="328"/>
      <c r="KS32" s="257" t="e">
        <f>IF(KW10=TRUE,ON51,#N/A)</f>
        <v>#N/A</v>
      </c>
      <c r="KT32" s="257" t="e">
        <f>KT31</f>
        <v>#N/A</v>
      </c>
      <c r="KU32" s="338"/>
      <c r="KV32" s="328"/>
      <c r="KW32" s="338"/>
      <c r="KX32" s="310"/>
      <c r="KY32" s="310"/>
      <c r="KZ32" s="310"/>
      <c r="LA32" s="412" t="str">
        <f>G27</f>
        <v>P2</v>
      </c>
      <c r="LB32" s="430" t="e">
        <f>IF(AND(CP13=TRUE,CU11=TRUE,BL9=TRUE),SQRT(($M$11-J27)^2+($M$10-H27)^2)-(0.5*O13),#N/A)</f>
        <v>#N/A</v>
      </c>
      <c r="LC32" s="306" t="e">
        <f>IF(CP13=TRUE,IF(LB32=MAX($LB$31:$LB$33,$LB$35:$LB$37),TRUE,FALSE),#N/A)</f>
        <v>#N/A</v>
      </c>
      <c r="LD32" s="430" t="e">
        <f>IF(AND(CP13=TRUE,CU11=TRUE),(M45*LB32),#N/A)</f>
        <v>#N/A</v>
      </c>
      <c r="LE32" s="310"/>
      <c r="LF32" s="310"/>
      <c r="LG32" s="310"/>
      <c r="LH32" s="391" t="e">
        <f>ON54</f>
        <v>#N/A</v>
      </c>
      <c r="LI32" s="391" t="e">
        <f>OO54-LI7*0.925</f>
        <v>#N/A</v>
      </c>
      <c r="LJ32" s="338" t="e">
        <v>#N/A</v>
      </c>
      <c r="LK32" s="338" t="e">
        <v>#N/A</v>
      </c>
      <c r="LL32" s="391"/>
      <c r="LM32" s="310"/>
      <c r="LN32" s="310"/>
      <c r="LO32" s="338">
        <f>LO27</f>
        <v>-1.2999999999999998</v>
      </c>
      <c r="LP32" s="338">
        <f>OO49+LP7</f>
        <v>-0.35</v>
      </c>
      <c r="LQ32" s="338" t="e">
        <v>#N/A</v>
      </c>
      <c r="LR32" s="338" t="e">
        <v>#N/A</v>
      </c>
      <c r="LS32" s="391"/>
      <c r="LT32" s="310"/>
      <c r="LU32" s="310"/>
      <c r="LV32" s="338">
        <f>ON51+LW7</f>
        <v>1.9</v>
      </c>
      <c r="LW32" s="338">
        <f>LW28</f>
        <v>0.95</v>
      </c>
      <c r="LX32" s="338" t="e">
        <v>#N/A</v>
      </c>
      <c r="LY32" s="338" t="e">
        <v>#N/A</v>
      </c>
      <c r="LZ32" s="391"/>
      <c r="MA32" s="310"/>
      <c r="MB32" s="310"/>
      <c r="MC32" s="338">
        <f>MC27-MD7*0.85</f>
        <v>0.68999999999999972</v>
      </c>
      <c r="MD32" s="338">
        <f>MD29</f>
        <v>-0.95</v>
      </c>
      <c r="ME32" s="338" t="e">
        <v>#N/A</v>
      </c>
      <c r="MF32" s="338" t="e">
        <v>#N/A</v>
      </c>
      <c r="MG32" s="391"/>
      <c r="MH32" s="310"/>
      <c r="MI32" s="310"/>
      <c r="MJ32" s="242" t="e">
        <v>#N/A</v>
      </c>
      <c r="MK32" s="242" t="e">
        <v>#N/A</v>
      </c>
      <c r="ML32" s="242" t="e">
        <v>#N/A</v>
      </c>
      <c r="MM32" s="242" t="e">
        <v>#N/A</v>
      </c>
      <c r="MN32" s="391"/>
      <c r="MO32" s="310"/>
      <c r="MP32" s="311" t="e">
        <v>#N/A</v>
      </c>
      <c r="MQ32" s="311" t="e">
        <v>#N/A</v>
      </c>
      <c r="MR32" s="311"/>
      <c r="MS32" s="311"/>
      <c r="MT32" s="296" t="e">
        <f>MT31</f>
        <v>#N/A</v>
      </c>
      <c r="MU32" s="296" t="e">
        <f>MU31-MX8</f>
        <v>#N/A</v>
      </c>
      <c r="MV32" s="310"/>
      <c r="MW32" s="280" t="e">
        <f>MW31</f>
        <v>#N/A</v>
      </c>
      <c r="MX32" s="280" t="e">
        <f>IF($MU$29=TRUE,$G$52/100,#N/A)</f>
        <v>#N/A</v>
      </c>
      <c r="MY32" s="310"/>
      <c r="MZ32" s="432" t="s">
        <v>457</v>
      </c>
      <c r="NA32" s="431" t="e">
        <f>NA31/(MZ33-0.65)</f>
        <v>#N/A</v>
      </c>
      <c r="NB32" s="310"/>
      <c r="NC32" s="310"/>
      <c r="ND32" s="310"/>
      <c r="NE32" s="310"/>
      <c r="NF32" s="310"/>
      <c r="NG32" s="310"/>
      <c r="NH32" s="310"/>
      <c r="NI32" s="310"/>
      <c r="NJ32" s="310"/>
      <c r="NK32" s="310"/>
      <c r="NL32" s="310"/>
      <c r="NM32" s="310"/>
      <c r="NN32" s="310"/>
      <c r="NO32" s="338" t="str">
        <v>P5</v>
      </c>
      <c r="NP32" s="308">
        <f t="shared" si="68"/>
        <v>0</v>
      </c>
      <c r="NQ32" s="310"/>
      <c r="NR32" s="310"/>
      <c r="NS32" s="310"/>
      <c r="NT32" s="310"/>
      <c r="NU32" s="310"/>
      <c r="NV32" s="310"/>
      <c r="NW32" s="310"/>
      <c r="NX32" s="310"/>
      <c r="NY32" s="310"/>
      <c r="NZ32" s="310"/>
      <c r="OA32" s="310"/>
      <c r="OB32" s="310"/>
      <c r="OC32" s="310"/>
      <c r="OD32" s="310"/>
      <c r="OE32" s="310"/>
      <c r="OF32" s="310"/>
      <c r="OG32" s="310"/>
      <c r="OH32" s="310"/>
      <c r="OI32" s="310"/>
      <c r="OJ32" s="310"/>
      <c r="OK32" s="310"/>
      <c r="OL32" s="310"/>
      <c r="OM32" s="228" t="e">
        <f>OM30</f>
        <v>#N/A</v>
      </c>
      <c r="ON32" s="228" t="e">
        <f>ON30</f>
        <v>#N/A</v>
      </c>
      <c r="OO32" s="310"/>
      <c r="OP32" s="310"/>
      <c r="OQ32" s="310"/>
      <c r="OR32" s="310"/>
      <c r="OS32" s="310"/>
      <c r="OT32" s="310"/>
      <c r="OU32" s="310" t="s">
        <v>192</v>
      </c>
      <c r="OV32" s="310"/>
      <c r="OW32" s="310"/>
      <c r="OX32" s="280" t="e">
        <f>OX31-OW29</f>
        <v>#N/A</v>
      </c>
      <c r="OY32" s="280" t="e">
        <f>OY31</f>
        <v>#N/A</v>
      </c>
      <c r="OZ32" s="310"/>
      <c r="PA32" s="338"/>
      <c r="PB32" s="338"/>
      <c r="PC32" s="310"/>
      <c r="PD32" s="310"/>
      <c r="PE32" s="313">
        <v>18</v>
      </c>
      <c r="PF32" s="318" t="b">
        <f t="shared" si="33"/>
        <v>0</v>
      </c>
      <c r="PG32" s="283" t="e">
        <f t="shared" si="34"/>
        <v>#N/A</v>
      </c>
      <c r="PH32" s="283" t="e">
        <f t="shared" si="35"/>
        <v>#N/A</v>
      </c>
      <c r="PI32" s="295" t="e">
        <f t="shared" si="36"/>
        <v>#N/A</v>
      </c>
      <c r="PJ32" s="310"/>
      <c r="PK32" s="310"/>
      <c r="PL32" s="310"/>
      <c r="PM32" s="310"/>
      <c r="PN32" s="310"/>
      <c r="PO32" s="310"/>
      <c r="PP32" s="310"/>
      <c r="PQ32" s="310"/>
      <c r="PR32" s="310"/>
      <c r="PS32" s="342">
        <v>18</v>
      </c>
      <c r="PT32" s="261" t="e">
        <f t="shared" si="29"/>
        <v>#N/A</v>
      </c>
      <c r="PU32" s="261" t="e">
        <f t="shared" si="30"/>
        <v>#N/A</v>
      </c>
      <c r="PV32" s="310"/>
      <c r="PW32" s="310"/>
      <c r="PX32" s="310"/>
      <c r="PY32" s="400"/>
      <c r="PZ32" s="424" t="s">
        <v>493</v>
      </c>
      <c r="QA32" s="338" t="e">
        <f>QA24</f>
        <v>#N/A</v>
      </c>
      <c r="QB32" s="683"/>
      <c r="QC32" s="683"/>
      <c r="QD32" s="683"/>
      <c r="QE32" s="683"/>
      <c r="QF32" s="683"/>
      <c r="QG32" s="683"/>
      <c r="QH32" s="683"/>
      <c r="QI32" s="310"/>
      <c r="QJ32" s="310"/>
      <c r="QK32" s="400"/>
      <c r="QL32" s="424" t="s">
        <v>501</v>
      </c>
      <c r="QM32" s="338" t="e">
        <f>QN24</f>
        <v>#N/A</v>
      </c>
      <c r="QN32" s="683"/>
      <c r="QO32" s="683"/>
      <c r="QP32" s="683"/>
      <c r="QQ32" s="531"/>
      <c r="QR32" s="683"/>
      <c r="QS32" s="683"/>
      <c r="QT32" s="683"/>
      <c r="QU32" s="310"/>
      <c r="QV32" s="310"/>
      <c r="QW32" s="310"/>
      <c r="QX32" s="310"/>
      <c r="QY32" s="310"/>
      <c r="QZ32" s="310"/>
      <c r="RA32" s="310"/>
      <c r="RB32" s="310"/>
      <c r="RC32" s="310"/>
      <c r="RD32" s="310"/>
      <c r="RE32" s="310"/>
      <c r="RF32" s="310"/>
      <c r="RG32" s="310"/>
      <c r="RH32" s="310"/>
      <c r="RI32" s="310"/>
      <c r="RJ32" s="310"/>
      <c r="RK32" s="310"/>
      <c r="RL32" s="310"/>
      <c r="RM32" s="310"/>
      <c r="RN32" s="310"/>
      <c r="RO32" s="310"/>
      <c r="RP32" s="310"/>
      <c r="RQ32" s="310"/>
      <c r="RR32" s="310"/>
      <c r="RS32" s="310"/>
      <c r="RT32" s="310"/>
      <c r="RU32" s="310"/>
      <c r="RV32" s="310"/>
      <c r="RW32" s="310"/>
      <c r="RX32" s="328" t="s">
        <v>152</v>
      </c>
      <c r="RY32" s="338">
        <f t="shared" si="70"/>
        <v>0.65</v>
      </c>
      <c r="RZ32" s="338">
        <f t="shared" si="71"/>
        <v>0.65</v>
      </c>
      <c r="SA32" s="338" t="b">
        <f t="shared" si="72"/>
        <v>0</v>
      </c>
      <c r="SB32" s="338" t="b">
        <f t="shared" si="73"/>
        <v>1</v>
      </c>
      <c r="SC32" s="310" t="b">
        <f>IF(BM10=TRUE,IF(SA32=TRUE,FALSE,TRUE),FALSE)</f>
        <v>1</v>
      </c>
      <c r="SD32" s="310"/>
      <c r="SE32" s="329" t="s">
        <v>144</v>
      </c>
      <c r="SF32" s="247">
        <f>RY30</f>
        <v>-0.65</v>
      </c>
      <c r="SG32" s="247">
        <f>RZ30</f>
        <v>0.65</v>
      </c>
      <c r="SH32" s="513"/>
      <c r="SI32" s="514"/>
      <c r="SJ32" s="310"/>
      <c r="SK32" s="310"/>
      <c r="SL32" s="310"/>
      <c r="SM32" s="310"/>
      <c r="SN32" s="310"/>
      <c r="SO32" s="220"/>
      <c r="SP32" s="220"/>
      <c r="SQ32" s="220"/>
      <c r="SR32" s="220"/>
      <c r="SS32" s="220"/>
      <c r="ST32" s="220"/>
      <c r="SU32" s="220"/>
      <c r="SV32" s="220"/>
      <c r="SW32" s="220"/>
      <c r="SX32" s="220"/>
      <c r="SY32" s="220"/>
      <c r="SZ32" s="220"/>
      <c r="TA32" s="220"/>
      <c r="TB32" s="220"/>
      <c r="TC32" s="220"/>
      <c r="TD32" s="220"/>
      <c r="TE32" s="220"/>
      <c r="TF32" s="220"/>
      <c r="TG32" s="220"/>
      <c r="TH32" s="220"/>
      <c r="TI32" s="220"/>
      <c r="TJ32" s="220"/>
      <c r="TK32" s="220"/>
      <c r="TL32" s="220"/>
      <c r="TM32" s="220"/>
      <c r="TN32" s="220"/>
      <c r="TO32" s="220"/>
      <c r="TP32" s="220"/>
      <c r="TQ32" s="220"/>
      <c r="TR32" s="220"/>
      <c r="TS32" s="220"/>
      <c r="TT32" s="220"/>
      <c r="TU32" s="220"/>
      <c r="TV32" s="220"/>
      <c r="TW32" s="220"/>
      <c r="TX32" s="220"/>
      <c r="TY32" s="220"/>
      <c r="TZ32" s="220"/>
      <c r="UA32" s="220"/>
      <c r="UB32" s="220"/>
      <c r="UC32" s="220"/>
      <c r="UD32" s="220"/>
      <c r="UE32" s="220"/>
      <c r="UF32" s="220"/>
      <c r="UG32" s="220"/>
      <c r="UH32" s="220"/>
      <c r="UI32" s="220"/>
      <c r="UJ32" s="220"/>
      <c r="UK32" s="216"/>
      <c r="UL32" s="216"/>
      <c r="UM32" s="216"/>
      <c r="UN32" s="216"/>
      <c r="UO32" s="216"/>
      <c r="UP32" s="216"/>
      <c r="UQ32" s="216"/>
      <c r="UR32" s="216"/>
      <c r="US32" s="216"/>
      <c r="UT32" s="216"/>
      <c r="UU32" s="216"/>
      <c r="UV32" s="216"/>
      <c r="UW32" s="216"/>
      <c r="UX32" s="216"/>
      <c r="UY32" s="216"/>
      <c r="UZ32" s="216"/>
      <c r="VA32" s="216"/>
    </row>
    <row r="33" spans="1:573" s="4" customFormat="1" ht="15" customHeight="1" x14ac:dyDescent="0.45">
      <c r="A33" s="51"/>
      <c r="B33" s="51"/>
      <c r="C33" s="52"/>
      <c r="D33" s="52"/>
      <c r="E33" s="52"/>
      <c r="F33" s="52"/>
      <c r="G33" s="201"/>
      <c r="H33" s="555" t="str">
        <f>IF(AND(JM11=TRUE,Q35&lt;&gt;""),Q35,"")</f>
        <v/>
      </c>
      <c r="I33" s="555"/>
      <c r="J33" s="634" t="str">
        <f>IF(AND(JM11=TRUE,R35&lt;&gt;""),R35,"")</f>
        <v/>
      </c>
      <c r="K33" s="634"/>
      <c r="L33" s="61"/>
      <c r="M33" s="556"/>
      <c r="N33" s="556"/>
      <c r="O33" s="62"/>
      <c r="P33" s="50"/>
      <c r="Q33" s="208">
        <v>0.65</v>
      </c>
      <c r="R33" s="209">
        <f>-0.65-0.35</f>
        <v>-1</v>
      </c>
      <c r="S33" s="50"/>
      <c r="T33" s="50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5"/>
      <c r="AM33" s="45"/>
      <c r="AN33" s="45"/>
      <c r="AO33" s="45"/>
      <c r="AP33" s="310"/>
      <c r="AQ33" s="310"/>
      <c r="AR33" s="310"/>
      <c r="AS33" s="310"/>
      <c r="AT33" s="310" t="s">
        <v>203</v>
      </c>
      <c r="AU33" s="310"/>
      <c r="AV33" s="310"/>
      <c r="AW33" s="310"/>
      <c r="AX33" s="310"/>
      <c r="AY33" s="310"/>
      <c r="AZ33" s="338" t="b">
        <f>IF(JM11=TRUE,IF(Q34&lt;&gt;"",TRUE,FALSE),"")</f>
        <v>1</v>
      </c>
      <c r="BA33" s="531"/>
      <c r="BB33" s="310"/>
      <c r="BC33" s="310"/>
      <c r="BD33" s="310"/>
      <c r="BE33" s="310"/>
      <c r="BF33" s="310"/>
      <c r="BG33" s="310"/>
      <c r="BH33" s="310"/>
      <c r="BI33" s="310"/>
      <c r="BJ33" s="310"/>
      <c r="BK33" s="310">
        <v>1</v>
      </c>
      <c r="BL33" s="310">
        <v>0</v>
      </c>
      <c r="BM33" s="310" t="s">
        <v>70</v>
      </c>
      <c r="BN33" s="310"/>
      <c r="BO33" s="310"/>
      <c r="BP33" s="314"/>
      <c r="BQ33" s="425"/>
      <c r="BR33" s="426"/>
      <c r="BS33" s="310"/>
      <c r="BT33" s="310"/>
      <c r="BU33" s="310"/>
      <c r="BV33" s="310"/>
      <c r="BW33" s="310"/>
      <c r="BX33" s="400"/>
      <c r="BY33" s="246" t="e">
        <f>BY32</f>
        <v>#N/A</v>
      </c>
      <c r="BZ33" s="248" t="e">
        <f>BZ51-J16</f>
        <v>#N/A</v>
      </c>
      <c r="CA33" s="310"/>
      <c r="CB33" s="310"/>
      <c r="CC33" s="310"/>
      <c r="CD33" s="310"/>
      <c r="CE33" s="310"/>
      <c r="CF33" s="310"/>
      <c r="CG33" s="310"/>
      <c r="CH33" s="310"/>
      <c r="CI33" s="310"/>
      <c r="CJ33" s="257" t="e">
        <f>CJ32</f>
        <v>#N/A</v>
      </c>
      <c r="CK33" s="257" t="e">
        <f>IF(AND(CK27=TRUE,CK28=TRUE),CL21-$BT$7/2,#N/A)</f>
        <v>#N/A</v>
      </c>
      <c r="CL33" s="310"/>
      <c r="CM33" s="310"/>
      <c r="CN33" s="310"/>
      <c r="CO33" s="310"/>
      <c r="CP33" s="310"/>
      <c r="CQ33" s="310"/>
      <c r="CR33" s="310"/>
      <c r="CS33" s="310"/>
      <c r="CT33" s="310"/>
      <c r="CU33" s="310"/>
      <c r="CV33" s="310"/>
      <c r="CW33" s="310"/>
      <c r="CX33" s="310"/>
      <c r="CY33" s="310"/>
      <c r="CZ33" s="310"/>
      <c r="DA33" s="310"/>
      <c r="DB33" s="310"/>
      <c r="DC33" s="280" t="e">
        <f>DC8+DA12</f>
        <v>#N/A</v>
      </c>
      <c r="DD33" s="280" t="e">
        <f>DD8-DA12</f>
        <v>#N/A</v>
      </c>
      <c r="DE33" s="310"/>
      <c r="DF33" s="280" t="e">
        <f>DF8+DA12</f>
        <v>#N/A</v>
      </c>
      <c r="DG33" s="280" t="e">
        <f>DG8-DA12</f>
        <v>#N/A</v>
      </c>
      <c r="DH33" s="310"/>
      <c r="DI33" s="310"/>
      <c r="DJ33" s="310"/>
      <c r="DK33" s="313">
        <v>25</v>
      </c>
      <c r="DL33" s="282" t="e">
        <f t="shared" si="3"/>
        <v>#N/A</v>
      </c>
      <c r="DM33" s="291" t="e">
        <f t="shared" si="4"/>
        <v>#N/A</v>
      </c>
      <c r="DN33" s="310"/>
      <c r="DO33" s="310"/>
      <c r="DP33" s="310"/>
      <c r="DQ33" s="310"/>
      <c r="DR33" s="310"/>
      <c r="DS33" s="310"/>
      <c r="DT33" s="310" t="s">
        <v>104</v>
      </c>
      <c r="DU33" s="310" t="s">
        <v>65</v>
      </c>
      <c r="DV33" s="310">
        <f>ABS(J36-MAX(H26:I29))*MAX(EF46:EF49)*1000</f>
        <v>16714.285714285714</v>
      </c>
      <c r="DW33" s="310"/>
      <c r="DX33" s="310"/>
      <c r="DY33" s="310"/>
      <c r="DZ33" s="310"/>
      <c r="EA33" s="310"/>
      <c r="EB33" s="310"/>
      <c r="EC33" s="310"/>
      <c r="ED33" s="310"/>
      <c r="EE33" s="310"/>
      <c r="EF33" s="310"/>
      <c r="EG33" s="310"/>
      <c r="EH33" s="310"/>
      <c r="EI33" s="310"/>
      <c r="EJ33" s="310"/>
      <c r="EK33" s="310"/>
      <c r="EL33" s="310"/>
      <c r="EM33" s="310"/>
      <c r="EN33" s="310"/>
      <c r="EO33" s="310"/>
      <c r="EP33" s="310"/>
      <c r="EQ33" s="310"/>
      <c r="ER33" s="310"/>
      <c r="ES33" s="332" t="e">
        <v>#N/A</v>
      </c>
      <c r="ET33" s="332" t="e">
        <v>#N/A</v>
      </c>
      <c r="EU33" s="406" t="s">
        <v>152</v>
      </c>
      <c r="EV33" s="332" t="e">
        <f t="shared" ref="EV33:FC33" si="74">EV31</f>
        <v>#N/A</v>
      </c>
      <c r="EW33" s="332" t="e">
        <f t="shared" si="74"/>
        <v>#N/A</v>
      </c>
      <c r="EX33" s="332" t="e">
        <f t="shared" si="74"/>
        <v>#N/A</v>
      </c>
      <c r="EY33" s="332" t="e">
        <f t="shared" si="74"/>
        <v>#N/A</v>
      </c>
      <c r="EZ33" s="346" t="e">
        <f t="shared" si="74"/>
        <v>#N/A</v>
      </c>
      <c r="FA33" s="346" t="e">
        <f t="shared" si="74"/>
        <v>#N/A</v>
      </c>
      <c r="FB33" s="346" t="e">
        <f t="shared" si="74"/>
        <v>#N/A</v>
      </c>
      <c r="FC33" s="346" t="e">
        <f t="shared" si="74"/>
        <v>#N/A</v>
      </c>
      <c r="FD33" s="258" t="e">
        <v>#N/A</v>
      </c>
      <c r="FE33" s="258" t="e">
        <v>#N/A</v>
      </c>
      <c r="FF33" s="310"/>
      <c r="FG33" s="310"/>
      <c r="FH33" s="310"/>
      <c r="FI33" s="310"/>
      <c r="FJ33" s="310"/>
      <c r="FK33" s="310"/>
      <c r="FL33" s="310"/>
      <c r="FM33" s="310"/>
      <c r="FN33" s="310"/>
      <c r="FO33" s="310"/>
      <c r="FP33" s="310"/>
      <c r="FQ33" s="310"/>
      <c r="FR33" s="310"/>
      <c r="FS33" s="310"/>
      <c r="FT33" s="310"/>
      <c r="FU33" s="310"/>
      <c r="FV33" s="310"/>
      <c r="FW33" s="310"/>
      <c r="FX33" s="310"/>
      <c r="FY33" s="310"/>
      <c r="FZ33" s="310"/>
      <c r="GA33" s="329"/>
      <c r="GB33" s="329"/>
      <c r="GC33" s="310"/>
      <c r="GD33" s="310"/>
      <c r="GE33" s="310"/>
      <c r="GF33" s="310"/>
      <c r="GG33" s="310"/>
      <c r="GH33" s="310"/>
      <c r="GI33" s="310"/>
      <c r="GJ33" s="310"/>
      <c r="GK33" s="310"/>
      <c r="GL33" s="310"/>
      <c r="GM33" s="310"/>
      <c r="GN33" s="310"/>
      <c r="GO33" s="310"/>
      <c r="GP33" s="310"/>
      <c r="GQ33" s="310"/>
      <c r="GR33" s="310"/>
      <c r="GS33" s="310"/>
      <c r="GT33" s="310"/>
      <c r="GU33" s="310"/>
      <c r="GV33" s="310"/>
      <c r="GW33" s="310"/>
      <c r="GX33" s="310"/>
      <c r="GY33" s="310"/>
      <c r="GZ33" s="310"/>
      <c r="HA33" s="310"/>
      <c r="HB33" s="310"/>
      <c r="HC33" s="310">
        <v>7071.7003502691896</v>
      </c>
      <c r="HD33" s="310"/>
      <c r="HE33" s="310"/>
      <c r="HF33" s="310"/>
      <c r="HG33" s="310"/>
      <c r="HH33" s="310"/>
      <c r="HI33" s="310"/>
      <c r="HJ33" s="310"/>
      <c r="HK33" s="342">
        <v>19</v>
      </c>
      <c r="HL33" s="235" t="e">
        <f t="shared" si="5"/>
        <v>#N/A</v>
      </c>
      <c r="HM33" s="235" t="e">
        <f t="shared" si="6"/>
        <v>#N/A</v>
      </c>
      <c r="HN33" s="310"/>
      <c r="HO33" s="310"/>
      <c r="HP33" s="235" t="e">
        <f t="shared" si="7"/>
        <v>#N/A</v>
      </c>
      <c r="HQ33" s="235" t="e">
        <f t="shared" si="8"/>
        <v>#N/A</v>
      </c>
      <c r="HR33" s="310"/>
      <c r="HS33" s="310"/>
      <c r="HT33" s="235" t="e">
        <f t="shared" si="9"/>
        <v>#N/A</v>
      </c>
      <c r="HU33" s="235" t="e">
        <f t="shared" si="10"/>
        <v>#N/A</v>
      </c>
      <c r="HV33" s="310"/>
      <c r="HW33" s="310"/>
      <c r="HX33" s="235" t="e">
        <f t="shared" si="11"/>
        <v>#N/A</v>
      </c>
      <c r="HY33" s="235" t="e">
        <f t="shared" si="12"/>
        <v>#N/A</v>
      </c>
      <c r="HZ33" s="310"/>
      <c r="IA33" s="310"/>
      <c r="IB33" s="235" t="e">
        <f t="shared" si="13"/>
        <v>#N/A</v>
      </c>
      <c r="IC33" s="235" t="e">
        <f t="shared" si="14"/>
        <v>#N/A</v>
      </c>
      <c r="ID33" s="310"/>
      <c r="IE33" s="342">
        <v>19</v>
      </c>
      <c r="IF33" s="262" t="e">
        <f t="shared" si="15"/>
        <v>#N/A</v>
      </c>
      <c r="IG33" s="262" t="e">
        <f t="shared" si="16"/>
        <v>#N/A</v>
      </c>
      <c r="IH33" s="390"/>
      <c r="II33" s="390"/>
      <c r="IJ33" s="262" t="e">
        <f t="shared" si="17"/>
        <v>#N/A</v>
      </c>
      <c r="IK33" s="262" t="e">
        <f t="shared" si="18"/>
        <v>#N/A</v>
      </c>
      <c r="IL33" s="390"/>
      <c r="IM33" s="390"/>
      <c r="IN33" s="262" t="e">
        <f t="shared" si="19"/>
        <v>#N/A</v>
      </c>
      <c r="IO33" s="262" t="e">
        <f t="shared" si="20"/>
        <v>#N/A</v>
      </c>
      <c r="IP33" s="390"/>
      <c r="IQ33" s="390"/>
      <c r="IR33" s="262" t="e">
        <f t="shared" si="21"/>
        <v>#N/A</v>
      </c>
      <c r="IS33" s="262" t="e">
        <f t="shared" si="22"/>
        <v>#N/A</v>
      </c>
      <c r="IT33" s="390"/>
      <c r="IU33" s="390"/>
      <c r="IV33" s="262" t="e">
        <f t="shared" si="23"/>
        <v>#N/A</v>
      </c>
      <c r="IW33" s="262" t="e">
        <f t="shared" si="24"/>
        <v>#N/A</v>
      </c>
      <c r="IX33" s="310"/>
      <c r="IY33" s="342" t="s">
        <v>355</v>
      </c>
      <c r="IZ33" s="342" t="s">
        <v>48</v>
      </c>
      <c r="JA33" s="353" t="s">
        <v>49</v>
      </c>
      <c r="JB33" s="313" t="s">
        <v>144</v>
      </c>
      <c r="JC33" s="236" t="e">
        <f>IZ34+($IZ$10/2)-$IZ$9</f>
        <v>#N/A</v>
      </c>
      <c r="JD33" s="236" t="e">
        <f>JD32</f>
        <v>#N/A</v>
      </c>
      <c r="JE33" s="310"/>
      <c r="JF33" s="342" t="s">
        <v>355</v>
      </c>
      <c r="JG33" s="342" t="s">
        <v>48</v>
      </c>
      <c r="JH33" s="353" t="s">
        <v>49</v>
      </c>
      <c r="JI33" s="313" t="s">
        <v>144</v>
      </c>
      <c r="JJ33" s="263" t="e">
        <f>JG34+($IZ$10/2)-$IZ$9</f>
        <v>#N/A</v>
      </c>
      <c r="JK33" s="263" t="e">
        <f>JK32</f>
        <v>#N/A</v>
      </c>
      <c r="JL33" s="310"/>
      <c r="JM33" s="310"/>
      <c r="JN33" s="261" t="e">
        <f t="shared" si="25"/>
        <v>#N/A</v>
      </c>
      <c r="JO33" s="261" t="e">
        <f t="shared" si="26"/>
        <v>#N/A</v>
      </c>
      <c r="JP33" s="310"/>
      <c r="JQ33" s="310"/>
      <c r="JR33" s="261" t="e">
        <f t="shared" si="31"/>
        <v>#N/A</v>
      </c>
      <c r="JS33" s="261" t="e">
        <f t="shared" si="32"/>
        <v>#N/A</v>
      </c>
      <c r="JT33" s="310"/>
      <c r="JU33" s="310"/>
      <c r="JV33" s="261" t="e">
        <f t="shared" si="27"/>
        <v>#N/A</v>
      </c>
      <c r="JW33" s="261" t="e">
        <f t="shared" si="28"/>
        <v>#N/A</v>
      </c>
      <c r="JX33" s="310"/>
      <c r="JY33" s="310"/>
      <c r="JZ33" s="310"/>
      <c r="KA33" s="310"/>
      <c r="KB33" s="313" t="s">
        <v>167</v>
      </c>
      <c r="KC33" s="263" t="e">
        <f>KC30</f>
        <v>#N/A</v>
      </c>
      <c r="KD33" s="263" t="e">
        <f>KA31-($IZ$10/2)</f>
        <v>#N/A</v>
      </c>
      <c r="KE33" s="310"/>
      <c r="KF33" s="310"/>
      <c r="KG33" s="310"/>
      <c r="KH33" s="310"/>
      <c r="KI33" s="310"/>
      <c r="KJ33" s="310"/>
      <c r="KK33" s="310"/>
      <c r="KL33" s="310"/>
      <c r="KM33" s="310"/>
      <c r="KN33" s="310"/>
      <c r="KO33" s="310"/>
      <c r="KP33" s="310"/>
      <c r="KQ33" s="310"/>
      <c r="KR33" s="310"/>
      <c r="KS33" s="310"/>
      <c r="KT33" s="310"/>
      <c r="KU33" s="310"/>
      <c r="KV33" s="310"/>
      <c r="KW33" s="310"/>
      <c r="KX33" s="310"/>
      <c r="KY33" s="310"/>
      <c r="KZ33" s="310"/>
      <c r="LA33" s="412" t="str">
        <f>G28</f>
        <v>P3</v>
      </c>
      <c r="LB33" s="306" t="e">
        <f>IF(AND(CP13=TRUE,CU11=TRUE,BL9=TRUE),SQRT(($M$11-J28)^2+($M$10-H28)^2)-(0.5*O14),#N/A)</f>
        <v>#N/A</v>
      </c>
      <c r="LC33" s="306" t="e">
        <f>IF(CP13=TRUE,IF(LB33=MAX($LB$31:$LB$33,$LB$35:$LB$37),TRUE,FALSE),#N/A)</f>
        <v>#N/A</v>
      </c>
      <c r="LD33" s="306" t="e">
        <f>IF(AND(CP13=TRUE,CU11=TRUE,BL9=TRUE),(M46*LB33),#N/A)</f>
        <v>#N/A</v>
      </c>
      <c r="LE33" s="310"/>
      <c r="LF33" s="310"/>
      <c r="LG33" s="310"/>
      <c r="LH33" s="391">
        <f>ON57</f>
        <v>0</v>
      </c>
      <c r="LI33" s="391" t="e">
        <f>LI32</f>
        <v>#N/A</v>
      </c>
      <c r="LJ33" s="338" t="e">
        <v>#N/A</v>
      </c>
      <c r="LK33" s="338" t="e">
        <v>#N/A</v>
      </c>
      <c r="LL33" s="391"/>
      <c r="LM33" s="310"/>
      <c r="LN33" s="310"/>
      <c r="LO33" s="338">
        <f>ON57</f>
        <v>0</v>
      </c>
      <c r="LP33" s="338">
        <f>LP32</f>
        <v>-0.35</v>
      </c>
      <c r="LQ33" s="338" t="e">
        <v>#N/A</v>
      </c>
      <c r="LR33" s="338" t="e">
        <v>#N/A</v>
      </c>
      <c r="LS33" s="391"/>
      <c r="LT33" s="310"/>
      <c r="LU33" s="310"/>
      <c r="LV33" s="338">
        <f>LV32</f>
        <v>1.9</v>
      </c>
      <c r="LW33" s="338">
        <f>OO57</f>
        <v>0</v>
      </c>
      <c r="LX33" s="338" t="e">
        <v>#N/A</v>
      </c>
      <c r="LY33" s="338" t="e">
        <v>#N/A</v>
      </c>
      <c r="LZ33" s="391"/>
      <c r="MA33" s="310"/>
      <c r="MB33" s="310"/>
      <c r="MC33" s="338">
        <f>MC32</f>
        <v>0.68999999999999972</v>
      </c>
      <c r="MD33" s="338">
        <f>OO57</f>
        <v>0</v>
      </c>
      <c r="ME33" s="338" t="e">
        <v>#N/A</v>
      </c>
      <c r="MF33" s="338" t="e">
        <v>#N/A</v>
      </c>
      <c r="MG33" s="391"/>
      <c r="MH33" s="310"/>
      <c r="MI33" s="310"/>
      <c r="MJ33" s="242" t="e">
        <v>#N/A</v>
      </c>
      <c r="MK33" s="242" t="e">
        <v>#N/A</v>
      </c>
      <c r="ML33" s="242" t="e">
        <v>#N/A</v>
      </c>
      <c r="MM33" s="242" t="e">
        <v>#N/A</v>
      </c>
      <c r="MN33" s="391"/>
      <c r="MO33" s="310"/>
      <c r="MP33" s="311" t="e">
        <v>#N/A</v>
      </c>
      <c r="MQ33" s="311" t="e">
        <v>#N/A</v>
      </c>
      <c r="MR33" s="311"/>
      <c r="MS33" s="311"/>
      <c r="MT33" s="296" t="e">
        <f>IF(MU29=TRUE,NB27,#N/A)</f>
        <v>#N/A</v>
      </c>
      <c r="MU33" s="296" t="e">
        <f>MU32</f>
        <v>#N/A</v>
      </c>
      <c r="MV33" s="310"/>
      <c r="MW33" s="280" t="e">
        <f>IF($MU$29=TRUE,$MU$17+$BT$7/2,#N/A)</f>
        <v>#N/A</v>
      </c>
      <c r="MX33" s="280" t="e">
        <f>MX32</f>
        <v>#N/A</v>
      </c>
      <c r="MY33" s="310"/>
      <c r="MZ33" s="433">
        <f>N55</f>
        <v>8</v>
      </c>
      <c r="NA33" s="310"/>
      <c r="NB33" s="328" t="s">
        <v>48</v>
      </c>
      <c r="NC33" s="328" t="s">
        <v>49</v>
      </c>
      <c r="ND33" s="328" t="s">
        <v>48</v>
      </c>
      <c r="NE33" s="328" t="s">
        <v>49</v>
      </c>
      <c r="NF33" s="329"/>
      <c r="NG33" s="329" t="s">
        <v>486</v>
      </c>
      <c r="NH33" s="329" t="b">
        <f>IF(CP13=TRUE,BL9,FALSE)</f>
        <v>0</v>
      </c>
      <c r="NI33" s="329"/>
      <c r="NJ33" s="329"/>
      <c r="NK33" s="329"/>
      <c r="NL33" s="329"/>
      <c r="NM33" s="329"/>
      <c r="NN33" s="310"/>
      <c r="NO33" s="310"/>
      <c r="NP33" s="321"/>
      <c r="NQ33" s="310"/>
      <c r="NR33" s="310"/>
      <c r="NS33" s="310"/>
      <c r="NT33" s="310"/>
      <c r="NU33" s="310"/>
      <c r="NV33" s="310"/>
      <c r="NW33" s="310"/>
      <c r="NX33" s="310"/>
      <c r="NY33" s="310"/>
      <c r="NZ33" s="310"/>
      <c r="OA33" s="310"/>
      <c r="OB33" s="310"/>
      <c r="OC33" s="310"/>
      <c r="OD33" s="310"/>
      <c r="OE33" s="310"/>
      <c r="OF33" s="310"/>
      <c r="OG33" s="310"/>
      <c r="OH33" s="310"/>
      <c r="OI33" s="310"/>
      <c r="OJ33" s="310"/>
      <c r="OK33" s="310"/>
      <c r="OL33" s="310"/>
      <c r="OM33" s="228" t="e">
        <f>OM32</f>
        <v>#N/A</v>
      </c>
      <c r="ON33" s="228" t="e">
        <f>IF(ON20=TRUE,ON17,#N/A)</f>
        <v>#N/A</v>
      </c>
      <c r="OO33" s="310"/>
      <c r="OP33" s="310"/>
      <c r="OQ33" s="310"/>
      <c r="OR33" s="310"/>
      <c r="OS33" s="310"/>
      <c r="OT33" s="310"/>
      <c r="OU33" s="328" t="s">
        <v>48</v>
      </c>
      <c r="OV33" s="328" t="s">
        <v>49</v>
      </c>
      <c r="OW33" s="310"/>
      <c r="OX33" s="310"/>
      <c r="OY33" s="310"/>
      <c r="OZ33" s="310"/>
      <c r="PA33" s="310"/>
      <c r="PB33" s="310"/>
      <c r="PC33" s="310"/>
      <c r="PD33" s="310"/>
      <c r="PE33" s="313">
        <v>19</v>
      </c>
      <c r="PF33" s="318" t="b">
        <f t="shared" si="33"/>
        <v>0</v>
      </c>
      <c r="PG33" s="283" t="e">
        <f t="shared" si="34"/>
        <v>#N/A</v>
      </c>
      <c r="PH33" s="283" t="e">
        <f t="shared" si="35"/>
        <v>#N/A</v>
      </c>
      <c r="PI33" s="295" t="e">
        <f t="shared" si="36"/>
        <v>#N/A</v>
      </c>
      <c r="PJ33" s="310"/>
      <c r="PK33" s="310"/>
      <c r="PL33" s="310"/>
      <c r="PM33" s="310"/>
      <c r="PN33" s="310"/>
      <c r="PO33" s="310"/>
      <c r="PP33" s="310"/>
      <c r="PQ33" s="310"/>
      <c r="PR33" s="310"/>
      <c r="PS33" s="342">
        <v>19</v>
      </c>
      <c r="PT33" s="261" t="e">
        <f t="shared" si="29"/>
        <v>#N/A</v>
      </c>
      <c r="PU33" s="261" t="e">
        <f t="shared" si="30"/>
        <v>#N/A</v>
      </c>
      <c r="PV33" s="310"/>
      <c r="PW33" s="310"/>
      <c r="PX33" s="310"/>
      <c r="PY33" s="400"/>
      <c r="PZ33" s="310"/>
      <c r="QA33" s="310"/>
      <c r="QB33" s="310"/>
      <c r="QC33" s="310"/>
      <c r="QD33" s="310"/>
      <c r="QE33" s="310"/>
      <c r="QF33" s="531" t="s">
        <v>498</v>
      </c>
      <c r="QG33" s="531"/>
      <c r="QH33" s="422"/>
      <c r="QI33" s="310"/>
      <c r="QJ33" s="310"/>
      <c r="QK33" s="400"/>
      <c r="QL33" s="310"/>
      <c r="QM33" s="310"/>
      <c r="QN33" s="310"/>
      <c r="QO33" s="310"/>
      <c r="QP33" s="310"/>
      <c r="QQ33" s="310"/>
      <c r="QR33" s="531" t="s">
        <v>503</v>
      </c>
      <c r="QS33" s="531"/>
      <c r="QT33" s="422"/>
      <c r="QU33" s="310"/>
      <c r="QV33" s="310"/>
      <c r="QW33" s="310"/>
      <c r="QX33" s="310"/>
      <c r="QY33" s="310"/>
      <c r="QZ33" s="310"/>
      <c r="RA33" s="310"/>
      <c r="RB33" s="310"/>
      <c r="RC33" s="310"/>
      <c r="RD33" s="310" t="b">
        <f>RB12&lt;QX11</f>
        <v>1</v>
      </c>
      <c r="RE33" s="310"/>
      <c r="RF33" s="310"/>
      <c r="RG33" s="310"/>
      <c r="RH33" s="310"/>
      <c r="RI33" s="310"/>
      <c r="RJ33" s="310"/>
      <c r="RK33" s="310"/>
      <c r="RL33" s="310"/>
      <c r="RM33" s="310"/>
      <c r="RN33" s="310"/>
      <c r="RO33" s="310"/>
      <c r="RP33" s="310"/>
      <c r="RQ33" s="310"/>
      <c r="RR33" s="310"/>
      <c r="RS33" s="310"/>
      <c r="RT33" s="310"/>
      <c r="RU33" s="310"/>
      <c r="RV33" s="310"/>
      <c r="RW33" s="310"/>
      <c r="RX33" s="328" t="s">
        <v>167</v>
      </c>
      <c r="RY33" s="338" t="e">
        <f t="shared" si="70"/>
        <v>#N/A</v>
      </c>
      <c r="RZ33" s="338" t="e">
        <f t="shared" si="71"/>
        <v>#N/A</v>
      </c>
      <c r="SA33" s="338" t="b">
        <f t="shared" si="72"/>
        <v>1</v>
      </c>
      <c r="SB33" s="338" t="b">
        <f t="shared" si="73"/>
        <v>1</v>
      </c>
      <c r="SC33" s="310" t="b">
        <f>IF(BM11=TRUE,IF(SA33=TRUE,FALSE,TRUE),FALSE)</f>
        <v>0</v>
      </c>
      <c r="SD33" s="310"/>
      <c r="SE33" s="310"/>
      <c r="SF33" s="513">
        <f>SF32+0.25</f>
        <v>-0.4</v>
      </c>
      <c r="SG33" s="513">
        <f>SG32+0.25</f>
        <v>0.9</v>
      </c>
      <c r="SH33" s="247"/>
      <c r="SI33" s="247"/>
      <c r="SJ33" s="310"/>
      <c r="SK33" s="310"/>
      <c r="SL33" s="310"/>
      <c r="SM33" s="310"/>
      <c r="SN33" s="310"/>
      <c r="SO33" s="220"/>
      <c r="SP33" s="220"/>
      <c r="SQ33" s="220"/>
      <c r="SR33" s="220"/>
      <c r="SS33" s="220"/>
      <c r="ST33" s="220"/>
      <c r="SU33" s="220"/>
      <c r="SV33" s="220"/>
      <c r="SW33" s="220"/>
      <c r="SX33" s="220"/>
      <c r="SY33" s="220"/>
      <c r="SZ33" s="220"/>
      <c r="TA33" s="220"/>
      <c r="TB33" s="220"/>
      <c r="TC33" s="220"/>
      <c r="TD33" s="220"/>
      <c r="TE33" s="220"/>
      <c r="TF33" s="220"/>
      <c r="TG33" s="220"/>
      <c r="TH33" s="220"/>
      <c r="TI33" s="220"/>
      <c r="TJ33" s="220"/>
      <c r="TK33" s="220"/>
      <c r="TL33" s="220"/>
      <c r="TM33" s="220"/>
      <c r="TN33" s="220"/>
      <c r="TO33" s="220"/>
      <c r="TP33" s="220"/>
      <c r="TQ33" s="220"/>
      <c r="TR33" s="220"/>
      <c r="TS33" s="220"/>
      <c r="TT33" s="220"/>
      <c r="TU33" s="220"/>
      <c r="TV33" s="220"/>
      <c r="TW33" s="220"/>
      <c r="TX33" s="220"/>
      <c r="TY33" s="220"/>
      <c r="TZ33" s="220"/>
      <c r="UA33" s="220"/>
      <c r="UB33" s="220"/>
      <c r="UC33" s="220"/>
      <c r="UD33" s="220"/>
      <c r="UE33" s="220"/>
      <c r="UF33" s="220"/>
      <c r="UG33" s="220"/>
      <c r="UH33" s="220"/>
      <c r="UI33" s="220"/>
      <c r="UJ33" s="220"/>
      <c r="UK33" s="216"/>
      <c r="UL33" s="216"/>
      <c r="UM33" s="216"/>
      <c r="UN33" s="216"/>
      <c r="UO33" s="216"/>
      <c r="UP33" s="216"/>
      <c r="UQ33" s="216"/>
      <c r="UR33" s="216"/>
      <c r="US33" s="216"/>
      <c r="UT33" s="216"/>
      <c r="UU33" s="216"/>
      <c r="UV33" s="216"/>
      <c r="UW33" s="216"/>
      <c r="UX33" s="216"/>
      <c r="UY33" s="216"/>
      <c r="UZ33" s="216"/>
      <c r="VA33" s="216"/>
    </row>
    <row r="34" spans="1:573" s="4" customFormat="1" ht="15" customHeight="1" x14ac:dyDescent="0.45">
      <c r="A34" s="51"/>
      <c r="B34" s="51"/>
      <c r="C34" s="52"/>
      <c r="D34" s="52"/>
      <c r="E34" s="52"/>
      <c r="F34" s="52"/>
      <c r="G34" s="40" t="s">
        <v>98</v>
      </c>
      <c r="H34" s="41"/>
      <c r="I34" s="41"/>
      <c r="J34" s="41"/>
      <c r="K34" s="41"/>
      <c r="L34" s="41"/>
      <c r="M34" s="41"/>
      <c r="N34" s="41"/>
      <c r="O34" s="63"/>
      <c r="P34" s="50"/>
      <c r="Q34" s="208">
        <f>0.65</f>
        <v>0.65</v>
      </c>
      <c r="R34" s="209">
        <f>0.65+0.35</f>
        <v>1</v>
      </c>
      <c r="S34" s="50"/>
      <c r="T34" s="50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5"/>
      <c r="AM34" s="45"/>
      <c r="AN34" s="45"/>
      <c r="AO34" s="45"/>
      <c r="AP34" s="310"/>
      <c r="AQ34" s="310"/>
      <c r="AR34" s="310"/>
      <c r="AS34" s="310"/>
      <c r="AT34" s="310"/>
      <c r="AU34" s="310"/>
      <c r="AV34" s="310"/>
      <c r="AW34" s="310"/>
      <c r="AX34" s="310"/>
      <c r="AY34" s="310"/>
      <c r="AZ34" s="338" t="b">
        <f>IF(JM11=TRUE,IF(Q35&lt;&gt;"",TRUE,FALSE),"")</f>
        <v>0</v>
      </c>
      <c r="BA34" s="531"/>
      <c r="BB34" s="310"/>
      <c r="BC34" s="310"/>
      <c r="BD34" s="310"/>
      <c r="BE34" s="310"/>
      <c r="BF34" s="310"/>
      <c r="BG34" s="310"/>
      <c r="BH34" s="310"/>
      <c r="BI34" s="310"/>
      <c r="BJ34" s="310"/>
      <c r="BK34" s="310">
        <v>0</v>
      </c>
      <c r="BL34" s="310">
        <v>1</v>
      </c>
      <c r="BM34" s="310" t="s">
        <v>73</v>
      </c>
      <c r="BN34" s="310"/>
      <c r="BO34" s="310"/>
      <c r="BP34" s="314"/>
      <c r="BQ34" s="425"/>
      <c r="BR34" s="426"/>
      <c r="BS34" s="310"/>
      <c r="BT34" s="310" t="s">
        <v>106</v>
      </c>
      <c r="BU34" s="245" t="e">
        <f>IF(OM9=TRUE,$M$10,#N/A)</f>
        <v>#N/A</v>
      </c>
      <c r="BV34" s="244" t="e">
        <f>IF(OM9=TRUE,$M$11,#N/A)</f>
        <v>#N/A</v>
      </c>
      <c r="BW34" s="310" t="s">
        <v>107</v>
      </c>
      <c r="BX34" s="400"/>
      <c r="BY34" s="246" t="e">
        <f>BY31</f>
        <v>#N/A</v>
      </c>
      <c r="BZ34" s="248" t="e">
        <f>BZ33</f>
        <v>#N/A</v>
      </c>
      <c r="CA34" s="310"/>
      <c r="CB34" s="310"/>
      <c r="CC34" s="310"/>
      <c r="CD34" s="310"/>
      <c r="CE34" s="310"/>
      <c r="CF34" s="310"/>
      <c r="CG34" s="310"/>
      <c r="CH34" s="310"/>
      <c r="CI34" s="310"/>
      <c r="CJ34" s="257" t="e">
        <f>CJ31</f>
        <v>#N/A</v>
      </c>
      <c r="CK34" s="257" t="e">
        <f>CK33</f>
        <v>#N/A</v>
      </c>
      <c r="CL34" s="310"/>
      <c r="CM34" s="310"/>
      <c r="CN34" s="338" t="s">
        <v>262</v>
      </c>
      <c r="CO34" s="338" t="b">
        <f>AND(BE8=TRUE,BL8=TRUE,AY16=TRUE)</f>
        <v>0</v>
      </c>
      <c r="CP34" s="310"/>
      <c r="CQ34" s="310"/>
      <c r="CR34" s="310"/>
      <c r="CS34" s="310"/>
      <c r="CT34" s="338" t="s">
        <v>273</v>
      </c>
      <c r="CU34" s="338" t="b">
        <f>AND(BE8=TRUE,BL8=TRUE,AY15=TRUE)</f>
        <v>0</v>
      </c>
      <c r="CV34" s="310"/>
      <c r="CW34" s="310"/>
      <c r="CX34" s="310"/>
      <c r="CY34" s="310"/>
      <c r="CZ34" s="310"/>
      <c r="DA34" s="310"/>
      <c r="DB34" s="310"/>
      <c r="DC34" s="280" t="e">
        <f>DC33</f>
        <v>#N/A</v>
      </c>
      <c r="DD34" s="280" t="e">
        <f>IF(DD6=TRUE,G52/100,#N/A)</f>
        <v>#N/A</v>
      </c>
      <c r="DE34" s="310"/>
      <c r="DF34" s="280" t="e">
        <f>DF33</f>
        <v>#N/A</v>
      </c>
      <c r="DG34" s="280" t="e">
        <f>IF(DG6=TRUE,G52/100,#N/A)</f>
        <v>#N/A</v>
      </c>
      <c r="DH34" s="310"/>
      <c r="DI34" s="310"/>
      <c r="DJ34" s="310"/>
      <c r="DK34" s="313">
        <v>26</v>
      </c>
      <c r="DL34" s="282" t="e">
        <f t="shared" si="3"/>
        <v>#N/A</v>
      </c>
      <c r="DM34" s="291" t="e">
        <f t="shared" si="4"/>
        <v>#N/A</v>
      </c>
      <c r="DN34" s="310"/>
      <c r="DO34" s="310"/>
      <c r="DP34" s="310"/>
      <c r="DQ34" s="310"/>
      <c r="DR34" s="310"/>
      <c r="DS34" s="310"/>
      <c r="DT34" s="310"/>
      <c r="DU34" s="310" t="s">
        <v>55</v>
      </c>
      <c r="DV34" s="310">
        <f>ABS(J38-MAX(J26:J29))*MAX(EF46:EF49)*1000</f>
        <v>23400.000000000004</v>
      </c>
      <c r="DW34" s="310"/>
      <c r="DX34" s="310"/>
      <c r="DY34" s="310"/>
      <c r="DZ34" s="310"/>
      <c r="EA34" s="310"/>
      <c r="EB34" s="310"/>
      <c r="EC34" s="310"/>
      <c r="ED34" s="310"/>
      <c r="EE34" s="310"/>
      <c r="EF34" s="310"/>
      <c r="EG34" s="310"/>
      <c r="EH34" s="310"/>
      <c r="EI34" s="310"/>
      <c r="EJ34" s="310"/>
      <c r="EK34" s="310"/>
      <c r="EL34" s="310"/>
      <c r="EM34" s="310"/>
      <c r="EN34" s="310"/>
      <c r="EO34" s="310"/>
      <c r="EP34" s="310"/>
      <c r="EQ34" s="310"/>
      <c r="ER34" s="310"/>
      <c r="ES34" s="332" t="e">
        <v>#N/A</v>
      </c>
      <c r="ET34" s="332" t="e">
        <v>#N/A</v>
      </c>
      <c r="EU34" s="406" t="s">
        <v>167</v>
      </c>
      <c r="EV34" s="413" t="e">
        <f>EV19-(EV10/SQRT(3))</f>
        <v>#N/A</v>
      </c>
      <c r="EW34" s="332" t="e">
        <f>EW33</f>
        <v>#N/A</v>
      </c>
      <c r="EX34" s="332" t="e">
        <f>EV25</f>
        <v>#N/A</v>
      </c>
      <c r="EY34" s="413" t="e">
        <f>EY20-EV10</f>
        <v>#N/A</v>
      </c>
      <c r="EZ34" s="346" t="e">
        <f>EZ33</f>
        <v>#N/A</v>
      </c>
      <c r="FA34" s="346" t="e">
        <f>FA20-((2/3)*(EV10/SQRT(3)))</f>
        <v>#N/A</v>
      </c>
      <c r="FB34" s="346" t="e">
        <f>FB21+EV10</f>
        <v>#N/A</v>
      </c>
      <c r="FC34" s="346" t="e">
        <f>FC21+(EV10/SQRT(3))</f>
        <v>#N/A</v>
      </c>
      <c r="FD34" s="258" t="e">
        <v>#N/A</v>
      </c>
      <c r="FE34" s="258" t="e">
        <v>#N/A</v>
      </c>
      <c r="FF34" s="310"/>
      <c r="FG34" s="310"/>
      <c r="FH34" s="310"/>
      <c r="FI34" s="310"/>
      <c r="FJ34" s="310"/>
      <c r="FK34" s="310"/>
      <c r="FL34" s="310"/>
      <c r="FM34" s="310"/>
      <c r="FN34" s="310"/>
      <c r="FO34" s="310"/>
      <c r="FP34" s="310"/>
      <c r="FQ34" s="310"/>
      <c r="FR34" s="310"/>
      <c r="FS34" s="310"/>
      <c r="FT34" s="310"/>
      <c r="FU34" s="310"/>
      <c r="FV34" s="310"/>
      <c r="FW34" s="310"/>
      <c r="FX34" s="310"/>
      <c r="FY34" s="310"/>
      <c r="FZ34" s="310"/>
      <c r="GA34" s="310"/>
      <c r="GB34" s="310"/>
      <c r="GC34" s="310"/>
      <c r="GD34" s="310"/>
      <c r="GE34" s="310"/>
      <c r="GF34" s="310"/>
      <c r="GG34" s="310"/>
      <c r="GH34" s="310"/>
      <c r="GI34" s="310"/>
      <c r="GJ34" s="310"/>
      <c r="GK34" s="310"/>
      <c r="GL34" s="310"/>
      <c r="GM34" s="310"/>
      <c r="GN34" s="310"/>
      <c r="GO34" s="310"/>
      <c r="GP34" s="310"/>
      <c r="GQ34" s="310"/>
      <c r="GR34" s="310"/>
      <c r="GS34" s="310"/>
      <c r="GT34" s="310"/>
      <c r="GU34" s="310"/>
      <c r="GV34" s="310"/>
      <c r="GW34" s="310"/>
      <c r="GX34" s="310"/>
      <c r="GY34" s="310"/>
      <c r="GZ34" s="310"/>
      <c r="HA34" s="310"/>
      <c r="HB34" s="310"/>
      <c r="HC34" s="310">
        <v>7070.8343248654046</v>
      </c>
      <c r="HD34" s="310"/>
      <c r="HE34" s="310"/>
      <c r="HF34" s="310"/>
      <c r="HG34" s="310"/>
      <c r="HH34" s="310"/>
      <c r="HI34" s="310"/>
      <c r="HJ34" s="310"/>
      <c r="HK34" s="342">
        <v>20</v>
      </c>
      <c r="HL34" s="235" t="e">
        <f t="shared" si="5"/>
        <v>#N/A</v>
      </c>
      <c r="HM34" s="235" t="e">
        <f t="shared" si="6"/>
        <v>#N/A</v>
      </c>
      <c r="HN34" s="310"/>
      <c r="HO34" s="310"/>
      <c r="HP34" s="235" t="e">
        <f t="shared" si="7"/>
        <v>#N/A</v>
      </c>
      <c r="HQ34" s="235" t="e">
        <f t="shared" si="8"/>
        <v>#N/A</v>
      </c>
      <c r="HR34" s="310"/>
      <c r="HS34" s="310"/>
      <c r="HT34" s="235" t="e">
        <f t="shared" si="9"/>
        <v>#N/A</v>
      </c>
      <c r="HU34" s="235" t="e">
        <f t="shared" si="10"/>
        <v>#N/A</v>
      </c>
      <c r="HV34" s="310"/>
      <c r="HW34" s="310"/>
      <c r="HX34" s="235" t="e">
        <f t="shared" si="11"/>
        <v>#N/A</v>
      </c>
      <c r="HY34" s="235" t="e">
        <f t="shared" si="12"/>
        <v>#N/A</v>
      </c>
      <c r="HZ34" s="310"/>
      <c r="IA34" s="310"/>
      <c r="IB34" s="235" t="e">
        <f t="shared" si="13"/>
        <v>#N/A</v>
      </c>
      <c r="IC34" s="235" t="e">
        <f t="shared" si="14"/>
        <v>#N/A</v>
      </c>
      <c r="ID34" s="310"/>
      <c r="IE34" s="342">
        <v>20</v>
      </c>
      <c r="IF34" s="262" t="e">
        <f t="shared" si="15"/>
        <v>#N/A</v>
      </c>
      <c r="IG34" s="262" t="e">
        <f t="shared" si="16"/>
        <v>#N/A</v>
      </c>
      <c r="IH34" s="390"/>
      <c r="II34" s="390"/>
      <c r="IJ34" s="262" t="e">
        <f t="shared" si="17"/>
        <v>#N/A</v>
      </c>
      <c r="IK34" s="262" t="e">
        <f t="shared" si="18"/>
        <v>#N/A</v>
      </c>
      <c r="IL34" s="390"/>
      <c r="IM34" s="390"/>
      <c r="IN34" s="262" t="e">
        <f t="shared" si="19"/>
        <v>#N/A</v>
      </c>
      <c r="IO34" s="262" t="e">
        <f t="shared" si="20"/>
        <v>#N/A</v>
      </c>
      <c r="IP34" s="390"/>
      <c r="IQ34" s="390"/>
      <c r="IR34" s="262" t="e">
        <f t="shared" si="21"/>
        <v>#N/A</v>
      </c>
      <c r="IS34" s="262" t="e">
        <f t="shared" si="22"/>
        <v>#N/A</v>
      </c>
      <c r="IT34" s="390"/>
      <c r="IU34" s="390"/>
      <c r="IV34" s="262" t="e">
        <f t="shared" si="23"/>
        <v>#N/A</v>
      </c>
      <c r="IW34" s="262" t="e">
        <f t="shared" si="24"/>
        <v>#N/A</v>
      </c>
      <c r="IX34" s="310"/>
      <c r="IY34" s="313" t="s">
        <v>72</v>
      </c>
      <c r="IZ34" s="362" t="e">
        <f>IF(JA32=TRUE,$M$21,#N/A)</f>
        <v>#N/A</v>
      </c>
      <c r="JA34" s="363" t="e">
        <f>IF(JA32=TRUE,$J$21,#N/A)</f>
        <v>#N/A</v>
      </c>
      <c r="JB34" s="313" t="s">
        <v>149</v>
      </c>
      <c r="JC34" s="236" t="e">
        <f>IZ34+($IZ$10/2)</f>
        <v>#N/A</v>
      </c>
      <c r="JD34" s="236" t="e">
        <f>JA34+($IZ$10/2)-$IZ$9</f>
        <v>#N/A</v>
      </c>
      <c r="JE34" s="310"/>
      <c r="JF34" s="313" t="s">
        <v>72</v>
      </c>
      <c r="JG34" s="362" t="e">
        <f>IF(JH32=TRUE,$J$28,#N/A)</f>
        <v>#N/A</v>
      </c>
      <c r="JH34" s="363" t="e">
        <f>IF(JH32=TRUE,$H$28,#N/A)</f>
        <v>#N/A</v>
      </c>
      <c r="JI34" s="313" t="s">
        <v>149</v>
      </c>
      <c r="JJ34" s="263" t="e">
        <f>JG34+($IZ$10/2)</f>
        <v>#N/A</v>
      </c>
      <c r="JK34" s="263" t="e">
        <f>JH34+($IZ$10/2)-$IZ$9</f>
        <v>#N/A</v>
      </c>
      <c r="JL34" s="310"/>
      <c r="JM34" s="310"/>
      <c r="JN34" s="261" t="e">
        <f t="shared" si="25"/>
        <v>#N/A</v>
      </c>
      <c r="JO34" s="261" t="e">
        <f t="shared" si="26"/>
        <v>#N/A</v>
      </c>
      <c r="JP34" s="310"/>
      <c r="JQ34" s="310"/>
      <c r="JR34" s="261" t="e">
        <f t="shared" si="31"/>
        <v>#N/A</v>
      </c>
      <c r="JS34" s="261" t="e">
        <f t="shared" si="32"/>
        <v>#N/A</v>
      </c>
      <c r="JT34" s="310"/>
      <c r="JU34" s="310"/>
      <c r="JV34" s="261" t="e">
        <f t="shared" si="27"/>
        <v>#N/A</v>
      </c>
      <c r="JW34" s="261" t="e">
        <f t="shared" si="28"/>
        <v>#N/A</v>
      </c>
      <c r="JX34" s="310"/>
      <c r="JY34" s="310"/>
      <c r="JZ34" s="310"/>
      <c r="KA34" s="310"/>
      <c r="KB34" s="313" t="s">
        <v>325</v>
      </c>
      <c r="KC34" s="263" t="e">
        <f>KC29</f>
        <v>#N/A</v>
      </c>
      <c r="KD34" s="263" t="e">
        <f>KD33</f>
        <v>#N/A</v>
      </c>
      <c r="KE34" s="310"/>
      <c r="KF34" s="310"/>
      <c r="KG34" s="310"/>
      <c r="KH34" s="310"/>
      <c r="KI34" s="310"/>
      <c r="KJ34" s="310"/>
      <c r="KK34" s="310"/>
      <c r="KL34" s="310"/>
      <c r="KM34" s="310"/>
      <c r="KN34" s="310"/>
      <c r="KO34" s="310"/>
      <c r="KP34" s="310"/>
      <c r="KQ34" s="310"/>
      <c r="KR34" s="310"/>
      <c r="KS34" s="310"/>
      <c r="KT34" s="310"/>
      <c r="KU34" s="310"/>
      <c r="KV34" s="310"/>
      <c r="KW34" s="310"/>
      <c r="KX34" s="310"/>
      <c r="KY34" s="310"/>
      <c r="KZ34" s="310"/>
      <c r="LA34" s="310"/>
      <c r="LB34" s="310"/>
      <c r="LC34" s="310"/>
      <c r="LD34" s="310"/>
      <c r="LE34" s="310"/>
      <c r="LF34" s="310"/>
      <c r="LG34" s="310"/>
      <c r="LH34" s="347" t="e">
        <v>#N/A</v>
      </c>
      <c r="LI34" s="347" t="e">
        <v>#N/A</v>
      </c>
      <c r="LJ34" s="338" t="e">
        <v>#N/A</v>
      </c>
      <c r="LK34" s="338" t="e">
        <v>#N/A</v>
      </c>
      <c r="LL34" s="391"/>
      <c r="LM34" s="310"/>
      <c r="LN34" s="310"/>
      <c r="LO34" s="347" t="e">
        <v>#N/A</v>
      </c>
      <c r="LP34" s="347" t="e">
        <v>#N/A</v>
      </c>
      <c r="LQ34" s="338" t="e">
        <v>#N/A</v>
      </c>
      <c r="LR34" s="338" t="e">
        <v>#N/A</v>
      </c>
      <c r="LS34" s="391"/>
      <c r="LT34" s="310"/>
      <c r="LU34" s="310"/>
      <c r="LV34" s="347" t="e">
        <v>#N/A</v>
      </c>
      <c r="LW34" s="347" t="e">
        <v>#N/A</v>
      </c>
      <c r="LX34" s="338" t="e">
        <v>#N/A</v>
      </c>
      <c r="LY34" s="338" t="e">
        <v>#N/A</v>
      </c>
      <c r="LZ34" s="391"/>
      <c r="MA34" s="310"/>
      <c r="MB34" s="310"/>
      <c r="MC34" s="347" t="e">
        <v>#N/A</v>
      </c>
      <c r="MD34" s="347" t="e">
        <v>#N/A</v>
      </c>
      <c r="ME34" s="338" t="e">
        <v>#N/A</v>
      </c>
      <c r="MF34" s="338" t="e">
        <v>#N/A</v>
      </c>
      <c r="MG34" s="391"/>
      <c r="MH34" s="310"/>
      <c r="MI34" s="310"/>
      <c r="MJ34" s="242" t="e">
        <v>#N/A</v>
      </c>
      <c r="MK34" s="242" t="e">
        <v>#N/A</v>
      </c>
      <c r="ML34" s="242" t="e">
        <v>#N/A</v>
      </c>
      <c r="MM34" s="242" t="e">
        <v>#N/A</v>
      </c>
      <c r="MN34" s="391"/>
      <c r="MO34" s="310"/>
      <c r="MP34" s="311" t="e">
        <v>#N/A</v>
      </c>
      <c r="MQ34" s="311" t="e">
        <v>#N/A</v>
      </c>
      <c r="MR34" s="311"/>
      <c r="MS34" s="311"/>
      <c r="MT34" s="296" t="e">
        <f>MT33</f>
        <v>#N/A</v>
      </c>
      <c r="MU34" s="296" t="e">
        <f>MU31</f>
        <v>#N/A</v>
      </c>
      <c r="MV34" s="310"/>
      <c r="MW34" s="280" t="e">
        <f>MW33</f>
        <v>#N/A</v>
      </c>
      <c r="MX34" s="280" t="e">
        <f>MX31</f>
        <v>#N/A</v>
      </c>
      <c r="MY34" s="310"/>
      <c r="MZ34" s="328">
        <v>1</v>
      </c>
      <c r="NA34" s="372" t="b">
        <f>AND($MU$29=TRUE,MZ34&lt;=$MZ$33)</f>
        <v>0</v>
      </c>
      <c r="NB34" s="280" t="e">
        <f>IF(NA34=TRUE,$MU$48+NA29/2,#N/A)</f>
        <v>#N/A</v>
      </c>
      <c r="NC34" s="280" t="e">
        <f>IF(MU29=TRUE,NA28+MX32+NA29/2,#N/A)</f>
        <v>#N/A</v>
      </c>
      <c r="ND34" s="280" t="e">
        <f>IF(NA34=TRUE,NB34+$NA$29,#N/A)</f>
        <v>#N/A</v>
      </c>
      <c r="NE34" s="280" t="e">
        <f>IF(NA34=TRUE,$MV$49+$NA$29*2,#N/A)</f>
        <v>#N/A</v>
      </c>
      <c r="NF34" s="310"/>
      <c r="NG34" s="310"/>
      <c r="NH34" s="310" t="s">
        <v>48</v>
      </c>
      <c r="NI34" s="310" t="s">
        <v>49</v>
      </c>
      <c r="NJ34" s="310" t="s">
        <v>48</v>
      </c>
      <c r="NK34" s="310" t="s">
        <v>49</v>
      </c>
      <c r="NL34" s="310" t="s">
        <v>50</v>
      </c>
      <c r="NM34" s="310"/>
      <c r="NN34" s="310"/>
      <c r="NO34" s="310"/>
      <c r="NP34" s="321"/>
      <c r="NQ34" s="310"/>
      <c r="NR34" s="310"/>
      <c r="NS34" s="310"/>
      <c r="NT34" s="310"/>
      <c r="NU34" s="310"/>
      <c r="NV34" s="310"/>
      <c r="NW34" s="310"/>
      <c r="NX34" s="310"/>
      <c r="NY34" s="310"/>
      <c r="NZ34" s="310"/>
      <c r="OA34" s="310"/>
      <c r="OB34" s="310"/>
      <c r="OC34" s="310"/>
      <c r="OD34" s="310"/>
      <c r="OE34" s="310"/>
      <c r="OF34" s="310"/>
      <c r="OG34" s="310"/>
      <c r="OH34" s="310"/>
      <c r="OI34" s="310"/>
      <c r="OJ34" s="310"/>
      <c r="OK34" s="310"/>
      <c r="OL34" s="310"/>
      <c r="OM34" s="228" t="e">
        <v>#N/A</v>
      </c>
      <c r="ON34" s="228" t="e">
        <v>#N/A</v>
      </c>
      <c r="OO34" s="310"/>
      <c r="OP34" s="310" t="s">
        <v>50</v>
      </c>
      <c r="OQ34" s="310"/>
      <c r="OR34" s="310"/>
      <c r="OS34" s="310"/>
      <c r="OT34" s="310" t="s">
        <v>456</v>
      </c>
      <c r="OU34" s="292" t="e">
        <f>IF(OV8=TRUE,OU21+0.05,#N/A)</f>
        <v>#N/A</v>
      </c>
      <c r="OV34" s="292" t="e">
        <f>IF(OV8=TRUE,OV16,#N/A)</f>
        <v>#N/A</v>
      </c>
      <c r="OW34" s="310"/>
      <c r="OX34" s="310" t="s">
        <v>189</v>
      </c>
      <c r="OY34" s="310"/>
      <c r="OZ34" s="310"/>
      <c r="PA34" s="310"/>
      <c r="PB34" s="310"/>
      <c r="PC34" s="310"/>
      <c r="PD34" s="310"/>
      <c r="PE34" s="313">
        <v>20</v>
      </c>
      <c r="PF34" s="318" t="b">
        <f t="shared" si="33"/>
        <v>0</v>
      </c>
      <c r="PG34" s="283" t="e">
        <f t="shared" si="34"/>
        <v>#N/A</v>
      </c>
      <c r="PH34" s="283" t="e">
        <f t="shared" si="35"/>
        <v>#N/A</v>
      </c>
      <c r="PI34" s="295" t="e">
        <f t="shared" si="36"/>
        <v>#N/A</v>
      </c>
      <c r="PJ34" s="310"/>
      <c r="PK34" s="310"/>
      <c r="PL34" s="310"/>
      <c r="PM34" s="310"/>
      <c r="PN34" s="310"/>
      <c r="PO34" s="310"/>
      <c r="PP34" s="310"/>
      <c r="PQ34" s="310"/>
      <c r="PR34" s="310"/>
      <c r="PS34" s="342">
        <v>20</v>
      </c>
      <c r="PT34" s="261" t="e">
        <f t="shared" si="29"/>
        <v>#N/A</v>
      </c>
      <c r="PU34" s="261" t="e">
        <f t="shared" si="30"/>
        <v>#N/A</v>
      </c>
      <c r="PV34" s="310"/>
      <c r="PW34" s="310"/>
      <c r="PX34" s="310"/>
      <c r="PY34" s="434"/>
      <c r="PZ34" s="435"/>
      <c r="QA34" s="435"/>
      <c r="QB34" s="435"/>
      <c r="QC34" s="435"/>
      <c r="QD34" s="435"/>
      <c r="QE34" s="338" t="s">
        <v>499</v>
      </c>
      <c r="QF34" s="531" t="e">
        <f>IF(AND(QH28=FALSE,QH31=FALSE),"NOT GOVERNING",MAX(IF(QH28,QF28,0),IF(QH31,QF31,0)))</f>
        <v>#N/A</v>
      </c>
      <c r="QG34" s="683"/>
      <c r="QH34" s="436"/>
      <c r="QI34" s="310"/>
      <c r="QJ34" s="310"/>
      <c r="QK34" s="434"/>
      <c r="QL34" s="435"/>
      <c r="QM34" s="435"/>
      <c r="QN34" s="435"/>
      <c r="QO34" s="435"/>
      <c r="QP34" s="435"/>
      <c r="QQ34" s="338" t="s">
        <v>499</v>
      </c>
      <c r="QR34" s="531" t="e">
        <f>IF(AND(QT28=FALSE,QT31=FALSE),"NOT GOVERNING",MAX(IF(QT28,QR28,0),IF(QT31,QR31,0)))</f>
        <v>#N/A</v>
      </c>
      <c r="QS34" s="683"/>
      <c r="QT34" s="436"/>
      <c r="QU34" s="310"/>
      <c r="QV34" s="310"/>
      <c r="QW34" s="310"/>
      <c r="QX34" s="310"/>
      <c r="QY34" s="310"/>
      <c r="QZ34" s="310"/>
      <c r="RA34" s="310"/>
      <c r="RB34" s="310"/>
      <c r="RC34" s="310"/>
      <c r="RD34" s="310"/>
      <c r="RE34" s="310"/>
      <c r="RF34" s="310"/>
      <c r="RG34" s="310"/>
      <c r="RH34" s="310"/>
      <c r="RI34" s="310"/>
      <c r="RJ34" s="310"/>
      <c r="RK34" s="310"/>
      <c r="RL34" s="310"/>
      <c r="RM34" s="310"/>
      <c r="RN34" s="310"/>
      <c r="RO34" s="310"/>
      <c r="RP34" s="310"/>
      <c r="RQ34" s="310"/>
      <c r="RR34" s="310"/>
      <c r="RS34" s="310"/>
      <c r="RT34" s="310"/>
      <c r="RU34" s="310"/>
      <c r="RV34" s="310"/>
      <c r="RW34" s="310"/>
      <c r="RX34" s="310"/>
      <c r="RY34" s="310"/>
      <c r="RZ34" s="310"/>
      <c r="SA34" s="310"/>
      <c r="SB34" s="310"/>
      <c r="SC34" s="310">
        <f>COUNTIF(SC29:SC33,TRUE)</f>
        <v>2</v>
      </c>
      <c r="SD34" s="310"/>
      <c r="SE34" s="310"/>
      <c r="SF34" s="513">
        <f>SF33+0.25</f>
        <v>-0.15000000000000002</v>
      </c>
      <c r="SG34" s="513">
        <f>SG33</f>
        <v>0.9</v>
      </c>
      <c r="SH34" s="247">
        <f>SF34-0.1</f>
        <v>-0.25</v>
      </c>
      <c r="SI34" s="247">
        <f t="shared" ref="SI34" si="75">SG34</f>
        <v>0.9</v>
      </c>
      <c r="SJ34" s="310" t="b">
        <v>0</v>
      </c>
      <c r="SK34" s="310"/>
      <c r="SL34" s="310"/>
      <c r="SM34" s="310"/>
      <c r="SN34" s="310"/>
      <c r="SO34" s="220"/>
      <c r="SP34" s="220"/>
      <c r="SQ34" s="220"/>
      <c r="SR34" s="220"/>
      <c r="SS34" s="220"/>
      <c r="ST34" s="220"/>
      <c r="SU34" s="220"/>
      <c r="SV34" s="220"/>
      <c r="SW34" s="220"/>
      <c r="SX34" s="220"/>
      <c r="SY34" s="220"/>
      <c r="SZ34" s="220"/>
      <c r="TA34" s="220"/>
      <c r="TB34" s="220"/>
      <c r="TC34" s="220"/>
      <c r="TD34" s="220"/>
      <c r="TE34" s="220"/>
      <c r="TF34" s="220"/>
      <c r="TG34" s="220"/>
      <c r="TH34" s="220"/>
      <c r="TI34" s="220"/>
      <c r="TJ34" s="220"/>
      <c r="TK34" s="220"/>
      <c r="TL34" s="220"/>
      <c r="TM34" s="220"/>
      <c r="TN34" s="220"/>
      <c r="TO34" s="220"/>
      <c r="TP34" s="220"/>
      <c r="TQ34" s="220"/>
      <c r="TR34" s="220"/>
      <c r="TS34" s="220"/>
      <c r="TT34" s="220"/>
      <c r="TU34" s="220"/>
      <c r="TV34" s="220"/>
      <c r="TW34" s="220"/>
      <c r="TX34" s="220"/>
      <c r="TY34" s="220"/>
      <c r="TZ34" s="220"/>
      <c r="UA34" s="220"/>
      <c r="UB34" s="220"/>
      <c r="UC34" s="220"/>
      <c r="UD34" s="220"/>
      <c r="UE34" s="220"/>
      <c r="UF34" s="220"/>
      <c r="UG34" s="220"/>
      <c r="UH34" s="220"/>
      <c r="UI34" s="220"/>
      <c r="UJ34" s="220"/>
      <c r="UK34" s="216"/>
      <c r="UL34" s="216"/>
      <c r="UM34" s="216"/>
      <c r="UN34" s="216"/>
      <c r="UO34" s="216"/>
      <c r="UP34" s="216"/>
      <c r="UQ34" s="216"/>
      <c r="UR34" s="216"/>
      <c r="US34" s="216"/>
      <c r="UT34" s="216"/>
      <c r="UU34" s="216"/>
      <c r="UV34" s="216"/>
      <c r="UW34" s="216"/>
      <c r="UX34" s="216"/>
      <c r="UY34" s="216"/>
      <c r="UZ34" s="216"/>
      <c r="VA34" s="216"/>
    </row>
    <row r="35" spans="1:573" s="4" customFormat="1" ht="15" customHeight="1" x14ac:dyDescent="0.5">
      <c r="A35" s="51"/>
      <c r="B35" s="51"/>
      <c r="C35" s="52"/>
      <c r="D35" s="52"/>
      <c r="E35" s="52"/>
      <c r="F35" s="52"/>
      <c r="G35" s="64" t="s">
        <v>100</v>
      </c>
      <c r="H35" s="16" t="s">
        <v>407</v>
      </c>
      <c r="I35" s="65" t="str">
        <f>IF(BK14=TRUE,"","( "&amp;TRUNC(H26,3)&amp;"+"&amp;IF(H27&lt;&gt;"",TRUNC(H27,3),"")&amp;IF(H28&lt;&gt;"","+"&amp;TRUNC(H28,3),"")&amp;IF(H29&lt;&gt;"","+"&amp;TRUNC(H29,3),"")&amp;IF(H30&lt;&gt;"","+"&amp;TRUNC(H30,3),"")&amp;IF(H31&lt;&gt;"","+"&amp;TRUNC(H31,3),"")&amp;IF(H32&lt;&gt;"","+"&amp;TRUNC(H32,3),"")&amp;IF(H33&lt;&gt;"","+"&amp;TRUNC(H33,3),"")&amp;" ) / "&amp;BK6+BA32)</f>
        <v>( -0.65+0.65+-0.65+0.65+0+0.65+0.65 ) / 7</v>
      </c>
      <c r="J35" s="16"/>
      <c r="K35" s="16"/>
      <c r="L35" s="16"/>
      <c r="M35" s="16"/>
      <c r="N35" s="16"/>
      <c r="O35" s="66"/>
      <c r="P35" s="50"/>
      <c r="Q35" s="208"/>
      <c r="R35" s="209"/>
      <c r="S35" s="50"/>
      <c r="T35" s="50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5"/>
      <c r="AM35" s="45"/>
      <c r="AN35" s="45"/>
      <c r="AO35" s="45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 t="b">
        <f>AY15</f>
        <v>0</v>
      </c>
      <c r="BX35" s="400"/>
      <c r="BY35" s="246" t="e">
        <f>BY31</f>
        <v>#N/A</v>
      </c>
      <c r="BZ35" s="246" t="e">
        <f>BZ31</f>
        <v>#N/A</v>
      </c>
      <c r="CA35" s="310"/>
      <c r="CB35" s="310"/>
      <c r="CC35" s="310"/>
      <c r="CD35" s="310"/>
      <c r="CE35" s="310"/>
      <c r="CF35" s="310"/>
      <c r="CG35" s="310"/>
      <c r="CH35" s="310"/>
      <c r="CI35" s="310"/>
      <c r="CJ35" s="257" t="e">
        <f>CJ31</f>
        <v>#N/A</v>
      </c>
      <c r="CK35" s="257" t="e">
        <f>CK31</f>
        <v>#N/A</v>
      </c>
      <c r="CL35" s="310"/>
      <c r="CM35" s="310"/>
      <c r="CN35" s="328" t="s">
        <v>48</v>
      </c>
      <c r="CO35" s="328" t="s">
        <v>49</v>
      </c>
      <c r="CP35" s="328" t="s">
        <v>48</v>
      </c>
      <c r="CQ35" s="328" t="s">
        <v>49</v>
      </c>
      <c r="CR35" s="328" t="s">
        <v>50</v>
      </c>
      <c r="CS35" s="310"/>
      <c r="CT35" s="328" t="s">
        <v>48</v>
      </c>
      <c r="CU35" s="328" t="s">
        <v>49</v>
      </c>
      <c r="CV35" s="328" t="s">
        <v>48</v>
      </c>
      <c r="CW35" s="328" t="s">
        <v>49</v>
      </c>
      <c r="CX35" s="328" t="s">
        <v>50</v>
      </c>
      <c r="CY35" s="310"/>
      <c r="CZ35" s="310"/>
      <c r="DA35" s="310"/>
      <c r="DB35" s="310"/>
      <c r="DC35" s="280" t="e">
        <f>IF(DD6=TRUE,DC10-DA12,#N/A)</f>
        <v>#N/A</v>
      </c>
      <c r="DD35" s="280" t="e">
        <f>DD34</f>
        <v>#N/A</v>
      </c>
      <c r="DE35" s="310"/>
      <c r="DF35" s="280" t="e">
        <f>IF(DG6=TRUE,DF17-DA12,#N/A)</f>
        <v>#N/A</v>
      </c>
      <c r="DG35" s="280" t="e">
        <f>DG34</f>
        <v>#N/A</v>
      </c>
      <c r="DH35" s="310"/>
      <c r="DI35" s="310"/>
      <c r="DJ35" s="310"/>
      <c r="DK35" s="313">
        <v>27</v>
      </c>
      <c r="DL35" s="282" t="e">
        <f t="shared" si="3"/>
        <v>#N/A</v>
      </c>
      <c r="DM35" s="291" t="e">
        <f t="shared" si="4"/>
        <v>#N/A</v>
      </c>
      <c r="DN35" s="310"/>
      <c r="DO35" s="310"/>
      <c r="DP35" s="310"/>
      <c r="DQ35" s="310"/>
      <c r="DR35" s="310"/>
      <c r="DS35" s="310"/>
      <c r="DT35" s="310"/>
      <c r="DU35" s="310" t="s">
        <v>104</v>
      </c>
      <c r="DV35" s="310">
        <f>MAX(DV33:DV34)</f>
        <v>23400.000000000004</v>
      </c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32" t="e">
        <v>#N/A</v>
      </c>
      <c r="ET35" s="332" t="e">
        <v>#N/A</v>
      </c>
      <c r="EU35" s="330"/>
      <c r="EV35" s="332" t="e">
        <v>#N/A</v>
      </c>
      <c r="EW35" s="332" t="e">
        <v>#N/A</v>
      </c>
      <c r="EX35" s="332" t="e">
        <v>#N/A</v>
      </c>
      <c r="EY35" s="332" t="e">
        <v>#N/A</v>
      </c>
      <c r="EZ35" s="346" t="e">
        <v>#N/A</v>
      </c>
      <c r="FA35" s="346" t="e">
        <v>#N/A</v>
      </c>
      <c r="FB35" s="346" t="e">
        <v>#N/A</v>
      </c>
      <c r="FC35" s="346" t="e">
        <v>#N/A</v>
      </c>
      <c r="FD35" s="258" t="e">
        <v>#N/A</v>
      </c>
      <c r="FE35" s="258" t="e">
        <v>#N/A</v>
      </c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  <c r="GK35" s="310"/>
      <c r="GL35" s="310"/>
      <c r="GM35" s="310"/>
      <c r="GN35" s="310"/>
      <c r="GO35" s="310"/>
      <c r="GP35" s="310"/>
      <c r="GQ35" s="310"/>
      <c r="GR35" s="310"/>
      <c r="GS35" s="310"/>
      <c r="GT35" s="310"/>
      <c r="GU35" s="310"/>
      <c r="GV35" s="310"/>
      <c r="GW35" s="310"/>
      <c r="GX35" s="310"/>
      <c r="GY35" s="310"/>
      <c r="GZ35" s="310"/>
      <c r="HA35" s="310"/>
      <c r="HB35" s="310"/>
      <c r="HC35" s="310"/>
      <c r="HD35" s="310"/>
      <c r="HE35" s="310"/>
      <c r="HF35" s="310"/>
      <c r="HG35" s="310"/>
      <c r="HH35" s="310"/>
      <c r="HI35" s="310"/>
      <c r="HJ35" s="310"/>
      <c r="HK35" s="342">
        <v>21</v>
      </c>
      <c r="HL35" s="235" t="e">
        <f t="shared" si="5"/>
        <v>#N/A</v>
      </c>
      <c r="HM35" s="235" t="e">
        <f t="shared" si="6"/>
        <v>#N/A</v>
      </c>
      <c r="HN35" s="310"/>
      <c r="HO35" s="310"/>
      <c r="HP35" s="235" t="e">
        <f t="shared" si="7"/>
        <v>#N/A</v>
      </c>
      <c r="HQ35" s="235" t="e">
        <f t="shared" si="8"/>
        <v>#N/A</v>
      </c>
      <c r="HR35" s="310"/>
      <c r="HS35" s="310"/>
      <c r="HT35" s="235" t="e">
        <f t="shared" si="9"/>
        <v>#N/A</v>
      </c>
      <c r="HU35" s="235" t="e">
        <f t="shared" si="10"/>
        <v>#N/A</v>
      </c>
      <c r="HV35" s="310"/>
      <c r="HW35" s="310"/>
      <c r="HX35" s="235" t="e">
        <f t="shared" si="11"/>
        <v>#N/A</v>
      </c>
      <c r="HY35" s="235" t="e">
        <f t="shared" si="12"/>
        <v>#N/A</v>
      </c>
      <c r="HZ35" s="310"/>
      <c r="IA35" s="310"/>
      <c r="IB35" s="235" t="e">
        <f t="shared" si="13"/>
        <v>#N/A</v>
      </c>
      <c r="IC35" s="235" t="e">
        <f t="shared" si="14"/>
        <v>#N/A</v>
      </c>
      <c r="ID35" s="310"/>
      <c r="IE35" s="342">
        <v>21</v>
      </c>
      <c r="IF35" s="262" t="e">
        <f t="shared" si="15"/>
        <v>#N/A</v>
      </c>
      <c r="IG35" s="262" t="e">
        <f t="shared" si="16"/>
        <v>#N/A</v>
      </c>
      <c r="IH35" s="390"/>
      <c r="II35" s="390"/>
      <c r="IJ35" s="262" t="e">
        <f t="shared" si="17"/>
        <v>#N/A</v>
      </c>
      <c r="IK35" s="262" t="e">
        <f t="shared" si="18"/>
        <v>#N/A</v>
      </c>
      <c r="IL35" s="390"/>
      <c r="IM35" s="390"/>
      <c r="IN35" s="262" t="e">
        <f t="shared" si="19"/>
        <v>#N/A</v>
      </c>
      <c r="IO35" s="262" t="e">
        <f t="shared" si="20"/>
        <v>#N/A</v>
      </c>
      <c r="IP35" s="390"/>
      <c r="IQ35" s="390"/>
      <c r="IR35" s="262" t="e">
        <f t="shared" si="21"/>
        <v>#N/A</v>
      </c>
      <c r="IS35" s="262" t="e">
        <f t="shared" si="22"/>
        <v>#N/A</v>
      </c>
      <c r="IT35" s="390"/>
      <c r="IU35" s="390"/>
      <c r="IV35" s="262" t="e">
        <f t="shared" si="23"/>
        <v>#N/A</v>
      </c>
      <c r="IW35" s="262" t="e">
        <f t="shared" si="24"/>
        <v>#N/A</v>
      </c>
      <c r="IX35" s="310"/>
      <c r="IY35" s="310"/>
      <c r="IZ35" s="310"/>
      <c r="JA35" s="310"/>
      <c r="JB35" s="313" t="s">
        <v>152</v>
      </c>
      <c r="JC35" s="236" t="e">
        <f>JC34</f>
        <v>#N/A</v>
      </c>
      <c r="JD35" s="236" t="e">
        <f>JA34-($IZ$10/2)+$IZ$9</f>
        <v>#N/A</v>
      </c>
      <c r="JE35" s="310"/>
      <c r="JF35" s="310"/>
      <c r="JG35" s="310"/>
      <c r="JH35" s="310"/>
      <c r="JI35" s="313" t="s">
        <v>152</v>
      </c>
      <c r="JJ35" s="263" t="e">
        <f>JJ34</f>
        <v>#N/A</v>
      </c>
      <c r="JK35" s="263" t="e">
        <f>JH34-($IZ$10/2)+$IZ$9</f>
        <v>#N/A</v>
      </c>
      <c r="JL35" s="310"/>
      <c r="JM35" s="310"/>
      <c r="JN35" s="261" t="e">
        <f t="shared" si="25"/>
        <v>#N/A</v>
      </c>
      <c r="JO35" s="261" t="e">
        <f t="shared" si="26"/>
        <v>#N/A</v>
      </c>
      <c r="JP35" s="310"/>
      <c r="JQ35" s="310"/>
      <c r="JR35" s="261" t="e">
        <f t="shared" si="31"/>
        <v>#N/A</v>
      </c>
      <c r="JS35" s="261" t="e">
        <f t="shared" si="32"/>
        <v>#N/A</v>
      </c>
      <c r="JT35" s="310"/>
      <c r="JU35" s="310"/>
      <c r="JV35" s="261" t="e">
        <f t="shared" si="27"/>
        <v>#N/A</v>
      </c>
      <c r="JW35" s="261" t="e">
        <f t="shared" si="28"/>
        <v>#N/A</v>
      </c>
      <c r="JX35" s="310"/>
      <c r="JY35" s="310"/>
      <c r="JZ35" s="310"/>
      <c r="KA35" s="310"/>
      <c r="KB35" s="313" t="s">
        <v>326</v>
      </c>
      <c r="KC35" s="263" t="e">
        <f>JZ31-($IZ$10/2)</f>
        <v>#N/A</v>
      </c>
      <c r="KD35" s="263" t="e">
        <f>KD32</f>
        <v>#N/A</v>
      </c>
      <c r="KE35" s="310"/>
      <c r="KF35" s="310"/>
      <c r="KG35" s="310"/>
      <c r="KH35" s="310"/>
      <c r="KI35" s="310"/>
      <c r="KJ35" s="310"/>
      <c r="KK35" s="310"/>
      <c r="KL35" s="310"/>
      <c r="KM35" s="310"/>
      <c r="KN35" s="534" t="s">
        <v>425</v>
      </c>
      <c r="KO35" s="534"/>
      <c r="KP35" s="534"/>
      <c r="KQ35" s="534"/>
      <c r="KR35" s="534"/>
      <c r="KS35" s="310"/>
      <c r="KT35" s="534" t="s">
        <v>426</v>
      </c>
      <c r="KU35" s="534"/>
      <c r="KV35" s="534"/>
      <c r="KW35" s="534"/>
      <c r="KX35" s="534"/>
      <c r="KY35" s="310"/>
      <c r="KZ35" s="310"/>
      <c r="LA35" s="338"/>
      <c r="LB35" s="338">
        <f>IF(H31&lt;&gt;"",SQRT(($M$11-J31)^2+($M$10-H31)^2)-(0.5*O12),#N/A)</f>
        <v>0.99268604418765638</v>
      </c>
      <c r="LC35" s="429" t="e">
        <f>IF(CP13=TRUE,IF(LB35=MAX($LB$31:$LB$33,$LB$35:$LB$37),TRUE,FALSE),#N/A)</f>
        <v>#N/A</v>
      </c>
      <c r="LD35" s="338">
        <f>IF(CP13=TRUE,IF(M49&lt;&gt;"",(M49*LB35),0),#N/A)</f>
        <v>35.736697590755632</v>
      </c>
      <c r="LE35" s="310"/>
      <c r="LF35" s="310"/>
      <c r="LG35" s="310"/>
      <c r="LH35" s="391">
        <f>LH33</f>
        <v>0</v>
      </c>
      <c r="LI35" s="391" t="e">
        <f>LI33</f>
        <v>#N/A</v>
      </c>
      <c r="LJ35" s="338" t="e">
        <v>#N/A</v>
      </c>
      <c r="LK35" s="338" t="e">
        <v>#N/A</v>
      </c>
      <c r="LL35" s="391"/>
      <c r="LM35" s="310"/>
      <c r="LN35" s="310"/>
      <c r="LO35" s="338">
        <f>LO33</f>
        <v>0</v>
      </c>
      <c r="LP35" s="338">
        <f>LP33</f>
        <v>-0.35</v>
      </c>
      <c r="LQ35" s="338" t="e">
        <v>#N/A</v>
      </c>
      <c r="LR35" s="338" t="e">
        <v>#N/A</v>
      </c>
      <c r="LS35" s="391"/>
      <c r="LT35" s="310"/>
      <c r="LU35" s="310"/>
      <c r="LV35" s="338">
        <f>LV33</f>
        <v>1.9</v>
      </c>
      <c r="LW35" s="338">
        <f>LW33</f>
        <v>0</v>
      </c>
      <c r="LX35" s="338" t="e">
        <v>#N/A</v>
      </c>
      <c r="LY35" s="338" t="e">
        <v>#N/A</v>
      </c>
      <c r="LZ35" s="391"/>
      <c r="MA35" s="310"/>
      <c r="MB35" s="310"/>
      <c r="MC35" s="338">
        <f>MC33</f>
        <v>0.68999999999999972</v>
      </c>
      <c r="MD35" s="338">
        <f>MD33</f>
        <v>0</v>
      </c>
      <c r="ME35" s="338" t="e">
        <v>#N/A</v>
      </c>
      <c r="MF35" s="338" t="e">
        <v>#N/A</v>
      </c>
      <c r="MG35" s="391"/>
      <c r="MH35" s="310"/>
      <c r="MI35" s="310"/>
      <c r="MJ35" s="242" t="e">
        <v>#N/A</v>
      </c>
      <c r="MK35" s="242" t="e">
        <v>#N/A</v>
      </c>
      <c r="ML35" s="242" t="e">
        <v>#N/A</v>
      </c>
      <c r="MM35" s="242" t="e">
        <v>#N/A</v>
      </c>
      <c r="MN35" s="391"/>
      <c r="MO35" s="310"/>
      <c r="MP35" s="311" t="e">
        <v>#N/A</v>
      </c>
      <c r="MQ35" s="311" t="e">
        <v>#N/A</v>
      </c>
      <c r="MR35" s="311"/>
      <c r="MS35" s="311"/>
      <c r="MT35" s="296" t="e">
        <v>#N/A</v>
      </c>
      <c r="MU35" s="296" t="e">
        <v>#N/A</v>
      </c>
      <c r="MV35" s="310"/>
      <c r="MW35" s="296" t="e">
        <v>#N/A</v>
      </c>
      <c r="MX35" s="296" t="e">
        <v>#N/A</v>
      </c>
      <c r="MY35" s="310"/>
      <c r="MZ35" s="328">
        <v>2</v>
      </c>
      <c r="NA35" s="372" t="b">
        <f t="shared" ref="NA35:NA68" si="76">AND($MU$29=TRUE,MZ35&lt;=$MZ$33)</f>
        <v>0</v>
      </c>
      <c r="NB35" s="280" t="e">
        <f>IF(NA35=TRUE,NB34+$NA$32,#N/A)</f>
        <v>#N/A</v>
      </c>
      <c r="NC35" s="280" t="e">
        <f>IF(NA35=TRUE,$NC$34,#N/A)</f>
        <v>#N/A</v>
      </c>
      <c r="ND35" s="280" t="e">
        <f t="shared" ref="ND35:ND68" si="77">IF(NA35=TRUE,NB35+$NA$29,#N/A)</f>
        <v>#N/A</v>
      </c>
      <c r="NE35" s="280" t="e">
        <f t="shared" ref="NE35:NE68" si="78">IF(NA35=TRUE,$MV$49+$NA$29*2,#N/A)</f>
        <v>#N/A</v>
      </c>
      <c r="NF35" s="310"/>
      <c r="NG35" s="310" t="s">
        <v>487</v>
      </c>
      <c r="NH35" s="280" t="e">
        <f>IF(NH33=TRUE,NB27+0.05,#N/A)</f>
        <v>#N/A</v>
      </c>
      <c r="NI35" s="280" t="e">
        <f>IF(NH33=TRUE,MU31,#N/A)</f>
        <v>#N/A</v>
      </c>
      <c r="NJ35" s="281" t="e">
        <f>NH36</f>
        <v>#N/A</v>
      </c>
      <c r="NK35" s="281" t="e">
        <f>NI36/2</f>
        <v>#N/A</v>
      </c>
      <c r="NL35" s="310" t="str">
        <f>"t="&amp;TEXT(F51,"0.00")&amp;"cm."</f>
        <v>t=60.00cm.</v>
      </c>
      <c r="NM35" s="310"/>
      <c r="NN35" s="310"/>
      <c r="NO35" s="310"/>
      <c r="NP35" s="321"/>
      <c r="NQ35" s="310"/>
      <c r="NR35" s="314" t="s">
        <v>437</v>
      </c>
      <c r="NS35" s="338" t="b">
        <f>AND(BL8=TRUE,NP7=TRUE,CT10=TRUE)</f>
        <v>0</v>
      </c>
      <c r="NT35" s="310"/>
      <c r="NU35" s="310"/>
      <c r="NV35" s="310"/>
      <c r="NW35" s="310"/>
      <c r="NX35" s="310"/>
      <c r="NY35" s="310"/>
      <c r="NZ35" s="310"/>
      <c r="OA35" s="310"/>
      <c r="OB35" s="310"/>
      <c r="OC35" s="310"/>
      <c r="OD35" s="310"/>
      <c r="OE35" s="310"/>
      <c r="OF35" s="310"/>
      <c r="OG35" s="310"/>
      <c r="OH35" s="310"/>
      <c r="OI35" s="310"/>
      <c r="OJ35" s="310"/>
      <c r="OK35" s="310"/>
      <c r="OL35" s="310"/>
      <c r="OM35" s="231" t="e">
        <f>IF(ON21=TRUE,OM14,#N/A)</f>
        <v>#N/A</v>
      </c>
      <c r="ON35" s="231" t="e">
        <f>IF(ON21=TRUE,ON14+OM13,#N/A)</f>
        <v>#N/A</v>
      </c>
      <c r="OO35" s="310"/>
      <c r="OP35" s="310" t="s">
        <v>48</v>
      </c>
      <c r="OQ35" s="310" t="s">
        <v>49</v>
      </c>
      <c r="OR35" s="310" t="s">
        <v>50</v>
      </c>
      <c r="OS35" s="310"/>
      <c r="OT35" s="310"/>
      <c r="OU35" s="292" t="e">
        <f>OU34+0.45</f>
        <v>#N/A</v>
      </c>
      <c r="OV35" s="292" t="e">
        <f>OV34</f>
        <v>#N/A</v>
      </c>
      <c r="OW35" s="310"/>
      <c r="OX35" s="328" t="s">
        <v>48</v>
      </c>
      <c r="OY35" s="328" t="s">
        <v>49</v>
      </c>
      <c r="OZ35" s="310"/>
      <c r="PA35" s="310"/>
      <c r="PB35" s="310"/>
      <c r="PC35" s="310"/>
      <c r="PD35" s="310"/>
      <c r="PE35" s="310"/>
      <c r="PF35" s="310"/>
      <c r="PG35" s="310"/>
      <c r="PH35" s="310"/>
      <c r="PI35" s="310"/>
      <c r="PJ35" s="310"/>
      <c r="PK35" s="310"/>
      <c r="PL35" s="310"/>
      <c r="PM35" s="310"/>
      <c r="PN35" s="310"/>
      <c r="PO35" s="310"/>
      <c r="PP35" s="310"/>
      <c r="PQ35" s="310"/>
      <c r="PR35" s="310"/>
      <c r="PS35" s="342">
        <v>21</v>
      </c>
      <c r="PT35" s="261" t="e">
        <f t="shared" si="29"/>
        <v>#N/A</v>
      </c>
      <c r="PU35" s="261" t="e">
        <f t="shared" si="30"/>
        <v>#N/A</v>
      </c>
      <c r="PV35" s="310"/>
      <c r="PW35" s="310"/>
      <c r="PX35" s="310"/>
      <c r="PY35" s="310"/>
      <c r="PZ35" s="310"/>
      <c r="QA35" s="310"/>
      <c r="QB35" s="310"/>
      <c r="QC35" s="310"/>
      <c r="QD35" s="310"/>
      <c r="QE35" s="310"/>
      <c r="QF35" s="310"/>
      <c r="QG35" s="310"/>
      <c r="QH35" s="310"/>
      <c r="QI35" s="310"/>
      <c r="QJ35" s="310"/>
      <c r="QK35" s="310"/>
      <c r="QL35" s="310"/>
      <c r="QM35" s="310"/>
      <c r="QN35" s="310"/>
      <c r="QO35" s="310"/>
      <c r="QP35" s="310"/>
      <c r="QQ35" s="310"/>
      <c r="QR35" s="310"/>
      <c r="QS35" s="310"/>
      <c r="QT35" s="310"/>
      <c r="QU35" s="310"/>
      <c r="QV35" s="310"/>
      <c r="QW35" s="310"/>
      <c r="QX35" s="310"/>
      <c r="QY35" s="310"/>
      <c r="QZ35" s="310"/>
      <c r="RA35" s="310"/>
      <c r="RB35" s="310"/>
      <c r="RC35" s="310"/>
      <c r="RD35" s="310"/>
      <c r="RE35" s="310" t="b">
        <f>RC24&lt;RE24</f>
        <v>0</v>
      </c>
      <c r="RF35" s="310"/>
      <c r="RG35" s="310"/>
      <c r="RH35" s="310"/>
      <c r="RI35" s="310"/>
      <c r="RJ35" s="310"/>
      <c r="RK35" s="310"/>
      <c r="RL35" s="310"/>
      <c r="RM35" s="310"/>
      <c r="RN35" s="310"/>
      <c r="RO35" s="310"/>
      <c r="RP35" s="310"/>
      <c r="RQ35" s="310"/>
      <c r="RR35" s="310"/>
      <c r="RS35" s="310"/>
      <c r="RT35" s="310"/>
      <c r="RU35" s="310"/>
      <c r="RV35" s="310"/>
      <c r="RW35" s="310"/>
      <c r="RX35" s="310"/>
      <c r="RY35" s="310"/>
      <c r="RZ35" s="310"/>
      <c r="SA35" s="310"/>
      <c r="SB35" s="310"/>
      <c r="SC35" s="310"/>
      <c r="SD35" s="310"/>
      <c r="SE35" s="310"/>
      <c r="SF35" s="247" t="e">
        <v>#N/A</v>
      </c>
      <c r="SG35" s="247" t="e">
        <v>#N/A</v>
      </c>
      <c r="SH35" s="247"/>
      <c r="SI35" s="247"/>
      <c r="SJ35" s="310"/>
      <c r="SK35" s="310"/>
      <c r="SL35" s="310"/>
      <c r="SM35" s="310"/>
      <c r="SN35" s="310"/>
      <c r="SO35" s="220"/>
      <c r="SP35" s="220"/>
      <c r="SQ35" s="220"/>
      <c r="SR35" s="220"/>
      <c r="SS35" s="220"/>
      <c r="ST35" s="220"/>
      <c r="SU35" s="220"/>
      <c r="SV35" s="220"/>
      <c r="SW35" s="220"/>
      <c r="SX35" s="220"/>
      <c r="SY35" s="220"/>
      <c r="SZ35" s="220"/>
      <c r="TA35" s="220"/>
      <c r="TB35" s="220"/>
      <c r="TC35" s="220"/>
      <c r="TD35" s="220"/>
      <c r="TE35" s="220"/>
      <c r="TF35" s="220"/>
      <c r="TG35" s="220"/>
      <c r="TH35" s="220"/>
      <c r="TI35" s="220"/>
      <c r="TJ35" s="220"/>
      <c r="TK35" s="220"/>
      <c r="TL35" s="220"/>
      <c r="TM35" s="220"/>
      <c r="TN35" s="220"/>
      <c r="TO35" s="220"/>
      <c r="TP35" s="220"/>
      <c r="TQ35" s="220"/>
      <c r="TR35" s="220"/>
      <c r="TS35" s="220"/>
      <c r="TT35" s="220"/>
      <c r="TU35" s="220"/>
      <c r="TV35" s="220"/>
      <c r="TW35" s="220"/>
      <c r="TX35" s="220"/>
      <c r="TY35" s="220"/>
      <c r="TZ35" s="220"/>
      <c r="UA35" s="220"/>
      <c r="UB35" s="220"/>
      <c r="UC35" s="220"/>
      <c r="UD35" s="220"/>
      <c r="UE35" s="220"/>
      <c r="UF35" s="220"/>
      <c r="UG35" s="220"/>
      <c r="UH35" s="220"/>
      <c r="UI35" s="220"/>
      <c r="UJ35" s="220"/>
      <c r="UK35" s="216"/>
      <c r="UL35" s="216"/>
      <c r="UM35" s="216"/>
      <c r="UN35" s="216"/>
      <c r="UO35" s="216"/>
      <c r="UP35" s="216"/>
      <c r="UQ35" s="216"/>
      <c r="UR35" s="216"/>
      <c r="US35" s="216"/>
      <c r="UT35" s="216"/>
      <c r="UU35" s="216"/>
      <c r="UV35" s="216"/>
      <c r="UW35" s="216"/>
      <c r="UX35" s="216"/>
      <c r="UY35" s="216"/>
      <c r="UZ35" s="216"/>
      <c r="VA35" s="216"/>
    </row>
    <row r="36" spans="1:573" s="4" customFormat="1" ht="15" customHeight="1" x14ac:dyDescent="0.5">
      <c r="A36" s="51"/>
      <c r="B36" s="51"/>
      <c r="C36" s="52"/>
      <c r="D36" s="52"/>
      <c r="E36" s="52"/>
      <c r="F36" s="52"/>
      <c r="G36" s="67" t="s">
        <v>102</v>
      </c>
      <c r="H36" s="635" t="str">
        <f>IF(OR(COUNTA(H26:I30)=0,BK6=0),"",TEXT(SUM(H26:H33),"#,##0.000")&amp;" / "&amp;BK6+BA32&amp;" = ")</f>
        <v xml:space="preserve">1.300 / 7 = </v>
      </c>
      <c r="I36" s="635"/>
      <c r="J36" s="553">
        <f>SUM(H26:H33)/(BK6+BA32)</f>
        <v>0.18571428571428572</v>
      </c>
      <c r="K36" s="553"/>
      <c r="L36" s="68" t="s">
        <v>103</v>
      </c>
      <c r="M36" s="588">
        <f>CR25</f>
        <v>0</v>
      </c>
      <c r="N36" s="589"/>
      <c r="O36" s="69" t="str">
        <f>IF(M36="","",IF(ABS(M36)&lt;=$BF$16,"O.K.","NOT O.K."))</f>
        <v>O.K.</v>
      </c>
      <c r="P36" s="50"/>
      <c r="Q36" s="50"/>
      <c r="R36" s="50"/>
      <c r="S36" s="50"/>
      <c r="T36" s="50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5"/>
      <c r="AM36" s="45"/>
      <c r="AN36" s="45"/>
      <c r="AO36" s="45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 t="s">
        <v>109</v>
      </c>
      <c r="BU36" s="310" t="e">
        <f>BU34+BT7/2</f>
        <v>#N/A</v>
      </c>
      <c r="BV36" s="310" t="e">
        <f>BV34-BT7/2</f>
        <v>#N/A</v>
      </c>
      <c r="BW36" s="310"/>
      <c r="BX36" s="40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257" t="e">
        <v>#N/A</v>
      </c>
      <c r="CK36" s="257" t="e">
        <v>#N/A</v>
      </c>
      <c r="CL36" s="310"/>
      <c r="CM36" s="310" t="s">
        <v>263</v>
      </c>
      <c r="CN36" s="338" t="e">
        <f>IF(CO34=TRUE,0.05,#N/A)</f>
        <v>#N/A</v>
      </c>
      <c r="CO36" s="338" t="e">
        <f>IF(CO34=TRUE,0.55,#N/A)</f>
        <v>#N/A</v>
      </c>
      <c r="CP36" s="336" t="e">
        <f>CN38</f>
        <v>#N/A</v>
      </c>
      <c r="CQ36" s="338" t="e">
        <f>CO38+(CO39-CO38)/2</f>
        <v>#N/A</v>
      </c>
      <c r="CR36" s="339" t="e">
        <f>(CO39-CO38)</f>
        <v>#N/A</v>
      </c>
      <c r="CS36" s="310" t="s">
        <v>263</v>
      </c>
      <c r="CT36" s="338" t="e">
        <f>IF(CU34=TRUE,0.05,#N/A)</f>
        <v>#N/A</v>
      </c>
      <c r="CU36" s="338" t="e">
        <f>IF(CU34=TRUE,0.55,#N/A)</f>
        <v>#N/A</v>
      </c>
      <c r="CV36" s="328" t="e">
        <f>CT38+(CT39-CT38)/2</f>
        <v>#N/A</v>
      </c>
      <c r="CW36" s="328" t="e">
        <f>CU38</f>
        <v>#N/A</v>
      </c>
      <c r="CX36" s="373" t="e">
        <f>CT39-CT38</f>
        <v>#N/A</v>
      </c>
      <c r="CY36" s="310"/>
      <c r="CZ36" s="310"/>
      <c r="DA36" s="310"/>
      <c r="DB36" s="310"/>
      <c r="DC36" s="280" t="e">
        <f>DC35</f>
        <v>#N/A</v>
      </c>
      <c r="DD36" s="280" t="e">
        <f>DD33</f>
        <v>#N/A</v>
      </c>
      <c r="DE36" s="310"/>
      <c r="DF36" s="280" t="e">
        <f>DF35</f>
        <v>#N/A</v>
      </c>
      <c r="DG36" s="280" t="e">
        <f>DG33</f>
        <v>#N/A</v>
      </c>
      <c r="DH36" s="310"/>
      <c r="DI36" s="310"/>
      <c r="DJ36" s="310"/>
      <c r="DK36" s="313">
        <v>28</v>
      </c>
      <c r="DL36" s="282" t="e">
        <f t="shared" si="3"/>
        <v>#N/A</v>
      </c>
      <c r="DM36" s="291" t="e">
        <f t="shared" si="4"/>
        <v>#N/A</v>
      </c>
      <c r="DN36" s="310"/>
      <c r="DO36" s="310"/>
      <c r="DP36" s="310"/>
      <c r="DQ36" s="310"/>
      <c r="DR36" s="310"/>
      <c r="DS36" s="310"/>
      <c r="DT36" s="310"/>
      <c r="DU36" s="310"/>
      <c r="DV36" s="310"/>
      <c r="DW36" s="310"/>
      <c r="DX36" s="310"/>
      <c r="DY36" s="310"/>
      <c r="DZ36" s="310"/>
      <c r="EA36" s="310"/>
      <c r="EB36" s="310"/>
      <c r="EC36" s="310"/>
      <c r="ED36" s="310"/>
      <c r="EE36" s="310"/>
      <c r="EF36" s="310"/>
      <c r="EG36" s="310"/>
      <c r="EH36" s="310"/>
      <c r="EI36" s="310"/>
      <c r="EJ36" s="310"/>
      <c r="EK36" s="310"/>
      <c r="EL36" s="310"/>
      <c r="EM36" s="310"/>
      <c r="EN36" s="310"/>
      <c r="EO36" s="310"/>
      <c r="EP36" s="310"/>
      <c r="EQ36" s="310"/>
      <c r="ER36" s="310"/>
      <c r="ES36" s="332" t="e">
        <v>#N/A</v>
      </c>
      <c r="ET36" s="332" t="e">
        <v>#N/A</v>
      </c>
      <c r="EU36" s="406" t="s">
        <v>167</v>
      </c>
      <c r="EV36" s="332" t="e">
        <f t="shared" ref="EV36:FC36" si="79">EV34</f>
        <v>#N/A</v>
      </c>
      <c r="EW36" s="332" t="e">
        <f t="shared" si="79"/>
        <v>#N/A</v>
      </c>
      <c r="EX36" s="332" t="e">
        <f t="shared" si="79"/>
        <v>#N/A</v>
      </c>
      <c r="EY36" s="332" t="e">
        <f t="shared" si="79"/>
        <v>#N/A</v>
      </c>
      <c r="EZ36" s="346" t="e">
        <f t="shared" si="79"/>
        <v>#N/A</v>
      </c>
      <c r="FA36" s="346" t="e">
        <f t="shared" si="79"/>
        <v>#N/A</v>
      </c>
      <c r="FB36" s="346" t="e">
        <f t="shared" si="79"/>
        <v>#N/A</v>
      </c>
      <c r="FC36" s="346" t="e">
        <f t="shared" si="79"/>
        <v>#N/A</v>
      </c>
      <c r="FD36" s="258" t="e">
        <v>#N/A</v>
      </c>
      <c r="FE36" s="258" t="e">
        <v>#N/A</v>
      </c>
      <c r="FF36" s="310"/>
      <c r="FG36" s="310"/>
      <c r="FH36" s="310"/>
      <c r="FI36" s="310"/>
      <c r="FJ36" s="310"/>
      <c r="FK36" s="310"/>
      <c r="FL36" s="310"/>
      <c r="FM36" s="310"/>
      <c r="FN36" s="310"/>
      <c r="FO36" s="310"/>
      <c r="FP36" s="310"/>
      <c r="FQ36" s="310"/>
      <c r="FR36" s="310"/>
      <c r="FS36" s="310"/>
      <c r="FT36" s="310"/>
      <c r="FU36" s="310"/>
      <c r="FV36" s="310"/>
      <c r="FW36" s="310"/>
      <c r="FX36" s="310"/>
      <c r="FY36" s="310"/>
      <c r="FZ36" s="310"/>
      <c r="GA36" s="310"/>
      <c r="GB36" s="310"/>
      <c r="GC36" s="310"/>
      <c r="GD36" s="310"/>
      <c r="GE36" s="310"/>
      <c r="GF36" s="310"/>
      <c r="GG36" s="310"/>
      <c r="GH36" s="310"/>
      <c r="GI36" s="310"/>
      <c r="GJ36" s="310"/>
      <c r="GK36" s="310"/>
      <c r="GL36" s="310"/>
      <c r="GM36" s="310"/>
      <c r="GN36" s="310"/>
      <c r="GO36" s="310"/>
      <c r="GP36" s="310"/>
      <c r="GQ36" s="310"/>
      <c r="GR36" s="310"/>
      <c r="GS36" s="310"/>
      <c r="GT36" s="310"/>
      <c r="GU36" s="310"/>
      <c r="GV36" s="310"/>
      <c r="GW36" s="310"/>
      <c r="GX36" s="310"/>
      <c r="GY36" s="310"/>
      <c r="GZ36" s="310"/>
      <c r="HA36" s="310"/>
      <c r="HB36" s="310"/>
      <c r="HC36" s="310"/>
      <c r="HD36" s="310"/>
      <c r="HE36" s="310"/>
      <c r="HF36" s="310"/>
      <c r="HG36" s="310"/>
      <c r="HH36" s="310"/>
      <c r="HI36" s="310"/>
      <c r="HJ36" s="310"/>
      <c r="HK36" s="342">
        <v>22</v>
      </c>
      <c r="HL36" s="235" t="e">
        <f t="shared" si="5"/>
        <v>#N/A</v>
      </c>
      <c r="HM36" s="235" t="e">
        <f t="shared" si="6"/>
        <v>#N/A</v>
      </c>
      <c r="HN36" s="310"/>
      <c r="HO36" s="310"/>
      <c r="HP36" s="235" t="e">
        <f t="shared" si="7"/>
        <v>#N/A</v>
      </c>
      <c r="HQ36" s="235" t="e">
        <f t="shared" si="8"/>
        <v>#N/A</v>
      </c>
      <c r="HR36" s="310"/>
      <c r="HS36" s="310"/>
      <c r="HT36" s="235" t="e">
        <f t="shared" si="9"/>
        <v>#N/A</v>
      </c>
      <c r="HU36" s="235" t="e">
        <f t="shared" si="10"/>
        <v>#N/A</v>
      </c>
      <c r="HV36" s="310"/>
      <c r="HW36" s="310"/>
      <c r="HX36" s="235" t="e">
        <f t="shared" si="11"/>
        <v>#N/A</v>
      </c>
      <c r="HY36" s="235" t="e">
        <f t="shared" si="12"/>
        <v>#N/A</v>
      </c>
      <c r="HZ36" s="310"/>
      <c r="IA36" s="310"/>
      <c r="IB36" s="235" t="e">
        <f t="shared" si="13"/>
        <v>#N/A</v>
      </c>
      <c r="IC36" s="235" t="e">
        <f t="shared" si="14"/>
        <v>#N/A</v>
      </c>
      <c r="ID36" s="310"/>
      <c r="IE36" s="342">
        <v>22</v>
      </c>
      <c r="IF36" s="262" t="e">
        <f t="shared" si="15"/>
        <v>#N/A</v>
      </c>
      <c r="IG36" s="262" t="e">
        <f t="shared" si="16"/>
        <v>#N/A</v>
      </c>
      <c r="IH36" s="390"/>
      <c r="II36" s="390"/>
      <c r="IJ36" s="262" t="e">
        <f t="shared" si="17"/>
        <v>#N/A</v>
      </c>
      <c r="IK36" s="262" t="e">
        <f t="shared" si="18"/>
        <v>#N/A</v>
      </c>
      <c r="IL36" s="390"/>
      <c r="IM36" s="390"/>
      <c r="IN36" s="262" t="e">
        <f t="shared" si="19"/>
        <v>#N/A</v>
      </c>
      <c r="IO36" s="262" t="e">
        <f t="shared" si="20"/>
        <v>#N/A</v>
      </c>
      <c r="IP36" s="390"/>
      <c r="IQ36" s="390"/>
      <c r="IR36" s="262" t="e">
        <f t="shared" si="21"/>
        <v>#N/A</v>
      </c>
      <c r="IS36" s="262" t="e">
        <f t="shared" si="22"/>
        <v>#N/A</v>
      </c>
      <c r="IT36" s="390"/>
      <c r="IU36" s="390"/>
      <c r="IV36" s="262" t="e">
        <f t="shared" si="23"/>
        <v>#N/A</v>
      </c>
      <c r="IW36" s="262" t="e">
        <f t="shared" si="24"/>
        <v>#N/A</v>
      </c>
      <c r="IX36" s="310"/>
      <c r="IY36" s="310"/>
      <c r="IZ36" s="310"/>
      <c r="JA36" s="310"/>
      <c r="JB36" s="313" t="s">
        <v>167</v>
      </c>
      <c r="JC36" s="236" t="e">
        <f>JC33</f>
        <v>#N/A</v>
      </c>
      <c r="JD36" s="236" t="e">
        <f>JA34-($IZ$10/2)</f>
        <v>#N/A</v>
      </c>
      <c r="JE36" s="310"/>
      <c r="JF36" s="310"/>
      <c r="JG36" s="310"/>
      <c r="JH36" s="310"/>
      <c r="JI36" s="313" t="s">
        <v>167</v>
      </c>
      <c r="JJ36" s="263" t="e">
        <f>JJ33</f>
        <v>#N/A</v>
      </c>
      <c r="JK36" s="263" t="e">
        <f>JH34-($IZ$10/2)</f>
        <v>#N/A</v>
      </c>
      <c r="JL36" s="310"/>
      <c r="JM36" s="310"/>
      <c r="JN36" s="261" t="e">
        <f t="shared" si="25"/>
        <v>#N/A</v>
      </c>
      <c r="JO36" s="261" t="e">
        <f t="shared" si="26"/>
        <v>#N/A</v>
      </c>
      <c r="JP36" s="310"/>
      <c r="JQ36" s="310"/>
      <c r="JR36" s="261" t="e">
        <f t="shared" si="31"/>
        <v>#N/A</v>
      </c>
      <c r="JS36" s="261" t="e">
        <f t="shared" si="32"/>
        <v>#N/A</v>
      </c>
      <c r="JT36" s="310"/>
      <c r="JU36" s="310"/>
      <c r="JV36" s="261" t="e">
        <f t="shared" si="27"/>
        <v>#N/A</v>
      </c>
      <c r="JW36" s="261" t="e">
        <f t="shared" si="28"/>
        <v>#N/A</v>
      </c>
      <c r="JX36" s="310"/>
      <c r="JY36" s="310"/>
      <c r="JZ36" s="310"/>
      <c r="KA36" s="310"/>
      <c r="KB36" s="313" t="s">
        <v>372</v>
      </c>
      <c r="KC36" s="263" t="e">
        <f>KC35</f>
        <v>#N/A</v>
      </c>
      <c r="KD36" s="263" t="e">
        <f>KA31+($IZ$10/2)-$IZ$9</f>
        <v>#N/A</v>
      </c>
      <c r="KE36" s="310"/>
      <c r="KF36" s="310"/>
      <c r="KG36" s="310"/>
      <c r="KH36" s="310"/>
      <c r="KI36" s="310"/>
      <c r="KJ36" s="310"/>
      <c r="KK36" s="310"/>
      <c r="KL36" s="310"/>
      <c r="KM36" s="310"/>
      <c r="KN36" s="310"/>
      <c r="KO36" s="310"/>
      <c r="KP36" s="310"/>
      <c r="KQ36" s="310"/>
      <c r="KR36" s="318" t="b">
        <f>AND(BK6=1,BE8=TRUE)</f>
        <v>0</v>
      </c>
      <c r="KS36" s="310"/>
      <c r="KT36" s="310"/>
      <c r="KU36" s="310"/>
      <c r="KV36" s="310"/>
      <c r="KW36" s="310"/>
      <c r="KX36" s="318" t="b">
        <f>AND(OR(BL10=TRUE,BL11=TRUE),BE8=TRUE)</f>
        <v>1</v>
      </c>
      <c r="KY36" s="310"/>
      <c r="KZ36" s="310"/>
      <c r="LA36" s="338"/>
      <c r="LB36" s="338">
        <f>IF(H32&lt;&gt;"",SQRT(($M$11-J32)^2+($M$10-H32)^2)-(0.5*O13),#N/A)</f>
        <v>0.99268604418765638</v>
      </c>
      <c r="LC36" s="429" t="e">
        <f>IF(CP13=TRUE,IF(LB36=MAX($LB$31:$LB$33,$LB$35:$LB$37),TRUE,FALSE),#N/A)</f>
        <v>#N/A</v>
      </c>
      <c r="LD36" s="338">
        <f>IF(CP13=TRUE,IF(M50&lt;&gt;"",(M50*LB36),0),#N/A)</f>
        <v>35.736697590755632</v>
      </c>
      <c r="LE36" s="310"/>
      <c r="LF36" s="310"/>
      <c r="LG36" s="310"/>
      <c r="LH36" s="391">
        <f>ON51</f>
        <v>1.2999999999999998</v>
      </c>
      <c r="LI36" s="391" t="e">
        <f>LI35</f>
        <v>#N/A</v>
      </c>
      <c r="LJ36" s="338" t="e">
        <v>#N/A</v>
      </c>
      <c r="LK36" s="338" t="e">
        <v>#N/A</v>
      </c>
      <c r="LL36" s="391"/>
      <c r="LM36" s="310"/>
      <c r="LN36" s="310"/>
      <c r="LO36" s="338">
        <f>ON52</f>
        <v>1.2999999999999998</v>
      </c>
      <c r="LP36" s="338">
        <f>LP35</f>
        <v>-0.35</v>
      </c>
      <c r="LQ36" s="338" t="e">
        <v>#N/A</v>
      </c>
      <c r="LR36" s="338" t="e">
        <v>#N/A</v>
      </c>
      <c r="LS36" s="391"/>
      <c r="LT36" s="310"/>
      <c r="LU36" s="310"/>
      <c r="LV36" s="338">
        <f>LV35</f>
        <v>1.9</v>
      </c>
      <c r="LW36" s="338" t="e">
        <f>OO54</f>
        <v>#N/A</v>
      </c>
      <c r="LX36" s="338" t="e">
        <v>#N/A</v>
      </c>
      <c r="LY36" s="338" t="e">
        <v>#N/A</v>
      </c>
      <c r="LZ36" s="391"/>
      <c r="MA36" s="310"/>
      <c r="MB36" s="310"/>
      <c r="MC36" s="338">
        <f>MC35</f>
        <v>0.68999999999999972</v>
      </c>
      <c r="MD36" s="338">
        <f>OO52</f>
        <v>-0.95</v>
      </c>
      <c r="ME36" s="338" t="e">
        <v>#N/A</v>
      </c>
      <c r="MF36" s="338" t="e">
        <v>#N/A</v>
      </c>
      <c r="MG36" s="391"/>
      <c r="MH36" s="310"/>
      <c r="MI36" s="310"/>
      <c r="MJ36" s="242" t="e">
        <v>#N/A</v>
      </c>
      <c r="MK36" s="242" t="e">
        <v>#N/A</v>
      </c>
      <c r="ML36" s="242" t="e">
        <v>#N/A</v>
      </c>
      <c r="MM36" s="242" t="e">
        <v>#N/A</v>
      </c>
      <c r="MN36" s="391"/>
      <c r="MO36" s="310"/>
      <c r="MP36" s="311" t="e">
        <v>#N/A</v>
      </c>
      <c r="MQ36" s="311" t="e">
        <v>#N/A</v>
      </c>
      <c r="MR36" s="311"/>
      <c r="MS36" s="311"/>
      <c r="MT36" s="296" t="e">
        <f>MT31</f>
        <v>#N/A</v>
      </c>
      <c r="MU36" s="296" t="e">
        <f>MU31</f>
        <v>#N/A</v>
      </c>
      <c r="MV36" s="310"/>
      <c r="MW36" s="280" t="e">
        <f>IF($MU$29=TRUE,$MW$17-$BT$7/2,#N/A)</f>
        <v>#N/A</v>
      </c>
      <c r="MX36" s="280" t="e">
        <f>IF($MU$29=TRUE,-0.3,#N/A)</f>
        <v>#N/A</v>
      </c>
      <c r="MY36" s="310"/>
      <c r="MZ36" s="328">
        <v>3</v>
      </c>
      <c r="NA36" s="372" t="b">
        <f t="shared" si="76"/>
        <v>0</v>
      </c>
      <c r="NB36" s="280" t="e">
        <f t="shared" ref="NB36:NB68" si="80">IF(NA36=TRUE,NB35+$NA$32,#N/A)</f>
        <v>#N/A</v>
      </c>
      <c r="NC36" s="280" t="e">
        <f t="shared" ref="NC36:NC68" si="81">IF(NA36=TRUE,$NC$34,#N/A)</f>
        <v>#N/A</v>
      </c>
      <c r="ND36" s="280" t="e">
        <f t="shared" si="77"/>
        <v>#N/A</v>
      </c>
      <c r="NE36" s="280" t="e">
        <f t="shared" si="78"/>
        <v>#N/A</v>
      </c>
      <c r="NF36" s="310"/>
      <c r="NG36" s="310"/>
      <c r="NH36" s="280" t="e">
        <f>NH35+0.6</f>
        <v>#N/A</v>
      </c>
      <c r="NI36" s="280" t="e">
        <f>NI35</f>
        <v>#N/A</v>
      </c>
      <c r="NJ36" s="281" t="e">
        <f>NH41</f>
        <v>#N/A</v>
      </c>
      <c r="NK36" s="281" t="e">
        <f>NI40-(NI40-NI41)/2</f>
        <v>#N/A</v>
      </c>
      <c r="NL36" s="310" t="e">
        <f>"D="&amp;TEXT(NI40-NI41,"0.00")&amp;"cm."</f>
        <v>#N/A</v>
      </c>
      <c r="NM36" s="310"/>
      <c r="NN36" s="310"/>
      <c r="NO36" s="310"/>
      <c r="NP36" s="310"/>
      <c r="NQ36" s="310"/>
      <c r="NR36" s="310"/>
      <c r="NS36" s="310"/>
      <c r="NT36" s="310"/>
      <c r="NU36" s="310"/>
      <c r="NV36" s="310"/>
      <c r="NW36" s="310"/>
      <c r="NX36" s="310"/>
      <c r="NY36" s="310"/>
      <c r="NZ36" s="310"/>
      <c r="OA36" s="311" t="s">
        <v>238</v>
      </c>
      <c r="OB36" s="311"/>
      <c r="OC36" s="311"/>
      <c r="OD36" s="311"/>
      <c r="OE36" s="311"/>
      <c r="OF36" s="311"/>
      <c r="OG36" s="311"/>
      <c r="OH36" s="310"/>
      <c r="OI36" s="310"/>
      <c r="OJ36" s="310"/>
      <c r="OK36" s="310"/>
      <c r="OL36" s="310"/>
      <c r="OM36" s="231" t="e">
        <f>OM35</f>
        <v>#N/A</v>
      </c>
      <c r="ON36" s="231" t="e">
        <f>IF(ON21=TRUE,ON14+ON13/2,#N/A)</f>
        <v>#N/A</v>
      </c>
      <c r="OO36" s="310"/>
      <c r="OP36" s="281" t="e">
        <f>OU48</f>
        <v>#N/A</v>
      </c>
      <c r="OQ36" s="281" t="e">
        <f>OV48</f>
        <v>#N/A</v>
      </c>
      <c r="OR36" s="310" t="str">
        <f>M56</f>
        <v>SD-40  DB20 @ 0.13m.</v>
      </c>
      <c r="OS36" s="310"/>
      <c r="OT36" s="310"/>
      <c r="OU36" s="292" t="e">
        <f>OU35</f>
        <v>#N/A</v>
      </c>
      <c r="OV36" s="292" t="e">
        <f>OV20</f>
        <v>#N/A</v>
      </c>
      <c r="OW36" s="310"/>
      <c r="OX36" s="280" t="e">
        <f>IF(OV8=TRUE,OU25+(F50/100),#N/A)</f>
        <v>#N/A</v>
      </c>
      <c r="OY36" s="280" t="e">
        <f>IF(OV8=TRUE,OV26,#N/A)</f>
        <v>#N/A</v>
      </c>
      <c r="OZ36" s="310"/>
      <c r="PA36" s="310"/>
      <c r="PB36" s="310"/>
      <c r="PC36" s="310"/>
      <c r="PD36" s="310"/>
      <c r="PE36" s="310" t="s">
        <v>191</v>
      </c>
      <c r="PF36" s="310"/>
      <c r="PG36" s="310"/>
      <c r="PH36" s="310"/>
      <c r="PI36" s="310"/>
      <c r="PJ36" s="310"/>
      <c r="PK36" s="310"/>
      <c r="PL36" s="310"/>
      <c r="PM36" s="310"/>
      <c r="PN36" s="310"/>
      <c r="PO36" s="310"/>
      <c r="PP36" s="310"/>
      <c r="PQ36" s="310"/>
      <c r="PR36" s="310"/>
      <c r="PS36" s="342">
        <v>22</v>
      </c>
      <c r="PT36" s="261" t="e">
        <f t="shared" si="29"/>
        <v>#N/A</v>
      </c>
      <c r="PU36" s="261" t="e">
        <f t="shared" si="30"/>
        <v>#N/A</v>
      </c>
      <c r="PV36" s="310"/>
      <c r="PW36" s="310"/>
      <c r="PX36" s="310"/>
      <c r="PY36" s="310"/>
      <c r="PZ36" s="310"/>
      <c r="QA36" s="310"/>
      <c r="QB36" s="310"/>
      <c r="QC36" s="310"/>
      <c r="QD36" s="372" t="s">
        <v>508</v>
      </c>
      <c r="QE36" s="437"/>
      <c r="QF36" s="408"/>
      <c r="QG36" s="310"/>
      <c r="QH36" s="310"/>
      <c r="QI36" s="310"/>
      <c r="QJ36" s="310"/>
      <c r="QK36" s="310" t="s">
        <v>504</v>
      </c>
      <c r="QL36" s="310"/>
      <c r="QM36" s="310"/>
      <c r="QN36" s="310"/>
      <c r="QO36" s="310"/>
      <c r="QP36" s="518" t="s">
        <v>508</v>
      </c>
      <c r="QQ36" s="519"/>
      <c r="QR36" s="520"/>
      <c r="QS36" s="310"/>
      <c r="QT36" s="310"/>
      <c r="QU36" s="310"/>
      <c r="QV36" s="310"/>
      <c r="QW36" s="310"/>
      <c r="QX36" s="310"/>
      <c r="QY36" s="310"/>
      <c r="QZ36" s="310"/>
      <c r="RA36" s="310"/>
      <c r="RB36" s="310"/>
      <c r="RC36" s="310"/>
      <c r="RD36" s="310"/>
      <c r="RE36" s="310"/>
      <c r="RF36" s="310"/>
      <c r="RG36" s="310"/>
      <c r="RH36" s="310"/>
      <c r="RI36" s="310"/>
      <c r="RJ36" s="310"/>
      <c r="RK36" s="310"/>
      <c r="RL36" s="310"/>
      <c r="RM36" s="310"/>
      <c r="RN36" s="310"/>
      <c r="RO36" s="310"/>
      <c r="RP36" s="310"/>
      <c r="RQ36" s="310"/>
      <c r="RR36" s="310"/>
      <c r="RS36" s="310"/>
      <c r="RT36" s="310"/>
      <c r="RU36" s="310"/>
      <c r="RV36" s="310"/>
      <c r="RW36" s="310"/>
      <c r="RX36" s="310"/>
      <c r="RY36" s="310"/>
      <c r="RZ36" s="310"/>
      <c r="SA36" s="310"/>
      <c r="SB36" s="310"/>
      <c r="SC36" s="310"/>
      <c r="SD36" s="310"/>
      <c r="SE36" s="310" t="s">
        <v>149</v>
      </c>
      <c r="SF36" s="247" t="e">
        <f>RY31</f>
        <v>#N/A</v>
      </c>
      <c r="SG36" s="247" t="e">
        <f>RZ31</f>
        <v>#N/A</v>
      </c>
      <c r="SH36" s="513"/>
      <c r="SI36" s="514"/>
      <c r="SJ36" s="310"/>
      <c r="SK36" s="310"/>
      <c r="SL36" s="310"/>
      <c r="SM36" s="310"/>
      <c r="SN36" s="310"/>
      <c r="SO36" s="220"/>
      <c r="SP36" s="220"/>
      <c r="SQ36" s="220"/>
      <c r="SR36" s="220"/>
      <c r="SS36" s="220"/>
      <c r="ST36" s="220"/>
      <c r="SU36" s="220"/>
      <c r="SV36" s="220"/>
      <c r="SW36" s="220"/>
      <c r="SX36" s="220"/>
      <c r="SY36" s="220"/>
      <c r="SZ36" s="220"/>
      <c r="TA36" s="220"/>
      <c r="TB36" s="220"/>
      <c r="TC36" s="220"/>
      <c r="TD36" s="220"/>
      <c r="TE36" s="220"/>
      <c r="TF36" s="220"/>
      <c r="TG36" s="220"/>
      <c r="TH36" s="220"/>
      <c r="TI36" s="220"/>
      <c r="TJ36" s="220"/>
      <c r="TK36" s="220"/>
      <c r="TL36" s="220"/>
      <c r="TM36" s="220"/>
      <c r="TN36" s="220"/>
      <c r="TO36" s="220"/>
      <c r="TP36" s="220"/>
      <c r="TQ36" s="220"/>
      <c r="TR36" s="220"/>
      <c r="TS36" s="220"/>
      <c r="TT36" s="220"/>
      <c r="TU36" s="220"/>
      <c r="TV36" s="220"/>
      <c r="TW36" s="220"/>
      <c r="TX36" s="220"/>
      <c r="TY36" s="220"/>
      <c r="TZ36" s="220"/>
      <c r="UA36" s="220"/>
      <c r="UB36" s="220"/>
      <c r="UC36" s="220"/>
      <c r="UD36" s="220"/>
      <c r="UE36" s="220"/>
      <c r="UF36" s="220"/>
      <c r="UG36" s="220"/>
      <c r="UH36" s="220"/>
      <c r="UI36" s="220"/>
      <c r="UJ36" s="220"/>
      <c r="UK36" s="216"/>
      <c r="UL36" s="216"/>
      <c r="UM36" s="216"/>
      <c r="UN36" s="216"/>
      <c r="UO36" s="216"/>
      <c r="UP36" s="216"/>
      <c r="UQ36" s="216"/>
      <c r="UR36" s="216"/>
      <c r="US36" s="216"/>
      <c r="UT36" s="216"/>
      <c r="UU36" s="216"/>
      <c r="UV36" s="216"/>
      <c r="UW36" s="216"/>
      <c r="UX36" s="216"/>
      <c r="UY36" s="216"/>
      <c r="UZ36" s="216"/>
      <c r="VA36" s="216"/>
    </row>
    <row r="37" spans="1:573" s="4" customFormat="1" ht="15" customHeight="1" x14ac:dyDescent="0.5">
      <c r="A37" s="51"/>
      <c r="B37" s="51"/>
      <c r="C37" s="52"/>
      <c r="D37" s="52"/>
      <c r="E37" s="52"/>
      <c r="F37" s="52"/>
      <c r="G37" s="70" t="s">
        <v>105</v>
      </c>
      <c r="H37" s="16" t="s">
        <v>406</v>
      </c>
      <c r="I37" s="71" t="str">
        <f>IF(BL14=TRUE,"","( "&amp;TRUNC(J26,3)&amp;"+"&amp;IF(J27&lt;&gt;"",TRUNC(J27,3),"")&amp;IF(J28&lt;&gt;"","+"&amp;TRUNC(J28,3),"")&amp;IF(J29&lt;&gt;"","+"&amp;TRUNC(J29,3),"")&amp;IF(J30&lt;&gt;"","+"&amp;TRUNC(J30,3),"")&amp;IF(J31&lt;&gt;"","+"&amp;TRUNC(J31,3),"")&amp;IF(J32&lt;&gt;"","+"&amp;TRUNC(J32,3),"")&amp;IF(J33&lt;&gt;"","+"&amp;TRUNC(J33,3),"")&amp;" ) / "&amp;BK6+BA32)</f>
        <v>( -0.65+-0.65+0.65+0.65+0+-1+1 ) / 7</v>
      </c>
      <c r="J37" s="16"/>
      <c r="K37" s="16"/>
      <c r="L37" s="16"/>
      <c r="M37" s="16"/>
      <c r="N37" s="16"/>
      <c r="O37" s="66"/>
      <c r="P37" s="72"/>
      <c r="Q37" s="50"/>
      <c r="R37" s="50"/>
      <c r="S37" s="50"/>
      <c r="T37" s="50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5"/>
      <c r="AM37" s="45"/>
      <c r="AN37" s="45"/>
      <c r="AO37" s="45"/>
      <c r="AP37" s="310"/>
      <c r="AQ37" s="310" t="s">
        <v>206</v>
      </c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 t="e">
        <f>BU36</f>
        <v>#N/A</v>
      </c>
      <c r="BV37" s="310" t="e">
        <f>BV34+BT7/2</f>
        <v>#N/A</v>
      </c>
      <c r="BW37" s="310" t="s">
        <v>107</v>
      </c>
      <c r="BX37" s="40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257" t="e">
        <f>IF(AND(CK27=TRUE,CK28=TRUE),CK22-$BT$7/2,#N/A)</f>
        <v>#N/A</v>
      </c>
      <c r="CK37" s="257" t="e">
        <f>IF(AND(CK27=TRUE,CK28=TRUE),CL22+$BT$7/2,#N/A)</f>
        <v>#N/A</v>
      </c>
      <c r="CL37" s="310"/>
      <c r="CM37" s="310"/>
      <c r="CN37" s="336" t="e">
        <f>CN28-CN36</f>
        <v>#N/A</v>
      </c>
      <c r="CO37" s="338" t="e">
        <f>CO30</f>
        <v>#N/A</v>
      </c>
      <c r="CP37" s="338" t="e">
        <f>CN42</f>
        <v>#N/A</v>
      </c>
      <c r="CQ37" s="338" t="e">
        <f>CO42+(CO43-CO42)/2</f>
        <v>#N/A</v>
      </c>
      <c r="CR37" s="339" t="e">
        <f>CO43-CO42</f>
        <v>#N/A</v>
      </c>
      <c r="CS37" s="310"/>
      <c r="CT37" s="336" t="e">
        <f>IF(CU34=TRUE,CN28,#N/A)</f>
        <v>#N/A</v>
      </c>
      <c r="CU37" s="338" t="e">
        <f>IF(CU34=TRUE,CO28+CT36,#N/A)</f>
        <v>#N/A</v>
      </c>
      <c r="CV37" s="328" t="e">
        <f>CT42+(CT43-CT42)/2</f>
        <v>#N/A</v>
      </c>
      <c r="CW37" s="328" t="e">
        <f>CU42</f>
        <v>#N/A</v>
      </c>
      <c r="CX37" s="373" t="e">
        <f>CT43-CT42</f>
        <v>#N/A</v>
      </c>
      <c r="CY37" s="310"/>
      <c r="CZ37" s="310"/>
      <c r="DA37" s="310" t="e">
        <f>(DC35-DC34)/DM6</f>
        <v>#N/A</v>
      </c>
      <c r="DB37" s="310"/>
      <c r="DC37" s="281"/>
      <c r="DD37" s="281"/>
      <c r="DE37" s="310"/>
      <c r="DF37" s="310"/>
      <c r="DG37" s="310"/>
      <c r="DH37" s="310"/>
      <c r="DI37" s="310"/>
      <c r="DJ37" s="310"/>
      <c r="DK37" s="313">
        <v>29</v>
      </c>
      <c r="DL37" s="282" t="e">
        <f t="shared" si="3"/>
        <v>#N/A</v>
      </c>
      <c r="DM37" s="291" t="e">
        <f t="shared" si="4"/>
        <v>#N/A</v>
      </c>
      <c r="DN37" s="310"/>
      <c r="DO37" s="310"/>
      <c r="DP37" s="310"/>
      <c r="DQ37" s="310"/>
      <c r="DR37" s="310"/>
      <c r="DS37" s="310"/>
      <c r="DT37" s="310"/>
      <c r="DU37" s="310"/>
      <c r="DV37" s="310"/>
      <c r="DW37" s="310"/>
      <c r="DX37" s="310"/>
      <c r="DY37" s="310"/>
      <c r="DZ37" s="310"/>
      <c r="EA37" s="310"/>
      <c r="EB37" s="310"/>
      <c r="EC37" s="310"/>
      <c r="ED37" s="310"/>
      <c r="EE37" s="310"/>
      <c r="EF37" s="310"/>
      <c r="EG37" s="310"/>
      <c r="EH37" s="310"/>
      <c r="EI37" s="310"/>
      <c r="EJ37" s="310"/>
      <c r="EK37" s="310"/>
      <c r="EL37" s="310"/>
      <c r="EM37" s="310"/>
      <c r="EN37" s="310"/>
      <c r="EO37" s="310"/>
      <c r="EP37" s="310"/>
      <c r="EQ37" s="310"/>
      <c r="ER37" s="310"/>
      <c r="ES37" s="332" t="e">
        <v>#N/A</v>
      </c>
      <c r="ET37" s="332" t="e">
        <v>#N/A</v>
      </c>
      <c r="EU37" s="406" t="s">
        <v>325</v>
      </c>
      <c r="EV37" s="332" t="e">
        <f>EV36-(EV10/SQRT(3))</f>
        <v>#N/A</v>
      </c>
      <c r="EW37" s="332" t="e">
        <f>EW28</f>
        <v>#N/A</v>
      </c>
      <c r="EX37" s="332" t="e">
        <f>EV24</f>
        <v>#N/A</v>
      </c>
      <c r="EY37" s="332" t="e">
        <f>EY36</f>
        <v>#N/A</v>
      </c>
      <c r="EZ37" s="346" t="e">
        <f>EZ20</f>
        <v>#N/A</v>
      </c>
      <c r="FA37" s="346" t="e">
        <f>FA20-(2*(EV10/SQRT(3)))</f>
        <v>#N/A</v>
      </c>
      <c r="FB37" s="346" t="e">
        <f>FB36</f>
        <v>#N/A</v>
      </c>
      <c r="FC37" s="346" t="e">
        <f>FC21-(EV10/SQRT(3))</f>
        <v>#N/A</v>
      </c>
      <c r="FD37" s="258" t="e">
        <v>#N/A</v>
      </c>
      <c r="FE37" s="258" t="e">
        <v>#N/A</v>
      </c>
      <c r="FF37" s="310"/>
      <c r="FG37" s="310"/>
      <c r="FH37" s="310"/>
      <c r="FI37" s="310"/>
      <c r="FJ37" s="310"/>
      <c r="FK37" s="310"/>
      <c r="FL37" s="310"/>
      <c r="FM37" s="310"/>
      <c r="FN37" s="310"/>
      <c r="FO37" s="310"/>
      <c r="FP37" s="310"/>
      <c r="FQ37" s="310"/>
      <c r="FR37" s="310"/>
      <c r="FS37" s="310"/>
      <c r="FT37" s="310"/>
      <c r="FU37" s="310"/>
      <c r="FV37" s="310"/>
      <c r="FW37" s="310"/>
      <c r="FX37" s="310"/>
      <c r="FY37" s="310"/>
      <c r="FZ37" s="310"/>
      <c r="GA37" s="310"/>
      <c r="GB37" s="310"/>
      <c r="GC37" s="310"/>
      <c r="GD37" s="310"/>
      <c r="GE37" s="310"/>
      <c r="GF37" s="310"/>
      <c r="GG37" s="310"/>
      <c r="GH37" s="310"/>
      <c r="GI37" s="310"/>
      <c r="GJ37" s="310"/>
      <c r="GK37" s="310"/>
      <c r="GL37" s="310"/>
      <c r="GM37" s="310"/>
      <c r="GN37" s="310"/>
      <c r="GO37" s="310"/>
      <c r="GP37" s="310"/>
      <c r="GQ37" s="310"/>
      <c r="GR37" s="310"/>
      <c r="GS37" s="310"/>
      <c r="GT37" s="310"/>
      <c r="GU37" s="310"/>
      <c r="GV37" s="310"/>
      <c r="GW37" s="310"/>
      <c r="GX37" s="310"/>
      <c r="GY37" s="310"/>
      <c r="GZ37" s="310"/>
      <c r="HA37" s="310"/>
      <c r="HB37" s="310"/>
      <c r="HC37" s="310"/>
      <c r="HD37" s="310"/>
      <c r="HE37" s="310"/>
      <c r="HF37" s="310"/>
      <c r="HG37" s="310"/>
      <c r="HH37" s="310"/>
      <c r="HI37" s="310"/>
      <c r="HJ37" s="310"/>
      <c r="HK37" s="342">
        <v>23</v>
      </c>
      <c r="HL37" s="235" t="e">
        <f t="shared" si="5"/>
        <v>#N/A</v>
      </c>
      <c r="HM37" s="235" t="e">
        <f t="shared" si="6"/>
        <v>#N/A</v>
      </c>
      <c r="HN37" s="310"/>
      <c r="HO37" s="310"/>
      <c r="HP37" s="235" t="e">
        <f t="shared" si="7"/>
        <v>#N/A</v>
      </c>
      <c r="HQ37" s="235" t="e">
        <f t="shared" si="8"/>
        <v>#N/A</v>
      </c>
      <c r="HR37" s="310"/>
      <c r="HS37" s="310"/>
      <c r="HT37" s="235" t="e">
        <f t="shared" si="9"/>
        <v>#N/A</v>
      </c>
      <c r="HU37" s="235" t="e">
        <f t="shared" si="10"/>
        <v>#N/A</v>
      </c>
      <c r="HV37" s="310"/>
      <c r="HW37" s="310"/>
      <c r="HX37" s="235" t="e">
        <f t="shared" si="11"/>
        <v>#N/A</v>
      </c>
      <c r="HY37" s="235" t="e">
        <f t="shared" si="12"/>
        <v>#N/A</v>
      </c>
      <c r="HZ37" s="310"/>
      <c r="IA37" s="310"/>
      <c r="IB37" s="235" t="e">
        <f t="shared" si="13"/>
        <v>#N/A</v>
      </c>
      <c r="IC37" s="235" t="e">
        <f t="shared" si="14"/>
        <v>#N/A</v>
      </c>
      <c r="ID37" s="310"/>
      <c r="IE37" s="342">
        <v>23</v>
      </c>
      <c r="IF37" s="262" t="e">
        <f t="shared" si="15"/>
        <v>#N/A</v>
      </c>
      <c r="IG37" s="262" t="e">
        <f t="shared" si="16"/>
        <v>#N/A</v>
      </c>
      <c r="IH37" s="390"/>
      <c r="II37" s="390"/>
      <c r="IJ37" s="262" t="e">
        <f t="shared" si="17"/>
        <v>#N/A</v>
      </c>
      <c r="IK37" s="262" t="e">
        <f t="shared" si="18"/>
        <v>#N/A</v>
      </c>
      <c r="IL37" s="390"/>
      <c r="IM37" s="390"/>
      <c r="IN37" s="262" t="e">
        <f t="shared" si="19"/>
        <v>#N/A</v>
      </c>
      <c r="IO37" s="262" t="e">
        <f t="shared" si="20"/>
        <v>#N/A</v>
      </c>
      <c r="IP37" s="390"/>
      <c r="IQ37" s="390"/>
      <c r="IR37" s="262" t="e">
        <f t="shared" si="21"/>
        <v>#N/A</v>
      </c>
      <c r="IS37" s="262" t="e">
        <f t="shared" si="22"/>
        <v>#N/A</v>
      </c>
      <c r="IT37" s="390"/>
      <c r="IU37" s="390"/>
      <c r="IV37" s="262" t="e">
        <f t="shared" si="23"/>
        <v>#N/A</v>
      </c>
      <c r="IW37" s="262" t="e">
        <f t="shared" si="24"/>
        <v>#N/A</v>
      </c>
      <c r="IX37" s="310"/>
      <c r="IY37" s="310"/>
      <c r="IZ37" s="310"/>
      <c r="JA37" s="310"/>
      <c r="JB37" s="313" t="s">
        <v>325</v>
      </c>
      <c r="JC37" s="236" t="e">
        <f>JC32</f>
        <v>#N/A</v>
      </c>
      <c r="JD37" s="236" t="e">
        <f>JD36</f>
        <v>#N/A</v>
      </c>
      <c r="JE37" s="310"/>
      <c r="JF37" s="310"/>
      <c r="JG37" s="310"/>
      <c r="JH37" s="310"/>
      <c r="JI37" s="313" t="s">
        <v>325</v>
      </c>
      <c r="JJ37" s="263" t="e">
        <f>JJ32</f>
        <v>#N/A</v>
      </c>
      <c r="JK37" s="263" t="e">
        <f>JK36</f>
        <v>#N/A</v>
      </c>
      <c r="JL37" s="310"/>
      <c r="JM37" s="310"/>
      <c r="JN37" s="261" t="e">
        <f t="shared" si="25"/>
        <v>#N/A</v>
      </c>
      <c r="JO37" s="261" t="e">
        <f t="shared" si="26"/>
        <v>#N/A</v>
      </c>
      <c r="JP37" s="310"/>
      <c r="JQ37" s="310"/>
      <c r="JR37" s="261" t="e">
        <f t="shared" si="31"/>
        <v>#N/A</v>
      </c>
      <c r="JS37" s="261" t="e">
        <f t="shared" si="32"/>
        <v>#N/A</v>
      </c>
      <c r="JT37" s="310"/>
      <c r="JU37" s="310"/>
      <c r="JV37" s="261" t="e">
        <f t="shared" si="27"/>
        <v>#N/A</v>
      </c>
      <c r="JW37" s="261" t="e">
        <f t="shared" si="28"/>
        <v>#N/A</v>
      </c>
      <c r="JX37" s="310"/>
      <c r="JY37" s="310"/>
      <c r="JZ37" s="310"/>
      <c r="KA37" s="310"/>
      <c r="KB37" s="313" t="s">
        <v>373</v>
      </c>
      <c r="KC37" s="263" t="e">
        <f>KC29</f>
        <v>#N/A</v>
      </c>
      <c r="KD37" s="263" t="e">
        <f>KD29</f>
        <v>#N/A</v>
      </c>
      <c r="KE37" s="310"/>
      <c r="KF37" s="310"/>
      <c r="KG37" s="310"/>
      <c r="KH37" s="310"/>
      <c r="KI37" s="310"/>
      <c r="KJ37" s="310"/>
      <c r="KK37" s="310"/>
      <c r="KL37" s="310"/>
      <c r="KM37" s="310"/>
      <c r="KN37" s="354" t="s">
        <v>48</v>
      </c>
      <c r="KO37" s="354" t="s">
        <v>49</v>
      </c>
      <c r="KP37" s="354" t="s">
        <v>48</v>
      </c>
      <c r="KQ37" s="354" t="s">
        <v>49</v>
      </c>
      <c r="KR37" s="354" t="s">
        <v>139</v>
      </c>
      <c r="KS37" s="310"/>
      <c r="KT37" s="354" t="s">
        <v>48</v>
      </c>
      <c r="KU37" s="354" t="s">
        <v>49</v>
      </c>
      <c r="KV37" s="354" t="s">
        <v>48</v>
      </c>
      <c r="KW37" s="354" t="s">
        <v>49</v>
      </c>
      <c r="KX37" s="354" t="s">
        <v>139</v>
      </c>
      <c r="KY37" s="310"/>
      <c r="KZ37" s="310"/>
      <c r="LA37" s="338"/>
      <c r="LB37" s="338" t="e">
        <f>IF(H33&lt;&gt;"",SQRT(($M$11-J33)^2+($M$10-H33)^2)-(0.5*O14),#N/A)</f>
        <v>#N/A</v>
      </c>
      <c r="LC37" s="429" t="e">
        <f>IF(CP13=TRUE,IF(LB37=MAX($LB$31:$LB$33,$LB$35:$LB$37),TRUE,FALSE),#N/A)</f>
        <v>#N/A</v>
      </c>
      <c r="LD37" s="338">
        <f>IF(CP13=TRUE,IF(M51&lt;&gt;"",(M51*LB37),0),#N/A)</f>
        <v>0</v>
      </c>
      <c r="LE37" s="310"/>
      <c r="LF37" s="310"/>
      <c r="LG37" s="310"/>
      <c r="LH37" s="347" t="e">
        <v>#N/A</v>
      </c>
      <c r="LI37" s="347" t="e">
        <v>#N/A</v>
      </c>
      <c r="LJ37" s="338" t="e">
        <v>#N/A</v>
      </c>
      <c r="LK37" s="338" t="e">
        <v>#N/A</v>
      </c>
      <c r="LL37" s="391"/>
      <c r="LM37" s="310"/>
      <c r="LN37" s="310"/>
      <c r="LO37" s="347" t="e">
        <v>#N/A</v>
      </c>
      <c r="LP37" s="347" t="e">
        <v>#N/A</v>
      </c>
      <c r="LQ37" s="338" t="e">
        <v>#N/A</v>
      </c>
      <c r="LR37" s="338" t="e">
        <v>#N/A</v>
      </c>
      <c r="LS37" s="391"/>
      <c r="LT37" s="310"/>
      <c r="LU37" s="310"/>
      <c r="LV37" s="347" t="e">
        <v>#N/A</v>
      </c>
      <c r="LW37" s="347" t="e">
        <v>#N/A</v>
      </c>
      <c r="LX37" s="338" t="e">
        <v>#N/A</v>
      </c>
      <c r="LY37" s="338" t="e">
        <v>#N/A</v>
      </c>
      <c r="LZ37" s="391"/>
      <c r="MA37" s="310"/>
      <c r="MB37" s="310"/>
      <c r="MC37" s="347" t="e">
        <v>#N/A</v>
      </c>
      <c r="MD37" s="347" t="e">
        <v>#N/A</v>
      </c>
      <c r="ME37" s="338" t="e">
        <v>#N/A</v>
      </c>
      <c r="MF37" s="338" t="e">
        <v>#N/A</v>
      </c>
      <c r="MG37" s="391"/>
      <c r="MH37" s="310"/>
      <c r="MI37" s="310"/>
      <c r="MJ37" s="242" t="e">
        <v>#N/A</v>
      </c>
      <c r="MK37" s="242" t="e">
        <v>#N/A</v>
      </c>
      <c r="ML37" s="242" t="e">
        <v>#N/A</v>
      </c>
      <c r="MM37" s="242" t="e">
        <v>#N/A</v>
      </c>
      <c r="MN37" s="391"/>
      <c r="MO37" s="310"/>
      <c r="MP37" s="311" t="e">
        <v>#N/A</v>
      </c>
      <c r="MQ37" s="311" t="e">
        <v>#N/A</v>
      </c>
      <c r="MR37" s="311"/>
      <c r="MS37" s="311"/>
      <c r="MT37" s="296" t="e">
        <f>IF(MU29=TRUE,MX7-MAX(O12:O13)/2,#N/A)</f>
        <v>#N/A</v>
      </c>
      <c r="MU37" s="296" t="e">
        <f>MU36</f>
        <v>#N/A</v>
      </c>
      <c r="MV37" s="310"/>
      <c r="MW37" s="280" t="e">
        <f>MW36</f>
        <v>#N/A</v>
      </c>
      <c r="MX37" s="280" t="e">
        <f>IF($MU$29=TRUE,$G$52/100,#N/A)</f>
        <v>#N/A</v>
      </c>
      <c r="MY37" s="310"/>
      <c r="MZ37" s="328">
        <v>4</v>
      </c>
      <c r="NA37" s="372" t="b">
        <f t="shared" si="76"/>
        <v>0</v>
      </c>
      <c r="NB37" s="280" t="e">
        <f t="shared" si="80"/>
        <v>#N/A</v>
      </c>
      <c r="NC37" s="280" t="e">
        <f t="shared" si="81"/>
        <v>#N/A</v>
      </c>
      <c r="ND37" s="280" t="e">
        <f t="shared" si="77"/>
        <v>#N/A</v>
      </c>
      <c r="NE37" s="280" t="e">
        <f t="shared" si="78"/>
        <v>#N/A</v>
      </c>
      <c r="NF37" s="310"/>
      <c r="NG37" s="310"/>
      <c r="NH37" s="280" t="e">
        <f>NH36</f>
        <v>#N/A</v>
      </c>
      <c r="NI37" s="280" t="e">
        <f>IF(NH33=TRUE,MU32,#N/A)</f>
        <v>#N/A</v>
      </c>
      <c r="NJ37" s="281" t="e">
        <f>IF(NH33=TRUE,MW17,#N/A)</f>
        <v>#N/A</v>
      </c>
      <c r="NK37" s="281" t="e">
        <f>IF(NH33=TRUE,-0.15,#N/A)</f>
        <v>#N/A</v>
      </c>
      <c r="NL37" s="310" t="str" cm="1">
        <f t="array" ref="NL37">INDEX(GY7:GY28,GY6)&amp;" SAFE LOAD = "&amp;M8&amp;" T/Pile"</f>
        <v>I-Pile 30 x 30 SAFE LOAD = 40 T/Pile</v>
      </c>
      <c r="NM37" s="310"/>
      <c r="NN37" s="310"/>
      <c r="NO37" s="310"/>
      <c r="NP37" s="310"/>
      <c r="NQ37" s="310"/>
      <c r="NR37" s="310"/>
      <c r="NS37" s="310"/>
      <c r="NT37" s="524" t="s">
        <v>430</v>
      </c>
      <c r="NU37" s="524"/>
      <c r="NV37" s="524" t="s">
        <v>431</v>
      </c>
      <c r="NW37" s="524"/>
      <c r="NX37" s="310"/>
      <c r="NY37" s="310"/>
      <c r="NZ37" s="310"/>
      <c r="OA37" s="529" t="s">
        <v>430</v>
      </c>
      <c r="OB37" s="530"/>
      <c r="OC37" s="530" t="s">
        <v>431</v>
      </c>
      <c r="OD37" s="530"/>
      <c r="OE37" s="311"/>
      <c r="OF37" s="311"/>
      <c r="OG37" s="312" t="s">
        <v>303</v>
      </c>
      <c r="OH37" s="310"/>
      <c r="OI37" s="310"/>
      <c r="OJ37" s="310"/>
      <c r="OK37" s="310"/>
      <c r="OL37" s="310"/>
      <c r="OM37" s="231" t="e">
        <f>IF(ON21=TRUE,OM15,#N/A)</f>
        <v>#N/A</v>
      </c>
      <c r="ON37" s="231" t="e">
        <f>ON36</f>
        <v>#N/A</v>
      </c>
      <c r="OO37" s="310"/>
      <c r="OP37" s="281" t="e">
        <f>OU40</f>
        <v>#N/A</v>
      </c>
      <c r="OQ37" s="281" t="e">
        <f>OV40</f>
        <v>#N/A</v>
      </c>
      <c r="OR37" s="310" t="str" cm="1">
        <f t="array" ref="OR37">INDEX(BQ7:BQ34,GY6)&amp;" SAFE LOAD = "&amp;M8&amp;" T/Pile"</f>
        <v xml:space="preserve"> SAFE LOAD = 40 T/Pile</v>
      </c>
      <c r="OS37" s="310"/>
      <c r="OT37" s="310"/>
      <c r="OU37" s="292" t="e">
        <f>OU34</f>
        <v>#N/A</v>
      </c>
      <c r="OV37" s="292" t="e">
        <f>OV36</f>
        <v>#N/A</v>
      </c>
      <c r="OW37" s="310"/>
      <c r="OX37" s="280" t="e">
        <f>OX36</f>
        <v>#N/A</v>
      </c>
      <c r="OY37" s="280" t="e">
        <f>IF(OV8=TRUE,PH15+OW30*2.5,#N/A)</f>
        <v>#N/A</v>
      </c>
      <c r="OZ37" s="310"/>
      <c r="PA37" s="310"/>
      <c r="PB37" s="310"/>
      <c r="PC37" s="310"/>
      <c r="PD37" s="310"/>
      <c r="PE37" s="328" t="s">
        <v>48</v>
      </c>
      <c r="PF37" s="328" t="s">
        <v>49</v>
      </c>
      <c r="PG37" s="310"/>
      <c r="PH37" s="310"/>
      <c r="PI37" s="310"/>
      <c r="PJ37" s="310"/>
      <c r="PK37" s="310"/>
      <c r="PL37" s="310"/>
      <c r="PM37" s="310"/>
      <c r="PN37" s="310"/>
      <c r="PO37" s="310"/>
      <c r="PP37" s="310"/>
      <c r="PQ37" s="310"/>
      <c r="PR37" s="310"/>
      <c r="PS37" s="342">
        <v>23</v>
      </c>
      <c r="PT37" s="261" t="e">
        <f t="shared" si="29"/>
        <v>#N/A</v>
      </c>
      <c r="PU37" s="261" t="e">
        <f t="shared" si="30"/>
        <v>#N/A</v>
      </c>
      <c r="PV37" s="310"/>
      <c r="PW37" s="310"/>
      <c r="PX37" s="310"/>
      <c r="PY37" s="328"/>
      <c r="PZ37" s="328" t="s">
        <v>431</v>
      </c>
      <c r="QA37" s="328" t="s">
        <v>505</v>
      </c>
      <c r="QB37" s="328" t="s">
        <v>506</v>
      </c>
      <c r="QC37" s="328" t="s">
        <v>507</v>
      </c>
      <c r="QD37" s="405" t="s">
        <v>505</v>
      </c>
      <c r="QE37" s="328" t="s">
        <v>509</v>
      </c>
      <c r="QF37" s="328" t="s">
        <v>507</v>
      </c>
      <c r="QG37" s="310"/>
      <c r="QH37" s="310"/>
      <c r="QI37" s="310"/>
      <c r="QJ37" s="310"/>
      <c r="QK37" s="328"/>
      <c r="QL37" s="328" t="s">
        <v>431</v>
      </c>
      <c r="QM37" s="328" t="s">
        <v>505</v>
      </c>
      <c r="QN37" s="328" t="s">
        <v>506</v>
      </c>
      <c r="QO37" s="328" t="s">
        <v>507</v>
      </c>
      <c r="QP37" s="405" t="s">
        <v>505</v>
      </c>
      <c r="QQ37" s="328" t="s">
        <v>509</v>
      </c>
      <c r="QR37" s="328" t="s">
        <v>511</v>
      </c>
      <c r="QS37" s="310"/>
      <c r="QT37" s="310"/>
      <c r="QU37" s="310"/>
      <c r="QV37" s="310"/>
      <c r="QW37" s="310"/>
      <c r="QX37" s="310"/>
      <c r="QY37" s="310"/>
      <c r="QZ37" s="310"/>
      <c r="RA37" s="310"/>
      <c r="RB37" s="310"/>
      <c r="RC37" s="310"/>
      <c r="RD37" s="310"/>
      <c r="RE37" s="310"/>
      <c r="RF37" s="310"/>
      <c r="RG37" s="310"/>
      <c r="RH37" s="310"/>
      <c r="RI37" s="310"/>
      <c r="RJ37" s="310"/>
      <c r="RK37" s="310"/>
      <c r="RL37" s="310"/>
      <c r="RM37" s="310"/>
      <c r="RN37" s="310"/>
      <c r="RO37" s="310"/>
      <c r="RP37" s="310"/>
      <c r="RQ37" s="310"/>
      <c r="RR37" s="310"/>
      <c r="RS37" s="310"/>
      <c r="RT37" s="310"/>
      <c r="RU37" s="310"/>
      <c r="RV37" s="310"/>
      <c r="RW37" s="310"/>
      <c r="RX37" s="310"/>
      <c r="RY37" s="310"/>
      <c r="RZ37" s="310"/>
      <c r="SA37" s="310"/>
      <c r="SB37" s="310"/>
      <c r="SC37" s="310"/>
      <c r="SD37" s="310"/>
      <c r="SE37" s="310"/>
      <c r="SF37" s="513" t="e">
        <f>SF36+0.25</f>
        <v>#N/A</v>
      </c>
      <c r="SG37" s="513" t="e">
        <f>SG36+0.25</f>
        <v>#N/A</v>
      </c>
      <c r="SH37" s="247"/>
      <c r="SI37" s="247"/>
      <c r="SJ37" s="310"/>
      <c r="SK37" s="310"/>
      <c r="SL37" s="310"/>
      <c r="SM37" s="310"/>
      <c r="SN37" s="310"/>
      <c r="SO37" s="220"/>
      <c r="SP37" s="220"/>
      <c r="SQ37" s="220"/>
      <c r="SR37" s="220"/>
      <c r="SS37" s="220"/>
      <c r="ST37" s="220"/>
      <c r="SU37" s="220"/>
      <c r="SV37" s="220"/>
      <c r="SW37" s="220"/>
      <c r="SX37" s="220"/>
      <c r="SY37" s="220"/>
      <c r="SZ37" s="220"/>
      <c r="TA37" s="220"/>
      <c r="TB37" s="220"/>
      <c r="TC37" s="220"/>
      <c r="TD37" s="220"/>
      <c r="TE37" s="220"/>
      <c r="TF37" s="220"/>
      <c r="TG37" s="220"/>
      <c r="TH37" s="220"/>
      <c r="TI37" s="220"/>
      <c r="TJ37" s="220"/>
      <c r="TK37" s="220"/>
      <c r="TL37" s="220"/>
      <c r="TM37" s="220"/>
      <c r="TN37" s="220"/>
      <c r="TO37" s="220"/>
      <c r="TP37" s="220"/>
      <c r="TQ37" s="220"/>
      <c r="TR37" s="220"/>
      <c r="TS37" s="220"/>
      <c r="TT37" s="220"/>
      <c r="TU37" s="220"/>
      <c r="TV37" s="220"/>
      <c r="TW37" s="220"/>
      <c r="TX37" s="220"/>
      <c r="TY37" s="220"/>
      <c r="TZ37" s="220"/>
      <c r="UA37" s="220"/>
      <c r="UB37" s="220"/>
      <c r="UC37" s="220"/>
      <c r="UD37" s="220"/>
      <c r="UE37" s="220"/>
      <c r="UF37" s="220"/>
      <c r="UG37" s="220"/>
      <c r="UH37" s="220"/>
      <c r="UI37" s="220"/>
      <c r="UJ37" s="220"/>
      <c r="UK37" s="216"/>
      <c r="UL37" s="216"/>
      <c r="UM37" s="216"/>
      <c r="UN37" s="216"/>
      <c r="UO37" s="216"/>
      <c r="UP37" s="216"/>
      <c r="UQ37" s="216"/>
      <c r="UR37" s="216"/>
      <c r="US37" s="216"/>
      <c r="UT37" s="216"/>
      <c r="UU37" s="216"/>
      <c r="UV37" s="216"/>
      <c r="UW37" s="216"/>
      <c r="UX37" s="216"/>
      <c r="UY37" s="216"/>
      <c r="UZ37" s="216"/>
      <c r="VA37" s="216"/>
    </row>
    <row r="38" spans="1:573" s="4" customFormat="1" ht="15" customHeight="1" x14ac:dyDescent="0.5">
      <c r="A38" s="51"/>
      <c r="B38" s="51"/>
      <c r="C38" s="52"/>
      <c r="D38" s="52"/>
      <c r="E38" s="52"/>
      <c r="F38" s="52"/>
      <c r="G38" s="73" t="s">
        <v>102</v>
      </c>
      <c r="H38" s="723" t="str">
        <f>IF(OR(COUNTA(H26:I30)=0,BK6=0),"",TEXT(SUM(J26:J33),"#,##0.000")&amp;" / "&amp;BK6+BA32&amp;" = ")</f>
        <v xml:space="preserve">0.000 / 7 = </v>
      </c>
      <c r="I38" s="723"/>
      <c r="J38" s="554">
        <f>SUM(J26:J33)/(BK6+BA32)</f>
        <v>0</v>
      </c>
      <c r="K38" s="554"/>
      <c r="L38" s="74" t="s">
        <v>108</v>
      </c>
      <c r="M38" s="588">
        <f>CS25</f>
        <v>0</v>
      </c>
      <c r="N38" s="589"/>
      <c r="O38" s="75" t="str">
        <f>IF(M38="","",IF(ABS(M38)&lt;=$BF$16,"O.K.","NOT O.K."))</f>
        <v>O.K.</v>
      </c>
      <c r="P38" s="50"/>
      <c r="Q38" s="50"/>
      <c r="R38" s="50"/>
      <c r="S38" s="50"/>
      <c r="T38" s="50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5"/>
      <c r="AM38" s="45"/>
      <c r="AN38" s="45"/>
      <c r="AO38" s="45"/>
      <c r="AP38" s="310"/>
      <c r="AQ38" s="338" t="b">
        <f>OR(AQ39=TRUE,AQ40=TRUE,AQ41=TRUE,AQ42=TRUE)</f>
        <v>0</v>
      </c>
      <c r="AR38" s="338" t="b">
        <f>AND(AQ39=FALSE,AQ40=FALSE,AQ41=FALSE,AQ42=FALSE)</f>
        <v>1</v>
      </c>
      <c r="AS38" s="328" t="s">
        <v>13</v>
      </c>
      <c r="AT38" s="328" t="s">
        <v>19</v>
      </c>
      <c r="AU38" s="328" t="s">
        <v>24</v>
      </c>
      <c r="AV38" s="328" t="s">
        <v>29</v>
      </c>
      <c r="AW38" s="328" t="s">
        <v>34</v>
      </c>
      <c r="AX38" s="328" t="s">
        <v>252</v>
      </c>
      <c r="AY38" s="328" t="s">
        <v>251</v>
      </c>
      <c r="AZ38" s="328" t="s">
        <v>136</v>
      </c>
      <c r="BA38" s="310"/>
      <c r="BB38" s="310">
        <f>IF(M38="","",M16*M38)</f>
        <v>0</v>
      </c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 t="e">
        <f>BU34-BT7/2</f>
        <v>#N/A</v>
      </c>
      <c r="BV38" s="310" t="e">
        <f>BV37</f>
        <v>#N/A</v>
      </c>
      <c r="BW38" s="310" t="b">
        <f>AY16</f>
        <v>1</v>
      </c>
      <c r="BX38" s="40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257" t="e">
        <f>IF(AND(CK27=TRUE,CK28=TRUE),CK22+$BT$7/2,#N/A)</f>
        <v>#N/A</v>
      </c>
      <c r="CK38" s="257" t="e">
        <f>CK37</f>
        <v>#N/A</v>
      </c>
      <c r="CL38" s="310"/>
      <c r="CM38" s="310"/>
      <c r="CN38" s="336" t="e">
        <f>CN37-CO36</f>
        <v>#N/A</v>
      </c>
      <c r="CO38" s="338" t="e">
        <f>CO37</f>
        <v>#N/A</v>
      </c>
      <c r="CP38" s="338" t="e">
        <f>CN45</f>
        <v>#N/A</v>
      </c>
      <c r="CQ38" s="338" t="e">
        <f>CO45+(CO46-CO45)/2</f>
        <v>#N/A</v>
      </c>
      <c r="CR38" s="339" t="e">
        <f>CO46-CO45</f>
        <v>#N/A</v>
      </c>
      <c r="CS38" s="310"/>
      <c r="CT38" s="336" t="e">
        <f>CT37</f>
        <v>#N/A</v>
      </c>
      <c r="CU38" s="338" t="e">
        <f>CU37+CU36</f>
        <v>#N/A</v>
      </c>
      <c r="CV38" s="328" t="e">
        <f>CT45+(CT46-CT45)/2</f>
        <v>#N/A</v>
      </c>
      <c r="CW38" s="328" t="e">
        <f>CW37</f>
        <v>#N/A</v>
      </c>
      <c r="CX38" s="373" t="e">
        <f>CT46-CT45</f>
        <v>#N/A</v>
      </c>
      <c r="CY38" s="310"/>
      <c r="CZ38" s="310"/>
      <c r="DA38" s="310"/>
      <c r="DB38" s="310"/>
      <c r="DC38" s="310"/>
      <c r="DD38" s="310"/>
      <c r="DE38" s="310"/>
      <c r="DF38" s="310"/>
      <c r="DG38" s="310"/>
      <c r="DH38" s="310"/>
      <c r="DI38" s="310"/>
      <c r="DJ38" s="310"/>
      <c r="DK38" s="313">
        <v>30</v>
      </c>
      <c r="DL38" s="282" t="e">
        <f t="shared" si="3"/>
        <v>#N/A</v>
      </c>
      <c r="DM38" s="291" t="e">
        <f t="shared" si="4"/>
        <v>#N/A</v>
      </c>
      <c r="DN38" s="310"/>
      <c r="DO38" s="310"/>
      <c r="DP38" s="310"/>
      <c r="DQ38" s="310"/>
      <c r="DR38" s="310"/>
      <c r="DS38" s="310"/>
      <c r="DT38" s="310"/>
      <c r="DU38" s="310"/>
      <c r="DV38" s="310"/>
      <c r="DW38" s="310"/>
      <c r="DX38" s="310"/>
      <c r="DY38" s="310"/>
      <c r="DZ38" s="310"/>
      <c r="EA38" s="310"/>
      <c r="EB38" s="310"/>
      <c r="EC38" s="310"/>
      <c r="ED38" s="310"/>
      <c r="EE38" s="310"/>
      <c r="EF38" s="310"/>
      <c r="EG38" s="310"/>
      <c r="EH38" s="310"/>
      <c r="EI38" s="310"/>
      <c r="EJ38" s="310"/>
      <c r="EK38" s="310"/>
      <c r="EL38" s="310"/>
      <c r="EM38" s="310"/>
      <c r="EN38" s="310"/>
      <c r="EO38" s="310"/>
      <c r="EP38" s="310"/>
      <c r="EQ38" s="310"/>
      <c r="ER38" s="310"/>
      <c r="ES38" s="332" t="e">
        <v>#N/A</v>
      </c>
      <c r="ET38" s="332" t="e">
        <v>#N/A</v>
      </c>
      <c r="EU38" s="330"/>
      <c r="EV38" s="332" t="e">
        <v>#N/A</v>
      </c>
      <c r="EW38" s="332" t="e">
        <v>#N/A</v>
      </c>
      <c r="EX38" s="332" t="e">
        <v>#N/A</v>
      </c>
      <c r="EY38" s="332" t="e">
        <v>#N/A</v>
      </c>
      <c r="EZ38" s="346" t="e">
        <v>#N/A</v>
      </c>
      <c r="FA38" s="346" t="e">
        <v>#N/A</v>
      </c>
      <c r="FB38" s="346" t="e">
        <v>#N/A</v>
      </c>
      <c r="FC38" s="346" t="e">
        <v>#N/A</v>
      </c>
      <c r="FD38" s="258" t="e">
        <v>#N/A</v>
      </c>
      <c r="FE38" s="258" t="e">
        <v>#N/A</v>
      </c>
      <c r="FF38" s="310"/>
      <c r="FG38" s="310"/>
      <c r="FH38" s="310"/>
      <c r="FI38" s="310"/>
      <c r="FJ38" s="310"/>
      <c r="FK38" s="310"/>
      <c r="FL38" s="310"/>
      <c r="FM38" s="310"/>
      <c r="FN38" s="310"/>
      <c r="FO38" s="310"/>
      <c r="FP38" s="310"/>
      <c r="FQ38" s="310"/>
      <c r="FR38" s="310"/>
      <c r="FS38" s="310"/>
      <c r="FT38" s="310"/>
      <c r="FU38" s="310"/>
      <c r="FV38" s="310"/>
      <c r="FW38" s="310"/>
      <c r="FX38" s="310"/>
      <c r="FY38" s="310"/>
      <c r="FZ38" s="310"/>
      <c r="GA38" s="310"/>
      <c r="GB38" s="310"/>
      <c r="GC38" s="310"/>
      <c r="GD38" s="310"/>
      <c r="GE38" s="310"/>
      <c r="GF38" s="310"/>
      <c r="GG38" s="310"/>
      <c r="GH38" s="310"/>
      <c r="GI38" s="310"/>
      <c r="GJ38" s="310"/>
      <c r="GK38" s="310"/>
      <c r="GL38" s="310"/>
      <c r="GM38" s="310"/>
      <c r="GN38" s="310"/>
      <c r="GO38" s="310"/>
      <c r="GP38" s="310"/>
      <c r="GQ38" s="310"/>
      <c r="GR38" s="310"/>
      <c r="GS38" s="310"/>
      <c r="GT38" s="310"/>
      <c r="GU38" s="310"/>
      <c r="GV38" s="310"/>
      <c r="GW38" s="310"/>
      <c r="GX38" s="310"/>
      <c r="GY38" s="310"/>
      <c r="GZ38" s="310"/>
      <c r="HA38" s="310"/>
      <c r="HB38" s="310"/>
      <c r="HC38" s="310"/>
      <c r="HD38" s="310"/>
      <c r="HE38" s="310"/>
      <c r="HF38" s="310"/>
      <c r="HG38" s="310"/>
      <c r="HH38" s="310"/>
      <c r="HI38" s="310"/>
      <c r="HJ38" s="310"/>
      <c r="HK38" s="342">
        <v>24</v>
      </c>
      <c r="HL38" s="235" t="e">
        <f t="shared" si="5"/>
        <v>#N/A</v>
      </c>
      <c r="HM38" s="235" t="e">
        <f t="shared" si="6"/>
        <v>#N/A</v>
      </c>
      <c r="HN38" s="310"/>
      <c r="HO38" s="310"/>
      <c r="HP38" s="235" t="e">
        <f t="shared" si="7"/>
        <v>#N/A</v>
      </c>
      <c r="HQ38" s="235" t="e">
        <f t="shared" si="8"/>
        <v>#N/A</v>
      </c>
      <c r="HR38" s="310"/>
      <c r="HS38" s="310"/>
      <c r="HT38" s="235" t="e">
        <f t="shared" si="9"/>
        <v>#N/A</v>
      </c>
      <c r="HU38" s="235" t="e">
        <f t="shared" si="10"/>
        <v>#N/A</v>
      </c>
      <c r="HV38" s="310"/>
      <c r="HW38" s="310"/>
      <c r="HX38" s="235" t="e">
        <f t="shared" si="11"/>
        <v>#N/A</v>
      </c>
      <c r="HY38" s="235" t="e">
        <f t="shared" si="12"/>
        <v>#N/A</v>
      </c>
      <c r="HZ38" s="310"/>
      <c r="IA38" s="310"/>
      <c r="IB38" s="235" t="e">
        <f t="shared" si="13"/>
        <v>#N/A</v>
      </c>
      <c r="IC38" s="235" t="e">
        <f t="shared" si="14"/>
        <v>#N/A</v>
      </c>
      <c r="ID38" s="310"/>
      <c r="IE38" s="342">
        <v>24</v>
      </c>
      <c r="IF38" s="262" t="e">
        <f t="shared" si="15"/>
        <v>#N/A</v>
      </c>
      <c r="IG38" s="262" t="e">
        <f t="shared" si="16"/>
        <v>#N/A</v>
      </c>
      <c r="IH38" s="390"/>
      <c r="II38" s="390"/>
      <c r="IJ38" s="262" t="e">
        <f t="shared" si="17"/>
        <v>#N/A</v>
      </c>
      <c r="IK38" s="262" t="e">
        <f t="shared" si="18"/>
        <v>#N/A</v>
      </c>
      <c r="IL38" s="390"/>
      <c r="IM38" s="390"/>
      <c r="IN38" s="262" t="e">
        <f t="shared" si="19"/>
        <v>#N/A</v>
      </c>
      <c r="IO38" s="262" t="e">
        <f t="shared" si="20"/>
        <v>#N/A</v>
      </c>
      <c r="IP38" s="390"/>
      <c r="IQ38" s="390"/>
      <c r="IR38" s="262" t="e">
        <f t="shared" si="21"/>
        <v>#N/A</v>
      </c>
      <c r="IS38" s="262" t="e">
        <f t="shared" si="22"/>
        <v>#N/A</v>
      </c>
      <c r="IT38" s="390"/>
      <c r="IU38" s="390"/>
      <c r="IV38" s="262" t="e">
        <f t="shared" si="23"/>
        <v>#N/A</v>
      </c>
      <c r="IW38" s="262" t="e">
        <f t="shared" si="24"/>
        <v>#N/A</v>
      </c>
      <c r="IX38" s="310"/>
      <c r="IY38" s="310"/>
      <c r="IZ38" s="310"/>
      <c r="JA38" s="310"/>
      <c r="JB38" s="313" t="s">
        <v>326</v>
      </c>
      <c r="JC38" s="236" t="e">
        <f>IZ34-($IZ$10/2)</f>
        <v>#N/A</v>
      </c>
      <c r="JD38" s="236" t="e">
        <f>JD35</f>
        <v>#N/A</v>
      </c>
      <c r="JE38" s="310"/>
      <c r="JF38" s="310"/>
      <c r="JG38" s="310"/>
      <c r="JH38" s="310"/>
      <c r="JI38" s="313" t="s">
        <v>326</v>
      </c>
      <c r="JJ38" s="263" t="e">
        <f>JG34-($IZ$10/2)</f>
        <v>#N/A</v>
      </c>
      <c r="JK38" s="263" t="e">
        <f>JK35</f>
        <v>#N/A</v>
      </c>
      <c r="JL38" s="310"/>
      <c r="JM38" s="310"/>
      <c r="JN38" s="261" t="e">
        <f t="shared" si="25"/>
        <v>#N/A</v>
      </c>
      <c r="JO38" s="261" t="e">
        <f t="shared" si="26"/>
        <v>#N/A</v>
      </c>
      <c r="JP38" s="310"/>
      <c r="JQ38" s="310"/>
      <c r="JR38" s="261" t="e">
        <f t="shared" si="31"/>
        <v>#N/A</v>
      </c>
      <c r="JS38" s="261" t="e">
        <f t="shared" si="32"/>
        <v>#N/A</v>
      </c>
      <c r="JT38" s="310"/>
      <c r="JU38" s="310"/>
      <c r="JV38" s="261" t="e">
        <f t="shared" si="27"/>
        <v>#N/A</v>
      </c>
      <c r="JW38" s="261" t="e">
        <f t="shared" si="28"/>
        <v>#N/A</v>
      </c>
      <c r="JX38" s="310"/>
      <c r="JY38" s="310"/>
      <c r="JZ38" s="310"/>
      <c r="KA38" s="311"/>
      <c r="KB38" s="419"/>
      <c r="KC38" s="264" t="e">
        <v>#N/A</v>
      </c>
      <c r="KD38" s="264" t="e">
        <v>#N/A</v>
      </c>
      <c r="KE38" s="310"/>
      <c r="KF38" s="310"/>
      <c r="KG38" s="310"/>
      <c r="KH38" s="310"/>
      <c r="KI38" s="310"/>
      <c r="KJ38" s="310"/>
      <c r="KK38" s="310"/>
      <c r="KL38" s="310"/>
      <c r="KM38" s="310"/>
      <c r="KN38" s="267" t="e">
        <f>IF(KR36=TRUE,ON49,#N/A)</f>
        <v>#N/A</v>
      </c>
      <c r="KO38" s="267" t="e">
        <f>IF(KR36=TRUE,OO49+KN9,#N/A)</f>
        <v>#N/A</v>
      </c>
      <c r="KP38" s="267" t="e">
        <f>KN39+(KN40-KN39)/2</f>
        <v>#N/A</v>
      </c>
      <c r="KQ38" s="267" t="e">
        <f>KO39</f>
        <v>#N/A</v>
      </c>
      <c r="KR38" s="347" t="e">
        <f>KN40-KN39</f>
        <v>#N/A</v>
      </c>
      <c r="KS38" s="310"/>
      <c r="KT38" s="242">
        <f>IF(KX36=TRUE,ON50,#N/A)</f>
        <v>-1.2999999999999998</v>
      </c>
      <c r="KU38" s="242">
        <f>IF(KX36=TRUE,OO50+KN9,#N/A)</f>
        <v>1</v>
      </c>
      <c r="KV38" s="242">
        <f>KT39+(KT40-KT39)/2</f>
        <v>0</v>
      </c>
      <c r="KW38" s="242">
        <f>KU39</f>
        <v>1.5499999999999998</v>
      </c>
      <c r="KX38" s="389">
        <f>KT40-KT39</f>
        <v>2.5999999999999996</v>
      </c>
      <c r="KY38" s="310"/>
      <c r="KZ38" s="310"/>
      <c r="LA38" s="310"/>
      <c r="LB38" s="310"/>
      <c r="LC38" s="338" t="s">
        <v>469</v>
      </c>
      <c r="LD38" s="307" t="e">
        <f>MAX(LD31:LD33,LD35:LD37)</f>
        <v>#N/A</v>
      </c>
      <c r="LE38" s="310"/>
      <c r="LF38" s="310"/>
      <c r="LG38" s="310"/>
      <c r="LH38" s="391">
        <f>ON52+LH7</f>
        <v>1.3499999999999999</v>
      </c>
      <c r="LI38" s="391">
        <f>OO52</f>
        <v>-0.95</v>
      </c>
      <c r="LJ38" s="338" t="e">
        <v>#N/A</v>
      </c>
      <c r="LK38" s="338" t="e">
        <v>#N/A</v>
      </c>
      <c r="LL38" s="391"/>
      <c r="LM38" s="310"/>
      <c r="LN38" s="310"/>
      <c r="LO38" s="338">
        <f>ON51+LO7</f>
        <v>1.3499999999999999</v>
      </c>
      <c r="LP38" s="338">
        <f>OO51</f>
        <v>0.95</v>
      </c>
      <c r="LQ38" s="338" t="e">
        <v>#N/A</v>
      </c>
      <c r="LR38" s="338" t="e">
        <v>#N/A</v>
      </c>
      <c r="LS38" s="391"/>
      <c r="LT38" s="310"/>
      <c r="LU38" s="310"/>
      <c r="LV38" s="338" t="e">
        <f>ON53</f>
        <v>#N/A</v>
      </c>
      <c r="LW38" s="338" t="e">
        <f>OO53-LV7</f>
        <v>#N/A</v>
      </c>
      <c r="LX38" s="338" t="e">
        <v>#N/A</v>
      </c>
      <c r="LY38" s="338" t="e">
        <v>#N/A</v>
      </c>
      <c r="LZ38" s="391"/>
      <c r="MA38" s="310"/>
      <c r="MB38" s="310"/>
      <c r="MC38" s="338">
        <f>ON50</f>
        <v>-1.2999999999999998</v>
      </c>
      <c r="MD38" s="338">
        <f>OO50-MC7</f>
        <v>0.89999999999999991</v>
      </c>
      <c r="ME38" s="338" t="e">
        <v>#N/A</v>
      </c>
      <c r="MF38" s="338" t="e">
        <v>#N/A</v>
      </c>
      <c r="MG38" s="391"/>
      <c r="MH38" s="310"/>
      <c r="MI38" s="310"/>
      <c r="MJ38" s="242" t="e">
        <v>#N/A</v>
      </c>
      <c r="MK38" s="242" t="e">
        <v>#N/A</v>
      </c>
      <c r="ML38" s="242" t="e">
        <v>#N/A</v>
      </c>
      <c r="MM38" s="242" t="e">
        <v>#N/A</v>
      </c>
      <c r="MN38" s="391"/>
      <c r="MO38" s="310"/>
      <c r="MP38" s="311" t="e">
        <v>#N/A</v>
      </c>
      <c r="MQ38" s="311" t="e">
        <v>#N/A</v>
      </c>
      <c r="MR38" s="311"/>
      <c r="MS38" s="311"/>
      <c r="MT38" s="296" t="e">
        <f>MT37</f>
        <v>#N/A</v>
      </c>
      <c r="MU38" s="296" t="e">
        <f>MU37+0.8</f>
        <v>#N/A</v>
      </c>
      <c r="MV38" s="310"/>
      <c r="MW38" s="280" t="e">
        <f>IF($MU$29=TRUE,$MW$17+$BT$7/2,#N/A)</f>
        <v>#N/A</v>
      </c>
      <c r="MX38" s="280" t="e">
        <f>MX37</f>
        <v>#N/A</v>
      </c>
      <c r="MY38" s="310"/>
      <c r="MZ38" s="328">
        <v>5</v>
      </c>
      <c r="NA38" s="372" t="b">
        <f t="shared" si="76"/>
        <v>0</v>
      </c>
      <c r="NB38" s="280" t="e">
        <f t="shared" si="80"/>
        <v>#N/A</v>
      </c>
      <c r="NC38" s="280" t="e">
        <f t="shared" si="81"/>
        <v>#N/A</v>
      </c>
      <c r="ND38" s="280" t="e">
        <f t="shared" si="77"/>
        <v>#N/A</v>
      </c>
      <c r="NE38" s="280" t="e">
        <f t="shared" si="78"/>
        <v>#N/A</v>
      </c>
      <c r="NF38" s="310"/>
      <c r="NG38" s="310">
        <f>COUNT(ND34:ND68)/2</f>
        <v>0</v>
      </c>
      <c r="NH38" s="280" t="e">
        <f>NH35</f>
        <v>#N/A</v>
      </c>
      <c r="NI38" s="280" t="e">
        <f>NI37</f>
        <v>#N/A</v>
      </c>
      <c r="NJ38" s="508" t="e">
        <f>NH46</f>
        <v>#N/A</v>
      </c>
      <c r="NK38" s="299" t="e">
        <f>NI45</f>
        <v>#N/A</v>
      </c>
      <c r="NL38" s="310" t="str">
        <f>M56</f>
        <v>SD-40  DB20 @ 0.13m.</v>
      </c>
      <c r="NM38" s="310"/>
      <c r="NN38" s="310"/>
      <c r="NO38" s="310"/>
      <c r="NP38" s="310"/>
      <c r="NQ38" s="310"/>
      <c r="NR38" s="310"/>
      <c r="NS38" s="313"/>
      <c r="NT38" s="313" t="s">
        <v>48</v>
      </c>
      <c r="NU38" s="313" t="s">
        <v>49</v>
      </c>
      <c r="NV38" s="313" t="s">
        <v>48</v>
      </c>
      <c r="NW38" s="313" t="s">
        <v>49</v>
      </c>
      <c r="NX38" s="313" t="s">
        <v>330</v>
      </c>
      <c r="NY38" s="310"/>
      <c r="NZ38" s="310"/>
      <c r="OA38" s="313" t="s">
        <v>48</v>
      </c>
      <c r="OB38" s="313" t="s">
        <v>49</v>
      </c>
      <c r="OC38" s="313" t="s">
        <v>48</v>
      </c>
      <c r="OD38" s="313" t="s">
        <v>49</v>
      </c>
      <c r="OE38" s="312"/>
      <c r="OF38" s="312" t="s">
        <v>432</v>
      </c>
      <c r="OG38" s="312" t="s">
        <v>435</v>
      </c>
      <c r="OH38" s="310"/>
      <c r="OI38" s="438"/>
      <c r="OJ38" s="310"/>
      <c r="OK38" s="310"/>
      <c r="OL38" s="310"/>
      <c r="OM38" s="231" t="e">
        <f>OM37</f>
        <v>#N/A</v>
      </c>
      <c r="ON38" s="231" t="e">
        <f>ON35</f>
        <v>#N/A</v>
      </c>
      <c r="OO38" s="310"/>
      <c r="OP38" s="281" t="e">
        <f>OU42</f>
        <v>#N/A</v>
      </c>
      <c r="OQ38" s="281" t="e">
        <f>OV42-(OV42-OV43)/2</f>
        <v>#N/A</v>
      </c>
      <c r="OR38" s="310" t="e">
        <f>"D="&amp;TEXT(OY44*100,"0.00")&amp;"cm"</f>
        <v>#N/A</v>
      </c>
      <c r="OS38" s="310"/>
      <c r="OT38" s="310"/>
      <c r="OU38" s="292" t="e">
        <v>#N/A</v>
      </c>
      <c r="OV38" s="292" t="e">
        <v>#N/A</v>
      </c>
      <c r="OW38" s="310"/>
      <c r="OX38" s="280" t="e">
        <f>IF(OV8=TRUE,OU16+F50/100,#N/A)</f>
        <v>#N/A</v>
      </c>
      <c r="OY38" s="280" t="e">
        <f>OY37</f>
        <v>#N/A</v>
      </c>
      <c r="OZ38" s="310"/>
      <c r="PA38" s="310"/>
      <c r="PB38" s="310"/>
      <c r="PC38" s="310"/>
      <c r="PD38" s="310"/>
      <c r="PE38" s="292" t="e">
        <f>IF(OV8=TRUE,OX36-0.009,#N/A)</f>
        <v>#N/A</v>
      </c>
      <c r="PF38" s="328" t="e">
        <f>IF(OV8=TRUE,OY38+0.05,#N/A)</f>
        <v>#N/A</v>
      </c>
      <c r="PG38" s="292" t="e">
        <f>IF(PF38&gt;=$OV$26,#N/A,PF38)</f>
        <v>#N/A</v>
      </c>
      <c r="PH38" s="310"/>
      <c r="PI38" s="310"/>
      <c r="PJ38" s="310"/>
      <c r="PK38" s="310"/>
      <c r="PL38" s="310"/>
      <c r="PM38" s="310"/>
      <c r="PN38" s="310"/>
      <c r="PO38" s="310"/>
      <c r="PP38" s="310"/>
      <c r="PQ38" s="310"/>
      <c r="PR38" s="310"/>
      <c r="PS38" s="342">
        <v>24</v>
      </c>
      <c r="PT38" s="261" t="e">
        <f t="shared" si="29"/>
        <v>#N/A</v>
      </c>
      <c r="PU38" s="261" t="e">
        <f t="shared" si="30"/>
        <v>#N/A</v>
      </c>
      <c r="PV38" s="310"/>
      <c r="PW38" s="310"/>
      <c r="PX38" s="310"/>
      <c r="PY38" s="328" t="s">
        <v>320</v>
      </c>
      <c r="PZ38" s="328" t="e">
        <v>#N/A</v>
      </c>
      <c r="QA38" s="328">
        <f>AVERAGE(PP14:PP15)</f>
        <v>0.95</v>
      </c>
      <c r="QB38" s="328">
        <f>$RB$12</f>
        <v>0.42749999999999999</v>
      </c>
      <c r="QC38" s="328" t="b">
        <f>IF(QA38&gt;QB38,TRUE,FALSE)</f>
        <v>1</v>
      </c>
      <c r="QD38" s="328">
        <v>0</v>
      </c>
      <c r="QE38" s="328">
        <f>RA13-RA12</f>
        <v>0.85499999999999998</v>
      </c>
      <c r="QF38" s="328">
        <f>IF(QC38=TRUE,QE38,QD38)</f>
        <v>0.85499999999999998</v>
      </c>
      <c r="QG38" s="310"/>
      <c r="QH38" s="310"/>
      <c r="QI38" s="310"/>
      <c r="QJ38" s="310"/>
      <c r="QK38" s="328" t="s">
        <v>320</v>
      </c>
      <c r="QL38" s="365">
        <f>H27</f>
        <v>0.65</v>
      </c>
      <c r="QM38" s="328">
        <f>PP14</f>
        <v>0.95</v>
      </c>
      <c r="QN38" s="328">
        <f>RB12</f>
        <v>0.42749999999999999</v>
      </c>
      <c r="QO38" s="328" t="b">
        <f>AND(QN38&lt;QL38,QN38&lt;QM38)</f>
        <v>1</v>
      </c>
      <c r="QP38" s="328">
        <v>0</v>
      </c>
      <c r="QQ38" s="328">
        <f>IF(QM41&gt;QN41,QN41,QM41)-IF(QM40&lt;QN40,QN40,QM40)</f>
        <v>0.85499999999999998</v>
      </c>
      <c r="QR38" s="328">
        <f>IF(QO38=TRUE,QQ38,QP38)</f>
        <v>0.85499999999999998</v>
      </c>
      <c r="QS38" s="310"/>
      <c r="QT38" s="310"/>
      <c r="QU38" s="310"/>
      <c r="QV38" s="310"/>
      <c r="QW38" s="310"/>
      <c r="QX38" s="310"/>
      <c r="QY38" s="310"/>
      <c r="QZ38" s="310"/>
      <c r="RA38" s="310"/>
      <c r="RB38" s="310"/>
      <c r="RC38" s="310"/>
      <c r="RD38" s="310"/>
      <c r="RE38" s="310"/>
      <c r="RF38" s="310"/>
      <c r="RG38" s="310"/>
      <c r="RH38" s="310"/>
      <c r="RI38" s="310"/>
      <c r="RJ38" s="310"/>
      <c r="RK38" s="310"/>
      <c r="RL38" s="310"/>
      <c r="RM38" s="310"/>
      <c r="RN38" s="310"/>
      <c r="RO38" s="310"/>
      <c r="RP38" s="310"/>
      <c r="RQ38" s="310"/>
      <c r="RR38" s="310"/>
      <c r="RS38" s="310"/>
      <c r="RT38" s="310"/>
      <c r="RU38" s="310"/>
      <c r="RV38" s="310"/>
      <c r="RW38" s="310"/>
      <c r="RX38" s="310"/>
      <c r="RY38" s="310"/>
      <c r="RZ38" s="310"/>
      <c r="SA38" s="310"/>
      <c r="SB38" s="310"/>
      <c r="SC38" s="310"/>
      <c r="SD38" s="310"/>
      <c r="SE38" s="310"/>
      <c r="SF38" s="513" t="e">
        <f>SF37+0.25</f>
        <v>#N/A</v>
      </c>
      <c r="SG38" s="513" t="e">
        <f>SG37</f>
        <v>#N/A</v>
      </c>
      <c r="SH38" s="247" t="e">
        <f>SF38-0.1</f>
        <v>#N/A</v>
      </c>
      <c r="SI38" s="247" t="e">
        <f t="shared" ref="SI38" si="82">SG38</f>
        <v>#N/A</v>
      </c>
      <c r="SJ38" s="310" t="b">
        <v>0</v>
      </c>
      <c r="SK38" s="310"/>
      <c r="SL38" s="310"/>
      <c r="SM38" s="310"/>
      <c r="SN38" s="310"/>
      <c r="SO38" s="220"/>
      <c r="SP38" s="220"/>
      <c r="SQ38" s="220"/>
      <c r="SR38" s="220"/>
      <c r="SS38" s="220"/>
      <c r="ST38" s="220"/>
      <c r="SU38" s="220"/>
      <c r="SV38" s="220"/>
      <c r="SW38" s="220"/>
      <c r="SX38" s="220"/>
      <c r="SY38" s="220"/>
      <c r="SZ38" s="220"/>
      <c r="TA38" s="220"/>
      <c r="TB38" s="220"/>
      <c r="TC38" s="220"/>
      <c r="TD38" s="220"/>
      <c r="TE38" s="220"/>
      <c r="TF38" s="220"/>
      <c r="TG38" s="220"/>
      <c r="TH38" s="220"/>
      <c r="TI38" s="220"/>
      <c r="TJ38" s="220"/>
      <c r="TK38" s="220"/>
      <c r="TL38" s="220"/>
      <c r="TM38" s="220"/>
      <c r="TN38" s="220"/>
      <c r="TO38" s="220"/>
      <c r="TP38" s="220"/>
      <c r="TQ38" s="220"/>
      <c r="TR38" s="220"/>
      <c r="TS38" s="220"/>
      <c r="TT38" s="220"/>
      <c r="TU38" s="220"/>
      <c r="TV38" s="220"/>
      <c r="TW38" s="220"/>
      <c r="TX38" s="220"/>
      <c r="TY38" s="220"/>
      <c r="TZ38" s="220"/>
      <c r="UA38" s="220"/>
      <c r="UB38" s="220"/>
      <c r="UC38" s="220"/>
      <c r="UD38" s="220"/>
      <c r="UE38" s="220"/>
      <c r="UF38" s="220"/>
      <c r="UG38" s="220"/>
      <c r="UH38" s="220"/>
      <c r="UI38" s="220"/>
      <c r="UJ38" s="220"/>
      <c r="UK38" s="216"/>
      <c r="UL38" s="216"/>
      <c r="UM38" s="216"/>
      <c r="UN38" s="216"/>
      <c r="UO38" s="216"/>
      <c r="UP38" s="216"/>
      <c r="UQ38" s="216"/>
      <c r="UR38" s="216"/>
      <c r="US38" s="216"/>
      <c r="UT38" s="216"/>
      <c r="UU38" s="216"/>
      <c r="UV38" s="216"/>
      <c r="UW38" s="216"/>
      <c r="UX38" s="216"/>
      <c r="UY38" s="216"/>
      <c r="UZ38" s="216"/>
      <c r="VA38" s="216"/>
    </row>
    <row r="39" spans="1:573" s="4" customFormat="1" ht="18.75" customHeight="1" x14ac:dyDescent="0.5">
      <c r="A39" s="76" t="s">
        <v>111</v>
      </c>
      <c r="B39" s="76"/>
      <c r="C39" s="76"/>
      <c r="D39" s="642" t="s">
        <v>112</v>
      </c>
      <c r="E39" s="642"/>
      <c r="F39" s="77" t="s">
        <v>113</v>
      </c>
      <c r="G39" s="78" t="s">
        <v>114</v>
      </c>
      <c r="H39" s="79"/>
      <c r="I39" s="79"/>
      <c r="J39" s="79"/>
      <c r="K39" s="79"/>
      <c r="L39" s="79"/>
      <c r="M39" s="643" t="s">
        <v>115</v>
      </c>
      <c r="N39" s="643"/>
      <c r="O39" s="644"/>
      <c r="P39" s="80" t="s">
        <v>345</v>
      </c>
      <c r="Q39" s="81"/>
      <c r="R39" s="81"/>
      <c r="S39" s="81"/>
      <c r="T39" s="82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5"/>
      <c r="AM39" s="45"/>
      <c r="AN39" s="45"/>
      <c r="AO39" s="45"/>
      <c r="AP39" s="310"/>
      <c r="AQ39" s="338" t="b">
        <v>0</v>
      </c>
      <c r="AR39" s="338" t="s">
        <v>258</v>
      </c>
      <c r="AS39" s="338" t="b">
        <f>AND($BL$7=TRUE,AQ39=TRUE)</f>
        <v>0</v>
      </c>
      <c r="AT39" s="338" t="b">
        <f>AND($BL$8=TRUE,AQ39=TRUE)</f>
        <v>0</v>
      </c>
      <c r="AU39" s="338" t="b">
        <f>AND($BL$9=TRUE,AQ39=TRUE)</f>
        <v>0</v>
      </c>
      <c r="AV39" s="338" t="b">
        <f>AND($BL$10=TRUE,AQ39=TRUE)</f>
        <v>0</v>
      </c>
      <c r="AW39" s="338"/>
      <c r="AX39" s="338" t="str">
        <f>IF(AQ39=TRUE,"TOP +"&amp;TRUNC(C40,2)&amp;"m","")</f>
        <v/>
      </c>
      <c r="AY39" s="338"/>
      <c r="AZ39" s="338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 t="e">
        <f>BU38</f>
        <v>#N/A</v>
      </c>
      <c r="BV39" s="310" t="e">
        <f>BV36</f>
        <v>#N/A</v>
      </c>
      <c r="BW39" s="310"/>
      <c r="BX39" s="40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257" t="e">
        <f>CJ38</f>
        <v>#N/A</v>
      </c>
      <c r="CK39" s="257" t="e">
        <f>IF(AND(CK27=TRUE,CK28=TRUE),CL22-$BT$7/2,#N/A)</f>
        <v>#N/A</v>
      </c>
      <c r="CL39" s="310"/>
      <c r="CM39" s="310"/>
      <c r="CN39" s="336" t="e">
        <f>CN38</f>
        <v>#N/A</v>
      </c>
      <c r="CO39" s="338" t="e">
        <f>CO28</f>
        <v>#N/A</v>
      </c>
      <c r="CP39" s="338" t="e">
        <f>CN49</f>
        <v>#N/A</v>
      </c>
      <c r="CQ39" s="338" t="e">
        <f>CO48+(CO49-CO48)/2</f>
        <v>#N/A</v>
      </c>
      <c r="CR39" s="328" t="s">
        <v>119</v>
      </c>
      <c r="CS39" s="310"/>
      <c r="CT39" s="338" t="e">
        <f>IF(CU34=TRUE,CN29,#N/A)</f>
        <v>#N/A</v>
      </c>
      <c r="CU39" s="338" t="e">
        <f>CU38</f>
        <v>#N/A</v>
      </c>
      <c r="CV39" s="328" t="e">
        <f>CT48+(CT49-CT48)/2</f>
        <v>#N/A</v>
      </c>
      <c r="CW39" s="328" t="e">
        <f>CU48</f>
        <v>#N/A</v>
      </c>
      <c r="CX39" s="409" t="s">
        <v>110</v>
      </c>
      <c r="CY39" s="310"/>
      <c r="CZ39" s="310"/>
      <c r="DA39" s="310"/>
      <c r="DB39" s="310"/>
      <c r="DC39" s="310" t="s">
        <v>288</v>
      </c>
      <c r="DD39" s="310" t="b">
        <f>IF(CP13=TRUE,BY20,FALSE)</f>
        <v>0</v>
      </c>
      <c r="DE39" s="310"/>
      <c r="DF39" s="310" t="s">
        <v>289</v>
      </c>
      <c r="DG39" s="310" t="e">
        <f>IF(DH6=1,DD19,DG19)</f>
        <v>#N/A</v>
      </c>
      <c r="DH39" s="310"/>
      <c r="DI39" s="310"/>
      <c r="DJ39" s="310"/>
      <c r="DK39" s="313">
        <v>31</v>
      </c>
      <c r="DL39" s="282" t="e">
        <f t="shared" si="3"/>
        <v>#N/A</v>
      </c>
      <c r="DM39" s="291" t="e">
        <f t="shared" si="4"/>
        <v>#N/A</v>
      </c>
      <c r="DN39" s="310"/>
      <c r="DO39" s="310"/>
      <c r="DP39" s="310"/>
      <c r="DQ39" s="310"/>
      <c r="DR39" s="310"/>
      <c r="DS39" s="310"/>
      <c r="DT39" s="310"/>
      <c r="DU39" s="310"/>
      <c r="DV39" s="310"/>
      <c r="DW39" s="310"/>
      <c r="DX39" s="310"/>
      <c r="DY39" s="310"/>
      <c r="DZ39" s="310"/>
      <c r="EA39" s="310"/>
      <c r="EB39" s="310"/>
      <c r="EC39" s="310"/>
      <c r="ED39" s="310"/>
      <c r="EE39" s="310"/>
      <c r="EF39" s="310"/>
      <c r="EG39" s="310"/>
      <c r="EH39" s="310"/>
      <c r="EI39" s="310"/>
      <c r="EJ39" s="310"/>
      <c r="EK39" s="310"/>
      <c r="EL39" s="310"/>
      <c r="EM39" s="310"/>
      <c r="EN39" s="310"/>
      <c r="EO39" s="310"/>
      <c r="EP39" s="310"/>
      <c r="EQ39" s="310"/>
      <c r="ER39" s="310"/>
      <c r="ES39" s="332" t="e">
        <v>#N/A</v>
      </c>
      <c r="ET39" s="332" t="e">
        <v>#N/A</v>
      </c>
      <c r="EU39" s="406" t="s">
        <v>325</v>
      </c>
      <c r="EV39" s="332" t="e">
        <f t="shared" ref="EV39:FC39" si="83">EV37</f>
        <v>#N/A</v>
      </c>
      <c r="EW39" s="332" t="e">
        <f t="shared" si="83"/>
        <v>#N/A</v>
      </c>
      <c r="EX39" s="332" t="e">
        <f t="shared" si="83"/>
        <v>#N/A</v>
      </c>
      <c r="EY39" s="332" t="e">
        <f t="shared" si="83"/>
        <v>#N/A</v>
      </c>
      <c r="EZ39" s="346" t="e">
        <f t="shared" si="83"/>
        <v>#N/A</v>
      </c>
      <c r="FA39" s="346" t="e">
        <f t="shared" si="83"/>
        <v>#N/A</v>
      </c>
      <c r="FB39" s="346" t="e">
        <f t="shared" si="83"/>
        <v>#N/A</v>
      </c>
      <c r="FC39" s="346" t="e">
        <f t="shared" si="83"/>
        <v>#N/A</v>
      </c>
      <c r="FD39" s="258" t="e">
        <v>#N/A</v>
      </c>
      <c r="FE39" s="258" t="e">
        <v>#N/A</v>
      </c>
      <c r="FF39" s="310"/>
      <c r="FG39" s="310"/>
      <c r="FH39" s="310"/>
      <c r="FI39" s="310"/>
      <c r="FJ39" s="310"/>
      <c r="FK39" s="310"/>
      <c r="FL39" s="310"/>
      <c r="FM39" s="310"/>
      <c r="FN39" s="310"/>
      <c r="FO39" s="310"/>
      <c r="FP39" s="310"/>
      <c r="FQ39" s="310"/>
      <c r="FR39" s="310"/>
      <c r="FS39" s="310"/>
      <c r="FT39" s="310"/>
      <c r="FU39" s="310"/>
      <c r="FV39" s="310"/>
      <c r="FW39" s="310"/>
      <c r="FX39" s="310"/>
      <c r="FY39" s="310"/>
      <c r="FZ39" s="310"/>
      <c r="GA39" s="310"/>
      <c r="GB39" s="310"/>
      <c r="GC39" s="310"/>
      <c r="GD39" s="310"/>
      <c r="GE39" s="310"/>
      <c r="GF39" s="310"/>
      <c r="GG39" s="310"/>
      <c r="GH39" s="310"/>
      <c r="GI39" s="310"/>
      <c r="GJ39" s="310"/>
      <c r="GK39" s="310"/>
      <c r="GL39" s="310"/>
      <c r="GM39" s="310"/>
      <c r="GN39" s="310"/>
      <c r="GO39" s="310"/>
      <c r="GP39" s="310"/>
      <c r="GQ39" s="310"/>
      <c r="GR39" s="310"/>
      <c r="GS39" s="310"/>
      <c r="GT39" s="310"/>
      <c r="GU39" s="310"/>
      <c r="GV39" s="310"/>
      <c r="GW39" s="310"/>
      <c r="GX39" s="310"/>
      <c r="GY39" s="310"/>
      <c r="GZ39" s="310"/>
      <c r="HA39" s="310"/>
      <c r="HB39" s="310"/>
      <c r="HC39" s="310"/>
      <c r="HD39" s="310"/>
      <c r="HE39" s="310"/>
      <c r="HF39" s="310"/>
      <c r="HG39" s="310"/>
      <c r="HH39" s="310"/>
      <c r="HI39" s="310"/>
      <c r="HJ39" s="310"/>
      <c r="HK39" s="342">
        <v>25</v>
      </c>
      <c r="HL39" s="235" t="e">
        <f t="shared" si="5"/>
        <v>#N/A</v>
      </c>
      <c r="HM39" s="235" t="e">
        <f t="shared" si="6"/>
        <v>#N/A</v>
      </c>
      <c r="HN39" s="310"/>
      <c r="HO39" s="310"/>
      <c r="HP39" s="235" t="e">
        <f t="shared" si="7"/>
        <v>#N/A</v>
      </c>
      <c r="HQ39" s="235" t="e">
        <f t="shared" si="8"/>
        <v>#N/A</v>
      </c>
      <c r="HR39" s="310"/>
      <c r="HS39" s="310"/>
      <c r="HT39" s="235" t="e">
        <f t="shared" si="9"/>
        <v>#N/A</v>
      </c>
      <c r="HU39" s="235" t="e">
        <f t="shared" si="10"/>
        <v>#N/A</v>
      </c>
      <c r="HV39" s="310"/>
      <c r="HW39" s="310"/>
      <c r="HX39" s="235" t="e">
        <f t="shared" si="11"/>
        <v>#N/A</v>
      </c>
      <c r="HY39" s="235" t="e">
        <f t="shared" si="12"/>
        <v>#N/A</v>
      </c>
      <c r="HZ39" s="310"/>
      <c r="IA39" s="310"/>
      <c r="IB39" s="235" t="e">
        <f t="shared" si="13"/>
        <v>#N/A</v>
      </c>
      <c r="IC39" s="235" t="e">
        <f t="shared" si="14"/>
        <v>#N/A</v>
      </c>
      <c r="ID39" s="310"/>
      <c r="IE39" s="342">
        <v>25</v>
      </c>
      <c r="IF39" s="262" t="e">
        <f t="shared" si="15"/>
        <v>#N/A</v>
      </c>
      <c r="IG39" s="262" t="e">
        <f t="shared" si="16"/>
        <v>#N/A</v>
      </c>
      <c r="IH39" s="390"/>
      <c r="II39" s="390"/>
      <c r="IJ39" s="262" t="e">
        <f t="shared" si="17"/>
        <v>#N/A</v>
      </c>
      <c r="IK39" s="262" t="e">
        <f t="shared" si="18"/>
        <v>#N/A</v>
      </c>
      <c r="IL39" s="390"/>
      <c r="IM39" s="390"/>
      <c r="IN39" s="262" t="e">
        <f t="shared" si="19"/>
        <v>#N/A</v>
      </c>
      <c r="IO39" s="262" t="e">
        <f t="shared" si="20"/>
        <v>#N/A</v>
      </c>
      <c r="IP39" s="390"/>
      <c r="IQ39" s="390"/>
      <c r="IR39" s="262" t="e">
        <f t="shared" si="21"/>
        <v>#N/A</v>
      </c>
      <c r="IS39" s="262" t="e">
        <f t="shared" si="22"/>
        <v>#N/A</v>
      </c>
      <c r="IT39" s="390"/>
      <c r="IU39" s="390"/>
      <c r="IV39" s="262" t="e">
        <f t="shared" si="23"/>
        <v>#N/A</v>
      </c>
      <c r="IW39" s="262" t="e">
        <f t="shared" si="24"/>
        <v>#N/A</v>
      </c>
      <c r="IX39" s="310"/>
      <c r="IY39" s="310"/>
      <c r="IZ39" s="310"/>
      <c r="JA39" s="310"/>
      <c r="JB39" s="313" t="s">
        <v>372</v>
      </c>
      <c r="JC39" s="236" t="e">
        <f>JC38</f>
        <v>#N/A</v>
      </c>
      <c r="JD39" s="236" t="e">
        <f>JA34+($IZ$10/2)-$IZ$9</f>
        <v>#N/A</v>
      </c>
      <c r="JE39" s="310"/>
      <c r="JF39" s="310"/>
      <c r="JG39" s="310"/>
      <c r="JH39" s="310"/>
      <c r="JI39" s="313" t="s">
        <v>372</v>
      </c>
      <c r="JJ39" s="263" t="e">
        <f>JJ38</f>
        <v>#N/A</v>
      </c>
      <c r="JK39" s="263" t="e">
        <f>JH34+($IZ$10/2)-$IZ$9</f>
        <v>#N/A</v>
      </c>
      <c r="JL39" s="310"/>
      <c r="JM39" s="310"/>
      <c r="JN39" s="261" t="e">
        <f t="shared" si="25"/>
        <v>#N/A</v>
      </c>
      <c r="JO39" s="261" t="e">
        <f t="shared" si="26"/>
        <v>#N/A</v>
      </c>
      <c r="JP39" s="310"/>
      <c r="JQ39" s="310"/>
      <c r="JR39" s="261" t="e">
        <f t="shared" si="31"/>
        <v>#N/A</v>
      </c>
      <c r="JS39" s="261" t="e">
        <f t="shared" si="32"/>
        <v>#N/A</v>
      </c>
      <c r="JT39" s="310"/>
      <c r="JU39" s="310"/>
      <c r="JV39" s="261" t="e">
        <f t="shared" si="27"/>
        <v>#N/A</v>
      </c>
      <c r="JW39" s="261" t="e">
        <f t="shared" si="28"/>
        <v>#N/A</v>
      </c>
      <c r="JX39" s="310"/>
      <c r="JY39" s="342" t="s">
        <v>353</v>
      </c>
      <c r="JZ39" s="328" t="s">
        <v>380</v>
      </c>
      <c r="KA39" s="338" t="b">
        <f>AND(AZ32=TRUE,$GY$6&gt;=$GX$21,$GY$6&lt;=$GX$27,JM11=TRUE)</f>
        <v>0</v>
      </c>
      <c r="KB39" s="313" t="s">
        <v>106</v>
      </c>
      <c r="KC39" s="242" t="e">
        <f>JZ41-$IZ$62/2</f>
        <v>#N/A</v>
      </c>
      <c r="KD39" s="242" t="e">
        <f>KA41+$IZ$61/2</f>
        <v>#N/A</v>
      </c>
      <c r="KE39" s="310"/>
      <c r="KF39" s="310"/>
      <c r="KG39" s="310"/>
      <c r="KH39" s="310"/>
      <c r="KI39" s="310"/>
      <c r="KJ39" s="310"/>
      <c r="KK39" s="310"/>
      <c r="KL39" s="310"/>
      <c r="KM39" s="310"/>
      <c r="KN39" s="267" t="e">
        <f>KN38</f>
        <v>#N/A</v>
      </c>
      <c r="KO39" s="267" t="e">
        <f>IF(KR36=TRUE,OO49+KO9/2,#N/A)</f>
        <v>#N/A</v>
      </c>
      <c r="KP39" s="267" t="e">
        <f>KN43+(KN44-KN43)/2</f>
        <v>#N/A</v>
      </c>
      <c r="KQ39" s="267" t="e">
        <f>KO43</f>
        <v>#N/A</v>
      </c>
      <c r="KR39" s="347" t="e">
        <f>KN44-KN43</f>
        <v>#N/A</v>
      </c>
      <c r="KS39" s="310"/>
      <c r="KT39" s="242">
        <f>KT38</f>
        <v>-1.2999999999999998</v>
      </c>
      <c r="KU39" s="242">
        <f>IF(KX36=TRUE,OO50+KO9,#N/A)</f>
        <v>1.5499999999999998</v>
      </c>
      <c r="KV39" s="242">
        <f>KT43+(KT44-KT43)/2</f>
        <v>-0.64999999999999991</v>
      </c>
      <c r="KW39" s="242">
        <f>KU43</f>
        <v>1.25</v>
      </c>
      <c r="KX39" s="389">
        <f>KT44-KT43</f>
        <v>1.2999999999999998</v>
      </c>
      <c r="KY39" s="310"/>
      <c r="KZ39" s="310"/>
      <c r="LA39" s="310"/>
      <c r="LB39" s="310"/>
      <c r="LC39" s="310"/>
      <c r="LD39" s="310"/>
      <c r="LE39" s="310"/>
      <c r="LF39" s="310"/>
      <c r="LG39" s="310"/>
      <c r="LH39" s="391">
        <f>ON52+LI7</f>
        <v>1.9</v>
      </c>
      <c r="LI39" s="391">
        <f>LI38</f>
        <v>-0.95</v>
      </c>
      <c r="LJ39" s="338" t="e">
        <v>#N/A</v>
      </c>
      <c r="LK39" s="338" t="e">
        <v>#N/A</v>
      </c>
      <c r="LL39" s="391"/>
      <c r="LM39" s="310"/>
      <c r="LN39" s="310"/>
      <c r="LO39" s="338">
        <f>ON52+LP7</f>
        <v>1.9</v>
      </c>
      <c r="LP39" s="338">
        <f>LP38</f>
        <v>0.95</v>
      </c>
      <c r="LQ39" s="338" t="e">
        <v>#N/A</v>
      </c>
      <c r="LR39" s="338" t="e">
        <v>#N/A</v>
      </c>
      <c r="LS39" s="391"/>
      <c r="LT39" s="310"/>
      <c r="LU39" s="310"/>
      <c r="LV39" s="338" t="e">
        <f>LV38</f>
        <v>#N/A</v>
      </c>
      <c r="LW39" s="338" t="e">
        <f>OO53-LW7*0.75</f>
        <v>#N/A</v>
      </c>
      <c r="LX39" s="338" t="e">
        <v>#N/A</v>
      </c>
      <c r="LY39" s="338" t="e">
        <v>#N/A</v>
      </c>
      <c r="LZ39" s="391"/>
      <c r="MA39" s="310"/>
      <c r="MB39" s="310"/>
      <c r="MC39" s="338">
        <f>MC38</f>
        <v>-1.2999999999999998</v>
      </c>
      <c r="MD39" s="338">
        <f>OO50-MD7/1.75</f>
        <v>0.6071428571428571</v>
      </c>
      <c r="ME39" s="338" t="e">
        <v>#N/A</v>
      </c>
      <c r="MF39" s="338" t="e">
        <v>#N/A</v>
      </c>
      <c r="MG39" s="391"/>
      <c r="MH39" s="310"/>
      <c r="MI39" s="310"/>
      <c r="MJ39" s="242" t="e">
        <v>#N/A</v>
      </c>
      <c r="MK39" s="242" t="e">
        <v>#N/A</v>
      </c>
      <c r="ML39" s="242" t="e">
        <v>#N/A</v>
      </c>
      <c r="MM39" s="242" t="e">
        <v>#N/A</v>
      </c>
      <c r="MN39" s="391"/>
      <c r="MO39" s="310"/>
      <c r="MP39" s="311" t="e">
        <v>#N/A</v>
      </c>
      <c r="MQ39" s="311" t="e">
        <v>#N/A</v>
      </c>
      <c r="MR39" s="311"/>
      <c r="MS39" s="311"/>
      <c r="MT39" s="296" t="e">
        <v>#N/A</v>
      </c>
      <c r="MU39" s="296" t="e">
        <v>#N/A</v>
      </c>
      <c r="MV39" s="310"/>
      <c r="MW39" s="280" t="e">
        <f>MW38</f>
        <v>#N/A</v>
      </c>
      <c r="MX39" s="280" t="e">
        <f>MX36</f>
        <v>#N/A</v>
      </c>
      <c r="MY39" s="310"/>
      <c r="MZ39" s="328">
        <v>6</v>
      </c>
      <c r="NA39" s="372" t="b">
        <f t="shared" si="76"/>
        <v>0</v>
      </c>
      <c r="NB39" s="280" t="e">
        <f t="shared" si="80"/>
        <v>#N/A</v>
      </c>
      <c r="NC39" s="280" t="e">
        <f t="shared" si="81"/>
        <v>#N/A</v>
      </c>
      <c r="ND39" s="280" t="e">
        <f t="shared" si="77"/>
        <v>#N/A</v>
      </c>
      <c r="NE39" s="280" t="e">
        <f t="shared" si="78"/>
        <v>#N/A</v>
      </c>
      <c r="NF39" s="310"/>
      <c r="NG39" s="310"/>
      <c r="NH39" s="280" t="e">
        <v>#N/A</v>
      </c>
      <c r="NI39" s="280" t="e">
        <v>#N/A</v>
      </c>
      <c r="NJ39" s="310"/>
      <c r="NK39" s="310"/>
      <c r="NL39" s="310" t="e">
        <f>NI40-NI41</f>
        <v>#N/A</v>
      </c>
      <c r="NM39" s="310"/>
      <c r="NN39" s="310"/>
      <c r="NO39" s="310"/>
      <c r="NP39" s="310"/>
      <c r="NQ39" s="310"/>
      <c r="NR39" s="528" t="b">
        <f>IF(CP13=TRUE,AND(NS35=TRUE,AX14=2),FALSE)</f>
        <v>0</v>
      </c>
      <c r="NS39" s="318" t="s">
        <v>320</v>
      </c>
      <c r="NT39" s="338" t="e">
        <f>IF(NS35=TRUE,NP12,#N/A)</f>
        <v>#N/A</v>
      </c>
      <c r="NU39" s="338" t="e">
        <f>IF(NS35=TRUE,NO13,#N/A)</f>
        <v>#N/A</v>
      </c>
      <c r="NV39" s="338" t="e">
        <f>IF(NR39=TRUE,J27,#N/A)</f>
        <v>#N/A</v>
      </c>
      <c r="NW39" s="328" t="e">
        <f>IF(NR39=TRUE,H27,#N/A)</f>
        <v>#N/A</v>
      </c>
      <c r="NX39" s="334" t="e">
        <f>ABS(ABS(NU39)-ABS(NW39))</f>
        <v>#N/A</v>
      </c>
      <c r="NY39" s="318" t="e">
        <f>IF(NX39=MAX($NX$39:$NX$40),TRUE,FALSE)</f>
        <v>#N/A</v>
      </c>
      <c r="NZ39" s="313" t="s">
        <v>433</v>
      </c>
      <c r="OA39" s="524" t="e">
        <f>IF(NY39=TRUE,NT39,NT40)</f>
        <v>#N/A</v>
      </c>
      <c r="OB39" s="524" t="e">
        <f>IF(NY39=TRUE,NU39,NU40)</f>
        <v>#N/A</v>
      </c>
      <c r="OC39" s="524" t="e">
        <f>IF(NY39=TRUE,NV39,NV40)</f>
        <v>#N/A</v>
      </c>
      <c r="OD39" s="524" t="e">
        <f>IF(NY39=TRUE,NW39,NW40)</f>
        <v>#N/A</v>
      </c>
      <c r="OE39" s="524" t="e">
        <f>INDEX(NO28:NO29,MATCH((OC39+OD39),NP28:NP29,0))</f>
        <v>#N/A</v>
      </c>
      <c r="OF39" s="524" t="e">
        <f>INDEX(M44:M45,MATCH(OE39,_xlfn.ANCHORARRAY(G44),0))</f>
        <v>#N/A</v>
      </c>
      <c r="OG39" s="526" t="e">
        <f>(OF39*NZ40)*1000</f>
        <v>#N/A</v>
      </c>
      <c r="OH39" s="310"/>
      <c r="OI39" s="310"/>
      <c r="OJ39" s="310"/>
      <c r="OK39" s="310"/>
      <c r="OL39" s="310"/>
      <c r="OM39" s="228" t="e">
        <v>#N/A</v>
      </c>
      <c r="ON39" s="228" t="e">
        <v>#N/A</v>
      </c>
      <c r="OO39" s="310"/>
      <c r="OP39" s="281" t="e">
        <f>OU35</f>
        <v>#N/A</v>
      </c>
      <c r="OQ39" s="281" t="e">
        <f>OV35/2.5</f>
        <v>#N/A</v>
      </c>
      <c r="OR39" s="310" t="str">
        <f>"t="&amp;TEXT(F51,"0.00")&amp;"cm"</f>
        <v>t=60.00cm</v>
      </c>
      <c r="OS39" s="310"/>
      <c r="OT39" s="310" t="s">
        <v>455</v>
      </c>
      <c r="OU39" s="292" t="e">
        <f>IF(OV8=TRUE,J26,#N/A)</f>
        <v>#N/A</v>
      </c>
      <c r="OV39" s="292" t="e">
        <f>IF(OV8=TRUE,OY19/2,#N/A)</f>
        <v>#N/A</v>
      </c>
      <c r="OW39" s="310"/>
      <c r="OX39" s="292" t="e">
        <v>#N/A</v>
      </c>
      <c r="OY39" s="292" t="e">
        <v>#N/A</v>
      </c>
      <c r="OZ39" s="310"/>
      <c r="PA39" s="310"/>
      <c r="PB39" s="310"/>
      <c r="PC39" s="310"/>
      <c r="PD39" s="310"/>
      <c r="PE39" s="292" t="e">
        <f>IF(OV8=TRUE,OX40+0.009,#N/A)</f>
        <v>#N/A</v>
      </c>
      <c r="PF39" s="328" t="e">
        <f>PF38</f>
        <v>#N/A</v>
      </c>
      <c r="PG39" s="292" t="e">
        <f t="shared" ref="PG39:PG52" si="84">IF(PF39&gt;=$OV$26,#N/A,PF39)</f>
        <v>#N/A</v>
      </c>
      <c r="PH39" s="310"/>
      <c r="PI39" s="310"/>
      <c r="PJ39" s="310"/>
      <c r="PK39" s="310"/>
      <c r="PL39" s="310"/>
      <c r="PM39" s="310"/>
      <c r="PN39" s="310"/>
      <c r="PO39" s="310"/>
      <c r="PP39" s="310"/>
      <c r="PQ39" s="310"/>
      <c r="PR39" s="310"/>
      <c r="PS39" s="342">
        <v>25</v>
      </c>
      <c r="PT39" s="261" t="e">
        <f t="shared" si="29"/>
        <v>#N/A</v>
      </c>
      <c r="PU39" s="261" t="e">
        <f t="shared" si="30"/>
        <v>#N/A</v>
      </c>
      <c r="PV39" s="310"/>
      <c r="PW39" s="310"/>
      <c r="PX39" s="310"/>
      <c r="PY39" s="328" t="s">
        <v>321</v>
      </c>
      <c r="PZ39" s="328" t="e">
        <v>#N/A</v>
      </c>
      <c r="QA39" s="328">
        <f>AVERAGE(PP17:PP18)</f>
        <v>-0.95</v>
      </c>
      <c r="QB39" s="328">
        <f>$RB$14</f>
        <v>-0.42749999999999999</v>
      </c>
      <c r="QC39" s="328" t="b">
        <f>IF(QA39&lt;QB39,TRUE,FALSE)</f>
        <v>1</v>
      </c>
      <c r="QD39" s="328">
        <v>0</v>
      </c>
      <c r="QE39" s="328">
        <f>QE38</f>
        <v>0.85499999999999998</v>
      </c>
      <c r="QF39" s="328">
        <f>IF(QC39=TRUE,QE39,QD39)</f>
        <v>0.85499999999999998</v>
      </c>
      <c r="QG39" s="310"/>
      <c r="QH39" s="310"/>
      <c r="QI39" s="310"/>
      <c r="QJ39" s="310"/>
      <c r="QK39" s="328" t="s">
        <v>321</v>
      </c>
      <c r="QL39" s="365">
        <f>H26</f>
        <v>-0.65</v>
      </c>
      <c r="QM39" s="328">
        <f>PP17</f>
        <v>-0.95</v>
      </c>
      <c r="QN39" s="328">
        <f>RB14</f>
        <v>-0.42749999999999999</v>
      </c>
      <c r="QO39" s="328" t="b">
        <f>AND(QN39&gt;QL39,QN39&gt;QM39)</f>
        <v>1</v>
      </c>
      <c r="QP39" s="328">
        <v>0</v>
      </c>
      <c r="QQ39" s="328">
        <f>QQ38</f>
        <v>0.85499999999999998</v>
      </c>
      <c r="QR39" s="328">
        <f>IF(QO39=TRUE,QQ39,QP39)</f>
        <v>0.85499999999999998</v>
      </c>
      <c r="QS39" s="310"/>
      <c r="QT39" s="310"/>
      <c r="QU39" s="310"/>
      <c r="QV39" s="310"/>
      <c r="QW39" s="310"/>
      <c r="QX39" s="310"/>
      <c r="QY39" s="310"/>
      <c r="QZ39" s="310"/>
      <c r="RA39" s="310"/>
      <c r="RB39" s="310"/>
      <c r="RC39" s="310"/>
      <c r="RD39" s="310"/>
      <c r="RE39" s="310"/>
      <c r="RF39" s="310"/>
      <c r="RG39" s="310"/>
      <c r="RH39" s="310"/>
      <c r="RI39" s="310"/>
      <c r="RJ39" s="310"/>
      <c r="RK39" s="310"/>
      <c r="RL39" s="310"/>
      <c r="RM39" s="310"/>
      <c r="RN39" s="310"/>
      <c r="RO39" s="310"/>
      <c r="RP39" s="310"/>
      <c r="RQ39" s="310"/>
      <c r="RR39" s="310"/>
      <c r="RS39" s="310"/>
      <c r="RT39" s="310"/>
      <c r="RU39" s="310"/>
      <c r="RV39" s="310"/>
      <c r="RW39" s="310"/>
      <c r="RX39" s="310"/>
      <c r="RY39" s="310"/>
      <c r="RZ39" s="310"/>
      <c r="SA39" s="310"/>
      <c r="SB39" s="310"/>
      <c r="SC39" s="310"/>
      <c r="SD39" s="310"/>
      <c r="SE39" s="310"/>
      <c r="SF39" s="247" t="e">
        <v>#N/A</v>
      </c>
      <c r="SG39" s="247" t="e">
        <v>#N/A</v>
      </c>
      <c r="SH39" s="247"/>
      <c r="SI39" s="247"/>
      <c r="SJ39" s="310"/>
      <c r="SK39" s="310"/>
      <c r="SL39" s="310"/>
      <c r="SM39" s="310"/>
      <c r="SN39" s="310"/>
      <c r="SO39" s="220"/>
      <c r="SP39" s="220"/>
      <c r="SQ39" s="220"/>
      <c r="SR39" s="220"/>
      <c r="SS39" s="220"/>
      <c r="ST39" s="220"/>
      <c r="SU39" s="220"/>
      <c r="SV39" s="220"/>
      <c r="SW39" s="220"/>
      <c r="SX39" s="220"/>
      <c r="SY39" s="220"/>
      <c r="SZ39" s="220"/>
      <c r="TA39" s="220"/>
      <c r="TB39" s="220"/>
      <c r="TC39" s="220"/>
      <c r="TD39" s="220"/>
      <c r="TE39" s="220"/>
      <c r="TF39" s="220"/>
      <c r="TG39" s="220"/>
      <c r="TH39" s="220"/>
      <c r="TI39" s="220"/>
      <c r="TJ39" s="220"/>
      <c r="TK39" s="220"/>
      <c r="TL39" s="220"/>
      <c r="TM39" s="220"/>
      <c r="TN39" s="220"/>
      <c r="TO39" s="220"/>
      <c r="TP39" s="220"/>
      <c r="TQ39" s="220"/>
      <c r="TR39" s="220"/>
      <c r="TS39" s="220"/>
      <c r="TT39" s="220"/>
      <c r="TU39" s="220"/>
      <c r="TV39" s="220"/>
      <c r="TW39" s="220"/>
      <c r="TX39" s="220"/>
      <c r="TY39" s="220"/>
      <c r="TZ39" s="220"/>
      <c r="UA39" s="220"/>
      <c r="UB39" s="220"/>
      <c r="UC39" s="220"/>
      <c r="UD39" s="220"/>
      <c r="UE39" s="220"/>
      <c r="UF39" s="220"/>
      <c r="UG39" s="220"/>
      <c r="UH39" s="220"/>
      <c r="UI39" s="220"/>
      <c r="UJ39" s="220"/>
      <c r="UK39" s="216"/>
      <c r="UL39" s="216"/>
      <c r="UM39" s="216"/>
      <c r="UN39" s="216"/>
      <c r="UO39" s="216"/>
      <c r="UP39" s="216"/>
      <c r="UQ39" s="216"/>
      <c r="UR39" s="216"/>
      <c r="US39" s="216"/>
      <c r="UT39" s="216"/>
      <c r="UU39" s="216"/>
      <c r="UV39" s="216"/>
      <c r="UW39" s="216"/>
      <c r="UX39" s="216"/>
      <c r="UY39" s="216"/>
      <c r="UZ39" s="216"/>
      <c r="VA39" s="216"/>
    </row>
    <row r="40" spans="1:573" s="4" customFormat="1" ht="18.75" customHeight="1" x14ac:dyDescent="0.5">
      <c r="A40" s="83" t="s">
        <v>416</v>
      </c>
      <c r="B40" s="84"/>
      <c r="C40" s="85" t="str">
        <f>IF(HG45&gt;=BT7,HD45,HD46)</f>
        <v>≥  1D</v>
      </c>
      <c r="D40" s="645">
        <f>IF(CP13=TRUE,IF(BE7=TRUE,IF(BI98&lt;&gt;"",HG45,""),""),"")</f>
        <v>0.29999999999999993</v>
      </c>
      <c r="E40" s="646"/>
      <c r="F40" s="86" t="str">
        <f>IF(CP13=TRUE,IF(D40&gt;=IF(BL7=TRUE,0.5*BT7,$BT$7),BT11,BT12),"")</f>
        <v>ü</v>
      </c>
      <c r="G40" s="647" t="str">
        <f>IF(BK6=1,AQ20,IF(BK6=2,IF(AY15=TRUE,AQ21,AQ22),AQ23))</f>
        <v xml:space="preserve">       Ri = P/n + (Mx·Yi / ΣYi²) + (My·Xi / ΣXi²)  -------------------④</v>
      </c>
      <c r="H40" s="648"/>
      <c r="I40" s="648"/>
      <c r="J40" s="648"/>
      <c r="K40" s="648"/>
      <c r="L40" s="649"/>
      <c r="M40" s="653" t="s">
        <v>564</v>
      </c>
      <c r="N40" s="654"/>
      <c r="O40" s="87">
        <f>IF(M38="","",M16*M38)</f>
        <v>0</v>
      </c>
      <c r="P40" s="88"/>
      <c r="Q40" s="13" t="str">
        <f>IF(FT41=TRUE,"CURSOR POINT [ ON ]","CURSOR POINT [ OFF ]")</f>
        <v>CURSOR POINT [ ON ]</v>
      </c>
      <c r="R40" s="13"/>
      <c r="S40" s="13"/>
      <c r="T40" s="89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5"/>
      <c r="AM40" s="45"/>
      <c r="AN40" s="45"/>
      <c r="AO40" s="45"/>
      <c r="AP40" s="310"/>
      <c r="AQ40" s="338" t="b">
        <v>0</v>
      </c>
      <c r="AR40" s="338" t="s">
        <v>259</v>
      </c>
      <c r="AS40" s="338" t="b">
        <f>AND($BL$7=TRUE,AQ40=TRUE)</f>
        <v>0</v>
      </c>
      <c r="AT40" s="338" t="b">
        <f>AND($BL$8=TRUE,AQ40=TRUE)</f>
        <v>0</v>
      </c>
      <c r="AU40" s="338" t="b">
        <f>AND($BL$9=TRUE,AQ40=TRUE)</f>
        <v>0</v>
      </c>
      <c r="AV40" s="338" t="b">
        <f>AND($BL$10=TRUE,AQ40=TRUE)</f>
        <v>0</v>
      </c>
      <c r="AW40" s="338"/>
      <c r="AX40" s="338" t="str">
        <f>IF(AQ40=TRUE,", BOTTOM +"&amp;TRUNC(C41,2)&amp;"m","")</f>
        <v/>
      </c>
      <c r="AY40" s="338"/>
      <c r="AZ40" s="338"/>
      <c r="BA40" s="310"/>
      <c r="BB40" s="310">
        <f>IF(M36="","",M16*M36)</f>
        <v>0</v>
      </c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 t="e">
        <f>BU36</f>
        <v>#N/A</v>
      </c>
      <c r="BV40" s="310" t="e">
        <f>BV36</f>
        <v>#N/A</v>
      </c>
      <c r="BW40" s="310" t="s">
        <v>118</v>
      </c>
      <c r="BX40" s="400"/>
      <c r="BY40" s="310"/>
      <c r="BZ40" s="310"/>
      <c r="CA40" s="310"/>
      <c r="CB40" s="310"/>
      <c r="CC40" s="310"/>
      <c r="CD40" s="310"/>
      <c r="CE40" s="310"/>
      <c r="CF40" s="310"/>
      <c r="CG40" s="310"/>
      <c r="CH40" s="310"/>
      <c r="CI40" s="310"/>
      <c r="CJ40" s="257" t="e">
        <f>CJ37</f>
        <v>#N/A</v>
      </c>
      <c r="CK40" s="257" t="e">
        <f>CK39</f>
        <v>#N/A</v>
      </c>
      <c r="CL40" s="310"/>
      <c r="CM40" s="310"/>
      <c r="CN40" s="336" t="e">
        <f>CN37</f>
        <v>#N/A</v>
      </c>
      <c r="CO40" s="338" t="e">
        <f>CO39</f>
        <v>#N/A</v>
      </c>
      <c r="CP40" s="338" t="e">
        <f>CP39</f>
        <v>#N/A</v>
      </c>
      <c r="CQ40" s="338" t="e">
        <f>CO52+(CO53-CO52)/2</f>
        <v>#N/A</v>
      </c>
      <c r="CR40" s="339" t="e">
        <f>CO53-CO52</f>
        <v>#N/A</v>
      </c>
      <c r="CS40" s="310"/>
      <c r="CT40" s="338" t="e">
        <f>CT39</f>
        <v>#N/A</v>
      </c>
      <c r="CU40" s="338" t="e">
        <f>CU37</f>
        <v>#N/A</v>
      </c>
      <c r="CV40" s="439" t="e">
        <f>CT52+(CT53-CT52)/2</f>
        <v>#N/A</v>
      </c>
      <c r="CW40" s="328" t="e">
        <f>CW39</f>
        <v>#N/A</v>
      </c>
      <c r="CX40" s="440" t="e">
        <f>CT53-CT52</f>
        <v>#N/A</v>
      </c>
      <c r="CY40" s="310"/>
      <c r="CZ40" s="310"/>
      <c r="DA40" s="310"/>
      <c r="DB40" s="310"/>
      <c r="DC40" s="328" t="s">
        <v>48</v>
      </c>
      <c r="DD40" s="328" t="s">
        <v>49</v>
      </c>
      <c r="DE40" s="310"/>
      <c r="DF40" s="328" t="s">
        <v>48</v>
      </c>
      <c r="DG40" s="328" t="s">
        <v>49</v>
      </c>
      <c r="DH40" s="310"/>
      <c r="DI40" s="310"/>
      <c r="DJ40" s="310"/>
      <c r="DK40" s="313">
        <v>32</v>
      </c>
      <c r="DL40" s="282" t="e">
        <f t="shared" si="3"/>
        <v>#N/A</v>
      </c>
      <c r="DM40" s="291" t="e">
        <f t="shared" si="4"/>
        <v>#N/A</v>
      </c>
      <c r="DN40" s="310"/>
      <c r="DO40" s="310"/>
      <c r="DP40" s="310"/>
      <c r="DQ40" s="310"/>
      <c r="DR40" s="310"/>
      <c r="DS40" s="310"/>
      <c r="DT40" s="310"/>
      <c r="DU40" s="310"/>
      <c r="DV40" s="310"/>
      <c r="DW40" s="310"/>
      <c r="DX40" s="310"/>
      <c r="DY40" s="310"/>
      <c r="DZ40" s="310"/>
      <c r="EA40" s="310"/>
      <c r="EB40" s="310"/>
      <c r="EC40" s="310"/>
      <c r="ED40" s="310"/>
      <c r="EE40" s="310"/>
      <c r="EF40" s="310"/>
      <c r="EG40" s="310"/>
      <c r="EH40" s="310"/>
      <c r="EI40" s="310"/>
      <c r="EJ40" s="310"/>
      <c r="EK40" s="310"/>
      <c r="EL40" s="310"/>
      <c r="EM40" s="310"/>
      <c r="EN40" s="310"/>
      <c r="EO40" s="310"/>
      <c r="EP40" s="310"/>
      <c r="EQ40" s="310"/>
      <c r="ER40" s="310"/>
      <c r="ES40" s="332" t="e">
        <v>#N/A</v>
      </c>
      <c r="ET40" s="332" t="e">
        <v>#N/A</v>
      </c>
      <c r="EU40" s="406" t="s">
        <v>326</v>
      </c>
      <c r="EV40" s="332" t="e">
        <f t="shared" ref="EV40:FC40" si="85">EV24</f>
        <v>#N/A</v>
      </c>
      <c r="EW40" s="332" t="e">
        <f t="shared" si="85"/>
        <v>#N/A</v>
      </c>
      <c r="EX40" s="332" t="e">
        <f t="shared" si="85"/>
        <v>#N/A</v>
      </c>
      <c r="EY40" s="332" t="e">
        <f t="shared" si="85"/>
        <v>#N/A</v>
      </c>
      <c r="EZ40" s="346" t="e">
        <f t="shared" si="85"/>
        <v>#N/A</v>
      </c>
      <c r="FA40" s="346" t="e">
        <f t="shared" si="85"/>
        <v>#N/A</v>
      </c>
      <c r="FB40" s="346" t="e">
        <f t="shared" si="85"/>
        <v>#N/A</v>
      </c>
      <c r="FC40" s="346" t="e">
        <f t="shared" si="85"/>
        <v>#N/A</v>
      </c>
      <c r="FD40" s="258" t="e">
        <v>#N/A</v>
      </c>
      <c r="FE40" s="258" t="e">
        <v>#N/A</v>
      </c>
      <c r="FF40" s="310"/>
      <c r="FG40" s="310"/>
      <c r="FH40" s="310"/>
      <c r="FI40" s="310"/>
      <c r="FJ40" s="310"/>
      <c r="FK40" s="310"/>
      <c r="FL40" s="312"/>
      <c r="FM40" s="312"/>
      <c r="FN40" s="312"/>
      <c r="FO40" s="312"/>
      <c r="FP40" s="312"/>
      <c r="FQ40" s="312"/>
      <c r="FR40" s="312"/>
      <c r="FS40" s="312"/>
      <c r="FT40" s="312"/>
      <c r="FU40" s="312"/>
      <c r="FV40" s="312"/>
      <c r="FW40" s="312"/>
      <c r="FX40" s="312"/>
      <c r="FY40" s="312"/>
      <c r="FZ40" s="310"/>
      <c r="GA40" s="310"/>
      <c r="GB40" s="310"/>
      <c r="GC40" s="310"/>
      <c r="GD40" s="310"/>
      <c r="GE40" s="310"/>
      <c r="GF40" s="310"/>
      <c r="GG40" s="310"/>
      <c r="GH40" s="310"/>
      <c r="GI40" s="310"/>
      <c r="GJ40" s="310"/>
      <c r="GK40" s="310"/>
      <c r="GL40" s="310"/>
      <c r="GM40" s="310"/>
      <c r="GN40" s="310"/>
      <c r="GO40" s="310"/>
      <c r="GP40" s="310"/>
      <c r="GQ40" s="310"/>
      <c r="GR40" s="310"/>
      <c r="GS40" s="310"/>
      <c r="GT40" s="310"/>
      <c r="GU40" s="310"/>
      <c r="GV40" s="310"/>
      <c r="GW40" s="310"/>
      <c r="GX40" s="310"/>
      <c r="GY40" s="310"/>
      <c r="GZ40" s="310"/>
      <c r="HA40" s="310"/>
      <c r="HB40" s="310"/>
      <c r="HC40" s="310"/>
      <c r="HD40" s="310"/>
      <c r="HE40" s="310"/>
      <c r="HF40" s="310"/>
      <c r="HG40" s="310"/>
      <c r="HH40" s="310"/>
      <c r="HI40" s="310"/>
      <c r="HJ40" s="310"/>
      <c r="HK40" s="342">
        <v>26</v>
      </c>
      <c r="HL40" s="235" t="e">
        <f t="shared" si="5"/>
        <v>#N/A</v>
      </c>
      <c r="HM40" s="235" t="e">
        <f t="shared" si="6"/>
        <v>#N/A</v>
      </c>
      <c r="HN40" s="310"/>
      <c r="HO40" s="310"/>
      <c r="HP40" s="235" t="e">
        <f t="shared" si="7"/>
        <v>#N/A</v>
      </c>
      <c r="HQ40" s="235" t="e">
        <f t="shared" si="8"/>
        <v>#N/A</v>
      </c>
      <c r="HR40" s="310"/>
      <c r="HS40" s="310"/>
      <c r="HT40" s="235" t="e">
        <f t="shared" si="9"/>
        <v>#N/A</v>
      </c>
      <c r="HU40" s="235" t="e">
        <f t="shared" si="10"/>
        <v>#N/A</v>
      </c>
      <c r="HV40" s="310"/>
      <c r="HW40" s="310"/>
      <c r="HX40" s="235" t="e">
        <f t="shared" si="11"/>
        <v>#N/A</v>
      </c>
      <c r="HY40" s="235" t="e">
        <f t="shared" si="12"/>
        <v>#N/A</v>
      </c>
      <c r="HZ40" s="310"/>
      <c r="IA40" s="310"/>
      <c r="IB40" s="235" t="e">
        <f t="shared" si="13"/>
        <v>#N/A</v>
      </c>
      <c r="IC40" s="235" t="e">
        <f t="shared" si="14"/>
        <v>#N/A</v>
      </c>
      <c r="ID40" s="310"/>
      <c r="IE40" s="342">
        <v>26</v>
      </c>
      <c r="IF40" s="262" t="e">
        <f t="shared" si="15"/>
        <v>#N/A</v>
      </c>
      <c r="IG40" s="262" t="e">
        <f t="shared" si="16"/>
        <v>#N/A</v>
      </c>
      <c r="IH40" s="390"/>
      <c r="II40" s="390"/>
      <c r="IJ40" s="262" t="e">
        <f t="shared" si="17"/>
        <v>#N/A</v>
      </c>
      <c r="IK40" s="262" t="e">
        <f t="shared" si="18"/>
        <v>#N/A</v>
      </c>
      <c r="IL40" s="390"/>
      <c r="IM40" s="390"/>
      <c r="IN40" s="262" t="e">
        <f t="shared" si="19"/>
        <v>#N/A</v>
      </c>
      <c r="IO40" s="262" t="e">
        <f t="shared" si="20"/>
        <v>#N/A</v>
      </c>
      <c r="IP40" s="390"/>
      <c r="IQ40" s="390"/>
      <c r="IR40" s="262" t="e">
        <f t="shared" si="21"/>
        <v>#N/A</v>
      </c>
      <c r="IS40" s="262" t="e">
        <f t="shared" si="22"/>
        <v>#N/A</v>
      </c>
      <c r="IT40" s="390"/>
      <c r="IU40" s="390"/>
      <c r="IV40" s="262" t="e">
        <f t="shared" si="23"/>
        <v>#N/A</v>
      </c>
      <c r="IW40" s="262" t="e">
        <f t="shared" si="24"/>
        <v>#N/A</v>
      </c>
      <c r="IX40" s="310"/>
      <c r="IY40" s="310"/>
      <c r="IZ40" s="310"/>
      <c r="JA40" s="310"/>
      <c r="JB40" s="313" t="s">
        <v>373</v>
      </c>
      <c r="JC40" s="236" t="e">
        <f>JC32</f>
        <v>#N/A</v>
      </c>
      <c r="JD40" s="236" t="e">
        <f>JD32</f>
        <v>#N/A</v>
      </c>
      <c r="JE40" s="310"/>
      <c r="JF40" s="310"/>
      <c r="JG40" s="310"/>
      <c r="JH40" s="310"/>
      <c r="JI40" s="313" t="s">
        <v>373</v>
      </c>
      <c r="JJ40" s="263" t="e">
        <f>JJ32</f>
        <v>#N/A</v>
      </c>
      <c r="JK40" s="263" t="e">
        <f>JK32</f>
        <v>#N/A</v>
      </c>
      <c r="JL40" s="310"/>
      <c r="JM40" s="310"/>
      <c r="JN40" s="261" t="e">
        <f t="shared" si="25"/>
        <v>#N/A</v>
      </c>
      <c r="JO40" s="261" t="e">
        <f t="shared" si="26"/>
        <v>#N/A</v>
      </c>
      <c r="JP40" s="310"/>
      <c r="JQ40" s="310"/>
      <c r="JR40" s="261" t="e">
        <f t="shared" si="31"/>
        <v>#N/A</v>
      </c>
      <c r="JS40" s="261" t="e">
        <f t="shared" si="32"/>
        <v>#N/A</v>
      </c>
      <c r="JT40" s="310"/>
      <c r="JU40" s="310"/>
      <c r="JV40" s="261" t="e">
        <f t="shared" si="27"/>
        <v>#N/A</v>
      </c>
      <c r="JW40" s="261" t="e">
        <f t="shared" si="28"/>
        <v>#N/A</v>
      </c>
      <c r="JX40" s="310"/>
      <c r="JY40" s="342" t="s">
        <v>355</v>
      </c>
      <c r="JZ40" s="342" t="s">
        <v>48</v>
      </c>
      <c r="KA40" s="342" t="s">
        <v>49</v>
      </c>
      <c r="KB40" s="313" t="s">
        <v>144</v>
      </c>
      <c r="KC40" s="242" t="e">
        <f>JZ41+$IZ$62/2</f>
        <v>#N/A</v>
      </c>
      <c r="KD40" s="242" t="e">
        <f>KD39</f>
        <v>#N/A</v>
      </c>
      <c r="KE40" s="310"/>
      <c r="KF40" s="310"/>
      <c r="KG40" s="310"/>
      <c r="KH40" s="310"/>
      <c r="KI40" s="310"/>
      <c r="KJ40" s="310"/>
      <c r="KK40" s="310"/>
      <c r="KL40" s="310"/>
      <c r="KM40" s="310"/>
      <c r="KN40" s="267" t="e">
        <f>IF(KR36=TRUE,ON50,#N/A)</f>
        <v>#N/A</v>
      </c>
      <c r="KO40" s="267" t="e">
        <f>KO39</f>
        <v>#N/A</v>
      </c>
      <c r="KP40" s="267" t="e">
        <f>KN46+(KN47-KN46)/2</f>
        <v>#N/A</v>
      </c>
      <c r="KQ40" s="267" t="e">
        <f>KQ39</f>
        <v>#N/A</v>
      </c>
      <c r="KR40" s="347" t="e">
        <f>KN47-KN46</f>
        <v>#N/A</v>
      </c>
      <c r="KS40" s="310"/>
      <c r="KT40" s="242">
        <f>IF(KX36=TRUE,ON51,#N/A)</f>
        <v>1.2999999999999998</v>
      </c>
      <c r="KU40" s="242">
        <f>KU39</f>
        <v>1.5499999999999998</v>
      </c>
      <c r="KV40" s="242">
        <f>KT46+(KT47-KT46)/2</f>
        <v>0.64999999999999991</v>
      </c>
      <c r="KW40" s="242">
        <f>KW39</f>
        <v>1.25</v>
      </c>
      <c r="KX40" s="389">
        <f>KT47-KT46</f>
        <v>1.2999999999999998</v>
      </c>
      <c r="KY40" s="310"/>
      <c r="KZ40" s="310"/>
      <c r="LA40" s="310"/>
      <c r="LB40" s="310"/>
      <c r="LC40" s="310"/>
      <c r="LD40" s="310"/>
      <c r="LE40" s="310"/>
      <c r="LF40" s="310"/>
      <c r="LG40" s="310"/>
      <c r="LH40" s="391">
        <f>LH39</f>
        <v>1.9</v>
      </c>
      <c r="LI40" s="391">
        <f>OO51</f>
        <v>0.95</v>
      </c>
      <c r="LJ40" s="338" t="e">
        <v>#N/A</v>
      </c>
      <c r="LK40" s="338" t="e">
        <v>#N/A</v>
      </c>
      <c r="LL40" s="391"/>
      <c r="LM40" s="310"/>
      <c r="LN40" s="310"/>
      <c r="LO40" s="338">
        <f>LO39</f>
        <v>1.9</v>
      </c>
      <c r="LP40" s="338">
        <f>OO52</f>
        <v>-0.95</v>
      </c>
      <c r="LQ40" s="338" t="e">
        <v>#N/A</v>
      </c>
      <c r="LR40" s="338" t="e">
        <v>#N/A</v>
      </c>
      <c r="LS40" s="391"/>
      <c r="LT40" s="310"/>
      <c r="LU40" s="310"/>
      <c r="LV40" s="338" t="e">
        <f>ON54</f>
        <v>#N/A</v>
      </c>
      <c r="LW40" s="338" t="e">
        <f>LW39</f>
        <v>#N/A</v>
      </c>
      <c r="LX40" s="338" t="e">
        <v>#N/A</v>
      </c>
      <c r="LY40" s="338" t="e">
        <v>#N/A</v>
      </c>
      <c r="LZ40" s="391"/>
      <c r="MA40" s="310"/>
      <c r="MB40" s="310"/>
      <c r="MC40" s="338">
        <f>ON49</f>
        <v>-1.2999999999999998</v>
      </c>
      <c r="MD40" s="338">
        <f>MD39</f>
        <v>0.6071428571428571</v>
      </c>
      <c r="ME40" s="338" t="e">
        <v>#N/A</v>
      </c>
      <c r="MF40" s="338" t="e">
        <v>#N/A</v>
      </c>
      <c r="MG40" s="391"/>
      <c r="MH40" s="310"/>
      <c r="MI40" s="310"/>
      <c r="MJ40" s="242" t="e">
        <v>#N/A</v>
      </c>
      <c r="MK40" s="242" t="e">
        <v>#N/A</v>
      </c>
      <c r="ML40" s="242" t="e">
        <v>#N/A</v>
      </c>
      <c r="MM40" s="242" t="e">
        <v>#N/A</v>
      </c>
      <c r="MN40" s="391"/>
      <c r="MO40" s="310"/>
      <c r="MP40" s="311" t="e">
        <v>#N/A</v>
      </c>
      <c r="MQ40" s="311" t="e">
        <v>#N/A</v>
      </c>
      <c r="MR40" s="311"/>
      <c r="MS40" s="311"/>
      <c r="MT40" s="296" t="e">
        <f>MT34</f>
        <v>#N/A</v>
      </c>
      <c r="MU40" s="296" t="e">
        <f>MU36</f>
        <v>#N/A</v>
      </c>
      <c r="MV40" s="310"/>
      <c r="MW40" s="296" t="e">
        <v>#N/A</v>
      </c>
      <c r="MX40" s="296" t="e">
        <v>#N/A</v>
      </c>
      <c r="MY40" s="310"/>
      <c r="MZ40" s="328">
        <v>7</v>
      </c>
      <c r="NA40" s="372" t="b">
        <f t="shared" si="76"/>
        <v>0</v>
      </c>
      <c r="NB40" s="280" t="e">
        <f t="shared" si="80"/>
        <v>#N/A</v>
      </c>
      <c r="NC40" s="280" t="e">
        <f t="shared" si="81"/>
        <v>#N/A</v>
      </c>
      <c r="ND40" s="280" t="e">
        <f t="shared" si="77"/>
        <v>#N/A</v>
      </c>
      <c r="NE40" s="280" t="e">
        <f t="shared" si="78"/>
        <v>#N/A</v>
      </c>
      <c r="NF40" s="310"/>
      <c r="NG40" s="310" t="s">
        <v>179</v>
      </c>
      <c r="NH40" s="280" t="e">
        <f>NH35+0.2</f>
        <v>#N/A</v>
      </c>
      <c r="NI40" s="280" t="e">
        <f>NI35</f>
        <v>#N/A</v>
      </c>
      <c r="NJ40" s="310"/>
      <c r="NK40" s="310"/>
      <c r="NL40" s="310"/>
      <c r="NM40" s="310"/>
      <c r="NN40" s="310"/>
      <c r="NO40" s="310"/>
      <c r="NP40" s="310"/>
      <c r="NQ40" s="310"/>
      <c r="NR40" s="528"/>
      <c r="NS40" s="318" t="s">
        <v>321</v>
      </c>
      <c r="NT40" s="338" t="e">
        <f>NT39</f>
        <v>#N/A</v>
      </c>
      <c r="NU40" s="338" t="e">
        <f>IF(NS35=TRUE,NO14,#N/A)</f>
        <v>#N/A</v>
      </c>
      <c r="NV40" s="338" t="e">
        <f>IF(NR39=TRUE,J26,#N/A)</f>
        <v>#N/A</v>
      </c>
      <c r="NW40" s="328" t="e">
        <f>IF(NR39=TRUE,H26,#N/A)</f>
        <v>#N/A</v>
      </c>
      <c r="NX40" s="334" t="e">
        <f>ABS(ABS(NU40)-ABS(NW40))</f>
        <v>#N/A</v>
      </c>
      <c r="NY40" s="334" t="e">
        <f>IF(NX40=MAX($NX$39:$NX$40),TRUE,FALSE)</f>
        <v>#N/A</v>
      </c>
      <c r="NZ40" s="334" t="e">
        <f>IF(NY39=TRUE,NX39,NX40)</f>
        <v>#N/A</v>
      </c>
      <c r="OA40" s="525"/>
      <c r="OB40" s="525"/>
      <c r="OC40" s="525"/>
      <c r="OD40" s="525"/>
      <c r="OE40" s="525"/>
      <c r="OF40" s="525"/>
      <c r="OG40" s="527"/>
      <c r="OH40" s="310"/>
      <c r="OI40" s="310"/>
      <c r="OJ40" s="310"/>
      <c r="OK40" s="310"/>
      <c r="OL40" s="310"/>
      <c r="OM40" s="228" t="e">
        <f>OM35</f>
        <v>#N/A</v>
      </c>
      <c r="ON40" s="228" t="e">
        <f>IF(ON21=TRUE,ON14+ON13/4,#N/A)</f>
        <v>#N/A</v>
      </c>
      <c r="OO40" s="310"/>
      <c r="OP40" s="281" t="e">
        <f>IF(OT9=TRUE,OU54,#N/A)</f>
        <v>#N/A</v>
      </c>
      <c r="OQ40" s="281" t="e">
        <f>IF(OT9=TRUE,OV54/1.5,#N/A)</f>
        <v>#N/A</v>
      </c>
      <c r="OR40" s="310" t="e">
        <f>"D="&amp;TEXT(OY45*100,"0.00")&amp;"cm"</f>
        <v>#N/A</v>
      </c>
      <c r="OS40" s="310"/>
      <c r="OT40" s="310"/>
      <c r="OU40" s="292" t="e">
        <f>OU39+BT7</f>
        <v>#N/A</v>
      </c>
      <c r="OV40" s="292" t="e">
        <f>OV39</f>
        <v>#N/A</v>
      </c>
      <c r="OW40" s="310"/>
      <c r="OX40" s="280" t="e">
        <f>IF(OV8=TRUE,OU29-(F50/100),#N/A)</f>
        <v>#N/A</v>
      </c>
      <c r="OY40" s="280" t="e">
        <f>OY36</f>
        <v>#N/A</v>
      </c>
      <c r="OZ40" s="310"/>
      <c r="PA40" s="310"/>
      <c r="PB40" s="310"/>
      <c r="PC40" s="310"/>
      <c r="PD40" s="310"/>
      <c r="PE40" s="292" t="e">
        <v>#N/A</v>
      </c>
      <c r="PF40" s="328" t="e">
        <v>#N/A</v>
      </c>
      <c r="PG40" s="292" t="e">
        <f t="shared" si="84"/>
        <v>#N/A</v>
      </c>
      <c r="PH40" s="310"/>
      <c r="PI40" s="310"/>
      <c r="PJ40" s="310"/>
      <c r="PK40" s="310"/>
      <c r="PL40" s="310"/>
      <c r="PM40" s="310"/>
      <c r="PN40" s="310"/>
      <c r="PO40" s="310"/>
      <c r="PP40" s="310"/>
      <c r="PQ40" s="310"/>
      <c r="PR40" s="310"/>
      <c r="PS40" s="342">
        <v>26</v>
      </c>
      <c r="PT40" s="261" t="e">
        <f t="shared" si="29"/>
        <v>#N/A</v>
      </c>
      <c r="PU40" s="261" t="e">
        <f t="shared" si="30"/>
        <v>#N/A</v>
      </c>
      <c r="PV40" s="310"/>
      <c r="PW40" s="310"/>
      <c r="PX40" s="310"/>
      <c r="PY40" s="328" t="s">
        <v>322</v>
      </c>
      <c r="PZ40" s="366">
        <f>J26</f>
        <v>-0.65</v>
      </c>
      <c r="QA40" s="328">
        <f>AVERAGE(PO14,PO17)</f>
        <v>-1.2999999999999998</v>
      </c>
      <c r="QB40" s="328">
        <f>$RA$12</f>
        <v>-0.42749999999999999</v>
      </c>
      <c r="QC40" s="328" t="b">
        <f>AND(QB40&gt;PZ40,QB40&gt;QA40)</f>
        <v>1</v>
      </c>
      <c r="QD40" s="328">
        <v>0</v>
      </c>
      <c r="QE40" s="328">
        <f>IF(QA38&gt;QB38,QB38,QA38)-IF(QA39&lt;QB39,QB39,QA39)</f>
        <v>0.85499999999999998</v>
      </c>
      <c r="QF40" s="328">
        <f t="shared" ref="QF40:QF41" si="86">IF(QC40=TRUE,QE40,QD40)</f>
        <v>0.85499999999999998</v>
      </c>
      <c r="QG40" s="310"/>
      <c r="QH40" s="310"/>
      <c r="QI40" s="310"/>
      <c r="QJ40" s="310"/>
      <c r="QK40" s="328" t="s">
        <v>322</v>
      </c>
      <c r="QL40" s="328" t="e">
        <v>#N/A</v>
      </c>
      <c r="QM40" s="328">
        <f>PO14</f>
        <v>-1.2999999999999998</v>
      </c>
      <c r="QN40" s="328">
        <f>RA12</f>
        <v>-0.42749999999999999</v>
      </c>
      <c r="QO40" s="328" t="b">
        <f>IF(QM40&lt;QN40,TRUE,FALSE)</f>
        <v>1</v>
      </c>
      <c r="QP40" s="328">
        <v>0</v>
      </c>
      <c r="QQ40" s="328">
        <f>RB13-RB14</f>
        <v>0.85499999999999998</v>
      </c>
      <c r="QR40" s="328">
        <f t="shared" ref="QR40:QR41" si="87">IF(QO40=TRUE,QQ40,QP40)</f>
        <v>0.85499999999999998</v>
      </c>
      <c r="QS40" s="310"/>
      <c r="QT40" s="310"/>
      <c r="QU40" s="310"/>
      <c r="QV40" s="310"/>
      <c r="QW40" s="310"/>
      <c r="QX40" s="310"/>
      <c r="QY40" s="310"/>
      <c r="QZ40" s="310"/>
      <c r="RA40" s="310"/>
      <c r="RB40" s="310"/>
      <c r="RC40" s="310"/>
      <c r="RD40" s="310"/>
      <c r="RE40" s="310"/>
      <c r="RF40" s="310"/>
      <c r="RG40" s="310"/>
      <c r="RH40" s="310"/>
      <c r="RI40" s="310"/>
      <c r="RJ40" s="310"/>
      <c r="RK40" s="310"/>
      <c r="RL40" s="310"/>
      <c r="RM40" s="310"/>
      <c r="RN40" s="310"/>
      <c r="RO40" s="310"/>
      <c r="RP40" s="310"/>
      <c r="RQ40" s="310"/>
      <c r="RR40" s="310"/>
      <c r="RS40" s="310"/>
      <c r="RT40" s="310"/>
      <c r="RU40" s="310"/>
      <c r="RV40" s="310"/>
      <c r="RW40" s="310"/>
      <c r="RX40" s="310"/>
      <c r="RY40" s="310"/>
      <c r="RZ40" s="310"/>
      <c r="SA40" s="310"/>
      <c r="SB40" s="310"/>
      <c r="SE40" s="4" t="s">
        <v>152</v>
      </c>
      <c r="SF40" s="514">
        <f>RY32</f>
        <v>0.65</v>
      </c>
      <c r="SG40" s="514">
        <f>RZ32</f>
        <v>0.65</v>
      </c>
      <c r="SH40" s="513"/>
      <c r="SI40" s="514"/>
      <c r="SJ40" s="310"/>
      <c r="SK40" s="310"/>
      <c r="SL40" s="310"/>
      <c r="SM40" s="310"/>
      <c r="SN40" s="310"/>
      <c r="SO40" s="220"/>
      <c r="SP40" s="220"/>
      <c r="SQ40" s="220"/>
      <c r="SR40" s="220"/>
      <c r="SS40" s="220"/>
      <c r="ST40" s="220"/>
      <c r="SU40" s="220"/>
      <c r="SV40" s="220"/>
      <c r="SW40" s="220"/>
      <c r="SX40" s="220"/>
      <c r="SY40" s="220"/>
      <c r="SZ40" s="220"/>
      <c r="TA40" s="220"/>
      <c r="TB40" s="220"/>
      <c r="TC40" s="220"/>
      <c r="TD40" s="220"/>
      <c r="TE40" s="220"/>
      <c r="TF40" s="220"/>
      <c r="TG40" s="220"/>
      <c r="TH40" s="220"/>
      <c r="TI40" s="220"/>
      <c r="TJ40" s="220"/>
      <c r="TK40" s="220"/>
      <c r="TL40" s="220"/>
      <c r="TM40" s="220"/>
      <c r="TN40" s="220"/>
      <c r="TO40" s="220"/>
      <c r="TP40" s="220"/>
      <c r="TQ40" s="220"/>
      <c r="TR40" s="220"/>
      <c r="TS40" s="220"/>
      <c r="TT40" s="220"/>
      <c r="TU40" s="220"/>
      <c r="TV40" s="220"/>
      <c r="TW40" s="220"/>
      <c r="TX40" s="220"/>
      <c r="TY40" s="220"/>
      <c r="TZ40" s="220"/>
      <c r="UA40" s="220"/>
      <c r="UB40" s="220"/>
      <c r="UC40" s="220"/>
      <c r="UD40" s="220"/>
      <c r="UE40" s="220"/>
      <c r="UF40" s="220"/>
      <c r="UG40" s="220"/>
      <c r="UH40" s="220"/>
      <c r="UI40" s="220"/>
      <c r="UJ40" s="220"/>
      <c r="UK40" s="216"/>
      <c r="UL40" s="216"/>
      <c r="UM40" s="216"/>
      <c r="UN40" s="216"/>
      <c r="UO40" s="216"/>
      <c r="UP40" s="216"/>
      <c r="UQ40" s="216"/>
      <c r="UR40" s="216"/>
      <c r="US40" s="216"/>
      <c r="UT40" s="216"/>
      <c r="UU40" s="216"/>
      <c r="UV40" s="216"/>
      <c r="UW40" s="216"/>
      <c r="UX40" s="216"/>
      <c r="UY40" s="216"/>
      <c r="UZ40" s="216"/>
      <c r="VA40" s="216"/>
    </row>
    <row r="41" spans="1:573" s="4" customFormat="1" ht="18.75" customHeight="1" x14ac:dyDescent="0.3">
      <c r="A41" s="90" t="s">
        <v>417</v>
      </c>
      <c r="B41" s="91"/>
      <c r="C41" s="92" t="str">
        <f>IF(HG48&gt;=BT7,HD45,HD46)</f>
        <v>≥  1D</v>
      </c>
      <c r="D41" s="655">
        <f>IF(CP13=TRUE,IF(BE7=TRUE,IF(BI99&lt;&gt;"",HG48,""),""),"")</f>
        <v>0.29999999999999993</v>
      </c>
      <c r="E41" s="656"/>
      <c r="F41" s="93" t="str">
        <f>IF(CP13=TRUE,IF(D41&gt;=IF(BL7=TRUE,0.5*BT7,$BT$7),BT11,BT12),"")</f>
        <v>ü</v>
      </c>
      <c r="G41" s="650"/>
      <c r="H41" s="651"/>
      <c r="I41" s="651"/>
      <c r="J41" s="651"/>
      <c r="K41" s="651"/>
      <c r="L41" s="652"/>
      <c r="M41" s="657" t="s">
        <v>563</v>
      </c>
      <c r="N41" s="658"/>
      <c r="O41" s="94">
        <f>IF(M36="","",M16*M36)</f>
        <v>0</v>
      </c>
      <c r="P41" s="88"/>
      <c r="Q41" s="95" t="str">
        <f>IF(FM45=TRUE,"       "&amp;FO45&amp;" [Active]","       "&amp;FO45&amp;" [Lock]")</f>
        <v xml:space="preserve">       CURSOR : C1 [Lock]</v>
      </c>
      <c r="R41" s="13"/>
      <c r="S41" s="549" t="s">
        <v>351</v>
      </c>
      <c r="T41" s="549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5"/>
      <c r="AM41" s="45"/>
      <c r="AN41" s="45"/>
      <c r="AO41" s="45"/>
      <c r="AP41" s="310"/>
      <c r="AQ41" s="338" t="b">
        <v>0</v>
      </c>
      <c r="AR41" s="338" t="s">
        <v>260</v>
      </c>
      <c r="AS41" s="338" t="b">
        <f>AND($BL$7=TRUE,AQ41=TRUE)</f>
        <v>0</v>
      </c>
      <c r="AT41" s="338" t="b">
        <f>AND($BL$8=TRUE,AQ41=TRUE)</f>
        <v>0</v>
      </c>
      <c r="AU41" s="338" t="b">
        <f>AND($BL$9=TRUE,AQ41=TRUE)</f>
        <v>0</v>
      </c>
      <c r="AV41" s="338" t="b">
        <f>AND($BL$10=TRUE,AQ41=TRUE)</f>
        <v>0</v>
      </c>
      <c r="AW41" s="338"/>
      <c r="AX41" s="338" t="str">
        <f>IF(AQ42=TRUE,", RIGHT +"&amp;  TRUNC(C42,2)&amp;"m","")</f>
        <v/>
      </c>
      <c r="AY41" s="338"/>
      <c r="AZ41" s="338"/>
      <c r="BA41" s="310"/>
      <c r="BB41" s="310"/>
      <c r="BC41" s="310"/>
      <c r="BD41" s="310"/>
      <c r="BE41" s="310"/>
      <c r="BF41" s="310"/>
      <c r="BG41" s="310"/>
      <c r="BH41" s="310"/>
      <c r="BI41" s="310"/>
      <c r="BJ41" s="310"/>
      <c r="BK41" s="310"/>
      <c r="BL41" s="310"/>
      <c r="BM41" s="310"/>
      <c r="BN41" s="310"/>
      <c r="BO41" s="310"/>
      <c r="BP41" s="310"/>
      <c r="BQ41" s="310"/>
      <c r="BR41" s="310"/>
      <c r="BS41" s="310"/>
      <c r="BT41" s="310"/>
      <c r="BU41" s="310"/>
      <c r="BV41" s="310"/>
      <c r="BW41" s="310"/>
      <c r="BX41" s="400"/>
      <c r="BY41" s="310"/>
      <c r="BZ41" s="310"/>
      <c r="CA41" s="310"/>
      <c r="CB41" s="310"/>
      <c r="CC41" s="310"/>
      <c r="CD41" s="310"/>
      <c r="CE41" s="310"/>
      <c r="CF41" s="310"/>
      <c r="CG41" s="310"/>
      <c r="CH41" s="310"/>
      <c r="CI41" s="310"/>
      <c r="CJ41" s="257" t="e">
        <f>CJ37</f>
        <v>#N/A</v>
      </c>
      <c r="CK41" s="257" t="e">
        <f>CK37</f>
        <v>#N/A</v>
      </c>
      <c r="CL41" s="310"/>
      <c r="CM41" s="310"/>
      <c r="CN41" s="338" t="e">
        <v>#N/A</v>
      </c>
      <c r="CO41" s="338" t="e">
        <v>#N/A</v>
      </c>
      <c r="CP41" s="338" t="e">
        <f>CP40</f>
        <v>#N/A</v>
      </c>
      <c r="CQ41" s="338" t="e">
        <f>CO56+(CO57-CO56)/2</f>
        <v>#N/A</v>
      </c>
      <c r="CR41" s="338" t="s">
        <v>117</v>
      </c>
      <c r="CS41" s="310"/>
      <c r="CT41" s="338" t="e">
        <v>#N/A</v>
      </c>
      <c r="CU41" s="338" t="e">
        <v>#N/A</v>
      </c>
      <c r="CV41" s="439" t="e">
        <f>CT56+(CT57-CT56)/2</f>
        <v>#N/A</v>
      </c>
      <c r="CW41" s="328" t="e">
        <f>CW40</f>
        <v>#N/A</v>
      </c>
      <c r="CX41" s="328" t="s">
        <v>119</v>
      </c>
      <c r="CY41" s="310"/>
      <c r="CZ41" s="310"/>
      <c r="DA41" s="310"/>
      <c r="DB41" s="310"/>
      <c r="DC41" s="280" t="e">
        <f>IF(DD39=TRUE,-BT7/2-0.2,#N/A)</f>
        <v>#N/A</v>
      </c>
      <c r="DD41" s="280" t="e">
        <f>IF(DD39=TRUE,(G52/100)+0.075,#N/A)</f>
        <v>#N/A</v>
      </c>
      <c r="DE41" s="310"/>
      <c r="DF41" s="280" t="e">
        <f>IF(DD39=TRUE,DC43-0.009,#N/A)</f>
        <v>#N/A</v>
      </c>
      <c r="DG41" s="280" t="b">
        <f>IF(DD39=TRUE,DD41+0.05)</f>
        <v>0</v>
      </c>
      <c r="DH41" s="310" t="b">
        <f>IF(DD39=TRUE,DD41+0.05)</f>
        <v>0</v>
      </c>
      <c r="DI41" s="310"/>
      <c r="DJ41" s="310"/>
      <c r="DK41" s="313">
        <v>33</v>
      </c>
      <c r="DL41" s="282" t="e">
        <f t="shared" si="3"/>
        <v>#N/A</v>
      </c>
      <c r="DM41" s="291" t="e">
        <f t="shared" si="4"/>
        <v>#N/A</v>
      </c>
      <c r="DN41" s="310"/>
      <c r="DO41" s="310"/>
      <c r="DP41" s="310"/>
      <c r="DQ41" s="310"/>
      <c r="DR41" s="310"/>
      <c r="DS41" s="310"/>
      <c r="DT41" s="310"/>
      <c r="DU41" s="310"/>
      <c r="DV41" s="310"/>
      <c r="DW41" s="310"/>
      <c r="DX41" s="310"/>
      <c r="DY41" s="310"/>
      <c r="DZ41" s="310"/>
      <c r="EA41" s="310"/>
      <c r="EB41" s="310"/>
      <c r="EC41" s="310"/>
      <c r="ED41" s="310"/>
      <c r="EE41" s="310"/>
      <c r="EF41" s="310"/>
      <c r="EG41" s="310"/>
      <c r="EH41" s="310"/>
      <c r="EI41" s="310"/>
      <c r="EJ41" s="310"/>
      <c r="EK41" s="310"/>
      <c r="EL41" s="310"/>
      <c r="EM41" s="310"/>
      <c r="EN41" s="310"/>
      <c r="EO41" s="310"/>
      <c r="EP41" s="310"/>
      <c r="EQ41" s="310"/>
      <c r="ER41" s="310"/>
      <c r="ES41" s="310"/>
      <c r="ET41" s="310"/>
      <c r="EU41" s="310"/>
      <c r="EV41" s="310"/>
      <c r="EW41" s="310"/>
      <c r="EX41" s="310"/>
      <c r="EY41" s="310"/>
      <c r="EZ41" s="310"/>
      <c r="FA41" s="310"/>
      <c r="FB41" s="310"/>
      <c r="FC41" s="338" t="s">
        <v>328</v>
      </c>
      <c r="FD41" s="338" t="e">
        <f>MAX(FD24:FD25,FD27:FD28,FD30:FD31,FD33:FD34,FD36:FD37,FD39:FD40)</f>
        <v>#N/A</v>
      </c>
      <c r="FE41" s="338" t="e">
        <f>MAX(FE24:FE25,FE27:FE28,FE30:FE31,FE33:FE34,FE36:FE37,FE39:FE40)</f>
        <v>#N/A</v>
      </c>
      <c r="FF41" s="310"/>
      <c r="FG41" s="310"/>
      <c r="FH41" s="310"/>
      <c r="FI41" s="310"/>
      <c r="FJ41" s="310"/>
      <c r="FK41" s="310"/>
      <c r="FL41" s="311"/>
      <c r="FM41" s="311"/>
      <c r="FN41" s="311"/>
      <c r="FO41" s="311"/>
      <c r="FP41" s="311"/>
      <c r="FQ41" s="311"/>
      <c r="FR41" s="311" t="s">
        <v>331</v>
      </c>
      <c r="FS41" s="311"/>
      <c r="FT41" s="311" t="b">
        <v>1</v>
      </c>
      <c r="FU41" s="311"/>
      <c r="FV41" s="311"/>
      <c r="FW41" s="311"/>
      <c r="FX41" s="311"/>
      <c r="FY41" s="311"/>
      <c r="FZ41" s="310"/>
      <c r="GA41" s="310"/>
      <c r="GB41" s="310"/>
      <c r="GC41" s="310"/>
      <c r="GD41" s="310"/>
      <c r="GE41" s="310"/>
      <c r="GF41" s="310"/>
      <c r="GG41" s="310"/>
      <c r="GH41" s="310"/>
      <c r="GI41" s="310"/>
      <c r="GJ41" s="310"/>
      <c r="GK41" s="310"/>
      <c r="GL41" s="310"/>
      <c r="GM41" s="310"/>
      <c r="GN41" s="310"/>
      <c r="GO41" s="310"/>
      <c r="GP41" s="310"/>
      <c r="GQ41" s="310"/>
      <c r="GR41" s="310"/>
      <c r="GS41" s="310"/>
      <c r="GT41" s="310"/>
      <c r="GU41" s="310"/>
      <c r="GV41" s="310"/>
      <c r="GW41" s="310"/>
      <c r="GX41" s="310"/>
      <c r="GY41" s="310"/>
      <c r="GZ41" s="310"/>
      <c r="HA41" s="310"/>
      <c r="HB41" s="310"/>
      <c r="HC41" s="310"/>
      <c r="HD41" s="310"/>
      <c r="HE41" s="310"/>
      <c r="HF41" s="310"/>
      <c r="HG41" s="310"/>
      <c r="HH41" s="310"/>
      <c r="HI41" s="310"/>
      <c r="HJ41" s="310"/>
      <c r="HK41" s="342">
        <v>27</v>
      </c>
      <c r="HL41" s="235" t="e">
        <f t="shared" si="5"/>
        <v>#N/A</v>
      </c>
      <c r="HM41" s="235" t="e">
        <f t="shared" si="6"/>
        <v>#N/A</v>
      </c>
      <c r="HN41" s="310"/>
      <c r="HO41" s="310"/>
      <c r="HP41" s="235" t="e">
        <f t="shared" si="7"/>
        <v>#N/A</v>
      </c>
      <c r="HQ41" s="235" t="e">
        <f t="shared" si="8"/>
        <v>#N/A</v>
      </c>
      <c r="HR41" s="310"/>
      <c r="HS41" s="310"/>
      <c r="HT41" s="235" t="e">
        <f t="shared" si="9"/>
        <v>#N/A</v>
      </c>
      <c r="HU41" s="235" t="e">
        <f t="shared" si="10"/>
        <v>#N/A</v>
      </c>
      <c r="HV41" s="310"/>
      <c r="HW41" s="310"/>
      <c r="HX41" s="235" t="e">
        <f t="shared" si="11"/>
        <v>#N/A</v>
      </c>
      <c r="HY41" s="235" t="e">
        <f t="shared" si="12"/>
        <v>#N/A</v>
      </c>
      <c r="HZ41" s="310"/>
      <c r="IA41" s="310"/>
      <c r="IB41" s="235" t="e">
        <f t="shared" si="13"/>
        <v>#N/A</v>
      </c>
      <c r="IC41" s="235" t="e">
        <f t="shared" si="14"/>
        <v>#N/A</v>
      </c>
      <c r="ID41" s="310"/>
      <c r="IE41" s="342">
        <v>27</v>
      </c>
      <c r="IF41" s="262" t="e">
        <f t="shared" si="15"/>
        <v>#N/A</v>
      </c>
      <c r="IG41" s="262" t="e">
        <f t="shared" si="16"/>
        <v>#N/A</v>
      </c>
      <c r="IH41" s="390"/>
      <c r="II41" s="390"/>
      <c r="IJ41" s="262" t="e">
        <f t="shared" si="17"/>
        <v>#N/A</v>
      </c>
      <c r="IK41" s="262" t="e">
        <f t="shared" si="18"/>
        <v>#N/A</v>
      </c>
      <c r="IL41" s="390"/>
      <c r="IM41" s="390"/>
      <c r="IN41" s="262" t="e">
        <f t="shared" si="19"/>
        <v>#N/A</v>
      </c>
      <c r="IO41" s="262" t="e">
        <f t="shared" si="20"/>
        <v>#N/A</v>
      </c>
      <c r="IP41" s="390"/>
      <c r="IQ41" s="390"/>
      <c r="IR41" s="262" t="e">
        <f t="shared" si="21"/>
        <v>#N/A</v>
      </c>
      <c r="IS41" s="262" t="e">
        <f t="shared" si="22"/>
        <v>#N/A</v>
      </c>
      <c r="IT41" s="390"/>
      <c r="IU41" s="390"/>
      <c r="IV41" s="262" t="e">
        <f t="shared" si="23"/>
        <v>#N/A</v>
      </c>
      <c r="IW41" s="262" t="e">
        <f t="shared" si="24"/>
        <v>#N/A</v>
      </c>
      <c r="IX41" s="310"/>
      <c r="IY41" s="310"/>
      <c r="IZ41" s="310"/>
      <c r="JA41" s="310"/>
      <c r="JB41" s="338"/>
      <c r="JC41" s="228" t="e">
        <v>#N/A</v>
      </c>
      <c r="JD41" s="228" t="e">
        <v>#N/A</v>
      </c>
      <c r="JE41" s="310"/>
      <c r="JF41" s="310"/>
      <c r="JG41" s="310"/>
      <c r="JH41" s="310"/>
      <c r="JI41" s="338"/>
      <c r="JJ41" s="264" t="e">
        <v>#N/A</v>
      </c>
      <c r="JK41" s="264" t="e">
        <v>#N/A</v>
      </c>
      <c r="JL41" s="310"/>
      <c r="JM41" s="310"/>
      <c r="JN41" s="261" t="e">
        <f t="shared" si="25"/>
        <v>#N/A</v>
      </c>
      <c r="JO41" s="261" t="e">
        <f t="shared" si="26"/>
        <v>#N/A</v>
      </c>
      <c r="JP41" s="310"/>
      <c r="JQ41" s="310"/>
      <c r="JR41" s="261" t="e">
        <f t="shared" si="31"/>
        <v>#N/A</v>
      </c>
      <c r="JS41" s="261" t="e">
        <f t="shared" si="32"/>
        <v>#N/A</v>
      </c>
      <c r="JT41" s="310"/>
      <c r="JU41" s="310"/>
      <c r="JV41" s="261" t="e">
        <f t="shared" si="27"/>
        <v>#N/A</v>
      </c>
      <c r="JW41" s="261" t="e">
        <f t="shared" si="28"/>
        <v>#N/A</v>
      </c>
      <c r="JX41" s="310"/>
      <c r="JY41" s="313" t="s">
        <v>72</v>
      </c>
      <c r="JZ41" s="362" t="e">
        <f>IF(KA39=TRUE,$J$31,#N/A)</f>
        <v>#N/A</v>
      </c>
      <c r="KA41" s="363" t="e">
        <f>IF(KA39=TRUE,$H$31,#N/A)</f>
        <v>#N/A</v>
      </c>
      <c r="KB41" s="313" t="s">
        <v>149</v>
      </c>
      <c r="KC41" s="265" t="e">
        <f>JZ41+$IZ$62</f>
        <v>#N/A</v>
      </c>
      <c r="KD41" s="265" t="e">
        <f>KA41</f>
        <v>#N/A</v>
      </c>
      <c r="KE41" s="310"/>
      <c r="KF41" s="310"/>
      <c r="KG41" s="310"/>
      <c r="KH41" s="310"/>
      <c r="KI41" s="310"/>
      <c r="KJ41" s="310"/>
      <c r="KK41" s="310"/>
      <c r="KL41" s="310"/>
      <c r="KM41" s="310"/>
      <c r="KN41" s="267" t="e">
        <f>KN40</f>
        <v>#N/A</v>
      </c>
      <c r="KO41" s="267" t="e">
        <f>KO38</f>
        <v>#N/A</v>
      </c>
      <c r="KP41" s="267" t="e">
        <v>#N/A</v>
      </c>
      <c r="KQ41" s="267" t="e">
        <v>#N/A</v>
      </c>
      <c r="KR41" s="347"/>
      <c r="KS41" s="310"/>
      <c r="KT41" s="242">
        <f>KT40</f>
        <v>1.2999999999999998</v>
      </c>
      <c r="KU41" s="242">
        <f>KU38</f>
        <v>1</v>
      </c>
      <c r="KV41" s="267" t="e">
        <v>#N/A</v>
      </c>
      <c r="KW41" s="267" t="e">
        <v>#N/A</v>
      </c>
      <c r="KX41" s="389"/>
      <c r="KY41" s="310"/>
      <c r="KZ41" s="310"/>
      <c r="LA41" s="310"/>
      <c r="LB41" s="310"/>
      <c r="LC41" s="310"/>
      <c r="LD41" s="310"/>
      <c r="LE41" s="310"/>
      <c r="LF41" s="310"/>
      <c r="LG41" s="310"/>
      <c r="LH41" s="391">
        <f>ON51+LH7</f>
        <v>1.3499999999999999</v>
      </c>
      <c r="LI41" s="391">
        <f>LI40</f>
        <v>0.95</v>
      </c>
      <c r="LJ41" s="338" t="e">
        <v>#N/A</v>
      </c>
      <c r="LK41" s="338" t="e">
        <v>#N/A</v>
      </c>
      <c r="LL41" s="391"/>
      <c r="LM41" s="310"/>
      <c r="LN41" s="310"/>
      <c r="LO41" s="338">
        <f>ON52+LO7</f>
        <v>1.3499999999999999</v>
      </c>
      <c r="LP41" s="338">
        <f>LP40</f>
        <v>-0.95</v>
      </c>
      <c r="LQ41" s="338" t="e">
        <v>#N/A</v>
      </c>
      <c r="LR41" s="338" t="e">
        <v>#N/A</v>
      </c>
      <c r="LS41" s="391"/>
      <c r="LT41" s="310"/>
      <c r="LU41" s="310"/>
      <c r="LV41" s="338" t="e">
        <f>LV40</f>
        <v>#N/A</v>
      </c>
      <c r="LW41" s="338" t="e">
        <f>OO54-LV7</f>
        <v>#N/A</v>
      </c>
      <c r="LX41" s="338" t="e">
        <v>#N/A</v>
      </c>
      <c r="LY41" s="338" t="e">
        <v>#N/A</v>
      </c>
      <c r="LZ41" s="391"/>
      <c r="MA41" s="310"/>
      <c r="MB41" s="310"/>
      <c r="MC41" s="338">
        <f>MC40</f>
        <v>-1.2999999999999998</v>
      </c>
      <c r="MD41" s="338">
        <f>OO49-MC7</f>
        <v>-1</v>
      </c>
      <c r="ME41" s="338" t="e">
        <v>#N/A</v>
      </c>
      <c r="MF41" s="338" t="e">
        <v>#N/A</v>
      </c>
      <c r="MG41" s="391"/>
      <c r="MH41" s="310"/>
      <c r="MI41" s="310"/>
      <c r="MJ41" s="242" t="e">
        <v>#N/A</v>
      </c>
      <c r="MK41" s="242" t="e">
        <v>#N/A</v>
      </c>
      <c r="ML41" s="242" t="e">
        <v>#N/A</v>
      </c>
      <c r="MM41" s="242" t="e">
        <v>#N/A</v>
      </c>
      <c r="MN41" s="391"/>
      <c r="MO41" s="310"/>
      <c r="MP41" s="311" t="e">
        <v>#N/A</v>
      </c>
      <c r="MQ41" s="311" t="e">
        <v>#N/A</v>
      </c>
      <c r="MR41" s="311"/>
      <c r="MS41" s="311"/>
      <c r="MT41" s="296" t="e">
        <f>IF(MU29=TRUE,MX7+MAX(O12:O13)/2,#N/A)</f>
        <v>#N/A</v>
      </c>
      <c r="MU41" s="296" t="e">
        <f t="shared" ref="MU41:MU42" si="88">MU37</f>
        <v>#N/A</v>
      </c>
      <c r="MV41" s="310"/>
      <c r="MW41" s="280" t="e">
        <f>IF($MU$29=TRUE,$MY$17-$BT$7/2,#N/A)</f>
        <v>#N/A</v>
      </c>
      <c r="MX41" s="280" t="e">
        <f>IF($MU$29=TRUE,-0.3,#N/A)</f>
        <v>#N/A</v>
      </c>
      <c r="MY41" s="310"/>
      <c r="MZ41" s="328">
        <v>8</v>
      </c>
      <c r="NA41" s="372" t="b">
        <f t="shared" si="76"/>
        <v>0</v>
      </c>
      <c r="NB41" s="280" t="e">
        <f t="shared" si="80"/>
        <v>#N/A</v>
      </c>
      <c r="NC41" s="280" t="e">
        <f t="shared" si="81"/>
        <v>#N/A</v>
      </c>
      <c r="ND41" s="280" t="e">
        <f t="shared" si="77"/>
        <v>#N/A</v>
      </c>
      <c r="NE41" s="280" t="e">
        <f t="shared" si="78"/>
        <v>#N/A</v>
      </c>
      <c r="NF41" s="310"/>
      <c r="NG41" s="310"/>
      <c r="NH41" s="280" t="e">
        <f>NH40</f>
        <v>#N/A</v>
      </c>
      <c r="NI41" s="280" t="e">
        <f>MV49</f>
        <v>#N/A</v>
      </c>
      <c r="NJ41" s="310"/>
      <c r="NK41" s="310"/>
      <c r="NL41" s="310"/>
      <c r="NM41" s="310"/>
      <c r="NN41" s="310"/>
      <c r="NO41" s="310"/>
      <c r="NP41" s="310"/>
      <c r="NQ41" s="310"/>
      <c r="NR41" s="310"/>
      <c r="NS41" s="311"/>
      <c r="NT41" s="524" t="s">
        <v>430</v>
      </c>
      <c r="NU41" s="524"/>
      <c r="NV41" s="524" t="s">
        <v>431</v>
      </c>
      <c r="NW41" s="524"/>
      <c r="NX41" s="310"/>
      <c r="NY41" s="310"/>
      <c r="NZ41" s="310"/>
      <c r="OA41" s="313" t="s">
        <v>48</v>
      </c>
      <c r="OB41" s="313" t="s">
        <v>49</v>
      </c>
      <c r="OC41" s="313" t="s">
        <v>48</v>
      </c>
      <c r="OD41" s="313" t="s">
        <v>49</v>
      </c>
      <c r="OE41" s="312"/>
      <c r="OF41" s="312" t="s">
        <v>432</v>
      </c>
      <c r="OG41" s="312" t="s">
        <v>435</v>
      </c>
      <c r="OH41" s="310"/>
      <c r="OI41" s="310"/>
      <c r="OJ41" s="310"/>
      <c r="OK41" s="310"/>
      <c r="OL41" s="310"/>
      <c r="OM41" s="228" t="e">
        <f>IF(ON21=TRUE,ON11,#N/A)</f>
        <v>#N/A</v>
      </c>
      <c r="ON41" s="228" t="e">
        <f>ON40</f>
        <v>#N/A</v>
      </c>
      <c r="OO41" s="310"/>
      <c r="OP41" s="310"/>
      <c r="OQ41" s="310"/>
      <c r="OR41" s="310"/>
      <c r="OS41" s="310"/>
      <c r="OT41" s="310"/>
      <c r="OU41" s="292" t="e">
        <v>#N/A</v>
      </c>
      <c r="OV41" s="292" t="e">
        <v>#N/A</v>
      </c>
      <c r="OW41" s="310"/>
      <c r="OX41" s="280" t="e">
        <f>OX40</f>
        <v>#N/A</v>
      </c>
      <c r="OY41" s="280" t="e">
        <f t="shared" ref="OY41:OY42" si="89">OY37</f>
        <v>#N/A</v>
      </c>
      <c r="OZ41" s="310"/>
      <c r="PA41" s="310"/>
      <c r="PB41" s="310"/>
      <c r="PC41" s="310"/>
      <c r="PD41" s="310"/>
      <c r="PE41" s="292" t="e">
        <f>IF($OV$8=TRUE,PE38,#N/A)</f>
        <v>#N/A</v>
      </c>
      <c r="PF41" s="328" t="e">
        <f>IF($OV$8=TRUE,PF39+0.2,#N/A)</f>
        <v>#N/A</v>
      </c>
      <c r="PG41" s="292" t="e">
        <f t="shared" si="84"/>
        <v>#N/A</v>
      </c>
      <c r="PH41" s="310"/>
      <c r="PI41" s="310"/>
      <c r="PJ41" s="310"/>
      <c r="PK41" s="310"/>
      <c r="PL41" s="310"/>
      <c r="PM41" s="310"/>
      <c r="PN41" s="310"/>
      <c r="PO41" s="310"/>
      <c r="PP41" s="310"/>
      <c r="PQ41" s="310"/>
      <c r="PR41" s="310"/>
      <c r="PS41" s="342">
        <v>27</v>
      </c>
      <c r="PT41" s="261" t="e">
        <f t="shared" si="29"/>
        <v>#N/A</v>
      </c>
      <c r="PU41" s="261" t="e">
        <f t="shared" si="30"/>
        <v>#N/A</v>
      </c>
      <c r="PV41" s="310"/>
      <c r="PW41" s="310"/>
      <c r="PX41" s="310"/>
      <c r="PY41" s="328" t="s">
        <v>323</v>
      </c>
      <c r="PZ41" s="366">
        <f>J27</f>
        <v>-0.65</v>
      </c>
      <c r="QA41" s="328">
        <f>AVERAGE(PO15,PO18)</f>
        <v>1.2999999999999998</v>
      </c>
      <c r="QB41" s="328">
        <f>$RA$13</f>
        <v>0.42749999999999999</v>
      </c>
      <c r="QC41" s="328" t="b">
        <f>AND(QB41&lt;PZ41,QB41&lt;QA41)</f>
        <v>0</v>
      </c>
      <c r="QD41" s="328">
        <v>0</v>
      </c>
      <c r="QE41" s="328">
        <f>QE40</f>
        <v>0.85499999999999998</v>
      </c>
      <c r="QF41" s="328">
        <f t="shared" si="86"/>
        <v>0</v>
      </c>
      <c r="QG41" s="310"/>
      <c r="QH41" s="310"/>
      <c r="QI41" s="310"/>
      <c r="QJ41" s="310"/>
      <c r="QK41" s="328" t="s">
        <v>323</v>
      </c>
      <c r="QL41" s="328" t="e">
        <v>#N/A</v>
      </c>
      <c r="QM41" s="328">
        <f>PO15</f>
        <v>1.2999999999999998</v>
      </c>
      <c r="QN41" s="328">
        <f>RA13</f>
        <v>0.42749999999999999</v>
      </c>
      <c r="QO41" s="328" t="b">
        <f>IF(QM41&gt;QN41,TRUE,FALSE)</f>
        <v>1</v>
      </c>
      <c r="QP41" s="328">
        <v>0</v>
      </c>
      <c r="QQ41" s="328">
        <f>QQ40</f>
        <v>0.85499999999999998</v>
      </c>
      <c r="QR41" s="328">
        <f t="shared" si="87"/>
        <v>0.85499999999999998</v>
      </c>
      <c r="QS41" s="310"/>
      <c r="QT41" s="310"/>
      <c r="QU41" s="310"/>
      <c r="QV41" s="310"/>
      <c r="QW41" s="310"/>
      <c r="QX41" s="310"/>
      <c r="QY41" s="310"/>
      <c r="QZ41" s="310"/>
      <c r="RA41" s="310"/>
      <c r="RB41" s="310"/>
      <c r="RC41" s="310"/>
      <c r="RD41" s="310"/>
      <c r="RE41" s="310"/>
      <c r="RF41" s="310"/>
      <c r="RG41" s="310"/>
      <c r="RH41" s="310"/>
      <c r="RI41" s="310"/>
      <c r="RJ41" s="310"/>
      <c r="RK41" s="310"/>
      <c r="RL41" s="310"/>
      <c r="RM41" s="310"/>
      <c r="RN41" s="310"/>
      <c r="RO41" s="310"/>
      <c r="RP41" s="310"/>
      <c r="RQ41" s="310"/>
      <c r="RR41" s="310"/>
      <c r="RS41" s="310"/>
      <c r="RT41" s="310"/>
      <c r="RU41" s="310"/>
      <c r="RV41" s="310"/>
      <c r="RW41" s="313" t="s">
        <v>567</v>
      </c>
      <c r="RX41" s="313" t="s">
        <v>568</v>
      </c>
      <c r="RY41" s="310"/>
      <c r="RZ41" s="310"/>
      <c r="SA41" s="310"/>
      <c r="SB41" s="310"/>
      <c r="SF41" s="513">
        <f>SF40+0.25</f>
        <v>0.9</v>
      </c>
      <c r="SG41" s="513">
        <f>SG40+0.25</f>
        <v>0.9</v>
      </c>
      <c r="SH41" s="247"/>
      <c r="SI41" s="247"/>
      <c r="SJ41" s="310"/>
      <c r="SK41" s="310"/>
      <c r="SL41" s="310"/>
      <c r="SM41" s="310"/>
      <c r="SN41" s="310"/>
      <c r="SO41" s="220"/>
      <c r="SP41" s="220"/>
      <c r="SQ41" s="220"/>
      <c r="SR41" s="220"/>
      <c r="SS41" s="220"/>
      <c r="ST41" s="220"/>
      <c r="SU41" s="220"/>
      <c r="SV41" s="220"/>
      <c r="SW41" s="220"/>
      <c r="SX41" s="220"/>
      <c r="SY41" s="220"/>
      <c r="SZ41" s="220"/>
      <c r="TA41" s="220"/>
      <c r="TB41" s="220"/>
      <c r="TC41" s="220"/>
      <c r="TD41" s="220"/>
      <c r="TE41" s="220"/>
      <c r="TF41" s="220"/>
      <c r="TG41" s="220"/>
      <c r="TH41" s="220"/>
      <c r="TI41" s="220"/>
      <c r="TJ41" s="220"/>
      <c r="TK41" s="220"/>
      <c r="TL41" s="220"/>
      <c r="TM41" s="220"/>
      <c r="TN41" s="220"/>
      <c r="TO41" s="220"/>
      <c r="TP41" s="220"/>
      <c r="TQ41" s="220"/>
      <c r="TR41" s="220"/>
      <c r="TS41" s="220"/>
      <c r="TT41" s="220"/>
      <c r="TU41" s="220"/>
      <c r="TV41" s="220"/>
      <c r="TW41" s="220"/>
      <c r="TX41" s="220"/>
      <c r="TY41" s="220"/>
      <c r="TZ41" s="220"/>
      <c r="UA41" s="220"/>
      <c r="UB41" s="220"/>
      <c r="UC41" s="220"/>
      <c r="UD41" s="220"/>
      <c r="UE41" s="220"/>
      <c r="UF41" s="220"/>
      <c r="UG41" s="220"/>
      <c r="UH41" s="220"/>
      <c r="UI41" s="220"/>
      <c r="UJ41" s="220"/>
      <c r="UK41" s="216"/>
      <c r="UL41" s="216"/>
      <c r="UM41" s="216"/>
      <c r="UN41" s="216"/>
      <c r="UO41" s="216"/>
      <c r="UP41" s="216"/>
      <c r="UQ41" s="216"/>
      <c r="UR41" s="216"/>
      <c r="US41" s="216"/>
      <c r="UT41" s="216"/>
      <c r="UU41" s="216"/>
      <c r="UV41" s="216"/>
      <c r="UW41" s="216"/>
      <c r="UX41" s="216"/>
      <c r="UY41" s="216"/>
      <c r="UZ41" s="216"/>
      <c r="VA41" s="216"/>
    </row>
    <row r="42" spans="1:573" s="4" customFormat="1" ht="18.75" customHeight="1" x14ac:dyDescent="0.3">
      <c r="A42" s="90" t="s">
        <v>418</v>
      </c>
      <c r="B42" s="91"/>
      <c r="C42" s="92" t="str">
        <f>IF(HG51&gt;=BT7,HD45,HD46)</f>
        <v>≥  1D</v>
      </c>
      <c r="D42" s="662">
        <f>IF(CP13=TRUE,IF(BE7=TRUE,IF(BI100&lt;&gt;"",HG51,""),""),"")</f>
        <v>0.29999999999999982</v>
      </c>
      <c r="E42" s="663"/>
      <c r="F42" s="93" t="str">
        <f>IF(CP13=TRUE,IF(D42&gt;=IF(BL7=TRUE,0.5*BT7,$BT$7),BT11,BT12),"")</f>
        <v>ü</v>
      </c>
      <c r="G42" s="96" t="s">
        <v>120</v>
      </c>
      <c r="L42" s="97"/>
      <c r="M42" s="98"/>
      <c r="N42" s="98"/>
      <c r="O42" s="99"/>
      <c r="P42" s="88"/>
      <c r="Q42" s="95" t="str">
        <f>IF(FM46=TRUE,"       "&amp;FO46&amp;" [Active]","       "&amp;FO46&amp;" [Lock]")</f>
        <v xml:space="preserve">       CURSOR : C2 [Lock]</v>
      </c>
      <c r="R42" s="13"/>
      <c r="S42" s="100" t="s">
        <v>349</v>
      </c>
      <c r="T42" s="210">
        <v>0.05</v>
      </c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5"/>
      <c r="AM42" s="45"/>
      <c r="AN42" s="45"/>
      <c r="AO42" s="45"/>
      <c r="AP42" s="310"/>
      <c r="AQ42" s="338" t="b">
        <v>0</v>
      </c>
      <c r="AR42" s="338" t="s">
        <v>261</v>
      </c>
      <c r="AS42" s="338" t="b">
        <f>AND($BL$7=TRUE,AQ42=TRUE)</f>
        <v>0</v>
      </c>
      <c r="AT42" s="338" t="b">
        <f>AND($BL$8=TRUE,AQ42=TRUE)</f>
        <v>0</v>
      </c>
      <c r="AU42" s="338" t="b">
        <f>AND($BL$9=TRUE,AQ42=TRUE)</f>
        <v>0</v>
      </c>
      <c r="AV42" s="338" t="b">
        <f>AND($BL$10=TRUE,AQ42=TRUE)</f>
        <v>0</v>
      </c>
      <c r="AW42" s="338"/>
      <c r="AX42" s="338" t="str">
        <f>IF(AQ41=TRUE,", LEFT +"&amp;TRUNC(C43,2)&amp;"m","")</f>
        <v/>
      </c>
      <c r="AY42" s="338"/>
      <c r="AZ42" s="338"/>
      <c r="BA42" s="310"/>
      <c r="BB42" s="310"/>
      <c r="BC42" s="310" t="s">
        <v>271</v>
      </c>
      <c r="BD42" s="310" t="s">
        <v>136</v>
      </c>
      <c r="BE42" s="310"/>
      <c r="BF42" s="310"/>
      <c r="BG42" s="310" t="s">
        <v>295</v>
      </c>
      <c r="BH42" s="310"/>
      <c r="BI42" s="310" t="s">
        <v>199</v>
      </c>
      <c r="BJ42" s="310"/>
      <c r="BK42" s="310"/>
      <c r="BL42" s="310"/>
      <c r="BM42" s="310" t="s">
        <v>296</v>
      </c>
      <c r="BN42" s="310"/>
      <c r="BO42" s="310"/>
      <c r="BP42" s="310"/>
      <c r="BQ42" s="310"/>
      <c r="BR42" s="310"/>
      <c r="BS42" s="310"/>
      <c r="BT42" s="310"/>
      <c r="BU42" s="310"/>
      <c r="BV42" s="310"/>
      <c r="BW42" s="310"/>
      <c r="BX42" s="400"/>
      <c r="BY42" s="310"/>
      <c r="BZ42" s="310"/>
      <c r="CA42" s="310"/>
      <c r="CB42" s="310"/>
      <c r="CC42" s="310"/>
      <c r="CD42" s="310"/>
      <c r="CE42" s="310"/>
      <c r="CF42" s="310"/>
      <c r="CG42" s="310"/>
      <c r="CH42" s="310"/>
      <c r="CI42" s="310"/>
      <c r="CJ42" s="242" t="e">
        <v>#N/A</v>
      </c>
      <c r="CK42" s="242" t="e">
        <v>#N/A</v>
      </c>
      <c r="CL42" s="310"/>
      <c r="CM42" s="310"/>
      <c r="CN42" s="338" t="e">
        <f>CN37-CO36/1.75</f>
        <v>#N/A</v>
      </c>
      <c r="CO42" s="338" t="e">
        <f>CO37</f>
        <v>#N/A</v>
      </c>
      <c r="CP42" s="338" t="e">
        <f>CN60+(CN61-CN60)/2</f>
        <v>#N/A</v>
      </c>
      <c r="CQ42" s="338" t="e">
        <f>CO60</f>
        <v>#N/A</v>
      </c>
      <c r="CR42" s="339" t="e">
        <f>CN61-CN60</f>
        <v>#N/A</v>
      </c>
      <c r="CS42" s="310"/>
      <c r="CT42" s="336" t="e">
        <f>CT37</f>
        <v>#N/A</v>
      </c>
      <c r="CU42" s="338" t="e">
        <f>CU37+CU36/1.75</f>
        <v>#N/A</v>
      </c>
      <c r="CV42" s="328" t="e">
        <f>CT60</f>
        <v>#N/A</v>
      </c>
      <c r="CW42" s="328" t="e">
        <f>IF(CU34=TRUE,BY22,#N/A)</f>
        <v>#N/A</v>
      </c>
      <c r="CX42" s="373" t="e">
        <f>CU61-CU60</f>
        <v>#N/A</v>
      </c>
      <c r="CY42" s="310"/>
      <c r="CZ42" s="310"/>
      <c r="DA42" s="310"/>
      <c r="DB42" s="310"/>
      <c r="DC42" s="280" t="e">
        <f>IF(DD39=TRUE,-BT7/2+DA12,#N/A)</f>
        <v>#N/A</v>
      </c>
      <c r="DD42" s="280" t="e">
        <f>DD41</f>
        <v>#N/A</v>
      </c>
      <c r="DE42" s="310"/>
      <c r="DF42" s="280" t="e">
        <f>IF(DD39=TRUE,DC46+0.009,#N/A)</f>
        <v>#N/A</v>
      </c>
      <c r="DG42" s="280" t="b">
        <f>DG41</f>
        <v>0</v>
      </c>
      <c r="DH42" s="338" t="b">
        <f>DH41</f>
        <v>0</v>
      </c>
      <c r="DI42" s="310"/>
      <c r="DJ42" s="310"/>
      <c r="DK42" s="313">
        <v>34</v>
      </c>
      <c r="DL42" s="282" t="e">
        <f t="shared" si="3"/>
        <v>#N/A</v>
      </c>
      <c r="DM42" s="291" t="e">
        <f t="shared" si="4"/>
        <v>#N/A</v>
      </c>
      <c r="DN42" s="310"/>
      <c r="DO42" s="310"/>
      <c r="DP42" s="310"/>
      <c r="DQ42" s="310"/>
      <c r="DR42" s="310"/>
      <c r="DS42" s="310"/>
      <c r="DT42" s="310"/>
      <c r="DU42" s="310"/>
      <c r="DV42" s="310"/>
      <c r="DW42" s="310"/>
      <c r="DX42" s="310"/>
      <c r="DY42" s="310"/>
      <c r="DZ42" s="310"/>
      <c r="EA42" s="310"/>
      <c r="EB42" s="310"/>
      <c r="EC42" s="310"/>
      <c r="ED42" s="310"/>
      <c r="EE42" s="310"/>
      <c r="EF42" s="310"/>
      <c r="EG42" s="310"/>
      <c r="EH42" s="310"/>
      <c r="EI42" s="310"/>
      <c r="EJ42" s="310"/>
      <c r="EK42" s="310"/>
      <c r="EL42" s="310"/>
      <c r="EM42" s="310"/>
      <c r="EN42" s="310"/>
      <c r="EO42" s="310"/>
      <c r="EP42" s="310"/>
      <c r="EQ42" s="310"/>
      <c r="ER42" s="310"/>
      <c r="ES42" s="310"/>
      <c r="ET42" s="310"/>
      <c r="EU42" s="310"/>
      <c r="EV42" s="310"/>
      <c r="EW42" s="310"/>
      <c r="EX42" s="310"/>
      <c r="EY42" s="310"/>
      <c r="EZ42" s="310"/>
      <c r="FA42" s="310"/>
      <c r="FB42" s="310"/>
      <c r="FC42" s="338" t="s">
        <v>329</v>
      </c>
      <c r="FD42" s="338" t="e">
        <f>MIN(FD24:FD25,FD27:FD28,FD30:FD31,FD33:FD34,FD36:FD37,FD39:FD40)</f>
        <v>#N/A</v>
      </c>
      <c r="FE42" s="338" t="e">
        <f>MIN(FE24:FE25,FE27:FE28,FE30:FE31,FE33:FE34,FE36:FE37,FE39:FE40)</f>
        <v>#N/A</v>
      </c>
      <c r="FF42" s="310"/>
      <c r="FG42" s="310"/>
      <c r="FH42" s="310"/>
      <c r="FI42" s="310"/>
      <c r="FJ42" s="310"/>
      <c r="FK42" s="310"/>
      <c r="FL42" s="311"/>
      <c r="FM42" s="311"/>
      <c r="FN42" s="311"/>
      <c r="FO42" s="311"/>
      <c r="FP42" s="311"/>
      <c r="FQ42" s="311"/>
      <c r="FR42" s="311"/>
      <c r="FS42" s="311"/>
      <c r="FT42" s="311"/>
      <c r="FU42" s="311"/>
      <c r="FV42" s="311"/>
      <c r="FW42" s="311"/>
      <c r="FX42" s="311"/>
      <c r="FY42" s="311"/>
      <c r="FZ42" s="310"/>
      <c r="GA42" s="310"/>
      <c r="GB42" s="310"/>
      <c r="GC42" s="310"/>
      <c r="GD42" s="310"/>
      <c r="GE42" s="310"/>
      <c r="GF42" s="310"/>
      <c r="GG42" s="310"/>
      <c r="GH42" s="310"/>
      <c r="GI42" s="310"/>
      <c r="GJ42" s="310"/>
      <c r="GK42" s="310"/>
      <c r="GL42" s="310"/>
      <c r="GM42" s="310"/>
      <c r="GN42" s="310"/>
      <c r="GO42" s="310"/>
      <c r="GP42" s="310"/>
      <c r="GQ42" s="310"/>
      <c r="GR42" s="310"/>
      <c r="GS42" s="310"/>
      <c r="GT42" s="310"/>
      <c r="GU42" s="310"/>
      <c r="GV42" s="310"/>
      <c r="GW42" s="310"/>
      <c r="GX42" s="310"/>
      <c r="GY42" s="310"/>
      <c r="GZ42" s="310"/>
      <c r="HA42" s="310"/>
      <c r="HB42" s="310"/>
      <c r="HC42" s="310"/>
      <c r="HD42" s="310"/>
      <c r="HE42" s="310"/>
      <c r="HF42" s="310"/>
      <c r="HG42" s="310"/>
      <c r="HH42" s="310"/>
      <c r="HI42" s="310"/>
      <c r="HJ42" s="310"/>
      <c r="HK42" s="342">
        <v>28</v>
      </c>
      <c r="HL42" s="235" t="e">
        <f t="shared" si="5"/>
        <v>#N/A</v>
      </c>
      <c r="HM42" s="235" t="e">
        <f t="shared" si="6"/>
        <v>#N/A</v>
      </c>
      <c r="HN42" s="310"/>
      <c r="HO42" s="310"/>
      <c r="HP42" s="235" t="e">
        <f t="shared" si="7"/>
        <v>#N/A</v>
      </c>
      <c r="HQ42" s="235" t="e">
        <f t="shared" si="8"/>
        <v>#N/A</v>
      </c>
      <c r="HR42" s="310"/>
      <c r="HS42" s="310"/>
      <c r="HT42" s="235" t="e">
        <f t="shared" si="9"/>
        <v>#N/A</v>
      </c>
      <c r="HU42" s="235" t="e">
        <f t="shared" si="10"/>
        <v>#N/A</v>
      </c>
      <c r="HV42" s="310"/>
      <c r="HW42" s="310"/>
      <c r="HX42" s="235" t="e">
        <f t="shared" si="11"/>
        <v>#N/A</v>
      </c>
      <c r="HY42" s="235" t="e">
        <f t="shared" si="12"/>
        <v>#N/A</v>
      </c>
      <c r="HZ42" s="310"/>
      <c r="IA42" s="310"/>
      <c r="IB42" s="235" t="e">
        <f t="shared" si="13"/>
        <v>#N/A</v>
      </c>
      <c r="IC42" s="235" t="e">
        <f t="shared" si="14"/>
        <v>#N/A</v>
      </c>
      <c r="ID42" s="310"/>
      <c r="IE42" s="342">
        <v>28</v>
      </c>
      <c r="IF42" s="262" t="e">
        <f t="shared" si="15"/>
        <v>#N/A</v>
      </c>
      <c r="IG42" s="262" t="e">
        <f t="shared" si="16"/>
        <v>#N/A</v>
      </c>
      <c r="IH42" s="390"/>
      <c r="II42" s="390"/>
      <c r="IJ42" s="262" t="e">
        <f t="shared" si="17"/>
        <v>#N/A</v>
      </c>
      <c r="IK42" s="262" t="e">
        <f t="shared" si="18"/>
        <v>#N/A</v>
      </c>
      <c r="IL42" s="390"/>
      <c r="IM42" s="390"/>
      <c r="IN42" s="262" t="e">
        <f t="shared" si="19"/>
        <v>#N/A</v>
      </c>
      <c r="IO42" s="262" t="e">
        <f t="shared" si="20"/>
        <v>#N/A</v>
      </c>
      <c r="IP42" s="390"/>
      <c r="IQ42" s="390"/>
      <c r="IR42" s="262" t="e">
        <f t="shared" si="21"/>
        <v>#N/A</v>
      </c>
      <c r="IS42" s="262" t="e">
        <f t="shared" si="22"/>
        <v>#N/A</v>
      </c>
      <c r="IT42" s="390"/>
      <c r="IU42" s="390"/>
      <c r="IV42" s="262" t="e">
        <f t="shared" si="23"/>
        <v>#N/A</v>
      </c>
      <c r="IW42" s="262" t="e">
        <f t="shared" si="24"/>
        <v>#N/A</v>
      </c>
      <c r="IX42" s="310"/>
      <c r="IY42" s="342" t="s">
        <v>353</v>
      </c>
      <c r="IZ42" s="313" t="s">
        <v>376</v>
      </c>
      <c r="JA42" s="343" t="b">
        <f>AND($GY$6&gt;=$GX$14,$GY$6&lt;=$GX$20,$BM$10=TRUE)</f>
        <v>0</v>
      </c>
      <c r="JB42" s="313" t="s">
        <v>106</v>
      </c>
      <c r="JC42" s="236" t="e">
        <f>IZ44-($IZ$10/2)+$IZ$9</f>
        <v>#N/A</v>
      </c>
      <c r="JD42" s="236" t="e">
        <f>JA44+$IZ$10/2</f>
        <v>#N/A</v>
      </c>
      <c r="JE42" s="310"/>
      <c r="JF42" s="342" t="s">
        <v>353</v>
      </c>
      <c r="JG42" s="313" t="s">
        <v>376</v>
      </c>
      <c r="JH42" s="343" t="b">
        <f>IF(CP13=TRUE,AND($GY$6&gt;=$GX$14,$GY$6&lt;=$GX$20,$BM$10=TRUE,$BE$7=TRUE,CU11=TRUE),FALSE)</f>
        <v>0</v>
      </c>
      <c r="JI42" s="313" t="s">
        <v>106</v>
      </c>
      <c r="JJ42" s="263" t="e">
        <f>JG44-($IZ$10/2)+$IZ$9</f>
        <v>#N/A</v>
      </c>
      <c r="JK42" s="263" t="e">
        <f>JH44+$IZ$10/2</f>
        <v>#N/A</v>
      </c>
      <c r="JL42" s="310"/>
      <c r="JM42" s="310"/>
      <c r="JN42" s="261" t="e">
        <f t="shared" si="25"/>
        <v>#N/A</v>
      </c>
      <c r="JO42" s="261" t="e">
        <f t="shared" si="26"/>
        <v>#N/A</v>
      </c>
      <c r="JP42" s="310"/>
      <c r="JQ42" s="310"/>
      <c r="JR42" s="261" t="e">
        <f t="shared" si="31"/>
        <v>#N/A</v>
      </c>
      <c r="JS42" s="261" t="e">
        <f t="shared" si="32"/>
        <v>#N/A</v>
      </c>
      <c r="JT42" s="310"/>
      <c r="JU42" s="310"/>
      <c r="JV42" s="261" t="e">
        <f t="shared" si="27"/>
        <v>#N/A</v>
      </c>
      <c r="JW42" s="261" t="e">
        <f t="shared" si="28"/>
        <v>#N/A</v>
      </c>
      <c r="JX42" s="310"/>
      <c r="JY42" s="310"/>
      <c r="JZ42" s="310"/>
      <c r="KA42" s="310"/>
      <c r="KB42" s="313" t="s">
        <v>152</v>
      </c>
      <c r="KC42" s="242" t="e">
        <f>KC40</f>
        <v>#N/A</v>
      </c>
      <c r="KD42" s="242" t="e">
        <f>KA41-$IZ$61/2</f>
        <v>#N/A</v>
      </c>
      <c r="KE42" s="310"/>
      <c r="KF42" s="310"/>
      <c r="KG42" s="310"/>
      <c r="KH42" s="310"/>
      <c r="KI42" s="310"/>
      <c r="KJ42" s="310"/>
      <c r="KK42" s="310"/>
      <c r="KL42" s="310"/>
      <c r="KM42" s="310"/>
      <c r="KN42" s="267" t="e">
        <v>#N/A</v>
      </c>
      <c r="KO42" s="267" t="e">
        <v>#N/A</v>
      </c>
      <c r="KP42" s="267" t="e">
        <f>KN50</f>
        <v>#N/A</v>
      </c>
      <c r="KQ42" s="267" t="e">
        <f>KO50+(KO51-KO50)/2</f>
        <v>#N/A</v>
      </c>
      <c r="KR42" s="347" t="e">
        <f>KO51-KO50</f>
        <v>#N/A</v>
      </c>
      <c r="KS42" s="310"/>
      <c r="KT42" s="267" t="e">
        <v>#N/A</v>
      </c>
      <c r="KU42" s="267" t="e">
        <v>#N/A</v>
      </c>
      <c r="KV42" s="242">
        <f>KT50</f>
        <v>-1.9</v>
      </c>
      <c r="KW42" s="242">
        <f>KU50-(KU50-KU51)/2</f>
        <v>0</v>
      </c>
      <c r="KX42" s="389">
        <f>KU50-KU51</f>
        <v>1.9</v>
      </c>
      <c r="KY42" s="310"/>
      <c r="KZ42" s="310"/>
      <c r="LA42" s="310"/>
      <c r="LB42" s="310"/>
      <c r="LC42" s="310"/>
      <c r="LD42" s="310"/>
      <c r="LE42" s="310"/>
      <c r="LF42" s="310"/>
      <c r="LG42" s="310"/>
      <c r="LH42" s="347" t="e">
        <v>#N/A</v>
      </c>
      <c r="LI42" s="347" t="e">
        <v>#N/A</v>
      </c>
      <c r="LJ42" s="338" t="e">
        <v>#N/A</v>
      </c>
      <c r="LK42" s="338" t="e">
        <v>#N/A</v>
      </c>
      <c r="LL42" s="391"/>
      <c r="LM42" s="310"/>
      <c r="LN42" s="310"/>
      <c r="LO42" s="347" t="e">
        <v>#N/A</v>
      </c>
      <c r="LP42" s="347" t="e">
        <v>#N/A</v>
      </c>
      <c r="LQ42" s="338" t="e">
        <v>#N/A</v>
      </c>
      <c r="LR42" s="338" t="e">
        <v>#N/A</v>
      </c>
      <c r="LS42" s="391"/>
      <c r="LT42" s="310"/>
      <c r="LU42" s="310"/>
      <c r="LV42" s="347" t="e">
        <v>#N/A</v>
      </c>
      <c r="LW42" s="347" t="e">
        <v>#N/A</v>
      </c>
      <c r="LX42" s="338" t="e">
        <v>#N/A</v>
      </c>
      <c r="LY42" s="338" t="e">
        <v>#N/A</v>
      </c>
      <c r="LZ42" s="391"/>
      <c r="MA42" s="310"/>
      <c r="MB42" s="310"/>
      <c r="MC42" s="347" t="e">
        <v>#N/A</v>
      </c>
      <c r="MD42" s="347" t="e">
        <v>#N/A</v>
      </c>
      <c r="ME42" s="338" t="e">
        <v>#N/A</v>
      </c>
      <c r="MF42" s="338" t="e">
        <v>#N/A</v>
      </c>
      <c r="MG42" s="391"/>
      <c r="MH42" s="310"/>
      <c r="MI42" s="310"/>
      <c r="MJ42" s="242" t="e">
        <v>#N/A</v>
      </c>
      <c r="MK42" s="242" t="e">
        <v>#N/A</v>
      </c>
      <c r="ML42" s="242" t="e">
        <v>#N/A</v>
      </c>
      <c r="MM42" s="242" t="e">
        <v>#N/A</v>
      </c>
      <c r="MN42" s="391"/>
      <c r="MO42" s="310"/>
      <c r="MP42" s="311" t="e">
        <v>#N/A</v>
      </c>
      <c r="MQ42" s="311" t="e">
        <v>#N/A</v>
      </c>
      <c r="MR42" s="311"/>
      <c r="MS42" s="311"/>
      <c r="MT42" s="296" t="e">
        <f>MT41</f>
        <v>#N/A</v>
      </c>
      <c r="MU42" s="296" t="e">
        <f t="shared" si="88"/>
        <v>#N/A</v>
      </c>
      <c r="MV42" s="310"/>
      <c r="MW42" s="280" t="e">
        <f>MW41</f>
        <v>#N/A</v>
      </c>
      <c r="MX42" s="280" t="e">
        <f>IF($MU$29=TRUE,$G$52/100,#N/A)</f>
        <v>#N/A</v>
      </c>
      <c r="MY42" s="310"/>
      <c r="MZ42" s="328">
        <v>9</v>
      </c>
      <c r="NA42" s="372" t="b">
        <f t="shared" si="76"/>
        <v>0</v>
      </c>
      <c r="NB42" s="280" t="e">
        <f t="shared" si="80"/>
        <v>#N/A</v>
      </c>
      <c r="NC42" s="280" t="e">
        <f t="shared" si="81"/>
        <v>#N/A</v>
      </c>
      <c r="ND42" s="280" t="e">
        <f t="shared" si="77"/>
        <v>#N/A</v>
      </c>
      <c r="NE42" s="280" t="e">
        <f t="shared" si="78"/>
        <v>#N/A</v>
      </c>
      <c r="NF42" s="310"/>
      <c r="NG42" s="310"/>
      <c r="NH42" s="280" t="e">
        <f>MU50</f>
        <v>#N/A</v>
      </c>
      <c r="NI42" s="280" t="e">
        <f>NI41</f>
        <v>#N/A</v>
      </c>
      <c r="NJ42" s="310"/>
      <c r="NK42" s="310"/>
      <c r="NL42" s="310"/>
      <c r="NM42" s="310"/>
      <c r="NN42" s="310"/>
      <c r="NO42" s="310"/>
      <c r="NP42" s="310"/>
      <c r="NQ42" s="310"/>
      <c r="NR42" s="528" t="b">
        <f>IF(CP13=TRUE,AND(NS35=TRUE,AX14=1),FALSE)</f>
        <v>0</v>
      </c>
      <c r="NS42" s="318" t="s">
        <v>322</v>
      </c>
      <c r="NT42" s="338" t="e">
        <f>IF(NS35=TRUE,NP12,#N/A)</f>
        <v>#N/A</v>
      </c>
      <c r="NU42" s="338" t="e">
        <f>IF(NS35=TRUE,NO12,#N/A)</f>
        <v>#N/A</v>
      </c>
      <c r="NV42" s="338" t="e">
        <f>IF(NR42=TRUE,J26,#N/A)</f>
        <v>#N/A</v>
      </c>
      <c r="NW42" s="338" t="e">
        <f>IF(NY42=TRUE,H26,H27)</f>
        <v>#N/A</v>
      </c>
      <c r="NX42" s="334" t="e">
        <f>ABS(ABS(NT42)-ABS(NV42))</f>
        <v>#N/A</v>
      </c>
      <c r="NY42" s="318" t="e">
        <f>IF(NX42=MAX($NX$42:$NX$43),TRUE,FALSE)</f>
        <v>#N/A</v>
      </c>
      <c r="NZ42" s="338" t="s">
        <v>434</v>
      </c>
      <c r="OA42" s="524" t="e">
        <f>IF(NY42=TRUE,NT42,NT43)</f>
        <v>#N/A</v>
      </c>
      <c r="OB42" s="524" t="e">
        <f>IF(NY42=TRUE,NU42,NU43)</f>
        <v>#N/A</v>
      </c>
      <c r="OC42" s="524" t="e">
        <f>IF(NY42=TRUE,NV42,NV43)</f>
        <v>#N/A</v>
      </c>
      <c r="OD42" s="524" t="e">
        <f>IF(NY42=TRUE,NW42,NW43)</f>
        <v>#N/A</v>
      </c>
      <c r="OE42" s="524" t="e">
        <f>INDEX(NO28:NO29,MATCH((OC42+OD42),NP28:NP29,0))</f>
        <v>#N/A</v>
      </c>
      <c r="OF42" s="524" t="e">
        <f>INDEX(M44:M45,MATCH(OE42,_xlfn.ANCHORARRAY(G44),0))</f>
        <v>#N/A</v>
      </c>
      <c r="OG42" s="526" t="e">
        <f>(OF42*NZ43)*1000</f>
        <v>#N/A</v>
      </c>
      <c r="OH42" s="310"/>
      <c r="OI42" s="310"/>
      <c r="OJ42" s="310"/>
      <c r="OK42" s="310"/>
      <c r="OL42" s="310"/>
      <c r="OM42" s="228" t="e">
        <v>#N/A</v>
      </c>
      <c r="ON42" s="228" t="e">
        <v>#N/A</v>
      </c>
      <c r="OO42" s="310"/>
      <c r="OP42" s="310"/>
      <c r="OQ42" s="310"/>
      <c r="OR42" s="310"/>
      <c r="OS42" s="310"/>
      <c r="OT42" s="310" t="s">
        <v>179</v>
      </c>
      <c r="OU42" s="280" t="e">
        <f>IF(OT10=TRUE,OU34+(OU35-OU34)/2,#N/A)</f>
        <v>#N/A</v>
      </c>
      <c r="OV42" s="280" t="e">
        <f>OV34</f>
        <v>#N/A</v>
      </c>
      <c r="OW42" s="310"/>
      <c r="OX42" s="280" t="e">
        <f>IF(OV8=TRUE,OU21-F50/100,#N/A)</f>
        <v>#N/A</v>
      </c>
      <c r="OY42" s="280" t="e">
        <f t="shared" si="89"/>
        <v>#N/A</v>
      </c>
      <c r="OZ42" s="310"/>
      <c r="PA42" s="310"/>
      <c r="PB42" s="310"/>
      <c r="PC42" s="310"/>
      <c r="PD42" s="310"/>
      <c r="PE42" s="292" t="e">
        <f>IF($OV$8=TRUE,PE39,#N/A)</f>
        <v>#N/A</v>
      </c>
      <c r="PF42" s="328" t="e">
        <f>PF41</f>
        <v>#N/A</v>
      </c>
      <c r="PG42" s="292" t="e">
        <f t="shared" si="84"/>
        <v>#N/A</v>
      </c>
      <c r="PH42" s="310"/>
      <c r="PI42" s="310"/>
      <c r="PJ42" s="310"/>
      <c r="PK42" s="310"/>
      <c r="PL42" s="310"/>
      <c r="PM42" s="310"/>
      <c r="PN42" s="310"/>
      <c r="PO42" s="310"/>
      <c r="PP42" s="310"/>
      <c r="PQ42" s="310"/>
      <c r="PR42" s="310"/>
      <c r="PS42" s="342">
        <v>28</v>
      </c>
      <c r="PT42" s="261" t="e">
        <f t="shared" si="29"/>
        <v>#N/A</v>
      </c>
      <c r="PU42" s="261" t="e">
        <f t="shared" si="30"/>
        <v>#N/A</v>
      </c>
      <c r="PV42" s="310"/>
      <c r="PW42" s="310"/>
      <c r="PX42" s="310"/>
      <c r="PY42" s="329"/>
      <c r="PZ42" s="329"/>
      <c r="QA42" s="329"/>
      <c r="QB42" s="329"/>
      <c r="QC42" s="329"/>
      <c r="QD42" s="329"/>
      <c r="QE42" s="328" t="s">
        <v>513</v>
      </c>
      <c r="QF42" s="328">
        <f>SUM(QF38:QF41)</f>
        <v>2.5649999999999999</v>
      </c>
      <c r="QG42" s="310"/>
      <c r="QH42" s="310"/>
      <c r="QI42" s="310"/>
      <c r="QJ42" s="310"/>
      <c r="QK42" s="310"/>
      <c r="QL42" s="310"/>
      <c r="QM42" s="310"/>
      <c r="QN42" s="310"/>
      <c r="QO42" s="310"/>
      <c r="QP42" s="310"/>
      <c r="QQ42" s="328" t="s">
        <v>512</v>
      </c>
      <c r="QR42" s="328">
        <f>SUM(QR38:QR41)</f>
        <v>3.42</v>
      </c>
      <c r="QS42" s="310"/>
      <c r="QT42" s="310"/>
      <c r="QU42" s="310"/>
      <c r="QV42" s="310"/>
      <c r="QW42" s="310"/>
      <c r="QX42" s="310"/>
      <c r="QY42" s="310"/>
      <c r="QZ42" s="310"/>
      <c r="RA42" s="310"/>
      <c r="RB42" s="310"/>
      <c r="RC42" s="310"/>
      <c r="RD42" s="310"/>
      <c r="RE42" s="310"/>
      <c r="RF42" s="310"/>
      <c r="RG42" s="310"/>
      <c r="RH42" s="310"/>
      <c r="RI42" s="310"/>
      <c r="RJ42" s="310"/>
      <c r="RK42" s="310"/>
      <c r="RL42" s="310"/>
      <c r="RM42" s="310"/>
      <c r="RN42" s="310"/>
      <c r="RO42" s="310"/>
      <c r="RP42" s="310"/>
      <c r="RQ42" s="310"/>
      <c r="RR42" s="310"/>
      <c r="RS42" s="310"/>
      <c r="RT42" s="310"/>
      <c r="RU42" s="310"/>
      <c r="RV42" s="310"/>
      <c r="RW42" s="313" t="s">
        <v>569</v>
      </c>
      <c r="RX42" s="313" t="s">
        <v>570</v>
      </c>
      <c r="RY42" s="310"/>
      <c r="RZ42" s="310"/>
      <c r="SA42" s="310"/>
      <c r="SB42" s="310"/>
      <c r="SF42" s="513">
        <f>SF41+0.25</f>
        <v>1.1499999999999999</v>
      </c>
      <c r="SG42" s="513">
        <f>SG41</f>
        <v>0.9</v>
      </c>
      <c r="SH42" s="247">
        <f>SF42-0.1</f>
        <v>1.0499999999999998</v>
      </c>
      <c r="SI42" s="247">
        <f t="shared" ref="SI42" si="90">SG42</f>
        <v>0.9</v>
      </c>
      <c r="SJ42" s="310" t="b">
        <v>0</v>
      </c>
      <c r="SK42" s="310"/>
      <c r="SL42" s="310"/>
      <c r="SM42" s="310"/>
      <c r="SN42" s="310"/>
      <c r="SO42" s="220"/>
      <c r="SP42" s="220"/>
      <c r="SQ42" s="220"/>
      <c r="SR42" s="220"/>
      <c r="SS42" s="220"/>
      <c r="ST42" s="220"/>
      <c r="SU42" s="220"/>
      <c r="SV42" s="220"/>
      <c r="SW42" s="220"/>
      <c r="SX42" s="220"/>
      <c r="SY42" s="220"/>
      <c r="SZ42" s="220"/>
      <c r="TA42" s="220"/>
      <c r="TB42" s="220"/>
      <c r="TC42" s="220"/>
      <c r="TD42" s="220"/>
      <c r="TE42" s="220"/>
      <c r="TF42" s="220"/>
      <c r="TG42" s="220"/>
      <c r="TH42" s="220"/>
      <c r="TI42" s="220"/>
      <c r="TJ42" s="220"/>
      <c r="TK42" s="220"/>
      <c r="TL42" s="220"/>
      <c r="TM42" s="220"/>
      <c r="TN42" s="220"/>
      <c r="TO42" s="220"/>
      <c r="TP42" s="220"/>
      <c r="TQ42" s="220"/>
      <c r="TR42" s="220"/>
      <c r="TS42" s="220"/>
      <c r="TT42" s="220"/>
      <c r="TU42" s="220"/>
      <c r="TV42" s="220"/>
      <c r="TW42" s="220"/>
      <c r="TX42" s="220"/>
      <c r="TY42" s="220"/>
      <c r="TZ42" s="220"/>
      <c r="UA42" s="220"/>
      <c r="UB42" s="220"/>
      <c r="UC42" s="220"/>
      <c r="UD42" s="220"/>
      <c r="UE42" s="220"/>
      <c r="UF42" s="220"/>
      <c r="UG42" s="220"/>
      <c r="UH42" s="220"/>
      <c r="UI42" s="220"/>
      <c r="UJ42" s="220"/>
      <c r="UK42" s="216"/>
      <c r="UL42" s="216"/>
      <c r="UM42" s="216"/>
      <c r="UN42" s="216"/>
      <c r="UO42" s="216"/>
      <c r="UP42" s="216"/>
      <c r="UQ42" s="216"/>
      <c r="UR42" s="216"/>
      <c r="US42" s="216"/>
      <c r="UT42" s="216"/>
      <c r="UU42" s="216"/>
      <c r="UV42" s="216"/>
      <c r="UW42" s="216"/>
      <c r="UX42" s="216"/>
      <c r="UY42" s="216"/>
      <c r="UZ42" s="216"/>
      <c r="VA42" s="216"/>
    </row>
    <row r="43" spans="1:573" s="4" customFormat="1" ht="18.75" customHeight="1" x14ac:dyDescent="0.3">
      <c r="A43" s="101" t="s">
        <v>419</v>
      </c>
      <c r="B43" s="102"/>
      <c r="C43" s="103" t="str">
        <f>IF(HG54&gt;=BT7,HD45,HD46)</f>
        <v>≥  1D</v>
      </c>
      <c r="D43" s="664">
        <f>IF(CP13=TRUE,IF(BE7=TRUE,IF(BI101&lt;&gt;"",HG54,""),""),"")</f>
        <v>0.29999999999999982</v>
      </c>
      <c r="E43" s="665"/>
      <c r="F43" s="104" t="str">
        <f>IF(CP13=TRUE,IF(D43&gt;=IF(BL7=TRUE,0.5*BT7,$BT$7),BT11,BT12),"")</f>
        <v>ü</v>
      </c>
      <c r="G43" s="105" t="s">
        <v>121</v>
      </c>
      <c r="H43" s="105" t="s">
        <v>122</v>
      </c>
      <c r="I43" s="105" t="s">
        <v>123</v>
      </c>
      <c r="J43" s="672" t="s">
        <v>124</v>
      </c>
      <c r="K43" s="673"/>
      <c r="L43" s="105" t="s">
        <v>125</v>
      </c>
      <c r="M43" s="666" t="s">
        <v>126</v>
      </c>
      <c r="N43" s="667"/>
      <c r="O43" s="106" t="s">
        <v>113</v>
      </c>
      <c r="P43" s="88"/>
      <c r="Q43" s="95" t="str">
        <f>IF(FM49=TRUE,"       "&amp;FO49&amp;" [Active]","       "&amp;FO49&amp;" [Lock]")</f>
        <v xml:space="preserve">       CURSOR : C3 [Active]</v>
      </c>
      <c r="R43" s="13"/>
      <c r="S43" s="100" t="s">
        <v>350</v>
      </c>
      <c r="T43" s="210">
        <v>0.05</v>
      </c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5"/>
      <c r="AM43" s="45"/>
      <c r="AN43" s="45"/>
      <c r="AO43" s="45"/>
      <c r="AP43" s="310"/>
      <c r="AQ43" s="310"/>
      <c r="AR43" s="310"/>
      <c r="AS43" s="310"/>
      <c r="AT43" s="310"/>
      <c r="AU43" s="310"/>
      <c r="AV43" s="310"/>
      <c r="AW43" s="310"/>
      <c r="AX43" s="310"/>
      <c r="AY43" s="310"/>
      <c r="AZ43" s="310"/>
      <c r="BA43" s="310"/>
      <c r="BB43" s="310"/>
      <c r="BC43" s="416" t="b">
        <f>IF(BM7=TRUE,IF(M44&lt;=$M$8,TRUE,FALSE),"")</f>
        <v>1</v>
      </c>
      <c r="BD43" s="416" t="b">
        <f>IF(BC43=FALSE,TRUE,FALSE)</f>
        <v>0</v>
      </c>
      <c r="BE43" s="439" t="str">
        <f>IF(BD43=TRUE,G44,"")</f>
        <v/>
      </c>
      <c r="BF43" s="310"/>
      <c r="BG43" s="338" t="b">
        <f>IF(J55&gt;=I55,TRUE,FALSE)</f>
        <v>1</v>
      </c>
      <c r="BH43" s="328" t="s">
        <v>107</v>
      </c>
      <c r="BI43" s="310" t="str">
        <f>IF(G56="Temp.","TEMPERATURE REINFORCEMENT IS INSUFFICIENT.","MAIN REINFORCEMENT IS INSUFFICIENT.")</f>
        <v>MAIN REINFORCEMENT IS INSUFFICIENT.</v>
      </c>
      <c r="BJ43" s="310"/>
      <c r="BK43" s="310"/>
      <c r="BL43" s="310"/>
      <c r="BM43" s="304" t="b">
        <f>IF(I61&gt;L61,TRUE,FALSE)</f>
        <v>1</v>
      </c>
      <c r="BN43" s="304" t="b">
        <f>IF(I61&gt;N61,TRUE,FALSE)</f>
        <v>1</v>
      </c>
      <c r="BO43" s="310" t="s">
        <v>200</v>
      </c>
      <c r="BP43" s="310"/>
      <c r="BQ43" s="310"/>
      <c r="BR43" s="310"/>
      <c r="BS43" s="310"/>
      <c r="BT43" s="310"/>
      <c r="BU43" s="310"/>
      <c r="BV43" s="310"/>
      <c r="BW43" s="310"/>
      <c r="BX43" s="400"/>
      <c r="BY43" s="310"/>
      <c r="BZ43" s="310"/>
      <c r="CA43" s="310"/>
      <c r="CB43" s="310"/>
      <c r="CC43" s="310"/>
      <c r="CD43" s="310"/>
      <c r="CE43" s="310"/>
      <c r="CF43" s="310"/>
      <c r="CG43" s="310"/>
      <c r="CH43" s="310"/>
      <c r="CI43" s="310"/>
      <c r="CJ43" s="242" t="e">
        <f>IF(AND(CK27=TRUE,CK28=TRUE),CK24-$BT$7/2,#N/A)</f>
        <v>#N/A</v>
      </c>
      <c r="CK43" s="242" t="e">
        <f>IF(AND(CK27=TRUE,CK28=TRUE),CL24+$BT$7/2,#N/A)</f>
        <v>#N/A</v>
      </c>
      <c r="CL43" s="310"/>
      <c r="CM43" s="310"/>
      <c r="CN43" s="338" t="e">
        <f>CN42</f>
        <v>#N/A</v>
      </c>
      <c r="CO43" s="338" t="e">
        <f>IF(CO34=TRUE,BY22,#N/A)</f>
        <v>#N/A</v>
      </c>
      <c r="CP43" s="338" t="e">
        <f>CN64+(CN65-CN64)/2</f>
        <v>#N/A</v>
      </c>
      <c r="CQ43" s="338" t="e">
        <f>CO64</f>
        <v>#N/A</v>
      </c>
      <c r="CR43" s="339" t="e">
        <f>(CN65-CN64)</f>
        <v>#N/A</v>
      </c>
      <c r="CS43" s="310"/>
      <c r="CT43" s="338" t="e">
        <f>IF(CU34=TRUE,BZ22,#N/A)</f>
        <v>#N/A</v>
      </c>
      <c r="CU43" s="338" t="e">
        <f>CU42</f>
        <v>#N/A</v>
      </c>
      <c r="CV43" s="338" t="e">
        <f>CT64</f>
        <v>#N/A</v>
      </c>
      <c r="CW43" s="338" t="e">
        <f>CU64+(CU65-CU64)/2</f>
        <v>#N/A</v>
      </c>
      <c r="CX43" s="373" t="e">
        <f>CU65-CU64</f>
        <v>#N/A</v>
      </c>
      <c r="CY43" s="310"/>
      <c r="CZ43" s="310"/>
      <c r="DA43" s="310"/>
      <c r="DB43" s="310"/>
      <c r="DC43" s="280" t="e">
        <f>DC42</f>
        <v>#N/A</v>
      </c>
      <c r="DD43" s="280" t="e">
        <f>IF(DD39=TRUE,DA6*2,#N/A)</f>
        <v>#N/A</v>
      </c>
      <c r="DE43" s="310"/>
      <c r="DF43" s="280" t="e">
        <v>#N/A</v>
      </c>
      <c r="DG43" s="280" t="e">
        <v>#N/A</v>
      </c>
      <c r="DH43" s="310"/>
      <c r="DI43" s="310"/>
      <c r="DJ43" s="310"/>
      <c r="DK43" s="313">
        <v>35</v>
      </c>
      <c r="DL43" s="282" t="e">
        <f t="shared" si="3"/>
        <v>#N/A</v>
      </c>
      <c r="DM43" s="291" t="e">
        <f t="shared" si="4"/>
        <v>#N/A</v>
      </c>
      <c r="DN43" s="310"/>
      <c r="DO43" s="310"/>
      <c r="DP43" s="310"/>
      <c r="DQ43" s="310"/>
      <c r="DR43" s="310"/>
      <c r="DS43" s="310"/>
      <c r="DT43" s="310"/>
      <c r="DU43" s="310"/>
      <c r="DV43" s="310"/>
      <c r="DW43" s="310"/>
      <c r="DX43" s="310"/>
      <c r="DY43" s="310"/>
      <c r="DZ43" s="310"/>
      <c r="EA43" s="310"/>
      <c r="EB43" s="310"/>
      <c r="EC43" s="310"/>
      <c r="ED43" s="310"/>
      <c r="EE43" s="310"/>
      <c r="EF43" s="310"/>
      <c r="EG43" s="310"/>
      <c r="EH43" s="310"/>
      <c r="EI43" s="310"/>
      <c r="EJ43" s="310"/>
      <c r="EK43" s="310"/>
      <c r="EL43" s="310"/>
      <c r="EM43" s="310"/>
      <c r="EN43" s="310"/>
      <c r="EO43" s="310"/>
      <c r="EP43" s="310"/>
      <c r="EQ43" s="310"/>
      <c r="ER43" s="310"/>
      <c r="ES43" s="310"/>
      <c r="ET43" s="310"/>
      <c r="EU43" s="310"/>
      <c r="EV43" s="310"/>
      <c r="EW43" s="310"/>
      <c r="EX43" s="310"/>
      <c r="EY43" s="310"/>
      <c r="EZ43" s="310"/>
      <c r="FA43" s="310"/>
      <c r="FB43" s="310"/>
      <c r="FC43" s="338" t="s">
        <v>330</v>
      </c>
      <c r="FD43" s="338" t="e">
        <f>ABS(FD41-FD42)</f>
        <v>#N/A</v>
      </c>
      <c r="FE43" s="338" t="e">
        <f>ABS(FE41-FE42)</f>
        <v>#N/A</v>
      </c>
      <c r="FF43" s="310"/>
      <c r="FG43" s="310"/>
      <c r="FH43" s="310"/>
      <c r="FI43" s="310"/>
      <c r="FJ43" s="310"/>
      <c r="FK43" s="310"/>
      <c r="FL43" s="311"/>
      <c r="FM43" s="311"/>
      <c r="FN43" s="311"/>
      <c r="FO43" s="311"/>
      <c r="FP43" s="311"/>
      <c r="FQ43" s="311"/>
      <c r="FR43" s="524" t="s">
        <v>13</v>
      </c>
      <c r="FS43" s="524"/>
      <c r="FT43" s="524" t="s">
        <v>19</v>
      </c>
      <c r="FU43" s="524"/>
      <c r="FV43" s="524" t="s">
        <v>320</v>
      </c>
      <c r="FW43" s="524"/>
      <c r="FX43" s="524" t="s">
        <v>321</v>
      </c>
      <c r="FY43" s="524"/>
      <c r="FZ43" s="524" t="s">
        <v>338</v>
      </c>
      <c r="GA43" s="524"/>
      <c r="GB43" s="524" t="s">
        <v>238</v>
      </c>
      <c r="GC43" s="524"/>
      <c r="GD43" s="310"/>
      <c r="GE43" s="310"/>
      <c r="GF43" s="310"/>
      <c r="GG43" s="310"/>
      <c r="GH43" s="310"/>
      <c r="GI43" s="310"/>
      <c r="GJ43" s="310"/>
      <c r="GK43" s="310"/>
      <c r="GL43" s="310"/>
      <c r="GM43" s="310"/>
      <c r="GN43" s="310"/>
      <c r="GO43" s="310"/>
      <c r="GP43" s="310"/>
      <c r="GQ43" s="310"/>
      <c r="GR43" s="310"/>
      <c r="GS43" s="310"/>
      <c r="GT43" s="310"/>
      <c r="GU43" s="310"/>
      <c r="GV43" s="310"/>
      <c r="GW43" s="310"/>
      <c r="GX43" s="310"/>
      <c r="GY43" s="310"/>
      <c r="GZ43" s="531" t="s">
        <v>420</v>
      </c>
      <c r="HA43" s="531"/>
      <c r="HB43" s="531" t="s">
        <v>421</v>
      </c>
      <c r="HC43" s="531"/>
      <c r="HD43" s="310"/>
      <c r="HE43" s="310"/>
      <c r="HF43" s="310"/>
      <c r="HG43" s="310"/>
      <c r="HH43" s="310"/>
      <c r="HI43" s="310"/>
      <c r="HJ43" s="310"/>
      <c r="HK43" s="342">
        <v>29</v>
      </c>
      <c r="HL43" s="235" t="e">
        <f t="shared" si="5"/>
        <v>#N/A</v>
      </c>
      <c r="HM43" s="235" t="e">
        <f t="shared" si="6"/>
        <v>#N/A</v>
      </c>
      <c r="HN43" s="310"/>
      <c r="HO43" s="310"/>
      <c r="HP43" s="235" t="e">
        <f t="shared" si="7"/>
        <v>#N/A</v>
      </c>
      <c r="HQ43" s="235" t="e">
        <f t="shared" si="8"/>
        <v>#N/A</v>
      </c>
      <c r="HR43" s="310"/>
      <c r="HS43" s="310"/>
      <c r="HT43" s="235" t="e">
        <f t="shared" si="9"/>
        <v>#N/A</v>
      </c>
      <c r="HU43" s="235" t="e">
        <f t="shared" si="10"/>
        <v>#N/A</v>
      </c>
      <c r="HV43" s="310"/>
      <c r="HW43" s="310"/>
      <c r="HX43" s="235" t="e">
        <f t="shared" si="11"/>
        <v>#N/A</v>
      </c>
      <c r="HY43" s="235" t="e">
        <f t="shared" si="12"/>
        <v>#N/A</v>
      </c>
      <c r="HZ43" s="310"/>
      <c r="IA43" s="310"/>
      <c r="IB43" s="235" t="e">
        <f t="shared" si="13"/>
        <v>#N/A</v>
      </c>
      <c r="IC43" s="235" t="e">
        <f t="shared" si="14"/>
        <v>#N/A</v>
      </c>
      <c r="ID43" s="310"/>
      <c r="IE43" s="342">
        <v>29</v>
      </c>
      <c r="IF43" s="262" t="e">
        <f t="shared" si="15"/>
        <v>#N/A</v>
      </c>
      <c r="IG43" s="262" t="e">
        <f t="shared" si="16"/>
        <v>#N/A</v>
      </c>
      <c r="IH43" s="390"/>
      <c r="II43" s="390"/>
      <c r="IJ43" s="262" t="e">
        <f t="shared" si="17"/>
        <v>#N/A</v>
      </c>
      <c r="IK43" s="262" t="e">
        <f t="shared" si="18"/>
        <v>#N/A</v>
      </c>
      <c r="IL43" s="390"/>
      <c r="IM43" s="390"/>
      <c r="IN43" s="262" t="e">
        <f t="shared" si="19"/>
        <v>#N/A</v>
      </c>
      <c r="IO43" s="262" t="e">
        <f t="shared" si="20"/>
        <v>#N/A</v>
      </c>
      <c r="IP43" s="390"/>
      <c r="IQ43" s="390"/>
      <c r="IR43" s="262" t="e">
        <f t="shared" si="21"/>
        <v>#N/A</v>
      </c>
      <c r="IS43" s="262" t="e">
        <f t="shared" si="22"/>
        <v>#N/A</v>
      </c>
      <c r="IT43" s="390"/>
      <c r="IU43" s="390"/>
      <c r="IV43" s="262" t="e">
        <f t="shared" si="23"/>
        <v>#N/A</v>
      </c>
      <c r="IW43" s="262" t="e">
        <f t="shared" si="24"/>
        <v>#N/A</v>
      </c>
      <c r="IX43" s="310"/>
      <c r="IY43" s="342" t="s">
        <v>355</v>
      </c>
      <c r="IZ43" s="342" t="s">
        <v>48</v>
      </c>
      <c r="JA43" s="353" t="s">
        <v>49</v>
      </c>
      <c r="JB43" s="313" t="s">
        <v>144</v>
      </c>
      <c r="JC43" s="236" t="e">
        <f>IZ44+($IZ$10/2)-$IZ$9</f>
        <v>#N/A</v>
      </c>
      <c r="JD43" s="236" t="e">
        <f>JD42</f>
        <v>#N/A</v>
      </c>
      <c r="JE43" s="310"/>
      <c r="JF43" s="342" t="s">
        <v>355</v>
      </c>
      <c r="JG43" s="342" t="s">
        <v>48</v>
      </c>
      <c r="JH43" s="353" t="s">
        <v>49</v>
      </c>
      <c r="JI43" s="313" t="s">
        <v>144</v>
      </c>
      <c r="JJ43" s="263" t="e">
        <f>JG44+($IZ$10/2)-$IZ$9</f>
        <v>#N/A</v>
      </c>
      <c r="JK43" s="263" t="e">
        <f>JK42</f>
        <v>#N/A</v>
      </c>
      <c r="JL43" s="310"/>
      <c r="JM43" s="310"/>
      <c r="JN43" s="261" t="e">
        <f t="shared" si="25"/>
        <v>#N/A</v>
      </c>
      <c r="JO43" s="261" t="e">
        <f t="shared" si="26"/>
        <v>#N/A</v>
      </c>
      <c r="JP43" s="310"/>
      <c r="JQ43" s="310"/>
      <c r="JR43" s="261" t="e">
        <f t="shared" si="31"/>
        <v>#N/A</v>
      </c>
      <c r="JS43" s="261" t="e">
        <f t="shared" si="32"/>
        <v>#N/A</v>
      </c>
      <c r="JT43" s="310"/>
      <c r="JU43" s="310"/>
      <c r="JV43" s="261" t="e">
        <f t="shared" si="27"/>
        <v>#N/A</v>
      </c>
      <c r="JW43" s="261" t="e">
        <f t="shared" si="28"/>
        <v>#N/A</v>
      </c>
      <c r="JX43" s="310"/>
      <c r="JY43" s="310"/>
      <c r="JZ43" s="310"/>
      <c r="KA43" s="310"/>
      <c r="KB43" s="313" t="s">
        <v>167</v>
      </c>
      <c r="KC43" s="242" t="e">
        <f>KC39</f>
        <v>#N/A</v>
      </c>
      <c r="KD43" s="242" t="e">
        <f>KD42</f>
        <v>#N/A</v>
      </c>
      <c r="KE43" s="310"/>
      <c r="KF43" s="310"/>
      <c r="KG43" s="310"/>
      <c r="KH43" s="310"/>
      <c r="KI43" s="310"/>
      <c r="KJ43" s="310"/>
      <c r="KK43" s="310"/>
      <c r="KL43" s="310"/>
      <c r="KM43" s="310"/>
      <c r="KN43" s="267" t="e">
        <f>KN38</f>
        <v>#N/A</v>
      </c>
      <c r="KO43" s="268" t="e">
        <f>IF(KR36=TRUE,OO49+KO9/4,#N/A)</f>
        <v>#N/A</v>
      </c>
      <c r="KP43" s="267" t="e">
        <f>KN54</f>
        <v>#N/A</v>
      </c>
      <c r="KQ43" s="267" t="e">
        <f>KO54+(KO55-KO54)/2</f>
        <v>#N/A</v>
      </c>
      <c r="KR43" s="347" t="e">
        <f>KO55-KO54</f>
        <v>#N/A</v>
      </c>
      <c r="KS43" s="310"/>
      <c r="KT43" s="242">
        <f>KT38</f>
        <v>-1.2999999999999998</v>
      </c>
      <c r="KU43" s="242">
        <f>IF(KX36=TRUE,OO50+KO9/2,#N/A)</f>
        <v>1.25</v>
      </c>
      <c r="KV43" s="242">
        <f>KT54</f>
        <v>-1.5999999999999999</v>
      </c>
      <c r="KW43" s="242">
        <f>KU54-(KU54-KU55)/2</f>
        <v>0.47499999999999998</v>
      </c>
      <c r="KX43" s="389">
        <f>KU54-KU55</f>
        <v>0.95</v>
      </c>
      <c r="KY43" s="310"/>
      <c r="KZ43" s="310"/>
      <c r="LA43" s="310"/>
      <c r="LB43" s="310"/>
      <c r="LC43" s="310"/>
      <c r="LD43" s="310"/>
      <c r="LE43" s="310"/>
      <c r="LF43" s="310"/>
      <c r="LG43" s="310"/>
      <c r="LH43" s="391">
        <f>LH40</f>
        <v>1.9</v>
      </c>
      <c r="LI43" s="391">
        <f>LI40</f>
        <v>0.95</v>
      </c>
      <c r="LJ43" s="338" t="e">
        <v>#N/A</v>
      </c>
      <c r="LK43" s="338" t="e">
        <v>#N/A</v>
      </c>
      <c r="LL43" s="391"/>
      <c r="LM43" s="310"/>
      <c r="LN43" s="310"/>
      <c r="LO43" s="338">
        <f>LO40</f>
        <v>1.9</v>
      </c>
      <c r="LP43" s="338">
        <f>LP40</f>
        <v>-0.95</v>
      </c>
      <c r="LQ43" s="338" t="e">
        <v>#N/A</v>
      </c>
      <c r="LR43" s="338" t="e">
        <v>#N/A</v>
      </c>
      <c r="LS43" s="391"/>
      <c r="LT43" s="310"/>
      <c r="LU43" s="310"/>
      <c r="LV43" s="338" t="e">
        <f>LV40</f>
        <v>#N/A</v>
      </c>
      <c r="LW43" s="338" t="e">
        <f>LW40</f>
        <v>#N/A</v>
      </c>
      <c r="LX43" s="338" t="e">
        <v>#N/A</v>
      </c>
      <c r="LY43" s="338" t="e">
        <v>#N/A</v>
      </c>
      <c r="LZ43" s="391"/>
      <c r="MA43" s="310"/>
      <c r="MB43" s="310"/>
      <c r="MC43" s="338">
        <f>MC40</f>
        <v>-1.2999999999999998</v>
      </c>
      <c r="MD43" s="338">
        <f>MD40</f>
        <v>0.6071428571428571</v>
      </c>
      <c r="ME43" s="338" t="e">
        <v>#N/A</v>
      </c>
      <c r="MF43" s="338" t="e">
        <v>#N/A</v>
      </c>
      <c r="MG43" s="391"/>
      <c r="MH43" s="310"/>
      <c r="MI43" s="310"/>
      <c r="MJ43" s="242" t="e">
        <v>#N/A</v>
      </c>
      <c r="MK43" s="242" t="e">
        <v>#N/A</v>
      </c>
      <c r="ML43" s="242" t="e">
        <v>#N/A</v>
      </c>
      <c r="MM43" s="242" t="e">
        <v>#N/A</v>
      </c>
      <c r="MN43" s="391"/>
      <c r="MO43" s="310"/>
      <c r="MP43" s="311" t="e">
        <v>#N/A</v>
      </c>
      <c r="MQ43" s="311" t="e">
        <v>#N/A</v>
      </c>
      <c r="MR43" s="311"/>
      <c r="MS43" s="311"/>
      <c r="MT43" s="310"/>
      <c r="MU43" s="310"/>
      <c r="MV43" s="310"/>
      <c r="MW43" s="280" t="e">
        <f>IF($MU$29=TRUE,$MY$17+$BT$7/2,#N/A)</f>
        <v>#N/A</v>
      </c>
      <c r="MX43" s="280" t="e">
        <f>MX42</f>
        <v>#N/A</v>
      </c>
      <c r="MY43" s="310"/>
      <c r="MZ43" s="328">
        <v>10</v>
      </c>
      <c r="NA43" s="372" t="b">
        <f t="shared" si="76"/>
        <v>0</v>
      </c>
      <c r="NB43" s="280" t="e">
        <f t="shared" si="80"/>
        <v>#N/A</v>
      </c>
      <c r="NC43" s="280" t="e">
        <f t="shared" si="81"/>
        <v>#N/A</v>
      </c>
      <c r="ND43" s="280" t="e">
        <f t="shared" si="77"/>
        <v>#N/A</v>
      </c>
      <c r="NE43" s="280" t="e">
        <f t="shared" si="78"/>
        <v>#N/A</v>
      </c>
      <c r="NF43" s="310"/>
      <c r="NG43" s="310"/>
      <c r="NH43" s="280" t="e">
        <v>#N/A</v>
      </c>
      <c r="NI43" s="280" t="e">
        <v>#N/A</v>
      </c>
      <c r="NJ43" s="310"/>
      <c r="NK43" s="310"/>
      <c r="NL43" s="310"/>
      <c r="NM43" s="310"/>
      <c r="NN43" s="310"/>
      <c r="NO43" s="310"/>
      <c r="NP43" s="310"/>
      <c r="NQ43" s="310"/>
      <c r="NR43" s="528"/>
      <c r="NS43" s="318" t="s">
        <v>323</v>
      </c>
      <c r="NT43" s="338" t="e">
        <f>IF(NS35=TRUE,NP13,#N/A)</f>
        <v>#N/A</v>
      </c>
      <c r="NU43" s="338" t="e">
        <f>NU42</f>
        <v>#N/A</v>
      </c>
      <c r="NV43" s="338" t="e">
        <f>IF(NR42=TRUE,J27,#N/A)</f>
        <v>#N/A</v>
      </c>
      <c r="NW43" s="338" t="e">
        <f>IF(NY42=TRUE,H26,H27)</f>
        <v>#N/A</v>
      </c>
      <c r="NX43" s="334" t="e">
        <f>ABS(ABS(NT43)-ABS(NV43))</f>
        <v>#N/A</v>
      </c>
      <c r="NY43" s="334" t="e">
        <f>IF(NX43=MAX($NX$42:$NX$43),TRUE,FALSE)</f>
        <v>#N/A</v>
      </c>
      <c r="NZ43" s="334" t="e">
        <f>IF(NY42=TRUE,NX42,NX43)</f>
        <v>#N/A</v>
      </c>
      <c r="OA43" s="525"/>
      <c r="OB43" s="525"/>
      <c r="OC43" s="525"/>
      <c r="OD43" s="525"/>
      <c r="OE43" s="525"/>
      <c r="OF43" s="525"/>
      <c r="OG43" s="527"/>
      <c r="OH43" s="310"/>
      <c r="OI43" s="310"/>
      <c r="OJ43" s="310"/>
      <c r="OK43" s="310"/>
      <c r="OL43" s="310"/>
      <c r="OM43" s="228" t="e">
        <f>OM41</f>
        <v>#N/A</v>
      </c>
      <c r="ON43" s="228" t="e">
        <f>ON41</f>
        <v>#N/A</v>
      </c>
      <c r="OO43" s="310"/>
      <c r="OP43" s="310"/>
      <c r="OQ43" s="310"/>
      <c r="OR43" s="310"/>
      <c r="OS43" s="310"/>
      <c r="OT43" s="310"/>
      <c r="OU43" s="280" t="e">
        <f>OU42</f>
        <v>#N/A</v>
      </c>
      <c r="OV43" s="280" t="e">
        <f>OY17+OW30</f>
        <v>#N/A</v>
      </c>
      <c r="OW43" s="310"/>
      <c r="OX43" s="310"/>
      <c r="OY43" s="310"/>
      <c r="OZ43" s="310"/>
      <c r="PA43" s="310"/>
      <c r="PB43" s="310"/>
      <c r="PC43" s="310"/>
      <c r="PD43" s="310"/>
      <c r="PE43" s="292" t="e">
        <v>#N/A</v>
      </c>
      <c r="PF43" s="328" t="e">
        <v>#N/A</v>
      </c>
      <c r="PG43" s="292" t="e">
        <f t="shared" si="84"/>
        <v>#N/A</v>
      </c>
      <c r="PH43" s="310"/>
      <c r="PI43" s="310"/>
      <c r="PJ43" s="310"/>
      <c r="PK43" s="310"/>
      <c r="PL43" s="310"/>
      <c r="PM43" s="310"/>
      <c r="PN43" s="310"/>
      <c r="PO43" s="310"/>
      <c r="PP43" s="310"/>
      <c r="PQ43" s="310"/>
      <c r="PR43" s="310"/>
      <c r="PS43" s="342">
        <v>29</v>
      </c>
      <c r="PT43" s="261" t="e">
        <f t="shared" si="29"/>
        <v>#N/A</v>
      </c>
      <c r="PU43" s="261" t="e">
        <f t="shared" si="30"/>
        <v>#N/A</v>
      </c>
      <c r="PV43" s="310"/>
      <c r="PW43" s="310"/>
      <c r="PX43" s="310"/>
      <c r="PY43" s="310"/>
      <c r="PZ43" s="310"/>
      <c r="QA43" s="310"/>
      <c r="QB43" s="310"/>
      <c r="QC43" s="310"/>
      <c r="QD43" s="310"/>
      <c r="QE43" s="442" t="s">
        <v>520</v>
      </c>
      <c r="QF43" s="443">
        <f>IF(AND(CP13=TRUE,CU11=TRUE),(M44+M45)*1000,#N/A)</f>
        <v>36000</v>
      </c>
      <c r="QG43" s="310"/>
      <c r="QH43" s="310"/>
      <c r="QI43" s="310"/>
      <c r="QJ43" s="310"/>
      <c r="QK43" s="310"/>
      <c r="QL43" s="310"/>
      <c r="QM43" s="310"/>
      <c r="QN43" s="310"/>
      <c r="QO43" s="310"/>
      <c r="QP43" s="310"/>
      <c r="QQ43" s="442" t="s">
        <v>520</v>
      </c>
      <c r="QR43" s="430">
        <f>IF(AND(CP13=TRUE,CU11=TRUE),(M44+M45)*1000,#N/A)</f>
        <v>36000</v>
      </c>
      <c r="QS43" s="310"/>
      <c r="QT43" s="310"/>
      <c r="QU43" s="310"/>
      <c r="QV43" s="310"/>
      <c r="QW43" s="310"/>
      <c r="QX43" s="310"/>
      <c r="QY43" s="310"/>
      <c r="QZ43" s="310"/>
      <c r="RA43" s="310"/>
      <c r="RB43" s="310"/>
      <c r="RC43" s="310"/>
      <c r="RD43" s="310"/>
      <c r="RE43" s="310"/>
      <c r="RF43" s="310"/>
      <c r="RG43" s="310"/>
      <c r="RH43" s="310"/>
      <c r="RI43" s="310"/>
      <c r="RJ43" s="310"/>
      <c r="RK43" s="310"/>
      <c r="RL43" s="310"/>
      <c r="RM43" s="310"/>
      <c r="RN43" s="310"/>
      <c r="RO43" s="310"/>
      <c r="RP43" s="310"/>
      <c r="RQ43" s="310"/>
      <c r="RR43" s="310"/>
      <c r="RS43" s="310"/>
      <c r="RT43" s="310"/>
      <c r="RU43" s="310"/>
      <c r="RV43" s="310"/>
      <c r="RW43" s="313" t="s">
        <v>571</v>
      </c>
      <c r="RX43" s="313" t="s">
        <v>572</v>
      </c>
      <c r="RY43" s="310"/>
      <c r="RZ43" s="310"/>
      <c r="SA43" s="310"/>
      <c r="SB43" s="310"/>
      <c r="SF43" s="247" t="e">
        <v>#N/A</v>
      </c>
      <c r="SG43" s="247" t="e">
        <v>#N/A</v>
      </c>
      <c r="SH43" s="247"/>
      <c r="SI43" s="247"/>
      <c r="SJ43" s="310"/>
      <c r="SK43" s="310"/>
      <c r="SL43" s="310"/>
      <c r="SM43" s="310"/>
      <c r="SN43" s="310"/>
      <c r="SO43" s="220"/>
      <c r="SP43" s="220"/>
      <c r="SQ43" s="220"/>
      <c r="SR43" s="220"/>
      <c r="SS43" s="220"/>
      <c r="ST43" s="220"/>
      <c r="SU43" s="220"/>
      <c r="SV43" s="220"/>
      <c r="SW43" s="220"/>
      <c r="SX43" s="220"/>
      <c r="SY43" s="220"/>
      <c r="SZ43" s="220"/>
      <c r="TA43" s="220"/>
      <c r="TB43" s="220"/>
      <c r="TC43" s="220"/>
      <c r="TD43" s="220"/>
      <c r="TE43" s="220"/>
      <c r="TF43" s="220"/>
      <c r="TG43" s="220"/>
      <c r="TH43" s="220"/>
      <c r="TI43" s="220"/>
      <c r="TJ43" s="220"/>
      <c r="TK43" s="220"/>
      <c r="TL43" s="220"/>
      <c r="TM43" s="220"/>
      <c r="TN43" s="220"/>
      <c r="TO43" s="220"/>
      <c r="TP43" s="220"/>
      <c r="TQ43" s="220"/>
      <c r="TR43" s="220"/>
      <c r="TS43" s="220"/>
      <c r="TT43" s="220"/>
      <c r="TU43" s="220"/>
      <c r="TV43" s="220"/>
      <c r="TW43" s="220"/>
      <c r="TX43" s="220"/>
      <c r="TY43" s="220"/>
      <c r="TZ43" s="220"/>
      <c r="UA43" s="220"/>
      <c r="UB43" s="220"/>
      <c r="UC43" s="220"/>
      <c r="UD43" s="220"/>
      <c r="UE43" s="220"/>
      <c r="UF43" s="220"/>
      <c r="UG43" s="220"/>
      <c r="UH43" s="220"/>
      <c r="UI43" s="220"/>
      <c r="UJ43" s="220"/>
      <c r="UK43" s="216"/>
      <c r="UL43" s="216"/>
      <c r="UM43" s="216"/>
      <c r="UN43" s="216"/>
      <c r="UO43" s="216"/>
      <c r="UP43" s="216"/>
      <c r="UQ43" s="216"/>
      <c r="UR43" s="216"/>
      <c r="US43" s="216"/>
      <c r="UT43" s="216"/>
      <c r="UU43" s="216"/>
      <c r="UV43" s="216"/>
      <c r="UW43" s="216"/>
      <c r="UX43" s="216"/>
      <c r="UY43" s="216"/>
      <c r="UZ43" s="216"/>
      <c r="VA43" s="216"/>
    </row>
    <row r="44" spans="1:573" s="4" customFormat="1" ht="18.75" customHeight="1" x14ac:dyDescent="0.3">
      <c r="A44" s="107" t="s">
        <v>127</v>
      </c>
      <c r="B44" s="108"/>
      <c r="C44" s="108"/>
      <c r="D44" s="109"/>
      <c r="E44" s="109"/>
      <c r="F44" s="110"/>
      <c r="G44" s="111" t="str" cm="1">
        <f t="array" ref="G44:G48">_xlfn._xlws.FILTER(GW7:GW11,BM7:BM11)</f>
        <v>P1</v>
      </c>
      <c r="H44" s="112">
        <f>IF(AND(CP13=TRUE,J26&lt;&gt;"",CU11=TRUE),IF(BM7=TRUE,IF(BL7=TRUE,M19-J26,TRUNC(J26-J38,3))),"")</f>
        <v>-0.65</v>
      </c>
      <c r="I44" s="113">
        <f>IF(AND(CP13=TRUE,H26&lt;&gt;"",CU11=TRUE),IF(BM7=TRUE,IF(BL7=TRUE,J19-H26,TRUNC(H26-J36,3))),"")</f>
        <v>-0.83499999999999996</v>
      </c>
      <c r="J44" s="590">
        <f>IF(AND(H44&lt;&gt;"",CU11=TRUE),IF(BM7=TRUE,H44^2,""),"")</f>
        <v>0.42250000000000004</v>
      </c>
      <c r="K44" s="591"/>
      <c r="L44" s="114">
        <f>IF(AND(I44&lt;&gt;"",CU11=TRUE),IF(BM7=TRUE,I44^2,""),"")</f>
        <v>0.69722499999999998</v>
      </c>
      <c r="M44" s="668">
        <f>IF(H44&lt;&gt;"",IF(BI61&lt;&gt;"",TRUNC(BI61,2),""),"")</f>
        <v>36</v>
      </c>
      <c r="N44" s="669"/>
      <c r="O44" s="115" t="str">
        <f>IF(H44&lt;&gt;"",IF(BM7=TRUE,IF(M44&lt;=$M$8,"PASS","FALSE"),""),"")</f>
        <v>PASS</v>
      </c>
      <c r="P44" s="88"/>
      <c r="Q44" s="95" t="str">
        <f>IF(FM52=TRUE,"       "&amp;FO52&amp;" [Active]","       "&amp;FO52&amp;" [Lock]")</f>
        <v xml:space="preserve">       CURSOR : C4 [Active]</v>
      </c>
      <c r="R44" s="13"/>
      <c r="S44" s="13"/>
      <c r="T44" s="89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5"/>
      <c r="AM44" s="45"/>
      <c r="AN44" s="45"/>
      <c r="AO44" s="45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38" t="b">
        <f>IF(BM8=TRUE,IF(M45&lt;=$M$8,TRUE,FALSE),"")</f>
        <v>1</v>
      </c>
      <c r="BD44" s="338" t="b">
        <f>IF(BC44=FALSE,TRUE,FALSE)</f>
        <v>0</v>
      </c>
      <c r="BE44" s="328" t="str">
        <f>IF(BD44=TRUE,G45,"")</f>
        <v/>
      </c>
      <c r="BF44" s="310"/>
      <c r="BG44" s="338" t="b">
        <f>IF(J57&gt;=I57,TRUE,FALSE)</f>
        <v>1</v>
      </c>
      <c r="BH44" s="328" t="s">
        <v>158</v>
      </c>
      <c r="BI44" s="310" t="str">
        <f>IF(G58="Temp.","TEMPERATURE REINFORCEMENT IS INSUFFICIENT.","MAIN REINFORCEMENT IS INSUFFICIENT.")</f>
        <v>MAIN REINFORCEMENT IS INSUFFICIENT.</v>
      </c>
      <c r="BJ44" s="310"/>
      <c r="BK44" s="310"/>
      <c r="BL44" s="310"/>
      <c r="BM44" s="678" t="b">
        <f>IF(OR(BM43=FALSE,BN43=FALSE),TRUE,FALSE)</f>
        <v>0</v>
      </c>
      <c r="BN44" s="678"/>
      <c r="BO44" s="310" t="s">
        <v>297</v>
      </c>
      <c r="BP44" s="310"/>
      <c r="BQ44" s="310"/>
      <c r="BR44" s="310"/>
      <c r="BS44" s="310"/>
      <c r="BT44" s="310"/>
      <c r="BU44" s="310"/>
      <c r="BV44" s="310"/>
      <c r="BW44" s="310"/>
      <c r="BX44" s="400"/>
      <c r="BY44" s="310"/>
      <c r="BZ44" s="310"/>
      <c r="CA44" s="310"/>
      <c r="CB44" s="310"/>
      <c r="CC44" s="310"/>
      <c r="CD44" s="310">
        <v>0.05</v>
      </c>
      <c r="CE44" s="310">
        <v>0.4</v>
      </c>
      <c r="CF44" s="310"/>
      <c r="CG44" s="310"/>
      <c r="CH44" s="310"/>
      <c r="CI44" s="310"/>
      <c r="CJ44" s="242" t="e">
        <f>IF(AND(CK27=TRUE,CK28=TRUE),CK24+$BT$7/2,#N/A)</f>
        <v>#N/A</v>
      </c>
      <c r="CK44" s="257" t="e">
        <f>CK43</f>
        <v>#N/A</v>
      </c>
      <c r="CL44" s="310"/>
      <c r="CM44" s="310"/>
      <c r="CN44" s="338" t="e">
        <v>#N/A</v>
      </c>
      <c r="CO44" s="338" t="e">
        <v>#N/A</v>
      </c>
      <c r="CP44" s="338" t="e">
        <f>CN67+(CN68-CN67)/2</f>
        <v>#N/A</v>
      </c>
      <c r="CQ44" s="338" t="e">
        <f>CQ43</f>
        <v>#N/A</v>
      </c>
      <c r="CR44" s="339" t="e">
        <f>CN68-CN67</f>
        <v>#N/A</v>
      </c>
      <c r="CS44" s="310"/>
      <c r="CT44" s="338" t="e">
        <v>#N/A</v>
      </c>
      <c r="CU44" s="338" t="e">
        <v>#N/A</v>
      </c>
      <c r="CV44" s="338" t="e">
        <f>CV43</f>
        <v>#N/A</v>
      </c>
      <c r="CW44" s="338" t="e">
        <f>CU67+(CU68-CU67)/2</f>
        <v>#N/A</v>
      </c>
      <c r="CX44" s="373" t="e">
        <f>CU68-CU67</f>
        <v>#N/A</v>
      </c>
      <c r="CY44" s="310"/>
      <c r="CZ44" s="310"/>
      <c r="DA44" s="310"/>
      <c r="DB44" s="310"/>
      <c r="DC44" s="280" t="e">
        <v>#N/A</v>
      </c>
      <c r="DD44" s="280" t="e">
        <v>#N/A</v>
      </c>
      <c r="DE44" s="310"/>
      <c r="DF44" s="280" t="e">
        <f>DF41</f>
        <v>#N/A</v>
      </c>
      <c r="DG44" s="280" t="e">
        <f>IF(DH44&lt;=$DG$39,DH44,#N/A)</f>
        <v>#N/A</v>
      </c>
      <c r="DH44" s="338">
        <f>DH41+0.2</f>
        <v>0.2</v>
      </c>
      <c r="DI44" s="310"/>
      <c r="DJ44" s="310"/>
      <c r="DK44" s="313">
        <v>36</v>
      </c>
      <c r="DL44" s="282" t="e">
        <f t="shared" si="3"/>
        <v>#N/A</v>
      </c>
      <c r="DM44" s="291" t="e">
        <f t="shared" si="4"/>
        <v>#N/A</v>
      </c>
      <c r="DN44" s="310"/>
      <c r="DO44" s="310"/>
      <c r="DP44" s="310"/>
      <c r="DQ44" s="310"/>
      <c r="DR44" s="310"/>
      <c r="DS44" s="310"/>
      <c r="DT44" s="310"/>
      <c r="DU44" s="677" t="s">
        <v>130</v>
      </c>
      <c r="DV44" s="677"/>
      <c r="DW44" s="310"/>
      <c r="DX44" s="310"/>
      <c r="DY44" s="310" t="s">
        <v>131</v>
      </c>
      <c r="DZ44" s="310"/>
      <c r="EA44" s="310"/>
      <c r="EB44" s="310"/>
      <c r="EC44" s="310"/>
      <c r="ED44" s="310"/>
      <c r="EE44" s="310"/>
      <c r="EF44" s="310"/>
      <c r="EG44" s="310"/>
      <c r="EH44" s="310"/>
      <c r="EI44" s="310"/>
      <c r="EJ44" s="310"/>
      <c r="EK44" s="310"/>
      <c r="EL44" s="310"/>
      <c r="EM44" s="310"/>
      <c r="EN44" s="310"/>
      <c r="EO44" s="310"/>
      <c r="EP44" s="310"/>
      <c r="EQ44" s="310"/>
      <c r="ER44" s="310"/>
      <c r="ES44" s="310"/>
      <c r="ET44" s="310"/>
      <c r="EU44" s="310"/>
      <c r="EV44" s="310"/>
      <c r="EW44" s="310"/>
      <c r="EX44" s="310"/>
      <c r="EY44" s="310"/>
      <c r="EZ44" s="310"/>
      <c r="FA44" s="310"/>
      <c r="FB44" s="310"/>
      <c r="FC44" s="338" t="s">
        <v>328</v>
      </c>
      <c r="FD44" s="338" t="e">
        <f>MAX(FD43:FE43)</f>
        <v>#N/A</v>
      </c>
      <c r="FE44" s="310"/>
      <c r="FF44" s="310"/>
      <c r="FG44" s="310"/>
      <c r="FH44" s="310"/>
      <c r="FI44" s="310">
        <v>7090.6229999999996</v>
      </c>
      <c r="FJ44" s="310">
        <v>4319.3990000000003</v>
      </c>
      <c r="FK44" s="310"/>
      <c r="FL44" s="311"/>
      <c r="FM44" s="311"/>
      <c r="FN44" s="311"/>
      <c r="FO44" s="311"/>
      <c r="FP44" s="311"/>
      <c r="FQ44" s="311"/>
      <c r="FR44" s="313" t="s">
        <v>48</v>
      </c>
      <c r="FS44" s="313" t="s">
        <v>49</v>
      </c>
      <c r="FT44" s="313" t="s">
        <v>48</v>
      </c>
      <c r="FU44" s="313" t="s">
        <v>49</v>
      </c>
      <c r="FV44" s="313" t="s">
        <v>48</v>
      </c>
      <c r="FW44" s="313" t="s">
        <v>49</v>
      </c>
      <c r="FX44" s="313" t="s">
        <v>48</v>
      </c>
      <c r="FY44" s="313" t="s">
        <v>49</v>
      </c>
      <c r="FZ44" s="313" t="s">
        <v>48</v>
      </c>
      <c r="GA44" s="313" t="s">
        <v>49</v>
      </c>
      <c r="GB44" s="313" t="s">
        <v>48</v>
      </c>
      <c r="GC44" s="313" t="s">
        <v>49</v>
      </c>
      <c r="GD44" s="310"/>
      <c r="GE44" s="310"/>
      <c r="GF44" s="330" t="s">
        <v>13</v>
      </c>
      <c r="GG44" s="330" t="s">
        <v>234</v>
      </c>
      <c r="GH44" s="330" t="s">
        <v>235</v>
      </c>
      <c r="GI44" s="330" t="s">
        <v>19</v>
      </c>
      <c r="GJ44" s="330" t="s">
        <v>338</v>
      </c>
      <c r="GK44" s="330" t="s">
        <v>320</v>
      </c>
      <c r="GL44" s="330" t="s">
        <v>321</v>
      </c>
      <c r="GM44" s="330" t="s">
        <v>323</v>
      </c>
      <c r="GN44" s="330" t="s">
        <v>322</v>
      </c>
      <c r="GO44" s="330"/>
      <c r="GP44" s="329" t="str" cm="1">
        <f t="array" ref="GP44">INDEX(BK7:BK11,BK6)</f>
        <v>F5</v>
      </c>
      <c r="GQ44" s="328" t="s">
        <v>48</v>
      </c>
      <c r="GR44" s="328" t="s">
        <v>49</v>
      </c>
      <c r="GS44" s="328" t="s">
        <v>328</v>
      </c>
      <c r="GT44" s="310"/>
      <c r="GU44" s="310"/>
      <c r="GV44" s="310" t="s">
        <v>415</v>
      </c>
      <c r="GW44" s="310"/>
      <c r="GX44" s="310"/>
      <c r="GY44" s="310"/>
      <c r="GZ44" s="328" t="s">
        <v>48</v>
      </c>
      <c r="HA44" s="328" t="s">
        <v>49</v>
      </c>
      <c r="HB44" s="328" t="s">
        <v>48</v>
      </c>
      <c r="HC44" s="328" t="s">
        <v>49</v>
      </c>
      <c r="HD44" s="310"/>
      <c r="HE44" s="310"/>
      <c r="HF44" s="310"/>
      <c r="HG44" s="310"/>
      <c r="HH44" s="310"/>
      <c r="HI44" s="310"/>
      <c r="HJ44" s="310"/>
      <c r="HK44" s="342">
        <v>30</v>
      </c>
      <c r="HL44" s="235" t="e">
        <f t="shared" si="5"/>
        <v>#N/A</v>
      </c>
      <c r="HM44" s="235" t="e">
        <f t="shared" si="6"/>
        <v>#N/A</v>
      </c>
      <c r="HN44" s="310"/>
      <c r="HO44" s="310"/>
      <c r="HP44" s="235" t="e">
        <f t="shared" si="7"/>
        <v>#N/A</v>
      </c>
      <c r="HQ44" s="235" t="e">
        <f t="shared" si="8"/>
        <v>#N/A</v>
      </c>
      <c r="HR44" s="310"/>
      <c r="HS44" s="310"/>
      <c r="HT44" s="235" t="e">
        <f t="shared" si="9"/>
        <v>#N/A</v>
      </c>
      <c r="HU44" s="235" t="e">
        <f t="shared" si="10"/>
        <v>#N/A</v>
      </c>
      <c r="HV44" s="310"/>
      <c r="HW44" s="310"/>
      <c r="HX44" s="235" t="e">
        <f t="shared" si="11"/>
        <v>#N/A</v>
      </c>
      <c r="HY44" s="235" t="e">
        <f t="shared" si="12"/>
        <v>#N/A</v>
      </c>
      <c r="HZ44" s="310"/>
      <c r="IA44" s="310"/>
      <c r="IB44" s="235" t="e">
        <f t="shared" si="13"/>
        <v>#N/A</v>
      </c>
      <c r="IC44" s="235" t="e">
        <f t="shared" si="14"/>
        <v>#N/A</v>
      </c>
      <c r="ID44" s="310"/>
      <c r="IE44" s="342">
        <v>30</v>
      </c>
      <c r="IF44" s="262" t="e">
        <f t="shared" si="15"/>
        <v>#N/A</v>
      </c>
      <c r="IG44" s="262" t="e">
        <f t="shared" si="16"/>
        <v>#N/A</v>
      </c>
      <c r="IH44" s="390"/>
      <c r="II44" s="390"/>
      <c r="IJ44" s="262" t="e">
        <f t="shared" si="17"/>
        <v>#N/A</v>
      </c>
      <c r="IK44" s="262" t="e">
        <f t="shared" si="18"/>
        <v>#N/A</v>
      </c>
      <c r="IL44" s="390"/>
      <c r="IM44" s="390"/>
      <c r="IN44" s="262" t="e">
        <f t="shared" si="19"/>
        <v>#N/A</v>
      </c>
      <c r="IO44" s="262" t="e">
        <f t="shared" si="20"/>
        <v>#N/A</v>
      </c>
      <c r="IP44" s="390"/>
      <c r="IQ44" s="390"/>
      <c r="IR44" s="262" t="e">
        <f t="shared" si="21"/>
        <v>#N/A</v>
      </c>
      <c r="IS44" s="262" t="e">
        <f t="shared" si="22"/>
        <v>#N/A</v>
      </c>
      <c r="IT44" s="390"/>
      <c r="IU44" s="390"/>
      <c r="IV44" s="262" t="e">
        <f t="shared" si="23"/>
        <v>#N/A</v>
      </c>
      <c r="IW44" s="262" t="e">
        <f t="shared" si="24"/>
        <v>#N/A</v>
      </c>
      <c r="IX44" s="310"/>
      <c r="IY44" s="313" t="s">
        <v>72</v>
      </c>
      <c r="IZ44" s="362" t="e">
        <f>IF(JA42=TRUE,$M$22,#N/A)</f>
        <v>#N/A</v>
      </c>
      <c r="JA44" s="363" t="e">
        <f>IF(JA42=TRUE,$J$22,#N/A)</f>
        <v>#N/A</v>
      </c>
      <c r="JB44" s="313" t="s">
        <v>149</v>
      </c>
      <c r="JC44" s="236" t="e">
        <f>IZ44+($IZ$10/2)</f>
        <v>#N/A</v>
      </c>
      <c r="JD44" s="236" t="e">
        <f>JA44+($IZ$10/2)-$IZ$9</f>
        <v>#N/A</v>
      </c>
      <c r="JE44" s="310"/>
      <c r="JF44" s="313" t="s">
        <v>72</v>
      </c>
      <c r="JG44" s="362" t="e">
        <f>IF(JH42=TRUE,$J$29,#N/A)</f>
        <v>#N/A</v>
      </c>
      <c r="JH44" s="363" t="e">
        <f>IF(JH42=TRUE,$H$29,#N/A)</f>
        <v>#N/A</v>
      </c>
      <c r="JI44" s="313" t="s">
        <v>149</v>
      </c>
      <c r="JJ44" s="263" t="e">
        <f>JG44+($IZ$10/2)</f>
        <v>#N/A</v>
      </c>
      <c r="JK44" s="263" t="e">
        <f>JH44+($IZ$10/2)-$IZ$9</f>
        <v>#N/A</v>
      </c>
      <c r="JL44" s="310"/>
      <c r="JM44" s="310"/>
      <c r="JN44" s="261" t="e">
        <f t="shared" si="25"/>
        <v>#N/A</v>
      </c>
      <c r="JO44" s="261" t="e">
        <f t="shared" si="26"/>
        <v>#N/A</v>
      </c>
      <c r="JP44" s="310"/>
      <c r="JQ44" s="310"/>
      <c r="JR44" s="261" t="e">
        <f t="shared" si="31"/>
        <v>#N/A</v>
      </c>
      <c r="JS44" s="261" t="e">
        <f t="shared" si="32"/>
        <v>#N/A</v>
      </c>
      <c r="JT44" s="310"/>
      <c r="JU44" s="310"/>
      <c r="JV44" s="261" t="e">
        <f t="shared" si="27"/>
        <v>#N/A</v>
      </c>
      <c r="JW44" s="261" t="e">
        <f t="shared" si="28"/>
        <v>#N/A</v>
      </c>
      <c r="JX44" s="310"/>
      <c r="JY44" s="310"/>
      <c r="JZ44" s="310"/>
      <c r="KA44" s="310"/>
      <c r="KB44" s="313" t="s">
        <v>325</v>
      </c>
      <c r="KC44" s="265" t="e">
        <f>JZ41-$IZ$62</f>
        <v>#N/A</v>
      </c>
      <c r="KD44" s="265" t="e">
        <f>KA41</f>
        <v>#N/A</v>
      </c>
      <c r="KE44" s="310"/>
      <c r="KF44" s="310"/>
      <c r="KG44" s="310"/>
      <c r="KH44" s="310"/>
      <c r="KI44" s="310"/>
      <c r="KJ44" s="310"/>
      <c r="KK44" s="310"/>
      <c r="KL44" s="310"/>
      <c r="KM44" s="310"/>
      <c r="KN44" s="268" t="e">
        <f>IF(KR36=TRUE,ON57,#N/A)</f>
        <v>#N/A</v>
      </c>
      <c r="KO44" s="268" t="e">
        <f>KO43</f>
        <v>#N/A</v>
      </c>
      <c r="KP44" s="267" t="e">
        <f>KP43</f>
        <v>#N/A</v>
      </c>
      <c r="KQ44" s="267" t="e">
        <f>KO57+(KO58-KO57)/2</f>
        <v>#N/A</v>
      </c>
      <c r="KR44" s="347" t="e">
        <f>KO58-KO57</f>
        <v>#N/A</v>
      </c>
      <c r="KS44" s="310"/>
      <c r="KT44" s="242">
        <f>IF(KX36=TRUE,ON57,#N/A)</f>
        <v>0</v>
      </c>
      <c r="KU44" s="242">
        <f>KU43</f>
        <v>1.25</v>
      </c>
      <c r="KV44" s="242">
        <f>KV43</f>
        <v>-1.5999999999999999</v>
      </c>
      <c r="KW44" s="242">
        <f>KU57-(KU57-KU58)/2</f>
        <v>-0.47499999999999998</v>
      </c>
      <c r="KX44" s="389">
        <f>KU57-KU58</f>
        <v>0.95</v>
      </c>
      <c r="KY44" s="310"/>
      <c r="KZ44" s="310"/>
      <c r="LA44" s="310"/>
      <c r="LB44" s="310"/>
      <c r="LC44" s="310"/>
      <c r="LD44" s="310"/>
      <c r="LE44" s="310"/>
      <c r="LF44" s="310"/>
      <c r="LG44" s="310"/>
      <c r="LH44" s="391">
        <f>LH43</f>
        <v>1.9</v>
      </c>
      <c r="LI44" s="391">
        <f>OO50</f>
        <v>0.95</v>
      </c>
      <c r="LJ44" s="338" t="e">
        <v>#N/A</v>
      </c>
      <c r="LK44" s="338" t="e">
        <v>#N/A</v>
      </c>
      <c r="LL44" s="391"/>
      <c r="LM44" s="310"/>
      <c r="LN44" s="310"/>
      <c r="LO44" s="338">
        <f>LO43</f>
        <v>1.9</v>
      </c>
      <c r="LP44" s="338" t="e">
        <f>OO53</f>
        <v>#N/A</v>
      </c>
      <c r="LQ44" s="338" t="e">
        <v>#N/A</v>
      </c>
      <c r="LR44" s="338" t="e">
        <v>#N/A</v>
      </c>
      <c r="LS44" s="391"/>
      <c r="LT44" s="310"/>
      <c r="LU44" s="310"/>
      <c r="LV44" s="338">
        <f>ON49</f>
        <v>-1.2999999999999998</v>
      </c>
      <c r="LW44" s="338" t="e">
        <f>LW43</f>
        <v>#N/A</v>
      </c>
      <c r="LX44" s="338" t="e">
        <v>#N/A</v>
      </c>
      <c r="LY44" s="338" t="e">
        <v>#N/A</v>
      </c>
      <c r="LZ44" s="391"/>
      <c r="MA44" s="310"/>
      <c r="MB44" s="310"/>
      <c r="MC44" s="338" t="e">
        <f>ON54</f>
        <v>#N/A</v>
      </c>
      <c r="MD44" s="338">
        <f>MD43</f>
        <v>0.6071428571428571</v>
      </c>
      <c r="ME44" s="338" t="e">
        <v>#N/A</v>
      </c>
      <c r="MF44" s="338" t="e">
        <v>#N/A</v>
      </c>
      <c r="MG44" s="391"/>
      <c r="MH44" s="310"/>
      <c r="MI44" s="310"/>
      <c r="MJ44" s="242" t="e">
        <v>#N/A</v>
      </c>
      <c r="MK44" s="242" t="e">
        <v>#N/A</v>
      </c>
      <c r="ML44" s="242" t="e">
        <v>#N/A</v>
      </c>
      <c r="MM44" s="242" t="e">
        <v>#N/A</v>
      </c>
      <c r="MN44" s="391"/>
      <c r="MO44" s="310"/>
      <c r="MP44" s="311" t="e">
        <v>#N/A</v>
      </c>
      <c r="MQ44" s="311" t="e">
        <v>#N/A</v>
      </c>
      <c r="MR44" s="311"/>
      <c r="MS44" s="311"/>
      <c r="MT44" s="310"/>
      <c r="MU44" s="310"/>
      <c r="MV44" s="310"/>
      <c r="MW44" s="280" t="e">
        <f>MW43</f>
        <v>#N/A</v>
      </c>
      <c r="MX44" s="280" t="e">
        <f>MX41</f>
        <v>#N/A</v>
      </c>
      <c r="MY44" s="310"/>
      <c r="MZ44" s="328">
        <v>11</v>
      </c>
      <c r="NA44" s="372" t="b">
        <f t="shared" si="76"/>
        <v>0</v>
      </c>
      <c r="NB44" s="280" t="e">
        <f t="shared" si="80"/>
        <v>#N/A</v>
      </c>
      <c r="NC44" s="280" t="e">
        <f t="shared" si="81"/>
        <v>#N/A</v>
      </c>
      <c r="ND44" s="280" t="e">
        <f t="shared" si="77"/>
        <v>#N/A</v>
      </c>
      <c r="NE44" s="280" t="e">
        <f t="shared" si="78"/>
        <v>#N/A</v>
      </c>
      <c r="NF44" s="310"/>
      <c r="NG44" s="310"/>
      <c r="NH44" s="509" t="e" cm="1">
        <f t="array" ref="NH44">IF(NG38=0,#N/A,INDEX(ND34:ND68,NG38))</f>
        <v>#N/A</v>
      </c>
      <c r="NI44" s="280" t="e">
        <f>NE34</f>
        <v>#N/A</v>
      </c>
      <c r="NJ44" s="310"/>
      <c r="NK44" s="310"/>
      <c r="NL44" s="310"/>
      <c r="NM44" s="310"/>
      <c r="NN44" s="310"/>
      <c r="NO44" s="310"/>
      <c r="NP44" s="310"/>
      <c r="NQ44" s="310"/>
      <c r="NR44" s="310"/>
      <c r="NS44" s="310"/>
      <c r="NT44" s="310"/>
      <c r="NU44" s="310"/>
      <c r="NV44" s="310"/>
      <c r="NW44" s="310"/>
      <c r="NX44" s="310"/>
      <c r="NY44" s="310"/>
      <c r="NZ44" s="310"/>
      <c r="OA44" s="310"/>
      <c r="OB44" s="310"/>
      <c r="OC44" s="310"/>
      <c r="OD44" s="310"/>
      <c r="OE44" s="310"/>
      <c r="OF44" s="310"/>
      <c r="OG44" s="310"/>
      <c r="OH44" s="310"/>
      <c r="OI44" s="310"/>
      <c r="OJ44" s="310"/>
      <c r="OK44" s="310"/>
      <c r="OL44" s="310"/>
      <c r="OM44" s="228" t="e">
        <f>IF(ON21=TRUE,OM15,#N/A)</f>
        <v>#N/A</v>
      </c>
      <c r="ON44" s="228" t="e">
        <f>ON43</f>
        <v>#N/A</v>
      </c>
      <c r="OO44" s="310"/>
      <c r="OP44" s="310"/>
      <c r="OQ44" s="310"/>
      <c r="OR44" s="310"/>
      <c r="OS44" s="310"/>
      <c r="OT44" s="310"/>
      <c r="OU44" s="280" t="e">
        <f>IF(OT10=TRUE,OU21-F50/100,#N/A)</f>
        <v>#N/A</v>
      </c>
      <c r="OV44" s="280" t="e">
        <f>OV43</f>
        <v>#N/A</v>
      </c>
      <c r="OW44" s="310"/>
      <c r="OX44" s="329" t="s">
        <v>462</v>
      </c>
      <c r="OY44" s="310" t="e">
        <f>OV42-OV43</f>
        <v>#N/A</v>
      </c>
      <c r="OZ44" s="310"/>
      <c r="PA44" s="310"/>
      <c r="PB44" s="310"/>
      <c r="PC44" s="310"/>
      <c r="PD44" s="310"/>
      <c r="PE44" s="292" t="e">
        <f>IF($OV$8=TRUE,PE41,#N/A)</f>
        <v>#N/A</v>
      </c>
      <c r="PF44" s="328" t="e">
        <f>IF($OV$8=TRUE,PF42+0.2,#N/A)</f>
        <v>#N/A</v>
      </c>
      <c r="PG44" s="292" t="e">
        <f t="shared" si="84"/>
        <v>#N/A</v>
      </c>
      <c r="PH44" s="310"/>
      <c r="PI44" s="310"/>
      <c r="PJ44" s="310"/>
      <c r="PK44" s="310"/>
      <c r="PL44" s="310"/>
      <c r="PM44" s="310"/>
      <c r="PN44" s="310"/>
      <c r="PO44" s="310"/>
      <c r="PP44" s="310"/>
      <c r="PQ44" s="310"/>
      <c r="PR44" s="310"/>
      <c r="PS44" s="342">
        <v>30</v>
      </c>
      <c r="PT44" s="261" t="e">
        <f t="shared" si="29"/>
        <v>#N/A</v>
      </c>
      <c r="PU44" s="261" t="e">
        <f t="shared" si="30"/>
        <v>#N/A</v>
      </c>
      <c r="PV44" s="310"/>
      <c r="PW44" s="310"/>
      <c r="PX44" s="310"/>
      <c r="PY44" s="310"/>
      <c r="PZ44" s="310"/>
      <c r="QA44" s="310"/>
      <c r="QB44" s="310"/>
      <c r="QC44" s="310"/>
      <c r="QD44" s="310"/>
      <c r="QE44" s="442" t="s">
        <v>521</v>
      </c>
      <c r="QF44" s="443">
        <f>QF43/(QF42*100*C51)</f>
        <v>3.0846346635820323</v>
      </c>
      <c r="QG44" s="310"/>
      <c r="QH44" s="310"/>
      <c r="QI44" s="310"/>
      <c r="QJ44" s="310"/>
      <c r="QK44" s="310"/>
      <c r="QL44" s="310"/>
      <c r="QM44" s="310"/>
      <c r="QN44" s="310"/>
      <c r="QO44" s="310"/>
      <c r="QP44" s="310"/>
      <c r="QQ44" s="442" t="s">
        <v>521</v>
      </c>
      <c r="QR44" s="444">
        <f>QR43/(QR42*100*C51)</f>
        <v>2.3134759976865245</v>
      </c>
      <c r="QS44" s="310"/>
      <c r="QT44" s="310"/>
      <c r="QU44" s="310"/>
      <c r="QV44" s="310"/>
      <c r="QW44" s="310"/>
      <c r="QX44" s="310"/>
      <c r="QY44" s="310"/>
      <c r="QZ44" s="310"/>
      <c r="RA44" s="310"/>
      <c r="RB44" s="310"/>
      <c r="RC44" s="310"/>
      <c r="RD44" s="310"/>
      <c r="RE44" s="310"/>
      <c r="RF44" s="310"/>
      <c r="RG44" s="310"/>
      <c r="RH44" s="310"/>
      <c r="RI44" s="310"/>
      <c r="RJ44" s="310"/>
      <c r="RK44" s="310"/>
      <c r="RL44" s="310"/>
      <c r="RM44" s="310"/>
      <c r="RN44" s="310"/>
      <c r="RO44" s="310"/>
      <c r="RP44" s="310"/>
      <c r="RQ44" s="310"/>
      <c r="RR44" s="310"/>
      <c r="RS44" s="310"/>
      <c r="RT44" s="310"/>
      <c r="RU44" s="310"/>
      <c r="RV44" s="310"/>
      <c r="RW44" s="313" t="s">
        <v>573</v>
      </c>
      <c r="RX44" s="313" t="s">
        <v>574</v>
      </c>
      <c r="RY44" s="310"/>
      <c r="RZ44" s="310"/>
      <c r="SA44" s="310"/>
      <c r="SB44" s="310"/>
      <c r="SE44" s="4" t="s">
        <v>167</v>
      </c>
      <c r="SF44" s="514" t="e">
        <f>RY33</f>
        <v>#N/A</v>
      </c>
      <c r="SG44" s="514" t="e">
        <f>RZ33</f>
        <v>#N/A</v>
      </c>
      <c r="SH44" s="513"/>
      <c r="SI44" s="514"/>
      <c r="SJ44" s="310"/>
      <c r="SK44" s="310"/>
      <c r="SL44" s="310"/>
      <c r="SM44" s="310"/>
      <c r="SN44" s="310"/>
      <c r="SO44" s="220"/>
      <c r="SP44" s="220"/>
      <c r="SQ44" s="220"/>
      <c r="SR44" s="220"/>
      <c r="SS44" s="220"/>
      <c r="ST44" s="220"/>
      <c r="SU44" s="220"/>
      <c r="SV44" s="220"/>
      <c r="SW44" s="220"/>
      <c r="SX44" s="220"/>
      <c r="SY44" s="220"/>
      <c r="SZ44" s="220"/>
      <c r="TA44" s="220"/>
      <c r="TB44" s="220"/>
      <c r="TC44" s="220"/>
      <c r="TD44" s="220"/>
      <c r="TE44" s="220"/>
      <c r="TF44" s="220"/>
      <c r="TG44" s="220"/>
      <c r="TH44" s="220"/>
      <c r="TI44" s="220"/>
      <c r="TJ44" s="220"/>
      <c r="TK44" s="220"/>
      <c r="TL44" s="220"/>
      <c r="TM44" s="220"/>
      <c r="TN44" s="220"/>
      <c r="TO44" s="220"/>
      <c r="TP44" s="220"/>
      <c r="TQ44" s="220"/>
      <c r="TR44" s="220"/>
      <c r="TS44" s="220"/>
      <c r="TT44" s="220"/>
      <c r="TU44" s="220"/>
      <c r="TV44" s="220"/>
      <c r="TW44" s="220"/>
      <c r="TX44" s="220"/>
      <c r="TY44" s="220"/>
      <c r="TZ44" s="220"/>
      <c r="UA44" s="220"/>
      <c r="UB44" s="220"/>
      <c r="UC44" s="220"/>
      <c r="UD44" s="220"/>
      <c r="UE44" s="220"/>
      <c r="UF44" s="220"/>
      <c r="UG44" s="220"/>
      <c r="UH44" s="220"/>
      <c r="UI44" s="220"/>
      <c r="UJ44" s="220"/>
      <c r="UK44" s="216"/>
      <c r="UL44" s="216"/>
      <c r="UM44" s="216"/>
      <c r="UN44" s="216"/>
      <c r="UO44" s="216"/>
      <c r="UP44" s="216"/>
      <c r="UQ44" s="216"/>
      <c r="UR44" s="216"/>
      <c r="US44" s="216"/>
      <c r="UT44" s="216"/>
      <c r="UU44" s="216"/>
      <c r="UV44" s="216"/>
      <c r="UW44" s="216"/>
      <c r="UX44" s="216"/>
      <c r="UY44" s="216"/>
      <c r="UZ44" s="216"/>
      <c r="VA44" s="216"/>
    </row>
    <row r="45" spans="1:573" s="4" customFormat="1" ht="18.75" customHeight="1" x14ac:dyDescent="0.3">
      <c r="A45" s="116"/>
      <c r="B45" s="117" t="s">
        <v>128</v>
      </c>
      <c r="C45" s="197">
        <v>1700</v>
      </c>
      <c r="D45" s="118"/>
      <c r="E45" s="119" t="s">
        <v>129</v>
      </c>
      <c r="F45" s="120">
        <f>15210*SQRT(C48)</f>
        <v>235632.30678325926</v>
      </c>
      <c r="G45" s="121" t="str">
        <v>P2</v>
      </c>
      <c r="H45" s="122">
        <f>IF(AND(CP13=TRUE,J27&lt;&gt;"",CU11=TRUE),IF(BM8=TRUE,TRUNC(J27-J38,3),""),"")</f>
        <v>-0.65</v>
      </c>
      <c r="I45" s="123">
        <f>IF(AND(CP13=TRUE,H27&lt;&gt;"",CU11=TRUE),IF(BM8=TRUE,TRUNC(H27-J36,3),""),"")</f>
        <v>0.46400000000000002</v>
      </c>
      <c r="J45" s="674">
        <f>IF(AND(H45&lt;&gt;"",CU11=TRUE),IF(BM8=TRUE,H45^2,""),"")</f>
        <v>0.42250000000000004</v>
      </c>
      <c r="K45" s="675"/>
      <c r="L45" s="124">
        <f>IF(AND(I45&lt;&gt;"",CU11=TRUE),IF(BM8=TRUE,I45^2,""),"")</f>
        <v>0.21529600000000002</v>
      </c>
      <c r="M45" s="670">
        <f t="shared" ref="M45:M51" si="91">IF(H45&lt;&gt;"",IF(BI62&lt;&gt;"",TRUNC(BI62,2),""),"")</f>
        <v>0</v>
      </c>
      <c r="N45" s="671"/>
      <c r="O45" s="125" t="str">
        <f>IF(H45&lt;&gt;"",IF(BM8=TRUE,IF(M45&lt;=$M$8,"PASS","FALSE"),""),"")</f>
        <v>PASS</v>
      </c>
      <c r="P45" s="88"/>
      <c r="Q45" s="95" t="str">
        <f>IF(FM55=TRUE,"       "&amp;FO55&amp;" [Active]","       "&amp;FO55&amp;" [Lock]")</f>
        <v xml:space="preserve">       CURSOR : C5 [Lock]</v>
      </c>
      <c r="R45" s="13"/>
      <c r="S45" s="13"/>
      <c r="T45" s="89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5"/>
      <c r="AM45" s="45"/>
      <c r="AN45" s="45"/>
      <c r="AO45" s="45"/>
      <c r="AP45" s="310"/>
      <c r="AQ45" s="310"/>
      <c r="AR45" s="310"/>
      <c r="AS45" s="310"/>
      <c r="AT45" s="310"/>
      <c r="AU45" s="310"/>
      <c r="AV45" s="310"/>
      <c r="AW45" s="310"/>
      <c r="AX45" s="310"/>
      <c r="AY45" s="310"/>
      <c r="AZ45" s="310"/>
      <c r="BA45" s="310"/>
      <c r="BB45" s="310"/>
      <c r="BC45" s="338" t="b">
        <f>IF(BM9=TRUE,IF(M46&lt;=$M$8,TRUE,FALSE),"")</f>
        <v>1</v>
      </c>
      <c r="BD45" s="338" t="b">
        <f>IF(BC45=FALSE,TRUE,FALSE)</f>
        <v>0</v>
      </c>
      <c r="BE45" s="328" t="str">
        <f>IF(BD45=TRUE,G46,"")</f>
        <v/>
      </c>
      <c r="BF45" s="310"/>
      <c r="BG45" s="310" t="b">
        <f>OR(BG43=TRUE,BG44=TRUE)</f>
        <v>1</v>
      </c>
      <c r="BH45" s="329" t="s">
        <v>207</v>
      </c>
      <c r="BI45" s="310" t="str">
        <f>IF(BG46=TRUE,(IF(BG43=TRUE,BI43,"")&amp;" ,"&amp;IF(BG44=TRUE,BI44,"")),BI42)</f>
        <v>PILE CAP REINFORCEMENT : PASS</v>
      </c>
      <c r="BJ45" s="310"/>
      <c r="BK45" s="310"/>
      <c r="BL45" s="310"/>
      <c r="BM45" s="310"/>
      <c r="BN45" s="329" t="s">
        <v>207</v>
      </c>
      <c r="BO45" s="304" t="str">
        <f>IF(AND(BM43=TRUE,BN43=TRUE),BO43,BO44)</f>
        <v>BEAM SHEAR : PASS</v>
      </c>
      <c r="BP45" s="310"/>
      <c r="BQ45" s="310"/>
      <c r="BR45" s="310"/>
      <c r="BS45" s="310"/>
      <c r="BT45" s="310"/>
      <c r="BU45" s="310"/>
      <c r="BV45" s="310"/>
      <c r="BW45" s="310"/>
      <c r="BX45" s="400"/>
      <c r="BY45" s="310"/>
      <c r="BZ45" s="310"/>
      <c r="CA45" s="310"/>
      <c r="CB45" s="310"/>
      <c r="CC45" s="310"/>
      <c r="CD45" s="310" t="s">
        <v>134</v>
      </c>
      <c r="CE45" s="310" t="b">
        <f>AND($BY$20=TRUE,$BE$8=TRUE,$AY$15=TRUE)</f>
        <v>0</v>
      </c>
      <c r="CF45" s="310"/>
      <c r="CG45" s="310"/>
      <c r="CH45" s="310"/>
      <c r="CI45" s="310"/>
      <c r="CJ45" s="257" t="e">
        <f>CJ44</f>
        <v>#N/A</v>
      </c>
      <c r="CK45" s="242" t="e">
        <f>IF(AND(CK27=TRUE,CK28=TRUE),CL24-$BT$7/2,#N/A)</f>
        <v>#N/A</v>
      </c>
      <c r="CL45" s="310"/>
      <c r="CM45" s="310"/>
      <c r="CN45" s="338" t="e">
        <f>CN43</f>
        <v>#N/A</v>
      </c>
      <c r="CO45" s="338" t="e">
        <f>CO43</f>
        <v>#N/A</v>
      </c>
      <c r="CP45" s="338" t="e">
        <f>IF(CM70=TRUE,CN72,#N/A)</f>
        <v>#N/A</v>
      </c>
      <c r="CQ45" s="338" t="e">
        <f>IF(CM70=TRUE,CO72,#N/A)</f>
        <v>#N/A</v>
      </c>
      <c r="CR45" s="338" t="str">
        <f>"NEW CG. :"</f>
        <v>NEW CG. :</v>
      </c>
      <c r="CS45" s="310" t="e">
        <f>TEXT(DU31,"#,###.00")&amp;"N, "&amp;TEXT(DV31,"#,###.00")&amp;"E"</f>
        <v>#N/A</v>
      </c>
      <c r="CT45" s="338" t="e">
        <f>CT43</f>
        <v>#N/A</v>
      </c>
      <c r="CU45" s="338" t="e">
        <f>CU43</f>
        <v>#N/A</v>
      </c>
      <c r="CV45" s="392" t="e">
        <f>CT72</f>
        <v>#N/A</v>
      </c>
      <c r="CW45" s="310" t="e">
        <f>CU72</f>
        <v>#N/A</v>
      </c>
      <c r="CX45" s="310" t="str">
        <f>"NEW CG. :"</f>
        <v>NEW CG. :</v>
      </c>
      <c r="CY45" s="310"/>
      <c r="CZ45" s="310"/>
      <c r="DA45" s="310"/>
      <c r="DB45" s="310"/>
      <c r="DC45" s="280" t="e">
        <f>IF(DD39=TRUE,BT7/2+0.2,#N/A)</f>
        <v>#N/A</v>
      </c>
      <c r="DD45" s="280" t="e">
        <f>DD41</f>
        <v>#N/A</v>
      </c>
      <c r="DE45" s="310"/>
      <c r="DF45" s="280" t="e">
        <f>DF42</f>
        <v>#N/A</v>
      </c>
      <c r="DG45" s="280" t="e">
        <f>DG44</f>
        <v>#N/A</v>
      </c>
      <c r="DH45" s="338">
        <f>DH44</f>
        <v>0.2</v>
      </c>
      <c r="DI45" s="310"/>
      <c r="DJ45" s="310"/>
      <c r="DK45" s="313">
        <v>37</v>
      </c>
      <c r="DL45" s="282" t="e">
        <f t="shared" si="3"/>
        <v>#N/A</v>
      </c>
      <c r="DM45" s="291" t="e">
        <f t="shared" si="4"/>
        <v>#N/A</v>
      </c>
      <c r="DN45" s="310"/>
      <c r="DO45" s="310"/>
      <c r="DP45" s="310"/>
      <c r="DQ45" s="310"/>
      <c r="DR45" s="310"/>
      <c r="DS45" s="310"/>
      <c r="DT45" s="310"/>
      <c r="DU45" s="328" t="s">
        <v>48</v>
      </c>
      <c r="DV45" s="328" t="s">
        <v>49</v>
      </c>
      <c r="DW45" s="310"/>
      <c r="DX45" s="310"/>
      <c r="DY45" s="328" t="s">
        <v>49</v>
      </c>
      <c r="DZ45" s="328" t="s">
        <v>48</v>
      </c>
      <c r="EA45" s="310"/>
      <c r="EB45" s="310" t="s">
        <v>135</v>
      </c>
      <c r="EC45" s="310" t="s">
        <v>136</v>
      </c>
      <c r="ED45" s="310" t="s">
        <v>49</v>
      </c>
      <c r="EE45" s="310" t="s">
        <v>48</v>
      </c>
      <c r="EF45" s="310" t="s">
        <v>50</v>
      </c>
      <c r="EG45" s="310"/>
      <c r="EH45" s="310"/>
      <c r="EI45" s="310"/>
      <c r="EJ45" s="310"/>
      <c r="EK45" s="310"/>
      <c r="EL45" s="310"/>
      <c r="EM45" s="310"/>
      <c r="EN45" s="310"/>
      <c r="EO45" s="310"/>
      <c r="EP45" s="310"/>
      <c r="EQ45" s="310"/>
      <c r="ER45" s="310"/>
      <c r="ES45" s="310"/>
      <c r="ET45" s="310"/>
      <c r="EU45" s="310"/>
      <c r="EV45" s="310"/>
      <c r="EW45" s="310"/>
      <c r="EX45" s="310"/>
      <c r="EY45" s="310"/>
      <c r="EZ45" s="310"/>
      <c r="FA45" s="310"/>
      <c r="FB45" s="310"/>
      <c r="FC45" s="310"/>
      <c r="FD45" s="310"/>
      <c r="FE45" s="310"/>
      <c r="FF45" s="310"/>
      <c r="FG45" s="310"/>
      <c r="FH45" s="310"/>
      <c r="FI45" s="310">
        <v>7091.6229999999996</v>
      </c>
      <c r="FJ45" s="310">
        <v>4319.3990000000003</v>
      </c>
      <c r="FK45" s="310"/>
      <c r="FL45" s="310"/>
      <c r="FM45" s="318" t="b">
        <f>AND(FL24=TRUE,BM7=TRUE)</f>
        <v>0</v>
      </c>
      <c r="FN45" s="318"/>
      <c r="FO45" s="318" t="s">
        <v>310</v>
      </c>
      <c r="FP45" s="311"/>
      <c r="FQ45" s="313" t="s">
        <v>332</v>
      </c>
      <c r="FR45" s="318">
        <f>$GP$25</f>
        <v>-1.2999999999999998</v>
      </c>
      <c r="FS45" s="318">
        <f>$GD$25</f>
        <v>-0.95</v>
      </c>
      <c r="FT45" s="318">
        <f>$GP$25</f>
        <v>-1.2999999999999998</v>
      </c>
      <c r="FU45" s="318">
        <f>$GQ$25</f>
        <v>-0.95</v>
      </c>
      <c r="FV45" s="318">
        <f>$GP$25</f>
        <v>-1.2999999999999998</v>
      </c>
      <c r="FW45" s="318">
        <f>$GQ$25</f>
        <v>-0.95</v>
      </c>
      <c r="FX45" s="318">
        <f>$GP$25</f>
        <v>-1.2999999999999998</v>
      </c>
      <c r="FY45" s="318">
        <f>$GQ$25</f>
        <v>-0.95</v>
      </c>
      <c r="FZ45" s="318">
        <f>$GP$25</f>
        <v>-1.2999999999999998</v>
      </c>
      <c r="GA45" s="318">
        <f>$GQ$25</f>
        <v>-0.95</v>
      </c>
      <c r="GB45" s="318" cm="1">
        <f t="array" ref="GB45:GC61">_xlfn.SWITCH(FP22,
"F1",FR45:FS61,
"F2",FT45:FU61,
"F3",FV45:FW61,
"F4",FZ45:GA61,"F5",FZ45:GA61,
"")</f>
        <v>-1.2999999999999998</v>
      </c>
      <c r="GC45" s="318">
        <v>-0.95</v>
      </c>
      <c r="GD45" s="310"/>
      <c r="GE45" s="535" t="s">
        <v>117</v>
      </c>
      <c r="GF45" s="328" t="s">
        <v>332</v>
      </c>
      <c r="GG45" s="328" t="s">
        <v>333</v>
      </c>
      <c r="GH45" s="328" t="s">
        <v>333</v>
      </c>
      <c r="GI45" s="328" t="str">
        <f>IF($AX$14=1,GG45,GH45)</f>
        <v>C2</v>
      </c>
      <c r="GJ45" s="328" t="s">
        <v>333</v>
      </c>
      <c r="GK45" s="328" t="s">
        <v>332</v>
      </c>
      <c r="GL45" s="328" t="s">
        <v>333</v>
      </c>
      <c r="GM45" s="328" t="s">
        <v>334</v>
      </c>
      <c r="GN45" s="328" t="s">
        <v>334</v>
      </c>
      <c r="GO45" s="328" t="str" cm="1">
        <f t="array" ref="GO45">_xlfn.SWITCH(EU17, "Y-AXIS-T",GK45:GK61, "Y-AXIS-B",GL45:GL61, "X-AXIS-L",GN45:GN61, "X-AXIS-R",GM45:GM61, "")</f>
        <v/>
      </c>
      <c r="GP45" s="402" t="str" cm="1">
        <f t="array" ref="GP45:GP61">_xlfn.SWITCH(GP44, "F1",GF45:GF61, "F2",GI45:GI61, "F3",_xlfn.ANCHORARRAY(GO45), "F4",GJ45:GJ61,"F5",GJ45:GJ61, "")</f>
        <v>C2</v>
      </c>
      <c r="GQ45" s="223">
        <f>INDEX($GP$25:$GP$30,MATCH(GP45,$GF$25:$GF$30,0))</f>
        <v>-1.2999999999999998</v>
      </c>
      <c r="GR45" s="223">
        <f>INDEX($GQ$25:$GQ$30,MATCH(GP45,$GF$25:$GF$30,0))</f>
        <v>0.95</v>
      </c>
      <c r="GS45" s="445">
        <f>MAX(GR45:GR46)</f>
        <v>0.95</v>
      </c>
      <c r="GT45" s="531" t="s">
        <v>117</v>
      </c>
      <c r="GU45" s="531">
        <f>_xlfn.AGGREGATE(4,6,BB75:BB82)</f>
        <v>0.65</v>
      </c>
      <c r="GV45" s="536">
        <f>ABS(GS45)-ABS(GU45)</f>
        <v>0.29999999999999993</v>
      </c>
      <c r="GW45" s="533" t="b">
        <f>IF(HE45&gt;=IF(BK6=1,0.5*BT7,BT7),TRUE,FALSE)</f>
        <v>1</v>
      </c>
      <c r="GX45" s="531" t="b">
        <f>IF(GW45=FALSE,TRUE,FALSE)</f>
        <v>0</v>
      </c>
      <c r="GY45" s="533">
        <f>GV45-$J$16</f>
        <v>0</v>
      </c>
      <c r="GZ45" s="242">
        <f>IF(HE45=TRUE,GQ45,#N/A)</f>
        <v>-1.2999999999999998</v>
      </c>
      <c r="HA45" s="242">
        <f>IF(HE45=TRUE,GR45,#N/A)</f>
        <v>0.95</v>
      </c>
      <c r="HB45" s="242" t="e">
        <f>IF(HF45=TRUE,GQ45,#N/A)</f>
        <v>#N/A</v>
      </c>
      <c r="HC45" s="242" t="e">
        <f>IF(HF45=TRUE,GR45,#N/A)</f>
        <v>#N/A</v>
      </c>
      <c r="HD45" s="310" t="s">
        <v>446</v>
      </c>
      <c r="HE45" s="531" t="b">
        <f>IF(HG45&gt;=BT7,TRUE,FALSE)</f>
        <v>1</v>
      </c>
      <c r="HF45" s="532" t="b">
        <f>IF(HE45=FALSE,TRUE,FALSE)</f>
        <v>0</v>
      </c>
      <c r="HG45" s="523">
        <f>IF(CP13=TRUE,ABS(GV45),"")</f>
        <v>0.29999999999999993</v>
      </c>
      <c r="HH45" s="310" t="str">
        <f>IF(HF45=TRUE,"TOP +"&amp;TEXT(BT7-HG45,"0.00")&amp;"m,","")</f>
        <v/>
      </c>
      <c r="HI45" s="310"/>
      <c r="HJ45" s="310"/>
      <c r="HK45" s="342">
        <v>31</v>
      </c>
      <c r="HL45" s="235" t="e">
        <f t="shared" si="5"/>
        <v>#N/A</v>
      </c>
      <c r="HM45" s="235" t="e">
        <f t="shared" si="6"/>
        <v>#N/A</v>
      </c>
      <c r="HN45" s="310"/>
      <c r="HO45" s="310"/>
      <c r="HP45" s="235" t="e">
        <f t="shared" si="7"/>
        <v>#N/A</v>
      </c>
      <c r="HQ45" s="235" t="e">
        <f t="shared" si="8"/>
        <v>#N/A</v>
      </c>
      <c r="HR45" s="310"/>
      <c r="HS45" s="310"/>
      <c r="HT45" s="235" t="e">
        <f t="shared" si="9"/>
        <v>#N/A</v>
      </c>
      <c r="HU45" s="235" t="e">
        <f t="shared" si="10"/>
        <v>#N/A</v>
      </c>
      <c r="HV45" s="310"/>
      <c r="HW45" s="310"/>
      <c r="HX45" s="235" t="e">
        <f t="shared" si="11"/>
        <v>#N/A</v>
      </c>
      <c r="HY45" s="235" t="e">
        <f t="shared" si="12"/>
        <v>#N/A</v>
      </c>
      <c r="HZ45" s="310"/>
      <c r="IA45" s="310"/>
      <c r="IB45" s="235" t="e">
        <f t="shared" si="13"/>
        <v>#N/A</v>
      </c>
      <c r="IC45" s="235" t="e">
        <f t="shared" si="14"/>
        <v>#N/A</v>
      </c>
      <c r="ID45" s="310"/>
      <c r="IE45" s="342">
        <v>31</v>
      </c>
      <c r="IF45" s="262" t="e">
        <f t="shared" si="15"/>
        <v>#N/A</v>
      </c>
      <c r="IG45" s="262" t="e">
        <f t="shared" si="16"/>
        <v>#N/A</v>
      </c>
      <c r="IH45" s="390"/>
      <c r="II45" s="390"/>
      <c r="IJ45" s="262" t="e">
        <f t="shared" si="17"/>
        <v>#N/A</v>
      </c>
      <c r="IK45" s="262" t="e">
        <f t="shared" si="18"/>
        <v>#N/A</v>
      </c>
      <c r="IL45" s="390"/>
      <c r="IM45" s="390"/>
      <c r="IN45" s="262" t="e">
        <f t="shared" si="19"/>
        <v>#N/A</v>
      </c>
      <c r="IO45" s="262" t="e">
        <f t="shared" si="20"/>
        <v>#N/A</v>
      </c>
      <c r="IP45" s="390"/>
      <c r="IQ45" s="390"/>
      <c r="IR45" s="262" t="e">
        <f t="shared" si="21"/>
        <v>#N/A</v>
      </c>
      <c r="IS45" s="262" t="e">
        <f t="shared" si="22"/>
        <v>#N/A</v>
      </c>
      <c r="IT45" s="390"/>
      <c r="IU45" s="390"/>
      <c r="IV45" s="262" t="e">
        <f t="shared" si="23"/>
        <v>#N/A</v>
      </c>
      <c r="IW45" s="262" t="e">
        <f t="shared" si="24"/>
        <v>#N/A</v>
      </c>
      <c r="IX45" s="310"/>
      <c r="IY45" s="310"/>
      <c r="IZ45" s="310"/>
      <c r="JA45" s="310"/>
      <c r="JB45" s="313" t="s">
        <v>152</v>
      </c>
      <c r="JC45" s="236" t="e">
        <f>JC44</f>
        <v>#N/A</v>
      </c>
      <c r="JD45" s="236" t="e">
        <f>JA44-($IZ$10/2)+$IZ$9</f>
        <v>#N/A</v>
      </c>
      <c r="JE45" s="310"/>
      <c r="JF45" s="310"/>
      <c r="JG45" s="310"/>
      <c r="JH45" s="310"/>
      <c r="JI45" s="313" t="s">
        <v>152</v>
      </c>
      <c r="JJ45" s="263" t="e">
        <f>JJ44</f>
        <v>#N/A</v>
      </c>
      <c r="JK45" s="263" t="e">
        <f>JH44-($IZ$10/2)+$IZ$9</f>
        <v>#N/A</v>
      </c>
      <c r="JL45" s="310"/>
      <c r="JM45" s="310"/>
      <c r="JN45" s="261" t="e">
        <f t="shared" si="25"/>
        <v>#N/A</v>
      </c>
      <c r="JO45" s="261" t="e">
        <f t="shared" si="26"/>
        <v>#N/A</v>
      </c>
      <c r="JP45" s="310"/>
      <c r="JQ45" s="310"/>
      <c r="JR45" s="261" t="e">
        <f t="shared" si="31"/>
        <v>#N/A</v>
      </c>
      <c r="JS45" s="261" t="e">
        <f t="shared" si="32"/>
        <v>#N/A</v>
      </c>
      <c r="JT45" s="310"/>
      <c r="JU45" s="310"/>
      <c r="JV45" s="261" t="e">
        <f t="shared" si="27"/>
        <v>#N/A</v>
      </c>
      <c r="JW45" s="261" t="e">
        <f t="shared" si="28"/>
        <v>#N/A</v>
      </c>
      <c r="JX45" s="310"/>
      <c r="JY45" s="310"/>
      <c r="JZ45" s="310"/>
      <c r="KA45" s="310"/>
      <c r="KB45" s="313" t="s">
        <v>326</v>
      </c>
      <c r="KC45" s="242" t="e">
        <f>KC39</f>
        <v>#N/A</v>
      </c>
      <c r="KD45" s="242" t="e">
        <f>KD39</f>
        <v>#N/A</v>
      </c>
      <c r="KE45" s="310"/>
      <c r="KF45" s="310"/>
      <c r="KG45" s="310"/>
      <c r="KH45" s="310"/>
      <c r="KI45" s="310"/>
      <c r="KJ45" s="310"/>
      <c r="KK45" s="310"/>
      <c r="KL45" s="310"/>
      <c r="KM45" s="310"/>
      <c r="KN45" s="267" t="e">
        <v>#N/A</v>
      </c>
      <c r="KO45" s="267" t="e">
        <v>#N/A</v>
      </c>
      <c r="KP45" s="391"/>
      <c r="KQ45" s="391"/>
      <c r="KR45" s="391"/>
      <c r="KS45" s="310"/>
      <c r="KT45" s="267" t="e">
        <v>#N/A</v>
      </c>
      <c r="KU45" s="267" t="e">
        <v>#N/A</v>
      </c>
      <c r="KV45" s="338"/>
      <c r="KW45" s="338"/>
      <c r="KX45" s="389"/>
      <c r="KY45" s="310"/>
      <c r="KZ45" s="310"/>
      <c r="LA45" s="310"/>
      <c r="LB45" s="310"/>
      <c r="LC45" s="310"/>
      <c r="LD45" s="310"/>
      <c r="LE45" s="310"/>
      <c r="LF45" s="310"/>
      <c r="LG45" s="310"/>
      <c r="LH45" s="391">
        <f>ON50+LH7</f>
        <v>-1.2499999999999998</v>
      </c>
      <c r="LI45" s="391">
        <f>LI44</f>
        <v>0.95</v>
      </c>
      <c r="LJ45" s="338" t="e">
        <v>#N/A</v>
      </c>
      <c r="LK45" s="338" t="e">
        <v>#N/A</v>
      </c>
      <c r="LL45" s="391"/>
      <c r="LM45" s="310"/>
      <c r="LN45" s="310"/>
      <c r="LO45" s="338" t="e">
        <f>ON53+LO7</f>
        <v>#N/A</v>
      </c>
      <c r="LP45" s="338" t="e">
        <f>LP44</f>
        <v>#N/A</v>
      </c>
      <c r="LQ45" s="338" t="e">
        <v>#N/A</v>
      </c>
      <c r="LR45" s="338" t="e">
        <v>#N/A</v>
      </c>
      <c r="LS45" s="391"/>
      <c r="LT45" s="310"/>
      <c r="LU45" s="310"/>
      <c r="LV45" s="338">
        <f>LV44</f>
        <v>-1.2999999999999998</v>
      </c>
      <c r="LW45" s="338">
        <f>OO49-LV7</f>
        <v>-1</v>
      </c>
      <c r="LX45" s="338" t="e">
        <v>#N/A</v>
      </c>
      <c r="LY45" s="338" t="e">
        <v>#N/A</v>
      </c>
      <c r="LZ45" s="391"/>
      <c r="MA45" s="310"/>
      <c r="MB45" s="310"/>
      <c r="MC45" s="338" t="e">
        <f>MC44</f>
        <v>#N/A</v>
      </c>
      <c r="MD45" s="338" t="e">
        <f>OO54-MC7</f>
        <v>#N/A</v>
      </c>
      <c r="ME45" s="338" t="e">
        <v>#N/A</v>
      </c>
      <c r="MF45" s="338" t="e">
        <v>#N/A</v>
      </c>
      <c r="MG45" s="391"/>
      <c r="MH45" s="310"/>
      <c r="MI45" s="310"/>
      <c r="MJ45" s="242" t="e">
        <v>#N/A</v>
      </c>
      <c r="MK45" s="242" t="e">
        <v>#N/A</v>
      </c>
      <c r="ML45" s="242" t="e">
        <v>#N/A</v>
      </c>
      <c r="MM45" s="242" t="e">
        <v>#N/A</v>
      </c>
      <c r="MN45" s="391"/>
      <c r="MO45" s="310"/>
      <c r="MP45" s="311" t="e">
        <v>#N/A</v>
      </c>
      <c r="MQ45" s="311" t="e">
        <v>#N/A</v>
      </c>
      <c r="MR45" s="311"/>
      <c r="MS45" s="311"/>
      <c r="MT45" s="310"/>
      <c r="MU45" s="310"/>
      <c r="MV45" s="310"/>
      <c r="MW45" s="310"/>
      <c r="MX45" s="310"/>
      <c r="MY45" s="310"/>
      <c r="MZ45" s="328">
        <v>12</v>
      </c>
      <c r="NA45" s="372" t="b">
        <f t="shared" si="76"/>
        <v>0</v>
      </c>
      <c r="NB45" s="280" t="e">
        <f t="shared" si="80"/>
        <v>#N/A</v>
      </c>
      <c r="NC45" s="280" t="e">
        <f t="shared" si="81"/>
        <v>#N/A</v>
      </c>
      <c r="ND45" s="280" t="e">
        <f t="shared" si="77"/>
        <v>#N/A</v>
      </c>
      <c r="NE45" s="280" t="e">
        <f t="shared" si="78"/>
        <v>#N/A</v>
      </c>
      <c r="NF45" s="310"/>
      <c r="NG45" s="310"/>
      <c r="NH45" s="509" t="e">
        <f>NH44+0.15</f>
        <v>#N/A</v>
      </c>
      <c r="NI45" s="298" t="e">
        <f>MU38/1.5</f>
        <v>#N/A</v>
      </c>
      <c r="NJ45" s="310"/>
      <c r="NK45" s="310"/>
      <c r="NL45" s="310"/>
      <c r="NM45" s="310"/>
      <c r="NN45" s="310"/>
      <c r="NO45" s="310"/>
      <c r="NP45" s="310"/>
      <c r="NQ45" s="310"/>
      <c r="NR45" s="310"/>
      <c r="NS45" s="524" t="s">
        <v>434</v>
      </c>
      <c r="NT45" s="524"/>
      <c r="NU45" s="310"/>
      <c r="NV45" s="310"/>
      <c r="NW45" s="524" t="s">
        <v>433</v>
      </c>
      <c r="NX45" s="524"/>
      <c r="NY45" s="310"/>
      <c r="NZ45" s="310"/>
      <c r="OA45" s="310"/>
      <c r="OB45" s="310"/>
      <c r="OC45" s="310"/>
      <c r="OD45" s="310"/>
      <c r="OE45" s="310"/>
      <c r="OF45" s="310"/>
      <c r="OG45" s="310"/>
      <c r="OH45" s="310"/>
      <c r="OI45" s="310"/>
      <c r="OJ45" s="310"/>
      <c r="OK45" s="310"/>
      <c r="OL45" s="310"/>
      <c r="OM45" s="310"/>
      <c r="ON45" s="310"/>
      <c r="OO45" s="310"/>
      <c r="OP45" s="310"/>
      <c r="OQ45" s="310"/>
      <c r="OR45" s="310"/>
      <c r="OS45" s="310"/>
      <c r="OT45" s="310"/>
      <c r="OU45" s="292" t="e">
        <v>#N/A</v>
      </c>
      <c r="OV45" s="292" t="e">
        <v>#N/A</v>
      </c>
      <c r="OW45" s="310"/>
      <c r="OX45" s="310" t="s">
        <v>463</v>
      </c>
      <c r="OY45" s="310" t="e">
        <f>OV54</f>
        <v>#N/A</v>
      </c>
      <c r="OZ45" s="310"/>
      <c r="PA45" s="310"/>
      <c r="PB45" s="310"/>
      <c r="PC45" s="310"/>
      <c r="PD45" s="310"/>
      <c r="PE45" s="292" t="e">
        <f>IF($OV$8=TRUE,PE42,#N/A)</f>
        <v>#N/A</v>
      </c>
      <c r="PF45" s="328" t="e">
        <f>PF44</f>
        <v>#N/A</v>
      </c>
      <c r="PG45" s="292" t="e">
        <f t="shared" si="84"/>
        <v>#N/A</v>
      </c>
      <c r="PH45" s="310"/>
      <c r="PI45" s="310"/>
      <c r="PJ45" s="310"/>
      <c r="PK45" s="310"/>
      <c r="PL45" s="310"/>
      <c r="PM45" s="310"/>
      <c r="PN45" s="310"/>
      <c r="PO45" s="310"/>
      <c r="PP45" s="310"/>
      <c r="PQ45" s="310"/>
      <c r="PR45" s="310"/>
      <c r="PS45" s="342">
        <v>31</v>
      </c>
      <c r="PT45" s="261" t="e">
        <f t="shared" si="29"/>
        <v>#N/A</v>
      </c>
      <c r="PU45" s="261" t="e">
        <f t="shared" si="30"/>
        <v>#N/A</v>
      </c>
      <c r="PV45" s="310"/>
      <c r="PW45" s="310"/>
      <c r="PX45" s="310"/>
      <c r="PY45" s="310"/>
      <c r="PZ45" s="310"/>
      <c r="QA45" s="310"/>
      <c r="QB45" s="310"/>
      <c r="QC45" s="310"/>
      <c r="QD45" s="310"/>
      <c r="QE45" s="310"/>
      <c r="QF45" s="310"/>
      <c r="QG45" s="310"/>
      <c r="QH45" s="310"/>
      <c r="QI45" s="310"/>
      <c r="QJ45" s="310"/>
      <c r="QK45" s="310"/>
      <c r="QL45" s="310"/>
      <c r="QM45" s="310"/>
      <c r="QN45" s="310"/>
      <c r="QO45" s="310"/>
      <c r="QP45" s="310"/>
      <c r="QQ45" s="310"/>
      <c r="QR45" s="310"/>
      <c r="QS45" s="310"/>
      <c r="QT45" s="310"/>
      <c r="QU45" s="310"/>
      <c r="QV45" s="310"/>
      <c r="QW45" s="310"/>
      <c r="QX45" s="310"/>
      <c r="QY45" s="310"/>
      <c r="QZ45" s="310"/>
      <c r="RA45" s="310"/>
      <c r="RB45" s="310"/>
      <c r="RC45" s="310"/>
      <c r="RD45" s="310"/>
      <c r="RE45" s="310"/>
      <c r="RF45" s="310"/>
      <c r="RG45" s="310"/>
      <c r="RH45" s="310"/>
      <c r="RI45" s="310"/>
      <c r="RJ45" s="310"/>
      <c r="RK45" s="310"/>
      <c r="RL45" s="310"/>
      <c r="RM45" s="310"/>
      <c r="RN45" s="310"/>
      <c r="RO45" s="310"/>
      <c r="RP45" s="310"/>
      <c r="RQ45" s="310"/>
      <c r="RR45" s="310"/>
      <c r="RS45" s="310"/>
      <c r="RT45" s="310"/>
      <c r="RU45" s="310"/>
      <c r="RV45" s="310"/>
      <c r="RW45" s="310"/>
      <c r="RX45" s="310"/>
      <c r="RY45" s="310"/>
      <c r="RZ45" s="310"/>
      <c r="SA45" s="310"/>
      <c r="SB45" s="310"/>
      <c r="SC45" s="310"/>
      <c r="SD45" s="310"/>
      <c r="SE45" s="310"/>
      <c r="SF45" s="513" t="e">
        <f>SF44+0.25</f>
        <v>#N/A</v>
      </c>
      <c r="SG45" s="513" t="e">
        <f>SG44+0.25</f>
        <v>#N/A</v>
      </c>
      <c r="SH45" s="247"/>
      <c r="SI45" s="247"/>
      <c r="SJ45" s="310"/>
      <c r="SK45" s="310"/>
      <c r="SL45" s="310"/>
      <c r="SM45" s="310"/>
      <c r="SN45" s="310"/>
      <c r="SO45" s="220"/>
      <c r="SP45" s="220"/>
      <c r="SQ45" s="220"/>
      <c r="SR45" s="220"/>
      <c r="SS45" s="220"/>
      <c r="ST45" s="220"/>
      <c r="SU45" s="220"/>
      <c r="SV45" s="220"/>
      <c r="SW45" s="220"/>
      <c r="SX45" s="220"/>
      <c r="SY45" s="220"/>
      <c r="SZ45" s="220"/>
      <c r="TA45" s="220"/>
      <c r="TB45" s="220"/>
      <c r="TC45" s="220"/>
      <c r="TD45" s="220"/>
      <c r="TE45" s="220"/>
      <c r="TF45" s="220"/>
      <c r="TG45" s="220"/>
      <c r="TH45" s="220"/>
      <c r="TI45" s="220"/>
      <c r="TJ45" s="220"/>
      <c r="TK45" s="220"/>
      <c r="TL45" s="220"/>
      <c r="TM45" s="220"/>
      <c r="TN45" s="220"/>
      <c r="TO45" s="220"/>
      <c r="TP45" s="220"/>
      <c r="TQ45" s="220"/>
      <c r="TR45" s="220"/>
      <c r="TS45" s="220"/>
      <c r="TT45" s="220"/>
      <c r="TU45" s="220"/>
      <c r="TV45" s="220"/>
      <c r="TW45" s="220"/>
      <c r="TX45" s="220"/>
      <c r="TY45" s="220"/>
      <c r="TZ45" s="220"/>
      <c r="UA45" s="220"/>
      <c r="UB45" s="220"/>
      <c r="UC45" s="220"/>
      <c r="UD45" s="220"/>
      <c r="UE45" s="220"/>
      <c r="UF45" s="220"/>
      <c r="UG45" s="220"/>
      <c r="UH45" s="220"/>
      <c r="UI45" s="220"/>
      <c r="UJ45" s="220"/>
      <c r="UK45" s="216"/>
      <c r="UL45" s="216"/>
      <c r="UM45" s="216"/>
      <c r="UN45" s="216"/>
      <c r="UO45" s="216"/>
      <c r="UP45" s="216"/>
      <c r="UQ45" s="216"/>
      <c r="UR45" s="216"/>
      <c r="US45" s="216"/>
      <c r="UT45" s="216"/>
      <c r="UU45" s="216"/>
      <c r="UV45" s="216"/>
      <c r="UW45" s="216"/>
      <c r="UX45" s="216"/>
      <c r="UY45" s="216"/>
      <c r="UZ45" s="216"/>
      <c r="VA45" s="216"/>
    </row>
    <row r="46" spans="1:573" s="4" customFormat="1" ht="18.75" customHeight="1" x14ac:dyDescent="0.3">
      <c r="A46" s="126"/>
      <c r="B46" s="127" t="s">
        <v>132</v>
      </c>
      <c r="C46" s="198">
        <v>4000</v>
      </c>
      <c r="D46" s="128"/>
      <c r="E46" s="129" t="s">
        <v>133</v>
      </c>
      <c r="F46" s="130">
        <f>C50/F45</f>
        <v>8.6575564609501754</v>
      </c>
      <c r="G46" s="121" t="str">
        <v>P3</v>
      </c>
      <c r="H46" s="122">
        <f>IF(AND(CP13=TRUE,J28&lt;&gt;"",CU11=TRUE),IF(BM9=TRUE,TRUNC(J28-J38,3),""),"")</f>
        <v>0.65</v>
      </c>
      <c r="I46" s="123">
        <f>IF(AND(CP13=TRUE,H28&lt;&gt;"",CU11=TRUE),IF(BM9=TRUE,TRUNC(H28-J36,3),""),"")</f>
        <v>-0.83499999999999996</v>
      </c>
      <c r="J46" s="674">
        <f>IF(AND(H46&lt;&gt;"",CU11=TRUE),IF(BM9=TRUE,H46^2,""),"")</f>
        <v>0.42250000000000004</v>
      </c>
      <c r="K46" s="675"/>
      <c r="L46" s="124">
        <f>IF(AND(I46&lt;&gt;"",CU11=TRUE),IF(BM9=TRUE,I46^2,""),"")</f>
        <v>0.69722499999999998</v>
      </c>
      <c r="M46" s="747">
        <f t="shared" si="91"/>
        <v>36</v>
      </c>
      <c r="N46" s="748"/>
      <c r="O46" s="125" t="str">
        <f>IF(H46&lt;&gt;"",IF(BM9=TRUE,IF(M46&lt;=$M$8,"PASS","FALSE"),""),"")</f>
        <v>PASS</v>
      </c>
      <c r="P46" s="88"/>
      <c r="Q46" s="95" t="str">
        <f>IF(FM58=TRUE,"       "&amp;FO58&amp;" [Active]","       "&amp;FO58&amp;" [Lock]")</f>
        <v xml:space="preserve">       CURSOR : C6 [Lock]</v>
      </c>
      <c r="R46" s="13"/>
      <c r="S46" s="13"/>
      <c r="T46" s="89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5"/>
      <c r="AM46" s="45"/>
      <c r="AN46" s="45"/>
      <c r="AO46" s="45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338" t="b">
        <f>IF(BM10=TRUE,IF(M47&lt;=$M$8,TRUE,FALSE),"")</f>
        <v>1</v>
      </c>
      <c r="BD46" s="338" t="b">
        <f>IF(BC46=FALSE,TRUE,FALSE)</f>
        <v>0</v>
      </c>
      <c r="BE46" s="328" t="str">
        <f>IF(BD46=TRUE,G47,"")</f>
        <v/>
      </c>
      <c r="BF46" s="310"/>
      <c r="BG46" s="310" t="b">
        <f>OR(BG43=FALSE,BG44=FALSE)</f>
        <v>0</v>
      </c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400"/>
      <c r="BY46" s="310" t="s">
        <v>48</v>
      </c>
      <c r="BZ46" s="310" t="s">
        <v>49</v>
      </c>
      <c r="CA46" s="310"/>
      <c r="CB46" s="310"/>
      <c r="CC46" s="310"/>
      <c r="CD46" s="328" t="s">
        <v>48</v>
      </c>
      <c r="CE46" s="328" t="s">
        <v>49</v>
      </c>
      <c r="CF46" s="328" t="s">
        <v>48</v>
      </c>
      <c r="CG46" s="328" t="s">
        <v>49</v>
      </c>
      <c r="CH46" s="328" t="s">
        <v>139</v>
      </c>
      <c r="CI46" s="329"/>
      <c r="CJ46" s="257" t="e">
        <f>CJ43</f>
        <v>#N/A</v>
      </c>
      <c r="CK46" s="257" t="e">
        <f>CK45</f>
        <v>#N/A</v>
      </c>
      <c r="CL46" s="310"/>
      <c r="CM46" s="310"/>
      <c r="CN46" s="338" t="e">
        <f>CN45</f>
        <v>#N/A</v>
      </c>
      <c r="CO46" s="338" t="e">
        <f>CO40</f>
        <v>#N/A</v>
      </c>
      <c r="CP46" s="310"/>
      <c r="CQ46" s="310"/>
      <c r="CR46" s="310"/>
      <c r="CS46" s="310"/>
      <c r="CT46" s="338" t="e">
        <f>IF(CU34=TRUE,CN29,#N/A)</f>
        <v>#N/A</v>
      </c>
      <c r="CU46" s="338" t="e">
        <f>CU45</f>
        <v>#N/A</v>
      </c>
      <c r="CV46" s="310"/>
      <c r="CW46" s="310"/>
      <c r="CX46" s="310" t="e">
        <f>TEXT(DU31,"#,###.00")&amp;"N, "&amp;TEXT(DV31,"#,###.00")&amp;"E"</f>
        <v>#N/A</v>
      </c>
      <c r="CY46" s="310"/>
      <c r="CZ46" s="310"/>
      <c r="DA46" s="310"/>
      <c r="DB46" s="310"/>
      <c r="DC46" s="280" t="e">
        <f>IF(DD39=TRUE,BT7/2-DA12,#N/A)</f>
        <v>#N/A</v>
      </c>
      <c r="DD46" s="280" t="e">
        <f>DD42</f>
        <v>#N/A</v>
      </c>
      <c r="DE46" s="310"/>
      <c r="DF46" s="280" t="e">
        <v>#N/A</v>
      </c>
      <c r="DG46" s="280" t="e">
        <v>#N/A</v>
      </c>
      <c r="DH46" s="338" t="e">
        <v>#N/A</v>
      </c>
      <c r="DI46" s="310"/>
      <c r="DJ46" s="310"/>
      <c r="DK46" s="313">
        <v>38</v>
      </c>
      <c r="DL46" s="282" t="e">
        <f t="shared" si="3"/>
        <v>#N/A</v>
      </c>
      <c r="DM46" s="291" t="e">
        <f t="shared" si="4"/>
        <v>#N/A</v>
      </c>
      <c r="DN46" s="310"/>
      <c r="DO46" s="310"/>
      <c r="DP46" s="310"/>
      <c r="DQ46" s="310"/>
      <c r="DR46" s="310"/>
      <c r="DS46" s="310"/>
      <c r="DT46" s="328" t="s">
        <v>106</v>
      </c>
      <c r="DU46" s="231">
        <f>DV22-J15/2</f>
        <v>-0.65</v>
      </c>
      <c r="DV46" s="231">
        <f>DU22-J15/2</f>
        <v>-0.65</v>
      </c>
      <c r="DW46" s="447" t="str">
        <f>IF(OR($BL$10=TRUE,$BL$11=TRUE),IF(BM7=TRUE,DT46,""),"")</f>
        <v>P1</v>
      </c>
      <c r="DX46" s="328" t="s">
        <v>106</v>
      </c>
      <c r="DY46" s="228">
        <f>IF($BE$7=TRUE,IF(AND($DU$20=TRUE,J26&lt;&gt;""),J26,#N/A),#N/A)</f>
        <v>-0.65</v>
      </c>
      <c r="DZ46" s="228">
        <f>IF(AND(CP13=TRUE,$BE$7=TRUE),IF($DU$20=TRUE,H26,#N/A),#N/A)</f>
        <v>-0.65</v>
      </c>
      <c r="EA46" s="310"/>
      <c r="EB46" s="310" t="b">
        <f>IF($DU$20=TRUE,IF(M44&lt;=$M$8,TRUE,FALSE),"")</f>
        <v>1</v>
      </c>
      <c r="EC46" s="310" t="b">
        <f>IF(EB46=FALSE,TRUE,FALSE)</f>
        <v>0</v>
      </c>
      <c r="ED46" s="247">
        <f>IF(EB46=TRUE,DZ46,#N/A)</f>
        <v>-0.65</v>
      </c>
      <c r="EE46" s="247">
        <f>IF(EB46=TRUE,DY46,#N/A)</f>
        <v>-0.65</v>
      </c>
      <c r="EF46" s="448">
        <f>IF(EB46=TRUE,M44,#N/A)</f>
        <v>36</v>
      </c>
      <c r="EG46" s="310"/>
      <c r="EH46" s="310"/>
      <c r="EI46" s="310"/>
      <c r="EJ46" s="310"/>
      <c r="EK46" s="310"/>
      <c r="EL46" s="310"/>
      <c r="EM46" s="310"/>
      <c r="EN46" s="310"/>
      <c r="EO46" s="310"/>
      <c r="EP46" s="310"/>
      <c r="EQ46" s="310"/>
      <c r="ER46" s="310"/>
      <c r="ES46" s="310"/>
      <c r="ET46" s="310"/>
      <c r="EU46" s="310"/>
      <c r="EV46" s="310"/>
      <c r="EW46" s="310"/>
      <c r="EX46" s="310"/>
      <c r="EY46" s="310"/>
      <c r="EZ46" s="310"/>
      <c r="FA46" s="310"/>
      <c r="FB46" s="310"/>
      <c r="FC46" s="310"/>
      <c r="FD46" s="310"/>
      <c r="FE46" s="310"/>
      <c r="FF46" s="310"/>
      <c r="FG46" s="310"/>
      <c r="FH46" s="310"/>
      <c r="FI46" s="310">
        <v>7090.6229999999996</v>
      </c>
      <c r="FJ46" s="310">
        <v>4320.3990000000003</v>
      </c>
      <c r="FK46" s="310"/>
      <c r="FL46" s="310"/>
      <c r="FM46" s="318" t="b">
        <f>AND(FL25=TRUE,BM8=TRUE)</f>
        <v>0</v>
      </c>
      <c r="FN46" s="318"/>
      <c r="FO46" s="318" t="s">
        <v>311</v>
      </c>
      <c r="FP46" s="311"/>
      <c r="FQ46" s="313" t="s">
        <v>333</v>
      </c>
      <c r="FR46" s="318">
        <f>$GP$26</f>
        <v>-1.2999999999999998</v>
      </c>
      <c r="FS46" s="318">
        <f>$GQ$26</f>
        <v>0.95</v>
      </c>
      <c r="FT46" s="318">
        <f>$GP$26</f>
        <v>-1.2999999999999998</v>
      </c>
      <c r="FU46" s="318">
        <f>$GQ$26</f>
        <v>0.95</v>
      </c>
      <c r="FV46" s="318">
        <f>$GP$26</f>
        <v>-1.2999999999999998</v>
      </c>
      <c r="FW46" s="318">
        <f>$GQ$26</f>
        <v>0.95</v>
      </c>
      <c r="FX46" s="318">
        <f>$GP$26</f>
        <v>-1.2999999999999998</v>
      </c>
      <c r="FY46" s="318">
        <f>$GQ$26</f>
        <v>0.95</v>
      </c>
      <c r="FZ46" s="318">
        <f>$GP$26</f>
        <v>-1.2999999999999998</v>
      </c>
      <c r="GA46" s="318">
        <f>$GQ$26</f>
        <v>0.95</v>
      </c>
      <c r="GB46" s="318">
        <v>-1.2999999999999998</v>
      </c>
      <c r="GC46" s="318">
        <v>0.95</v>
      </c>
      <c r="GD46" s="310"/>
      <c r="GE46" s="535"/>
      <c r="GF46" s="328" t="s">
        <v>333</v>
      </c>
      <c r="GG46" s="328" t="s">
        <v>334</v>
      </c>
      <c r="GH46" s="328" t="s">
        <v>334</v>
      </c>
      <c r="GI46" s="328" t="str">
        <f>IF($AX$14=1,GG46,GH46)</f>
        <v>C3</v>
      </c>
      <c r="GJ46" s="328" t="s">
        <v>334</v>
      </c>
      <c r="GK46" s="328" t="s">
        <v>333</v>
      </c>
      <c r="GL46" s="328" t="s">
        <v>334</v>
      </c>
      <c r="GM46" s="328" t="s">
        <v>335</v>
      </c>
      <c r="GN46" s="328" t="s">
        <v>335</v>
      </c>
      <c r="GO46" s="328"/>
      <c r="GP46" s="402" t="str">
        <v>C3</v>
      </c>
      <c r="GQ46" s="223">
        <f>INDEX($GP$25:$GP$30,MATCH(GP46,$GF$25:$GF$30,0))</f>
        <v>1.2999999999999998</v>
      </c>
      <c r="GR46" s="223">
        <f>INDEX($GQ$25:$GQ$30,MATCH(GP46,$GF$25:$GF$30,0))</f>
        <v>0.95</v>
      </c>
      <c r="GS46" s="402"/>
      <c r="GT46" s="531"/>
      <c r="GU46" s="531"/>
      <c r="GV46" s="518"/>
      <c r="GW46" s="531"/>
      <c r="GX46" s="531"/>
      <c r="GY46" s="531"/>
      <c r="GZ46" s="242">
        <f>IF(HE45=TRUE,GQ46,#N/A)</f>
        <v>1.2999999999999998</v>
      </c>
      <c r="HA46" s="242">
        <f>IF(HE45=TRUE,GR46,#N/A)</f>
        <v>0.95</v>
      </c>
      <c r="HB46" s="242" t="e">
        <f>IF(HF45=TRUE,GQ46,#N/A)</f>
        <v>#N/A</v>
      </c>
      <c r="HC46" s="242" t="e">
        <f>IF(HF45=TRUE,GR46,#N/A)</f>
        <v>#N/A</v>
      </c>
      <c r="HD46" s="310" t="s">
        <v>458</v>
      </c>
      <c r="HE46" s="531"/>
      <c r="HF46" s="532"/>
      <c r="HG46" s="523"/>
      <c r="HH46" s="310"/>
      <c r="HI46" s="310"/>
      <c r="HJ46" s="310"/>
      <c r="HK46" s="342">
        <v>32</v>
      </c>
      <c r="HL46" s="235" t="e">
        <f t="shared" si="5"/>
        <v>#N/A</v>
      </c>
      <c r="HM46" s="235" t="e">
        <f t="shared" si="6"/>
        <v>#N/A</v>
      </c>
      <c r="HN46" s="310"/>
      <c r="HO46" s="310"/>
      <c r="HP46" s="235" t="e">
        <f t="shared" si="7"/>
        <v>#N/A</v>
      </c>
      <c r="HQ46" s="235" t="e">
        <f t="shared" si="8"/>
        <v>#N/A</v>
      </c>
      <c r="HR46" s="310"/>
      <c r="HS46" s="310"/>
      <c r="HT46" s="235" t="e">
        <f t="shared" si="9"/>
        <v>#N/A</v>
      </c>
      <c r="HU46" s="235" t="e">
        <f t="shared" si="10"/>
        <v>#N/A</v>
      </c>
      <c r="HV46" s="310"/>
      <c r="HW46" s="310"/>
      <c r="HX46" s="235" t="e">
        <f t="shared" si="11"/>
        <v>#N/A</v>
      </c>
      <c r="HY46" s="235" t="e">
        <f t="shared" si="12"/>
        <v>#N/A</v>
      </c>
      <c r="HZ46" s="310"/>
      <c r="IA46" s="310"/>
      <c r="IB46" s="235" t="e">
        <f t="shared" si="13"/>
        <v>#N/A</v>
      </c>
      <c r="IC46" s="235" t="e">
        <f t="shared" si="14"/>
        <v>#N/A</v>
      </c>
      <c r="ID46" s="310"/>
      <c r="IE46" s="342">
        <v>32</v>
      </c>
      <c r="IF46" s="262" t="e">
        <f t="shared" si="15"/>
        <v>#N/A</v>
      </c>
      <c r="IG46" s="262" t="e">
        <f t="shared" si="16"/>
        <v>#N/A</v>
      </c>
      <c r="IH46" s="390"/>
      <c r="II46" s="390"/>
      <c r="IJ46" s="262" t="e">
        <f t="shared" si="17"/>
        <v>#N/A</v>
      </c>
      <c r="IK46" s="262" t="e">
        <f t="shared" si="18"/>
        <v>#N/A</v>
      </c>
      <c r="IL46" s="390"/>
      <c r="IM46" s="390"/>
      <c r="IN46" s="262" t="e">
        <f t="shared" si="19"/>
        <v>#N/A</v>
      </c>
      <c r="IO46" s="262" t="e">
        <f t="shared" si="20"/>
        <v>#N/A</v>
      </c>
      <c r="IP46" s="390"/>
      <c r="IQ46" s="390"/>
      <c r="IR46" s="262" t="e">
        <f t="shared" si="21"/>
        <v>#N/A</v>
      </c>
      <c r="IS46" s="262" t="e">
        <f t="shared" si="22"/>
        <v>#N/A</v>
      </c>
      <c r="IT46" s="390"/>
      <c r="IU46" s="390"/>
      <c r="IV46" s="262" t="e">
        <f t="shared" si="23"/>
        <v>#N/A</v>
      </c>
      <c r="IW46" s="262" t="e">
        <f t="shared" si="24"/>
        <v>#N/A</v>
      </c>
      <c r="IX46" s="310"/>
      <c r="IY46" s="310"/>
      <c r="IZ46" s="310"/>
      <c r="JA46" s="310"/>
      <c r="JB46" s="313" t="s">
        <v>167</v>
      </c>
      <c r="JC46" s="236" t="e">
        <f>JC43</f>
        <v>#N/A</v>
      </c>
      <c r="JD46" s="236" t="e">
        <f>JA44-($IZ$10/2)</f>
        <v>#N/A</v>
      </c>
      <c r="JE46" s="310"/>
      <c r="JF46" s="310"/>
      <c r="JG46" s="310"/>
      <c r="JH46" s="310"/>
      <c r="JI46" s="313" t="s">
        <v>167</v>
      </c>
      <c r="JJ46" s="263" t="e">
        <f>JJ43</f>
        <v>#N/A</v>
      </c>
      <c r="JK46" s="263" t="e">
        <f>JH44-($IZ$10/2)</f>
        <v>#N/A</v>
      </c>
      <c r="JL46" s="310"/>
      <c r="JM46" s="310"/>
      <c r="JN46" s="261" t="e">
        <f t="shared" si="25"/>
        <v>#N/A</v>
      </c>
      <c r="JO46" s="261" t="e">
        <f t="shared" si="26"/>
        <v>#N/A</v>
      </c>
      <c r="JP46" s="310"/>
      <c r="JQ46" s="310"/>
      <c r="JR46" s="261" t="e">
        <f t="shared" si="31"/>
        <v>#N/A</v>
      </c>
      <c r="JS46" s="261" t="e">
        <f t="shared" si="32"/>
        <v>#N/A</v>
      </c>
      <c r="JT46" s="310"/>
      <c r="JU46" s="310"/>
      <c r="JV46" s="261" t="e">
        <f t="shared" si="27"/>
        <v>#N/A</v>
      </c>
      <c r="JW46" s="261" t="e">
        <f t="shared" si="28"/>
        <v>#N/A</v>
      </c>
      <c r="JX46" s="310"/>
      <c r="JY46" s="310"/>
      <c r="JZ46" s="310"/>
      <c r="KA46" s="310"/>
      <c r="KB46" s="310"/>
      <c r="KC46" s="264" t="e">
        <v>#N/A</v>
      </c>
      <c r="KD46" s="264" t="e">
        <v>#N/A</v>
      </c>
      <c r="KE46" s="310"/>
      <c r="KF46" s="310"/>
      <c r="KG46" s="310"/>
      <c r="KH46" s="310"/>
      <c r="KI46" s="310"/>
      <c r="KJ46" s="310"/>
      <c r="KK46" s="310"/>
      <c r="KL46" s="310"/>
      <c r="KM46" s="310"/>
      <c r="KN46" s="243" t="e">
        <f>KN44</f>
        <v>#N/A</v>
      </c>
      <c r="KO46" s="243" t="e">
        <f>KO44</f>
        <v>#N/A</v>
      </c>
      <c r="KP46" s="391"/>
      <c r="KQ46" s="391"/>
      <c r="KR46" s="391"/>
      <c r="KS46" s="310"/>
      <c r="KT46" s="242">
        <f>KT44</f>
        <v>0</v>
      </c>
      <c r="KU46" s="242">
        <f>KU44</f>
        <v>1.25</v>
      </c>
      <c r="KV46" s="338"/>
      <c r="KW46" s="338"/>
      <c r="KX46" s="389"/>
      <c r="KY46" s="310"/>
      <c r="KZ46" s="310"/>
      <c r="LA46" s="310"/>
      <c r="LB46" s="310"/>
      <c r="LC46" s="310"/>
      <c r="LD46" s="310"/>
      <c r="LE46" s="310"/>
      <c r="LF46" s="310"/>
      <c r="LG46" s="310"/>
      <c r="LH46" s="310"/>
      <c r="LI46" s="310"/>
      <c r="LJ46" s="310"/>
      <c r="LK46" s="310"/>
      <c r="LL46" s="310"/>
      <c r="LM46" s="310"/>
      <c r="LN46" s="310"/>
      <c r="LO46" s="310"/>
      <c r="LP46" s="310"/>
      <c r="LQ46" s="310"/>
      <c r="LR46" s="310"/>
      <c r="LS46" s="310"/>
      <c r="LT46" s="310"/>
      <c r="LU46" s="310"/>
      <c r="LV46" s="310"/>
      <c r="LW46" s="310"/>
      <c r="LX46" s="310"/>
      <c r="LY46" s="310"/>
      <c r="LZ46" s="310"/>
      <c r="MA46" s="310"/>
      <c r="MB46" s="310"/>
      <c r="MC46" s="310"/>
      <c r="MD46" s="310"/>
      <c r="ME46" s="310"/>
      <c r="MF46" s="310"/>
      <c r="MG46" s="310"/>
      <c r="MH46" s="310"/>
      <c r="MI46" s="310"/>
      <c r="MJ46" s="247" t="e">
        <v>#N/A</v>
      </c>
      <c r="MK46" s="247" t="e">
        <v>#N/A</v>
      </c>
      <c r="ML46" s="310"/>
      <c r="MM46" s="310"/>
      <c r="MN46" s="310"/>
      <c r="MO46" s="310"/>
      <c r="MP46" s="310"/>
      <c r="MQ46" s="310"/>
      <c r="MR46" s="310"/>
      <c r="MS46" s="310"/>
      <c r="MT46" s="310"/>
      <c r="MU46" s="329" t="s">
        <v>453</v>
      </c>
      <c r="MV46" s="329"/>
      <c r="MW46" s="310"/>
      <c r="MX46" s="310"/>
      <c r="MY46" s="310"/>
      <c r="MZ46" s="328">
        <v>13</v>
      </c>
      <c r="NA46" s="372" t="b">
        <f t="shared" si="76"/>
        <v>0</v>
      </c>
      <c r="NB46" s="280" t="e">
        <f t="shared" si="80"/>
        <v>#N/A</v>
      </c>
      <c r="NC46" s="280" t="e">
        <f t="shared" si="81"/>
        <v>#N/A</v>
      </c>
      <c r="ND46" s="280" t="e">
        <f t="shared" si="77"/>
        <v>#N/A</v>
      </c>
      <c r="NE46" s="280" t="e">
        <f t="shared" si="78"/>
        <v>#N/A</v>
      </c>
      <c r="NF46" s="310"/>
      <c r="NG46" s="310"/>
      <c r="NH46" s="509" t="e">
        <f>NH45+0.35</f>
        <v>#N/A</v>
      </c>
      <c r="NI46" s="298" t="e">
        <f>NI45</f>
        <v>#N/A</v>
      </c>
      <c r="NJ46" s="310"/>
      <c r="NK46" s="310"/>
      <c r="NL46" s="310"/>
      <c r="NM46" s="310"/>
      <c r="NN46" s="310"/>
      <c r="NO46" s="310"/>
      <c r="NP46" s="310"/>
      <c r="NQ46" s="310"/>
      <c r="NR46" s="310"/>
      <c r="NS46" s="313" t="s">
        <v>48</v>
      </c>
      <c r="NT46" s="313" t="s">
        <v>49</v>
      </c>
      <c r="NU46" s="310"/>
      <c r="NV46" s="310"/>
      <c r="NW46" s="313" t="s">
        <v>48</v>
      </c>
      <c r="NX46" s="313" t="s">
        <v>49</v>
      </c>
      <c r="NY46" s="310"/>
      <c r="NZ46" s="310"/>
      <c r="OA46" s="310"/>
      <c r="OB46" s="310"/>
      <c r="OC46" s="310"/>
      <c r="OD46" s="310"/>
      <c r="OE46" s="310"/>
      <c r="OF46" s="310"/>
      <c r="OG46" s="310"/>
      <c r="OH46" s="310"/>
      <c r="OI46" s="310"/>
      <c r="OJ46" s="310"/>
      <c r="OK46" s="310"/>
      <c r="OL46" s="310"/>
      <c r="OM46" s="310"/>
      <c r="ON46" s="310"/>
      <c r="OO46" s="310"/>
      <c r="OP46" s="310"/>
      <c r="OQ46" s="310"/>
      <c r="OR46" s="310"/>
      <c r="OS46" s="310"/>
      <c r="OT46" s="310" t="s">
        <v>459</v>
      </c>
      <c r="OU46" s="281" t="e" cm="1">
        <f t="array" ref="OU46">IF(OV8=TRUE,INDEX(PG15:PG34,MATCH(MIN(IFERROR(ABS(PG15:PG34),1E+99)),IFERROR(ABS(PG15:PG34),1E+99),0)),#N/A)</f>
        <v>#N/A</v>
      </c>
      <c r="OV46" s="281" t="e">
        <f>IF(OV8=TRUE,PH15,#N/A)</f>
        <v>#N/A</v>
      </c>
      <c r="OW46" s="310"/>
      <c r="OX46" s="310"/>
      <c r="OY46" s="310"/>
      <c r="OZ46" s="310"/>
      <c r="PA46" s="310"/>
      <c r="PB46" s="310"/>
      <c r="PC46" s="310"/>
      <c r="PD46" s="310"/>
      <c r="PE46" s="292" t="e">
        <v>#N/A</v>
      </c>
      <c r="PF46" s="328" t="e">
        <v>#N/A</v>
      </c>
      <c r="PG46" s="292" t="e">
        <f t="shared" si="84"/>
        <v>#N/A</v>
      </c>
      <c r="PH46" s="310"/>
      <c r="PI46" s="310"/>
      <c r="PJ46" s="310"/>
      <c r="PK46" s="310"/>
      <c r="PL46" s="310"/>
      <c r="PM46" s="310"/>
      <c r="PN46" s="310"/>
      <c r="PO46" s="310"/>
      <c r="PP46" s="310"/>
      <c r="PQ46" s="310"/>
      <c r="PR46" s="310"/>
      <c r="PS46" s="342">
        <v>32</v>
      </c>
      <c r="PT46" s="261" t="e">
        <f t="shared" si="29"/>
        <v>#N/A</v>
      </c>
      <c r="PU46" s="261" t="e">
        <f t="shared" si="30"/>
        <v>#N/A</v>
      </c>
      <c r="PV46" s="310"/>
      <c r="PW46" s="310"/>
      <c r="PX46" s="310"/>
      <c r="PY46" s="310"/>
      <c r="PZ46" s="310"/>
      <c r="QA46" s="310"/>
      <c r="QB46" s="310"/>
      <c r="QC46" s="310"/>
      <c r="QD46" s="310"/>
      <c r="QE46" s="310"/>
      <c r="QF46" s="310"/>
      <c r="QG46" s="310"/>
      <c r="QH46" s="310"/>
      <c r="QI46" s="310"/>
      <c r="QJ46" s="310"/>
      <c r="QK46" s="310"/>
      <c r="QL46" s="310"/>
      <c r="QM46" s="310"/>
      <c r="QN46" s="310"/>
      <c r="QO46" s="310"/>
      <c r="QP46" s="310"/>
      <c r="QQ46" s="310"/>
      <c r="QR46" s="310"/>
      <c r="QS46" s="310"/>
      <c r="QT46" s="310"/>
      <c r="QU46" s="310"/>
      <c r="QV46" s="310"/>
      <c r="QW46" s="310"/>
      <c r="QX46" s="310"/>
      <c r="QY46" s="310"/>
      <c r="QZ46" s="310"/>
      <c r="RA46" s="310"/>
      <c r="RB46" s="310"/>
      <c r="RC46" s="310"/>
      <c r="RD46" s="310"/>
      <c r="RE46" s="310"/>
      <c r="RF46" s="310"/>
      <c r="RG46" s="310"/>
      <c r="RH46" s="310"/>
      <c r="RI46" s="310"/>
      <c r="RJ46" s="310"/>
      <c r="RK46" s="310"/>
      <c r="RL46" s="310"/>
      <c r="RM46" s="310"/>
      <c r="RN46" s="310"/>
      <c r="RO46" s="310"/>
      <c r="RP46" s="310"/>
      <c r="RQ46" s="310"/>
      <c r="RR46" s="310"/>
      <c r="RS46" s="310"/>
      <c r="RT46" s="310"/>
      <c r="RU46" s="310"/>
      <c r="RV46" s="310"/>
      <c r="RW46" s="310"/>
      <c r="RX46" s="310"/>
      <c r="RY46" s="310"/>
      <c r="RZ46" s="310"/>
      <c r="SA46" s="310"/>
      <c r="SB46" s="310"/>
      <c r="SC46" s="310"/>
      <c r="SD46" s="310"/>
      <c r="SE46" s="310"/>
      <c r="SF46" s="513" t="e">
        <f>SF45+0.25</f>
        <v>#N/A</v>
      </c>
      <c r="SG46" s="513" t="e">
        <f>SG45</f>
        <v>#N/A</v>
      </c>
      <c r="SH46" s="247" t="e">
        <f>SF46-0.1</f>
        <v>#N/A</v>
      </c>
      <c r="SI46" s="247" t="e">
        <f t="shared" ref="SI46" si="92">SG46</f>
        <v>#N/A</v>
      </c>
      <c r="SJ46" s="310" t="b">
        <v>0</v>
      </c>
      <c r="SK46" s="310"/>
      <c r="SL46" s="310"/>
      <c r="SM46" s="310"/>
      <c r="SN46" s="310"/>
      <c r="SO46" s="220"/>
      <c r="SP46" s="220"/>
      <c r="SQ46" s="220"/>
      <c r="SR46" s="220"/>
      <c r="SS46" s="220"/>
      <c r="ST46" s="220"/>
      <c r="SU46" s="220"/>
      <c r="SV46" s="220"/>
      <c r="SW46" s="220"/>
      <c r="SX46" s="220"/>
      <c r="SY46" s="220"/>
      <c r="SZ46" s="220"/>
      <c r="TA46" s="220"/>
      <c r="TB46" s="220"/>
      <c r="TC46" s="220"/>
      <c r="TD46" s="220"/>
      <c r="TE46" s="220"/>
      <c r="TF46" s="220"/>
      <c r="TG46" s="220"/>
      <c r="TH46" s="220"/>
      <c r="TI46" s="220"/>
      <c r="TJ46" s="220"/>
      <c r="TK46" s="220"/>
      <c r="TL46" s="220"/>
      <c r="TM46" s="220"/>
      <c r="TN46" s="220"/>
      <c r="TO46" s="220"/>
      <c r="TP46" s="220"/>
      <c r="TQ46" s="220"/>
      <c r="TR46" s="220"/>
      <c r="TS46" s="220"/>
      <c r="TT46" s="220"/>
      <c r="TU46" s="220"/>
      <c r="TV46" s="220"/>
      <c r="TW46" s="220"/>
      <c r="TX46" s="220"/>
      <c r="TY46" s="220"/>
      <c r="TZ46" s="220"/>
      <c r="UA46" s="220"/>
      <c r="UB46" s="220"/>
      <c r="UC46" s="220"/>
      <c r="UD46" s="220"/>
      <c r="UE46" s="220"/>
      <c r="UF46" s="220"/>
      <c r="UG46" s="220"/>
      <c r="UH46" s="220"/>
      <c r="UI46" s="220"/>
      <c r="UJ46" s="220"/>
      <c r="UK46" s="216"/>
      <c r="UL46" s="216"/>
      <c r="UM46" s="216"/>
      <c r="UN46" s="216"/>
      <c r="UO46" s="216"/>
      <c r="UP46" s="216"/>
      <c r="UQ46" s="216"/>
      <c r="UR46" s="216"/>
      <c r="US46" s="216"/>
      <c r="UT46" s="216"/>
      <c r="UU46" s="216"/>
      <c r="UV46" s="216"/>
      <c r="UW46" s="216"/>
      <c r="UX46" s="216"/>
      <c r="UY46" s="216"/>
      <c r="UZ46" s="216"/>
      <c r="VA46" s="216"/>
    </row>
    <row r="47" spans="1:573" s="4" customFormat="1" ht="18.75" customHeight="1" x14ac:dyDescent="0.3">
      <c r="A47" s="126"/>
      <c r="B47" s="131" t="s">
        <v>137</v>
      </c>
      <c r="C47" s="132">
        <v>2400</v>
      </c>
      <c r="D47" s="128"/>
      <c r="E47" s="133" t="s">
        <v>138</v>
      </c>
      <c r="F47" s="130">
        <f>1/(1+C45/(F46*C49))</f>
        <v>0.31428942467891796</v>
      </c>
      <c r="G47" s="121" t="str">
        <v>P4</v>
      </c>
      <c r="H47" s="122">
        <f>IF(AND(CP13=TRUE,J29&lt;&gt;"",CU11=TRUE),IF(BM10=TRUE,TRUNC(J29-J38,3),""),"")</f>
        <v>0.65</v>
      </c>
      <c r="I47" s="123">
        <f>IF(AND(CP13=TRUE,H29&lt;&gt;"",CU11=TRUE),IF(BM10=TRUE,TRUNC(H29-J36,3),""),"")</f>
        <v>0.46400000000000002</v>
      </c>
      <c r="J47" s="674">
        <f>IF(AND(H47&lt;&gt;"",CU11=TRUE),IF(BM10=TRUE,H47^2,""),"")</f>
        <v>0.42250000000000004</v>
      </c>
      <c r="K47" s="675"/>
      <c r="L47" s="124">
        <f>IF(AND(I47&lt;&gt;"",CU11=TRUE),IF(BM10=TRUE,I47^2,""),"")</f>
        <v>0.21529600000000002</v>
      </c>
      <c r="M47" s="670">
        <f t="shared" si="91"/>
        <v>0</v>
      </c>
      <c r="N47" s="671"/>
      <c r="O47" s="125" t="str">
        <f>IF(H47&lt;&gt;"",IF(BM10=TRUE,IF(M47&lt;=$M$8,"PASS","FALSE"),""),"")</f>
        <v>PASS</v>
      </c>
      <c r="P47" s="88"/>
      <c r="Q47" s="95"/>
      <c r="R47" s="13"/>
      <c r="S47" s="13"/>
      <c r="T47" s="89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5"/>
      <c r="AM47" s="45"/>
      <c r="AN47" s="45"/>
      <c r="AO47" s="45"/>
      <c r="AP47" s="310"/>
      <c r="AQ47" s="310"/>
      <c r="AR47" s="310"/>
      <c r="AS47" s="449"/>
      <c r="AT47" s="450"/>
      <c r="AU47" s="451" t="s">
        <v>142</v>
      </c>
      <c r="AV47" s="451" t="s">
        <v>143</v>
      </c>
      <c r="AW47" s="310"/>
      <c r="AX47" s="310"/>
      <c r="AY47" s="310"/>
      <c r="AZ47" s="310"/>
      <c r="BA47" s="310"/>
      <c r="BB47" s="310"/>
      <c r="BC47" s="338"/>
      <c r="BD47" s="338"/>
      <c r="BE47" s="328"/>
      <c r="BF47" s="310"/>
      <c r="BG47" s="310"/>
      <c r="BH47" s="310"/>
      <c r="BI47" s="310"/>
      <c r="BJ47" s="310"/>
      <c r="BK47" s="310"/>
      <c r="BL47" s="310"/>
      <c r="BM47" s="310" t="s">
        <v>174</v>
      </c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400" t="s">
        <v>106</v>
      </c>
      <c r="BY47" s="229" t="e">
        <f>IF(BW35=TRUE,BZ22-J15/2,#N/A)</f>
        <v>#N/A</v>
      </c>
      <c r="BZ47" s="229" t="e">
        <f>IF(BW35=TRUE,BY22,#N/A)</f>
        <v>#N/A</v>
      </c>
      <c r="CA47" s="447" t="str">
        <f>IF($BL$8=TRUE,IF($AY$15=TRUE,BX47,""),"")</f>
        <v/>
      </c>
      <c r="CB47" s="351" t="e">
        <f>IF($CE$45=TRUE,BY25,#N/A)</f>
        <v>#N/A</v>
      </c>
      <c r="CC47" s="452" t="e">
        <f>IF($CE$45=TRUE,BZ25,#N/A)</f>
        <v>#N/A</v>
      </c>
      <c r="CD47" s="233" t="e">
        <f>CB47</f>
        <v>#N/A</v>
      </c>
      <c r="CE47" s="233" t="e">
        <f>CC47+CD44</f>
        <v>#N/A</v>
      </c>
      <c r="CF47" s="242" t="e">
        <f>IF(CE45=TRUE,NP11,#N/A)</f>
        <v>#N/A</v>
      </c>
      <c r="CG47" s="241" t="e">
        <f>CE48</f>
        <v>#N/A</v>
      </c>
      <c r="CH47" s="453" t="e">
        <f>CB48-CB47</f>
        <v>#N/A</v>
      </c>
      <c r="CI47" s="454"/>
      <c r="CJ47" s="257" t="e">
        <f>CJ43</f>
        <v>#N/A</v>
      </c>
      <c r="CK47" s="257" t="e">
        <f>CK43</f>
        <v>#N/A</v>
      </c>
      <c r="CL47" s="310"/>
      <c r="CM47" s="310"/>
      <c r="CN47" s="338" t="e">
        <v>#N/A</v>
      </c>
      <c r="CO47" s="338" t="e">
        <v>#N/A</v>
      </c>
      <c r="CP47" s="531" t="s">
        <v>158</v>
      </c>
      <c r="CQ47" s="531"/>
      <c r="CR47" s="531"/>
      <c r="CS47" s="310"/>
      <c r="CT47" s="338" t="e">
        <v>#N/A</v>
      </c>
      <c r="CU47" s="338" t="e">
        <v>#N/A</v>
      </c>
      <c r="CV47" s="310"/>
      <c r="CW47" s="310"/>
      <c r="CX47" s="310"/>
      <c r="CY47" s="310"/>
      <c r="CZ47" s="310"/>
      <c r="DA47" s="310"/>
      <c r="DB47" s="310"/>
      <c r="DC47" s="280" t="e">
        <f>DC46</f>
        <v>#N/A</v>
      </c>
      <c r="DD47" s="280" t="e">
        <f>DD43</f>
        <v>#N/A</v>
      </c>
      <c r="DE47" s="310"/>
      <c r="DF47" s="280" t="e">
        <f>DF44</f>
        <v>#N/A</v>
      </c>
      <c r="DG47" s="280" t="e">
        <f t="shared" ref="DG47" si="93">IF(DH47&lt;=$DG$39,DH47,#N/A)</f>
        <v>#N/A</v>
      </c>
      <c r="DH47" s="338">
        <f>DH44+0.2</f>
        <v>0.4</v>
      </c>
      <c r="DI47" s="310"/>
      <c r="DJ47" s="310"/>
      <c r="DK47" s="313">
        <v>39</v>
      </c>
      <c r="DL47" s="282" t="e">
        <f t="shared" si="3"/>
        <v>#N/A</v>
      </c>
      <c r="DM47" s="291" t="e">
        <f t="shared" si="4"/>
        <v>#N/A</v>
      </c>
      <c r="DN47" s="310"/>
      <c r="DO47" s="310"/>
      <c r="DP47" s="310"/>
      <c r="DQ47" s="310"/>
      <c r="DR47" s="310"/>
      <c r="DS47" s="310"/>
      <c r="DT47" s="328" t="s">
        <v>144</v>
      </c>
      <c r="DU47" s="231">
        <f>DU46</f>
        <v>-0.65</v>
      </c>
      <c r="DV47" s="231">
        <f>DU22+J15/2</f>
        <v>0.65</v>
      </c>
      <c r="DW47" s="447" t="str">
        <f t="shared" ref="DW47:DW50" si="94">IF(OR($BL$10=TRUE,$BL$11=TRUE),IF(BM8=TRUE,DT47,""),"")</f>
        <v>P2</v>
      </c>
      <c r="DX47" s="328" t="s">
        <v>144</v>
      </c>
      <c r="DY47" s="228">
        <f>IF($BE$7=TRUE,IF(AND($DU$20=TRUE,J27&lt;&gt;""),J27,#N/A),#N/A)</f>
        <v>-0.65</v>
      </c>
      <c r="DZ47" s="228">
        <f>IF(AND(CP13=TRUE,$BE$7=TRUE),IF($DU$20=TRUE,H27,#N/A),#N/A)</f>
        <v>0.65</v>
      </c>
      <c r="EA47" s="310"/>
      <c r="EB47" s="310" t="b">
        <f>IF($DU$20=TRUE,IF(M45&lt;=$M$8,TRUE,FALSE),"")</f>
        <v>1</v>
      </c>
      <c r="EC47" s="310" t="b">
        <f>IF(EB47=FALSE,TRUE,FALSE)</f>
        <v>0</v>
      </c>
      <c r="ED47" s="247">
        <f>IF(EB47=TRUE,DZ47,#N/A)</f>
        <v>0.65</v>
      </c>
      <c r="EE47" s="247">
        <f>IF(EB47=TRUE,DY47,#N/A)</f>
        <v>-0.65</v>
      </c>
      <c r="EF47" s="448">
        <f>IF(EB47=TRUE,M45,#N/A)</f>
        <v>0</v>
      </c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>
        <v>7091.6229999999996</v>
      </c>
      <c r="FJ47" s="310">
        <v>4320.3990000000003</v>
      </c>
      <c r="FK47" s="310"/>
      <c r="FL47" s="311"/>
      <c r="FM47" s="311"/>
      <c r="FN47" s="311"/>
      <c r="FO47" s="311"/>
      <c r="FP47" s="311"/>
      <c r="FQ47" s="312"/>
      <c r="FR47" s="318" t="e">
        <v>#N/A</v>
      </c>
      <c r="FS47" s="318" t="e">
        <v>#N/A</v>
      </c>
      <c r="FT47" s="318" t="e">
        <v>#N/A</v>
      </c>
      <c r="FU47" s="318" t="e">
        <v>#N/A</v>
      </c>
      <c r="FV47" s="318" t="e">
        <v>#N/A</v>
      </c>
      <c r="FW47" s="318" t="e">
        <v>#N/A</v>
      </c>
      <c r="FX47" s="318" t="e">
        <v>#N/A</v>
      </c>
      <c r="FY47" s="318" t="e">
        <v>#N/A</v>
      </c>
      <c r="FZ47" s="318" t="e">
        <v>#N/A</v>
      </c>
      <c r="GA47" s="318" t="e">
        <v>#N/A</v>
      </c>
      <c r="GB47" s="318" t="e">
        <v>#N/A</v>
      </c>
      <c r="GC47" s="318" t="e">
        <v>#N/A</v>
      </c>
      <c r="GD47" s="310"/>
      <c r="GE47" s="310"/>
      <c r="GF47" s="313" t="e">
        <v>#N/A</v>
      </c>
      <c r="GG47" s="313" t="e">
        <v>#N/A</v>
      </c>
      <c r="GH47" s="313" t="e">
        <v>#N/A</v>
      </c>
      <c r="GI47" s="313" t="e">
        <v>#N/A</v>
      </c>
      <c r="GJ47" s="313" t="e">
        <v>#N/A</v>
      </c>
      <c r="GK47" s="313" t="e">
        <v>#N/A</v>
      </c>
      <c r="GL47" s="313" t="e">
        <v>#N/A</v>
      </c>
      <c r="GM47" s="313" t="e">
        <v>#N/A</v>
      </c>
      <c r="GN47" s="313" t="e">
        <v>#N/A</v>
      </c>
      <c r="GO47" s="328"/>
      <c r="GP47" s="402" t="e">
        <v>#N/A</v>
      </c>
      <c r="GQ47" s="223" t="e">
        <v>#N/A</v>
      </c>
      <c r="GR47" s="223" t="e">
        <v>#N/A</v>
      </c>
      <c r="GS47" s="402"/>
      <c r="GT47" s="338"/>
      <c r="GU47" s="338"/>
      <c r="GV47" s="372"/>
      <c r="GW47" s="338"/>
      <c r="GX47" s="338"/>
      <c r="GY47" s="310"/>
      <c r="GZ47" s="260" t="e">
        <v>#N/A</v>
      </c>
      <c r="HA47" s="260" t="e">
        <v>#N/A</v>
      </c>
      <c r="HB47" s="260" t="e">
        <v>#N/A</v>
      </c>
      <c r="HC47" s="260" t="e">
        <v>#N/A</v>
      </c>
      <c r="HD47" s="310"/>
      <c r="HE47" s="310"/>
      <c r="HF47" s="310"/>
      <c r="HG47" s="224"/>
      <c r="HH47" s="310"/>
      <c r="HI47" s="310"/>
      <c r="HJ47" s="310"/>
      <c r="HK47" s="342">
        <v>33</v>
      </c>
      <c r="HL47" s="235" t="e">
        <f t="shared" si="5"/>
        <v>#N/A</v>
      </c>
      <c r="HM47" s="235" t="e">
        <f t="shared" si="6"/>
        <v>#N/A</v>
      </c>
      <c r="HN47" s="310"/>
      <c r="HO47" s="310"/>
      <c r="HP47" s="235" t="e">
        <f t="shared" si="7"/>
        <v>#N/A</v>
      </c>
      <c r="HQ47" s="235" t="e">
        <f t="shared" si="8"/>
        <v>#N/A</v>
      </c>
      <c r="HR47" s="310"/>
      <c r="HS47" s="310"/>
      <c r="HT47" s="235" t="e">
        <f t="shared" si="9"/>
        <v>#N/A</v>
      </c>
      <c r="HU47" s="235" t="e">
        <f t="shared" si="10"/>
        <v>#N/A</v>
      </c>
      <c r="HV47" s="310"/>
      <c r="HW47" s="310"/>
      <c r="HX47" s="235" t="e">
        <f t="shared" si="11"/>
        <v>#N/A</v>
      </c>
      <c r="HY47" s="235" t="e">
        <f t="shared" si="12"/>
        <v>#N/A</v>
      </c>
      <c r="HZ47" s="310"/>
      <c r="IA47" s="310"/>
      <c r="IB47" s="235" t="e">
        <f t="shared" si="13"/>
        <v>#N/A</v>
      </c>
      <c r="IC47" s="235" t="e">
        <f t="shared" si="14"/>
        <v>#N/A</v>
      </c>
      <c r="ID47" s="310"/>
      <c r="IE47" s="342">
        <v>33</v>
      </c>
      <c r="IF47" s="262" t="e">
        <f t="shared" si="15"/>
        <v>#N/A</v>
      </c>
      <c r="IG47" s="262" t="e">
        <f t="shared" si="16"/>
        <v>#N/A</v>
      </c>
      <c r="IH47" s="390"/>
      <c r="II47" s="390"/>
      <c r="IJ47" s="262" t="e">
        <f t="shared" si="17"/>
        <v>#N/A</v>
      </c>
      <c r="IK47" s="262" t="e">
        <f t="shared" si="18"/>
        <v>#N/A</v>
      </c>
      <c r="IL47" s="390"/>
      <c r="IM47" s="390"/>
      <c r="IN47" s="262" t="e">
        <f t="shared" si="19"/>
        <v>#N/A</v>
      </c>
      <c r="IO47" s="262" t="e">
        <f t="shared" si="20"/>
        <v>#N/A</v>
      </c>
      <c r="IP47" s="390"/>
      <c r="IQ47" s="390"/>
      <c r="IR47" s="262" t="e">
        <f t="shared" si="21"/>
        <v>#N/A</v>
      </c>
      <c r="IS47" s="262" t="e">
        <f t="shared" si="22"/>
        <v>#N/A</v>
      </c>
      <c r="IT47" s="390"/>
      <c r="IU47" s="390"/>
      <c r="IV47" s="262" t="e">
        <f t="shared" si="23"/>
        <v>#N/A</v>
      </c>
      <c r="IW47" s="262" t="e">
        <f t="shared" si="24"/>
        <v>#N/A</v>
      </c>
      <c r="IX47" s="310"/>
      <c r="IY47" s="310"/>
      <c r="IZ47" s="310"/>
      <c r="JA47" s="310"/>
      <c r="JB47" s="313" t="s">
        <v>325</v>
      </c>
      <c r="JC47" s="236" t="e">
        <f>JC42</f>
        <v>#N/A</v>
      </c>
      <c r="JD47" s="236" t="e">
        <f>JD46</f>
        <v>#N/A</v>
      </c>
      <c r="JE47" s="310"/>
      <c r="JF47" s="310"/>
      <c r="JG47" s="310"/>
      <c r="JH47" s="310"/>
      <c r="JI47" s="313" t="s">
        <v>325</v>
      </c>
      <c r="JJ47" s="263" t="e">
        <f>JJ42</f>
        <v>#N/A</v>
      </c>
      <c r="JK47" s="263" t="e">
        <f>JK46</f>
        <v>#N/A</v>
      </c>
      <c r="JL47" s="310"/>
      <c r="JM47" s="310"/>
      <c r="JN47" s="261" t="e">
        <f t="shared" si="25"/>
        <v>#N/A</v>
      </c>
      <c r="JO47" s="261" t="e">
        <f t="shared" si="26"/>
        <v>#N/A</v>
      </c>
      <c r="JP47" s="310"/>
      <c r="JQ47" s="310"/>
      <c r="JR47" s="261" t="e">
        <f t="shared" si="31"/>
        <v>#N/A</v>
      </c>
      <c r="JS47" s="261" t="e">
        <f t="shared" si="32"/>
        <v>#N/A</v>
      </c>
      <c r="JT47" s="310"/>
      <c r="JU47" s="310"/>
      <c r="JV47" s="261" t="e">
        <f t="shared" si="27"/>
        <v>#N/A</v>
      </c>
      <c r="JW47" s="261" t="e">
        <f t="shared" si="28"/>
        <v>#N/A</v>
      </c>
      <c r="JX47" s="310"/>
      <c r="JY47" s="342" t="s">
        <v>353</v>
      </c>
      <c r="JZ47" s="328" t="s">
        <v>383</v>
      </c>
      <c r="KA47" s="338" t="b">
        <f>AND(AZ32=TRUE,AZ33=TRUE,AZ34=TRUE,$GY$6&gt;=$GX$21,$GY$6&lt;=$GX$27,JM11=TRUE)</f>
        <v>0</v>
      </c>
      <c r="KB47" s="313" t="s">
        <v>106</v>
      </c>
      <c r="KC47" s="242" t="e">
        <f>JZ49-$IZ$62/2</f>
        <v>#N/A</v>
      </c>
      <c r="KD47" s="242" t="e">
        <f>KA49+$IZ$61/2</f>
        <v>#N/A</v>
      </c>
      <c r="KE47" s="310"/>
      <c r="KF47" s="310"/>
      <c r="KG47" s="310"/>
      <c r="KH47" s="310"/>
      <c r="KI47" s="310"/>
      <c r="KJ47" s="310"/>
      <c r="KK47" s="310"/>
      <c r="KL47" s="310"/>
      <c r="KM47" s="310"/>
      <c r="KN47" s="243" t="e">
        <f>IF(KR36=TRUE,ON50,#N/A)</f>
        <v>#N/A</v>
      </c>
      <c r="KO47" s="243" t="e">
        <f>KO46</f>
        <v>#N/A</v>
      </c>
      <c r="KP47" s="391"/>
      <c r="KQ47" s="391"/>
      <c r="KR47" s="391"/>
      <c r="KS47" s="310"/>
      <c r="KT47" s="242">
        <f>KT40</f>
        <v>1.2999999999999998</v>
      </c>
      <c r="KU47" s="242">
        <f>KU46</f>
        <v>1.25</v>
      </c>
      <c r="KV47" s="338"/>
      <c r="KW47" s="338"/>
      <c r="KX47" s="389"/>
      <c r="KY47" s="310"/>
      <c r="KZ47" s="310"/>
      <c r="LA47" s="310"/>
      <c r="LB47" s="310"/>
      <c r="LC47" s="310"/>
      <c r="LD47" s="310"/>
      <c r="LE47" s="310"/>
      <c r="LF47" s="310"/>
      <c r="LG47" s="310"/>
      <c r="LH47" s="310"/>
      <c r="LI47" s="310"/>
      <c r="LJ47" s="310"/>
      <c r="LK47" s="310"/>
      <c r="LL47" s="310"/>
      <c r="LM47" s="310"/>
      <c r="LN47" s="310"/>
      <c r="LO47" s="310"/>
      <c r="LP47" s="310"/>
      <c r="LQ47" s="310"/>
      <c r="LR47" s="310"/>
      <c r="LS47" s="310"/>
      <c r="LT47" s="310"/>
      <c r="LU47" s="310"/>
      <c r="LV47" s="310"/>
      <c r="LW47" s="310"/>
      <c r="LX47" s="310"/>
      <c r="LY47" s="310"/>
      <c r="LZ47" s="310"/>
      <c r="MA47" s="310"/>
      <c r="MB47" s="310"/>
      <c r="MC47" s="310"/>
      <c r="MD47" s="310"/>
      <c r="ME47" s="310"/>
      <c r="MF47" s="310"/>
      <c r="MG47" s="310"/>
      <c r="MH47" s="310"/>
      <c r="MI47" s="310"/>
      <c r="MJ47" s="310"/>
      <c r="MK47" s="310"/>
      <c r="ML47" s="310"/>
      <c r="MM47" s="310"/>
      <c r="MN47" s="310"/>
      <c r="MO47" s="310"/>
      <c r="MP47" s="310"/>
      <c r="MQ47" s="310"/>
      <c r="MR47" s="310"/>
      <c r="MS47" s="310"/>
      <c r="MT47" s="310"/>
      <c r="MU47" s="329" t="s">
        <v>48</v>
      </c>
      <c r="MV47" s="329" t="s">
        <v>49</v>
      </c>
      <c r="MW47" s="310"/>
      <c r="MX47" s="310"/>
      <c r="MY47" s="310"/>
      <c r="MZ47" s="328">
        <v>14</v>
      </c>
      <c r="NA47" s="372" t="b">
        <f t="shared" si="76"/>
        <v>0</v>
      </c>
      <c r="NB47" s="280" t="e">
        <f t="shared" si="80"/>
        <v>#N/A</v>
      </c>
      <c r="NC47" s="280" t="e">
        <f t="shared" si="81"/>
        <v>#N/A</v>
      </c>
      <c r="ND47" s="280" t="e">
        <f t="shared" si="77"/>
        <v>#N/A</v>
      </c>
      <c r="NE47" s="280" t="e">
        <f t="shared" si="78"/>
        <v>#N/A</v>
      </c>
      <c r="NF47" s="310"/>
      <c r="NG47" s="310"/>
      <c r="NH47" s="280" t="e">
        <v>#N/A</v>
      </c>
      <c r="NI47" s="280" t="e">
        <v>#N/A</v>
      </c>
      <c r="NJ47" s="310"/>
      <c r="NK47" s="310"/>
      <c r="NL47" s="310"/>
      <c r="NM47" s="310"/>
      <c r="NN47" s="310"/>
      <c r="NO47" s="310"/>
      <c r="NP47" s="310"/>
      <c r="NQ47" s="310"/>
      <c r="NR47" s="310"/>
      <c r="NS47" s="257" t="e">
        <f>IF(NS35=TRUE,OA42,#N/A)</f>
        <v>#N/A</v>
      </c>
      <c r="NT47" s="257" t="e">
        <f>IF(NS35=TRUE,OB42,#N/A)</f>
        <v>#N/A</v>
      </c>
      <c r="NU47" s="310"/>
      <c r="NV47" s="310"/>
      <c r="NW47" s="257" t="e">
        <f>IF(NS35=TRUE,OA39,#N/A)</f>
        <v>#N/A</v>
      </c>
      <c r="NX47" s="257" t="e">
        <f>IF(CP13=TRUE,IF(NS35=TRUE,OB39,#N/A),#N/A)</f>
        <v>#N/A</v>
      </c>
      <c r="NY47" s="310"/>
      <c r="NZ47" s="310"/>
      <c r="OA47" s="310"/>
      <c r="OB47" s="310"/>
      <c r="OC47" s="310"/>
      <c r="OD47" s="310"/>
      <c r="OE47" s="310"/>
      <c r="OF47" s="310"/>
      <c r="OG47" s="310"/>
      <c r="OH47" s="310"/>
      <c r="OI47" s="310"/>
      <c r="OJ47" s="310"/>
      <c r="OK47" s="310"/>
      <c r="OL47" s="310"/>
      <c r="OM47" s="310"/>
      <c r="ON47" s="310"/>
      <c r="OO47" s="310"/>
      <c r="OP47" s="310"/>
      <c r="OQ47" s="310"/>
      <c r="OR47" s="310"/>
      <c r="OS47" s="310"/>
      <c r="OT47" s="310"/>
      <c r="OU47" s="281" t="e">
        <f>OU21</f>
        <v>#N/A</v>
      </c>
      <c r="OV47" s="281" t="e">
        <f>IF(OV8=TRUE,OV26-0.1,#N/A)</f>
        <v>#N/A</v>
      </c>
      <c r="OW47" s="310"/>
      <c r="OX47" s="310"/>
      <c r="OY47" s="310"/>
      <c r="OZ47" s="310"/>
      <c r="PA47" s="310"/>
      <c r="PB47" s="310"/>
      <c r="PC47" s="310"/>
      <c r="PD47" s="310"/>
      <c r="PE47" s="292" t="e">
        <f>IF($OV$8=TRUE,PE44,#N/A)</f>
        <v>#N/A</v>
      </c>
      <c r="PF47" s="328" t="e">
        <f>IF($OV$8=TRUE,PF45+0.2,#N/A)</f>
        <v>#N/A</v>
      </c>
      <c r="PG47" s="292" t="e">
        <f t="shared" si="84"/>
        <v>#N/A</v>
      </c>
      <c r="PH47" s="310"/>
      <c r="PI47" s="310"/>
      <c r="PJ47" s="310"/>
      <c r="PK47" s="310"/>
      <c r="PL47" s="310"/>
      <c r="PM47" s="310"/>
      <c r="PN47" s="310"/>
      <c r="PO47" s="310"/>
      <c r="PP47" s="310"/>
      <c r="PQ47" s="310"/>
      <c r="PR47" s="310"/>
      <c r="PS47" s="342">
        <v>33</v>
      </c>
      <c r="PT47" s="261" t="e">
        <f t="shared" si="29"/>
        <v>#N/A</v>
      </c>
      <c r="PU47" s="261" t="e">
        <f t="shared" si="30"/>
        <v>#N/A</v>
      </c>
      <c r="PV47" s="310"/>
      <c r="PW47" s="310"/>
      <c r="PX47" s="310"/>
      <c r="PY47" s="310"/>
      <c r="PZ47" s="310"/>
      <c r="QA47" s="310"/>
      <c r="QB47" s="310"/>
      <c r="QC47" s="310"/>
      <c r="QD47" s="310"/>
      <c r="QE47" s="310"/>
      <c r="QF47" s="455"/>
      <c r="QG47" s="310"/>
      <c r="QH47" s="310"/>
      <c r="QI47" s="310"/>
      <c r="QJ47" s="310"/>
      <c r="QK47" s="310"/>
      <c r="QL47" s="310"/>
      <c r="QM47" s="310"/>
      <c r="QN47" s="310"/>
      <c r="QO47" s="310"/>
      <c r="QP47" s="310"/>
      <c r="QQ47" s="310"/>
      <c r="QR47" s="310"/>
      <c r="QS47" s="310"/>
      <c r="QT47" s="310"/>
      <c r="QU47" s="310"/>
      <c r="QV47" s="310"/>
      <c r="QW47" s="310"/>
      <c r="QX47" s="310"/>
      <c r="QY47" s="310"/>
      <c r="QZ47" s="310"/>
      <c r="RA47" s="310"/>
      <c r="RB47" s="310"/>
      <c r="RC47" s="310"/>
      <c r="RD47" s="310"/>
      <c r="RE47" s="310"/>
      <c r="RF47" s="310"/>
      <c r="RG47" s="310"/>
      <c r="RH47" s="310"/>
      <c r="RI47" s="310"/>
      <c r="RJ47" s="310"/>
      <c r="RK47" s="310"/>
      <c r="RL47" s="310"/>
      <c r="RM47" s="310"/>
      <c r="RN47" s="310"/>
      <c r="RO47" s="310"/>
      <c r="RP47" s="310"/>
      <c r="RQ47" s="310"/>
      <c r="RR47" s="310"/>
      <c r="RS47" s="310"/>
      <c r="RT47" s="310"/>
      <c r="RU47" s="310"/>
      <c r="RV47" s="310"/>
      <c r="RW47" s="310"/>
      <c r="RX47" s="310"/>
      <c r="RY47" s="310"/>
      <c r="RZ47" s="310"/>
      <c r="SA47" s="310"/>
      <c r="SB47" s="310"/>
      <c r="SC47" s="310"/>
      <c r="SD47" s="310"/>
      <c r="SE47" s="310"/>
      <c r="SF47" s="247" t="e">
        <v>#N/A</v>
      </c>
      <c r="SG47" s="247" t="e">
        <v>#N/A</v>
      </c>
      <c r="SH47" s="310"/>
      <c r="SI47" s="310"/>
      <c r="SJ47" s="310"/>
      <c r="SK47" s="310"/>
      <c r="SL47" s="310"/>
      <c r="SM47" s="310"/>
      <c r="SN47" s="310"/>
      <c r="SO47" s="220"/>
      <c r="SP47" s="220"/>
      <c r="SQ47" s="220"/>
      <c r="SR47" s="220"/>
      <c r="SS47" s="220"/>
      <c r="ST47" s="220"/>
      <c r="SU47" s="220"/>
      <c r="SV47" s="220"/>
      <c r="SW47" s="220"/>
      <c r="SX47" s="220"/>
      <c r="SY47" s="220"/>
      <c r="SZ47" s="220"/>
      <c r="TA47" s="220"/>
      <c r="TB47" s="220"/>
      <c r="TC47" s="220"/>
      <c r="TD47" s="220"/>
      <c r="TE47" s="220"/>
      <c r="TF47" s="220"/>
      <c r="TG47" s="220"/>
      <c r="TH47" s="220"/>
      <c r="TI47" s="220"/>
      <c r="TJ47" s="220"/>
      <c r="TK47" s="220"/>
      <c r="TL47" s="220"/>
      <c r="TM47" s="220"/>
      <c r="TN47" s="220"/>
      <c r="TO47" s="220"/>
      <c r="TP47" s="220"/>
      <c r="TQ47" s="220"/>
      <c r="TR47" s="220"/>
      <c r="TS47" s="220"/>
      <c r="TT47" s="220"/>
      <c r="TU47" s="220"/>
      <c r="TV47" s="220"/>
      <c r="TW47" s="220"/>
      <c r="TX47" s="220"/>
      <c r="TY47" s="220"/>
      <c r="TZ47" s="220"/>
      <c r="UA47" s="220"/>
      <c r="UB47" s="220"/>
      <c r="UC47" s="220"/>
      <c r="UD47" s="220"/>
      <c r="UE47" s="220"/>
      <c r="UF47" s="220"/>
      <c r="UG47" s="220"/>
      <c r="UH47" s="220"/>
      <c r="UI47" s="220"/>
      <c r="UJ47" s="220"/>
      <c r="UK47" s="216"/>
      <c r="UL47" s="216"/>
      <c r="UM47" s="216"/>
      <c r="UN47" s="216"/>
      <c r="UO47" s="216"/>
      <c r="UP47" s="216"/>
      <c r="UQ47" s="216"/>
      <c r="UR47" s="216"/>
      <c r="US47" s="216"/>
      <c r="UT47" s="216"/>
      <c r="UU47" s="216"/>
      <c r="UV47" s="216"/>
      <c r="UW47" s="216"/>
      <c r="UX47" s="216"/>
      <c r="UY47" s="216"/>
      <c r="UZ47" s="216"/>
      <c r="VA47" s="216"/>
    </row>
    <row r="48" spans="1:573" s="4" customFormat="1" ht="18.75" customHeight="1" x14ac:dyDescent="0.3">
      <c r="A48" s="134"/>
      <c r="B48" s="127" t="s">
        <v>140</v>
      </c>
      <c r="C48" s="198">
        <v>240</v>
      </c>
      <c r="D48" s="128"/>
      <c r="E48" s="129" t="s">
        <v>141</v>
      </c>
      <c r="F48" s="130">
        <f>1-F47/3</f>
        <v>0.89523685844036072</v>
      </c>
      <c r="G48" s="135" t="str">
        <v>P5</v>
      </c>
      <c r="H48" s="136">
        <f>IF(AND(CP13=TRUE,J30&lt;&gt;"",CU11=TRUE),IF(BM11=TRUE,TRUNC(J30-J38,3),""),"")</f>
        <v>0</v>
      </c>
      <c r="I48" s="137">
        <f>IF(AND(CP13=TRUE,H30&lt;&gt;"",CU11=TRUE),IF(BM11=TRUE,TRUNC(H30-J36,3),""),"")</f>
        <v>-0.185</v>
      </c>
      <c r="J48" s="706">
        <f>IF(AND(H48&lt;&gt;"",CU11=TRUE),IF(BM11=TRUE,H48^2,""),"")</f>
        <v>0</v>
      </c>
      <c r="K48" s="707"/>
      <c r="L48" s="137">
        <f>IF(AND(I48&lt;&gt;"",CU11=TRUE),IF(BM11=TRUE,I48^2,""),"")</f>
        <v>3.4224999999999998E-2</v>
      </c>
      <c r="M48" s="749">
        <f t="shared" si="91"/>
        <v>36</v>
      </c>
      <c r="N48" s="750"/>
      <c r="O48" s="138" t="str">
        <f>IF(H48&lt;&gt;"",IF(BM11=TRUE,IF(M48&lt;=$M$8,"PASS","FALSE"),""),"")</f>
        <v>PASS</v>
      </c>
      <c r="P48" s="88"/>
      <c r="Q48" s="95"/>
      <c r="R48" s="13"/>
      <c r="S48" s="13"/>
      <c r="T48" s="13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5"/>
      <c r="AM48" s="45"/>
      <c r="AN48" s="45"/>
      <c r="AO48" s="45"/>
      <c r="AP48" s="310"/>
      <c r="AQ48" s="456" t="b">
        <f>IF(M52="","",IF(ABS(M52-$M$16)&lt;=0.05,TRUE,FALSE))</f>
        <v>1</v>
      </c>
      <c r="AR48" s="456" t="b">
        <f>IF(M52="",FALSE,IF(AQ48=FALSE,TRUE,FALSE))</f>
        <v>0</v>
      </c>
      <c r="AS48" s="449"/>
      <c r="AT48" s="450"/>
      <c r="AU48" s="457" t="s">
        <v>148</v>
      </c>
      <c r="AV48" s="457" t="s">
        <v>579</v>
      </c>
      <c r="AW48" s="310"/>
      <c r="AX48" s="310"/>
      <c r="AY48" s="310"/>
      <c r="AZ48" s="310"/>
      <c r="BA48" s="310"/>
      <c r="BB48" s="310"/>
      <c r="BC48" s="392" t="b">
        <f>OR(BD43=TRUE,BD44=TRUE,BD45=TRUE,BD46=TRUE)</f>
        <v>0</v>
      </c>
      <c r="BD48" s="310" t="s">
        <v>207</v>
      </c>
      <c r="BE48" s="392" t="str">
        <f>"PILE NO. : "&amp;BE43&amp;IF(BD44=TRUE,","&amp;BE44,IF(BD45=TRUE,","&amp;BE45,IF(BD46=TRUE,","&amp;BE46,BE47)))&amp;" CAPACITY IS INSUFFICIENT."</f>
        <v>PILE NO. :  CAPACITY IS INSUFFICIENT.</v>
      </c>
      <c r="BF48" s="310"/>
      <c r="BG48" s="310"/>
      <c r="BH48" s="310"/>
      <c r="BI48" s="310"/>
      <c r="BJ48" s="310"/>
      <c r="BK48" s="310"/>
      <c r="BL48" s="310"/>
      <c r="BM48" s="458" t="b">
        <f>IF(RX18=TRUE,FALSE,IF(I63&lt;N63,TRUE,FALSE))</f>
        <v>0</v>
      </c>
      <c r="BN48" s="310" t="s">
        <v>298</v>
      </c>
      <c r="BO48" s="310"/>
      <c r="BP48" s="310"/>
      <c r="BQ48" s="310"/>
      <c r="BR48" s="310"/>
      <c r="BS48" s="310"/>
      <c r="BT48" s="310"/>
      <c r="BU48" s="310"/>
      <c r="BV48" s="310"/>
      <c r="BW48" s="310"/>
      <c r="BX48" s="400" t="s">
        <v>144</v>
      </c>
      <c r="BY48" s="229" t="e">
        <f>IF(BW35=TRUE,BZ22+J15/2,#N/A)</f>
        <v>#N/A</v>
      </c>
      <c r="BZ48" s="229" t="e">
        <f>IF(BW35=TRUE,BY22,#N/A)</f>
        <v>#N/A</v>
      </c>
      <c r="CA48" s="447" t="str">
        <f>IF($BL$8=TRUE,IF($AY$15=TRUE,BX48,""),"")</f>
        <v/>
      </c>
      <c r="CB48" s="351" t="e">
        <f t="shared" ref="CB48:CC51" si="95">IF($CE$45=TRUE,BY26,#N/A)</f>
        <v>#N/A</v>
      </c>
      <c r="CC48" s="452" t="e">
        <f t="shared" si="95"/>
        <v>#N/A</v>
      </c>
      <c r="CD48" s="233" t="e">
        <f>CD47</f>
        <v>#N/A</v>
      </c>
      <c r="CE48" s="233" t="e">
        <f>CE47+CE44</f>
        <v>#N/A</v>
      </c>
      <c r="CF48" s="242" t="e">
        <f>CF47</f>
        <v>#N/A</v>
      </c>
      <c r="CG48" s="241" t="e">
        <f>CE61</f>
        <v>#N/A</v>
      </c>
      <c r="CH48" s="453" t="b">
        <f>IF(CE45=TRUE,BY48-BY47)</f>
        <v>0</v>
      </c>
      <c r="CI48" s="454"/>
      <c r="CJ48" s="242" t="e">
        <v>#N/A</v>
      </c>
      <c r="CK48" s="242" t="e">
        <v>#N/A</v>
      </c>
      <c r="CL48" s="310"/>
      <c r="CM48" s="310"/>
      <c r="CN48" s="338" t="e">
        <f>CN37-CO36/5.5</f>
        <v>#N/A</v>
      </c>
      <c r="CO48" s="338" t="e">
        <f>CO37</f>
        <v>#N/A</v>
      </c>
      <c r="CP48" s="338" t="s">
        <v>265</v>
      </c>
      <c r="CQ48" s="338" t="s">
        <v>270</v>
      </c>
      <c r="CR48" s="338" t="s">
        <v>271</v>
      </c>
      <c r="CS48" s="310"/>
      <c r="CT48" s="336" t="e">
        <f>CN28</f>
        <v>#N/A</v>
      </c>
      <c r="CU48" s="338" t="e">
        <f>CU37+CU36/4.5</f>
        <v>#N/A</v>
      </c>
      <c r="CV48" s="531" t="s">
        <v>274</v>
      </c>
      <c r="CW48" s="531"/>
      <c r="CX48" s="531"/>
      <c r="CY48" s="310"/>
      <c r="CZ48" s="310"/>
      <c r="DA48" s="310"/>
      <c r="DB48" s="310"/>
      <c r="DC48" s="310"/>
      <c r="DD48" s="310"/>
      <c r="DE48" s="310"/>
      <c r="DF48" s="280" t="e">
        <f>DF45</f>
        <v>#N/A</v>
      </c>
      <c r="DG48" s="280" t="e">
        <f t="shared" ref="DG48" si="96">DG47</f>
        <v>#N/A</v>
      </c>
      <c r="DH48" s="338">
        <f>DH47</f>
        <v>0.4</v>
      </c>
      <c r="DI48" s="310"/>
      <c r="DJ48" s="310"/>
      <c r="DK48" s="313">
        <v>40</v>
      </c>
      <c r="DL48" s="282" t="e">
        <f t="shared" si="3"/>
        <v>#N/A</v>
      </c>
      <c r="DM48" s="291" t="e">
        <f t="shared" si="4"/>
        <v>#N/A</v>
      </c>
      <c r="DN48" s="310"/>
      <c r="DO48" s="310"/>
      <c r="DP48" s="310"/>
      <c r="DQ48" s="310"/>
      <c r="DR48" s="310"/>
      <c r="DS48" s="310"/>
      <c r="DT48" s="328" t="s">
        <v>149</v>
      </c>
      <c r="DU48" s="231">
        <f>DV22+J15/2</f>
        <v>0.65</v>
      </c>
      <c r="DV48" s="231">
        <f>DU22-J15/2</f>
        <v>-0.65</v>
      </c>
      <c r="DW48" s="447" t="str">
        <f t="shared" si="94"/>
        <v>P3</v>
      </c>
      <c r="DX48" s="328" t="s">
        <v>149</v>
      </c>
      <c r="DY48" s="228">
        <f>IF($BE$7=TRUE,IF(AND($DU$20=TRUE,J28&lt;&gt;""),J28,#N/A),#N/A)</f>
        <v>0.65</v>
      </c>
      <c r="DZ48" s="228">
        <f>IF(AND(CP13=TRUE,$BE$7=TRUE),IF($DU$20=TRUE,H28,#N/A),#N/A)</f>
        <v>-0.65</v>
      </c>
      <c r="EA48" s="310"/>
      <c r="EB48" s="310" t="b">
        <f>IF($DU$20=TRUE,IF(M46&lt;=$M$8,TRUE,FALSE),"")</f>
        <v>1</v>
      </c>
      <c r="EC48" s="310" t="b">
        <f>IF(EB48=FALSE,TRUE,FALSE)</f>
        <v>0</v>
      </c>
      <c r="ED48" s="247">
        <f>IF(EB48=TRUE,DZ48,#N/A)</f>
        <v>-0.65</v>
      </c>
      <c r="EE48" s="247">
        <f>IF(EB48=TRUE,DY48,#N/A)</f>
        <v>0.65</v>
      </c>
      <c r="EF48" s="448">
        <f>IF(EB48=TRUE,M46,#N/A)</f>
        <v>36</v>
      </c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>
        <v>7091.1229999999996</v>
      </c>
      <c r="FJ48" s="310">
        <v>4319.8990000000003</v>
      </c>
      <c r="FK48" s="310"/>
      <c r="FL48" s="311"/>
      <c r="FM48" s="311"/>
      <c r="FN48" s="311"/>
      <c r="FO48" s="311"/>
      <c r="FP48" s="311"/>
      <c r="FQ48" s="313" t="s">
        <v>333</v>
      </c>
      <c r="FR48" s="318">
        <f t="shared" ref="FR48:GA48" si="97">FR46</f>
        <v>-1.2999999999999998</v>
      </c>
      <c r="FS48" s="318">
        <f t="shared" si="97"/>
        <v>0.95</v>
      </c>
      <c r="FT48" s="318">
        <f t="shared" si="97"/>
        <v>-1.2999999999999998</v>
      </c>
      <c r="FU48" s="318">
        <f t="shared" si="97"/>
        <v>0.95</v>
      </c>
      <c r="FV48" s="318">
        <f t="shared" si="97"/>
        <v>-1.2999999999999998</v>
      </c>
      <c r="FW48" s="318">
        <f t="shared" si="97"/>
        <v>0.95</v>
      </c>
      <c r="FX48" s="318">
        <f t="shared" si="97"/>
        <v>-1.2999999999999998</v>
      </c>
      <c r="FY48" s="318">
        <f t="shared" si="97"/>
        <v>0.95</v>
      </c>
      <c r="FZ48" s="318">
        <f t="shared" si="97"/>
        <v>-1.2999999999999998</v>
      </c>
      <c r="GA48" s="318">
        <f t="shared" si="97"/>
        <v>0.95</v>
      </c>
      <c r="GB48" s="318">
        <v>-1.2999999999999998</v>
      </c>
      <c r="GC48" s="318">
        <v>0.95</v>
      </c>
      <c r="GD48" s="310"/>
      <c r="GE48" s="535" t="s">
        <v>119</v>
      </c>
      <c r="GF48" s="328" t="s">
        <v>334</v>
      </c>
      <c r="GG48" s="328" t="s">
        <v>332</v>
      </c>
      <c r="GH48" s="328" t="s">
        <v>332</v>
      </c>
      <c r="GI48" s="328" t="str">
        <f t="shared" ref="GI48:GI49" si="98">IF($AX$14=1,GG48,GH48)</f>
        <v>C1</v>
      </c>
      <c r="GJ48" s="328" t="s">
        <v>332</v>
      </c>
      <c r="GK48" s="328" t="s">
        <v>335</v>
      </c>
      <c r="GL48" s="328" t="s">
        <v>337</v>
      </c>
      <c r="GM48" s="328" t="s">
        <v>332</v>
      </c>
      <c r="GN48" s="328" t="s">
        <v>336</v>
      </c>
      <c r="GO48" s="328"/>
      <c r="GP48" s="402" t="str">
        <v>C1</v>
      </c>
      <c r="GQ48" s="223">
        <f t="shared" ref="GQ48:GQ49" si="99">INDEX($GP$25:$GP$30,MATCH(GP48,$GF$25:$GF$30,0))</f>
        <v>-1.2999999999999998</v>
      </c>
      <c r="GR48" s="223">
        <f t="shared" ref="GR48:GR49" si="100">INDEX($GQ$25:$GQ$30,MATCH(GP48,$GF$25:$GF$30,0))</f>
        <v>-0.95</v>
      </c>
      <c r="GS48" s="445">
        <f>MIN(GR48:GR49)</f>
        <v>-0.95</v>
      </c>
      <c r="GT48" s="531" t="s">
        <v>119</v>
      </c>
      <c r="GU48" s="531">
        <f>_xlfn.AGGREGATE(5,6,BB75:BB82)</f>
        <v>-0.65</v>
      </c>
      <c r="GV48" s="536">
        <f>ABS(GS48)-ABS(GU48)</f>
        <v>0.29999999999999993</v>
      </c>
      <c r="GW48" s="533" t="b">
        <f>IF(HE48&gt;=IF(BK6=1,0.5*BT7,BT7),TRUE,FALSE)</f>
        <v>1</v>
      </c>
      <c r="GX48" s="531" t="b">
        <f>IF(GW48=FALSE,TRUE,FALSE)</f>
        <v>0</v>
      </c>
      <c r="GY48" s="533">
        <f>GV48-$J$16</f>
        <v>0</v>
      </c>
      <c r="GZ48" s="242">
        <f>IF(HE48=TRUE,GQ48,#N/A)</f>
        <v>-1.2999999999999998</v>
      </c>
      <c r="HA48" s="242">
        <f>IF(HE48=TRUE,GR48,#N/A)</f>
        <v>-0.95</v>
      </c>
      <c r="HB48" s="242" t="e">
        <f>IF(HF48=TRUE,GQ48,#N/A)</f>
        <v>#N/A</v>
      </c>
      <c r="HC48" s="242" t="e">
        <f>IF(HF48=TRUE,GR48,#N/A)</f>
        <v>#N/A</v>
      </c>
      <c r="HD48" s="310"/>
      <c r="HE48" s="531" t="b">
        <f>IF(HG48&gt;=BT7,TRUE,FALSE)</f>
        <v>1</v>
      </c>
      <c r="HF48" s="532" t="b">
        <f>IF(HE48=FALSE,TRUE,FALSE)</f>
        <v>0</v>
      </c>
      <c r="HG48" s="523">
        <f>IF(CP13=TRUE,ABS(GV48),"")</f>
        <v>0.29999999999999993</v>
      </c>
      <c r="HH48" s="310" t="str">
        <f>IF(HF48=TRUE,"BOTTOM +"&amp;TEXT(BT7-HG48,"0.00")&amp;"m,","")</f>
        <v/>
      </c>
      <c r="HI48" s="310"/>
      <c r="HJ48" s="310"/>
      <c r="HK48" s="342">
        <v>34</v>
      </c>
      <c r="HL48" s="235" t="e">
        <f t="shared" si="5"/>
        <v>#N/A</v>
      </c>
      <c r="HM48" s="235" t="e">
        <f t="shared" si="6"/>
        <v>#N/A</v>
      </c>
      <c r="HN48" s="310"/>
      <c r="HO48" s="310"/>
      <c r="HP48" s="235" t="e">
        <f t="shared" si="7"/>
        <v>#N/A</v>
      </c>
      <c r="HQ48" s="235" t="e">
        <f t="shared" si="8"/>
        <v>#N/A</v>
      </c>
      <c r="HR48" s="310"/>
      <c r="HS48" s="310"/>
      <c r="HT48" s="235" t="e">
        <f t="shared" si="9"/>
        <v>#N/A</v>
      </c>
      <c r="HU48" s="235" t="e">
        <f t="shared" si="10"/>
        <v>#N/A</v>
      </c>
      <c r="HV48" s="310"/>
      <c r="HW48" s="310"/>
      <c r="HX48" s="235" t="e">
        <f t="shared" si="11"/>
        <v>#N/A</v>
      </c>
      <c r="HY48" s="235" t="e">
        <f t="shared" si="12"/>
        <v>#N/A</v>
      </c>
      <c r="HZ48" s="310"/>
      <c r="IA48" s="310"/>
      <c r="IB48" s="235" t="e">
        <f t="shared" si="13"/>
        <v>#N/A</v>
      </c>
      <c r="IC48" s="235" t="e">
        <f t="shared" si="14"/>
        <v>#N/A</v>
      </c>
      <c r="ID48" s="310"/>
      <c r="IE48" s="342">
        <v>34</v>
      </c>
      <c r="IF48" s="262" t="e">
        <f t="shared" si="15"/>
        <v>#N/A</v>
      </c>
      <c r="IG48" s="262" t="e">
        <f t="shared" si="16"/>
        <v>#N/A</v>
      </c>
      <c r="IH48" s="390"/>
      <c r="II48" s="390"/>
      <c r="IJ48" s="262" t="e">
        <f t="shared" si="17"/>
        <v>#N/A</v>
      </c>
      <c r="IK48" s="262" t="e">
        <f t="shared" si="18"/>
        <v>#N/A</v>
      </c>
      <c r="IL48" s="390"/>
      <c r="IM48" s="390"/>
      <c r="IN48" s="262" t="e">
        <f t="shared" si="19"/>
        <v>#N/A</v>
      </c>
      <c r="IO48" s="262" t="e">
        <f t="shared" si="20"/>
        <v>#N/A</v>
      </c>
      <c r="IP48" s="390"/>
      <c r="IQ48" s="390"/>
      <c r="IR48" s="262" t="e">
        <f t="shared" si="21"/>
        <v>#N/A</v>
      </c>
      <c r="IS48" s="262" t="e">
        <f t="shared" si="22"/>
        <v>#N/A</v>
      </c>
      <c r="IT48" s="390"/>
      <c r="IU48" s="390"/>
      <c r="IV48" s="262" t="e">
        <f t="shared" si="23"/>
        <v>#N/A</v>
      </c>
      <c r="IW48" s="262" t="e">
        <f t="shared" si="24"/>
        <v>#N/A</v>
      </c>
      <c r="IX48" s="310"/>
      <c r="IY48" s="310"/>
      <c r="IZ48" s="310"/>
      <c r="JA48" s="310"/>
      <c r="JB48" s="313" t="s">
        <v>326</v>
      </c>
      <c r="JC48" s="236" t="e">
        <f>IZ44-($IZ$10/2)</f>
        <v>#N/A</v>
      </c>
      <c r="JD48" s="236" t="e">
        <f>JD45</f>
        <v>#N/A</v>
      </c>
      <c r="JE48" s="310"/>
      <c r="JF48" s="310"/>
      <c r="JG48" s="310"/>
      <c r="JH48" s="310"/>
      <c r="JI48" s="313" t="s">
        <v>326</v>
      </c>
      <c r="JJ48" s="263" t="e">
        <f>JG44-($IZ$10/2)</f>
        <v>#N/A</v>
      </c>
      <c r="JK48" s="263" t="e">
        <f>JK45</f>
        <v>#N/A</v>
      </c>
      <c r="JL48" s="310"/>
      <c r="JM48" s="310"/>
      <c r="JN48" s="261" t="e">
        <f t="shared" si="25"/>
        <v>#N/A</v>
      </c>
      <c r="JO48" s="261" t="e">
        <f t="shared" si="26"/>
        <v>#N/A</v>
      </c>
      <c r="JP48" s="310"/>
      <c r="JQ48" s="310"/>
      <c r="JR48" s="261" t="e">
        <f t="shared" si="31"/>
        <v>#N/A</v>
      </c>
      <c r="JS48" s="261" t="e">
        <f t="shared" si="32"/>
        <v>#N/A</v>
      </c>
      <c r="JT48" s="310"/>
      <c r="JU48" s="310"/>
      <c r="JV48" s="261" t="e">
        <f t="shared" si="27"/>
        <v>#N/A</v>
      </c>
      <c r="JW48" s="261" t="e">
        <f t="shared" si="28"/>
        <v>#N/A</v>
      </c>
      <c r="JX48" s="310"/>
      <c r="JY48" s="342" t="s">
        <v>355</v>
      </c>
      <c r="JZ48" s="342" t="s">
        <v>48</v>
      </c>
      <c r="KA48" s="342" t="s">
        <v>49</v>
      </c>
      <c r="KB48" s="313" t="s">
        <v>144</v>
      </c>
      <c r="KC48" s="242" t="e">
        <f>JZ49+$IZ$62/2</f>
        <v>#N/A</v>
      </c>
      <c r="KD48" s="242" t="e">
        <f>KD47</f>
        <v>#N/A</v>
      </c>
      <c r="KE48" s="310"/>
      <c r="KF48" s="310"/>
      <c r="KG48" s="310"/>
      <c r="KH48" s="310"/>
      <c r="KI48" s="310"/>
      <c r="KJ48" s="310"/>
      <c r="KK48" s="310"/>
      <c r="KL48" s="310"/>
      <c r="KM48" s="310"/>
      <c r="KN48" s="267" t="e">
        <v>#N/A</v>
      </c>
      <c r="KO48" s="267" t="e">
        <v>#N/A</v>
      </c>
      <c r="KP48" s="391"/>
      <c r="KQ48" s="391"/>
      <c r="KR48" s="391"/>
      <c r="KS48" s="310"/>
      <c r="KT48" s="267" t="e">
        <v>#N/A</v>
      </c>
      <c r="KU48" s="267" t="e">
        <v>#N/A</v>
      </c>
      <c r="KV48" s="338"/>
      <c r="KW48" s="338"/>
      <c r="KX48" s="389"/>
      <c r="KY48" s="310"/>
      <c r="KZ48" s="310"/>
      <c r="LA48" s="310"/>
      <c r="LB48" s="310"/>
      <c r="LC48" s="310"/>
      <c r="LD48" s="310"/>
      <c r="LE48" s="310"/>
      <c r="LF48" s="310"/>
      <c r="LG48" s="310"/>
      <c r="LH48" s="534" t="s">
        <v>464</v>
      </c>
      <c r="LI48" s="534"/>
      <c r="LJ48" s="534"/>
      <c r="LK48" s="534"/>
      <c r="LL48" s="534"/>
      <c r="LM48" s="534"/>
      <c r="LN48" s="534"/>
      <c r="LO48" s="534"/>
      <c r="LP48" s="534"/>
      <c r="LQ48" s="534"/>
      <c r="LR48" s="534"/>
      <c r="LS48" s="534"/>
      <c r="LT48" s="534"/>
      <c r="LU48" s="534"/>
      <c r="LV48" s="534"/>
      <c r="LW48" s="534"/>
      <c r="LX48" s="534"/>
      <c r="LY48" s="534"/>
      <c r="LZ48" s="534"/>
      <c r="MA48" s="534"/>
      <c r="MB48" s="534"/>
      <c r="MC48" s="534"/>
      <c r="MD48" s="534"/>
      <c r="ME48" s="534"/>
      <c r="MF48" s="534"/>
      <c r="MG48" s="534"/>
      <c r="MH48" s="534"/>
      <c r="MI48" s="534"/>
      <c r="MJ48" s="534"/>
      <c r="MK48" s="534"/>
      <c r="ML48" s="534"/>
      <c r="MM48" s="534"/>
      <c r="MN48" s="534"/>
      <c r="MO48" s="534"/>
      <c r="MP48" s="534"/>
      <c r="MQ48" s="534"/>
      <c r="MR48" s="310"/>
      <c r="MS48" s="310"/>
      <c r="MT48" s="310"/>
      <c r="MU48" s="280" t="e">
        <f>IF(MU29=TRUE,MT32+NA30,#N/A)</f>
        <v>#N/A</v>
      </c>
      <c r="MV48" s="280" t="e">
        <f>IF(MU29=TRUE,MU31-NA30,#N/A)</f>
        <v>#N/A</v>
      </c>
      <c r="MW48" s="310"/>
      <c r="MX48" s="310"/>
      <c r="MY48" s="310"/>
      <c r="MZ48" s="328">
        <v>15</v>
      </c>
      <c r="NA48" s="372" t="b">
        <f t="shared" si="76"/>
        <v>0</v>
      </c>
      <c r="NB48" s="280" t="e">
        <f t="shared" si="80"/>
        <v>#N/A</v>
      </c>
      <c r="NC48" s="280" t="e">
        <f t="shared" si="81"/>
        <v>#N/A</v>
      </c>
      <c r="ND48" s="280" t="e">
        <f t="shared" si="77"/>
        <v>#N/A</v>
      </c>
      <c r="NE48" s="280" t="e">
        <f t="shared" si="78"/>
        <v>#N/A</v>
      </c>
      <c r="NF48" s="310"/>
      <c r="NG48" s="310"/>
      <c r="NH48" s="509" t="e">
        <f>NH44+0.1</f>
        <v>#N/A</v>
      </c>
      <c r="NI48" s="280" t="e">
        <f>MV49</f>
        <v>#N/A</v>
      </c>
      <c r="NJ48" s="310"/>
      <c r="NK48" s="310"/>
      <c r="NL48" s="310"/>
      <c r="NM48" s="310"/>
      <c r="NN48" s="310"/>
      <c r="NO48" s="310"/>
      <c r="NP48" s="310"/>
      <c r="NQ48" s="310"/>
      <c r="NR48" s="310"/>
      <c r="NS48" s="257" t="e">
        <f>NS47</f>
        <v>#N/A</v>
      </c>
      <c r="NT48" s="257" t="e">
        <f>IF(CP13=TRUE,IF(NS35=TRUE,GQ28-0.25,#N/A),#N/A)</f>
        <v>#N/A</v>
      </c>
      <c r="NU48" s="310"/>
      <c r="NV48" s="310"/>
      <c r="NW48" s="257" t="e">
        <f>IF(CP13=TRUE,IF(NS35=TRUE,NO21+0.5,#N/A),#N/A)</f>
        <v>#N/A</v>
      </c>
      <c r="NX48" s="257" t="e">
        <f>NX47</f>
        <v>#N/A</v>
      </c>
      <c r="NY48" s="310"/>
      <c r="NZ48" s="310"/>
      <c r="OA48" s="310"/>
      <c r="OB48" s="310"/>
      <c r="OC48" s="310"/>
      <c r="OD48" s="310"/>
      <c r="OE48" s="310"/>
      <c r="OF48" s="310"/>
      <c r="OG48" s="310"/>
      <c r="OH48" s="310"/>
      <c r="OI48" s="310"/>
      <c r="OJ48" s="310"/>
      <c r="OK48" s="310"/>
      <c r="OL48" s="310"/>
      <c r="OM48" s="328"/>
      <c r="ON48" s="328" t="s">
        <v>48</v>
      </c>
      <c r="OO48" s="328" t="s">
        <v>49</v>
      </c>
      <c r="OP48" s="310"/>
      <c r="OQ48" s="310"/>
      <c r="OR48" s="310"/>
      <c r="OS48" s="310"/>
      <c r="OT48" s="310"/>
      <c r="OU48" s="281" t="e">
        <f>OU47+0.15</f>
        <v>#N/A</v>
      </c>
      <c r="OV48" s="281" t="e">
        <f>OV47</f>
        <v>#N/A</v>
      </c>
      <c r="OW48" s="310"/>
      <c r="OX48" s="310"/>
      <c r="OY48" s="310"/>
      <c r="OZ48" s="310"/>
      <c r="PA48" s="310"/>
      <c r="PB48" s="310"/>
      <c r="PC48" s="310"/>
      <c r="PD48" s="310"/>
      <c r="PE48" s="292" t="e">
        <f>IF($OV$8=TRUE,PE45,#N/A)</f>
        <v>#N/A</v>
      </c>
      <c r="PF48" s="328" t="e">
        <f>PF47</f>
        <v>#N/A</v>
      </c>
      <c r="PG48" s="292" t="e">
        <f t="shared" si="84"/>
        <v>#N/A</v>
      </c>
      <c r="PH48" s="310"/>
      <c r="PI48" s="310"/>
      <c r="PJ48" s="310"/>
      <c r="PK48" s="310"/>
      <c r="PL48" s="310"/>
      <c r="PM48" s="310"/>
      <c r="PN48" s="310"/>
      <c r="PO48" s="310"/>
      <c r="PP48" s="310"/>
      <c r="PQ48" s="310"/>
      <c r="PR48" s="310"/>
      <c r="PS48" s="342">
        <v>34</v>
      </c>
      <c r="PT48" s="261" t="e">
        <f t="shared" si="29"/>
        <v>#N/A</v>
      </c>
      <c r="PU48" s="261" t="e">
        <f t="shared" si="30"/>
        <v>#N/A</v>
      </c>
      <c r="PV48" s="310"/>
      <c r="PW48" s="310"/>
      <c r="PX48" s="310"/>
      <c r="PY48" s="310"/>
      <c r="PZ48" s="310"/>
      <c r="QA48" s="310"/>
      <c r="QB48" s="310"/>
      <c r="QC48" s="310"/>
      <c r="QD48" s="310"/>
      <c r="QE48" s="310"/>
      <c r="QF48" s="310"/>
      <c r="QG48" s="310"/>
      <c r="QH48" s="310"/>
      <c r="QI48" s="310"/>
      <c r="QJ48" s="310"/>
      <c r="QK48" s="310"/>
      <c r="QL48" s="310"/>
      <c r="QM48" s="310"/>
      <c r="QN48" s="310"/>
      <c r="QO48" s="310"/>
      <c r="QP48" s="310"/>
      <c r="QQ48" s="310"/>
      <c r="QR48" s="310"/>
      <c r="QS48" s="310"/>
      <c r="QT48" s="310"/>
      <c r="QU48" s="310"/>
      <c r="QV48" s="310"/>
      <c r="QW48" s="310"/>
      <c r="QX48" s="310"/>
      <c r="QY48" s="310"/>
      <c r="QZ48" s="310"/>
      <c r="RA48" s="310"/>
      <c r="RB48" s="310"/>
      <c r="RC48" s="310"/>
      <c r="RD48" s="310"/>
      <c r="RE48" s="310"/>
      <c r="RF48" s="310"/>
      <c r="RG48" s="310"/>
      <c r="RH48" s="310"/>
      <c r="RI48" s="310"/>
      <c r="RJ48" s="310"/>
      <c r="RK48" s="310"/>
      <c r="RL48" s="310"/>
      <c r="RM48" s="310"/>
      <c r="RN48" s="310"/>
      <c r="RO48" s="310"/>
      <c r="RP48" s="310"/>
      <c r="RQ48" s="310"/>
      <c r="RR48" s="310"/>
      <c r="RS48" s="310"/>
      <c r="RT48" s="310"/>
      <c r="RU48" s="310"/>
      <c r="RV48" s="310"/>
      <c r="RW48" s="310"/>
      <c r="RX48" s="310"/>
      <c r="RY48" s="310"/>
      <c r="RZ48" s="310"/>
      <c r="SA48" s="310"/>
      <c r="SB48" s="310"/>
      <c r="SC48" s="310"/>
      <c r="SD48" s="310"/>
      <c r="SE48" s="310"/>
      <c r="SF48" s="310"/>
      <c r="SG48" s="310"/>
      <c r="SH48" s="310"/>
      <c r="SI48" s="310"/>
      <c r="SJ48" s="310"/>
      <c r="SK48" s="310"/>
      <c r="SL48" s="310"/>
      <c r="SM48" s="310"/>
      <c r="SN48" s="310"/>
      <c r="SO48" s="220"/>
      <c r="SP48" s="220"/>
      <c r="SQ48" s="220"/>
      <c r="SR48" s="220"/>
      <c r="SS48" s="220"/>
      <c r="ST48" s="220"/>
      <c r="SU48" s="220"/>
      <c r="SV48" s="220"/>
      <c r="SW48" s="220"/>
      <c r="SX48" s="220"/>
      <c r="SY48" s="220"/>
      <c r="SZ48" s="220"/>
      <c r="TA48" s="220"/>
      <c r="TB48" s="220"/>
      <c r="TC48" s="220"/>
      <c r="TD48" s="220"/>
      <c r="TE48" s="220"/>
      <c r="TF48" s="220"/>
      <c r="TG48" s="220"/>
      <c r="TH48" s="220"/>
      <c r="TI48" s="220"/>
      <c r="TJ48" s="220"/>
      <c r="TK48" s="220"/>
      <c r="TL48" s="220"/>
      <c r="TM48" s="220"/>
      <c r="TN48" s="220"/>
      <c r="TO48" s="220"/>
      <c r="TP48" s="220"/>
      <c r="TQ48" s="220"/>
      <c r="TR48" s="220"/>
      <c r="TS48" s="220"/>
      <c r="TT48" s="220"/>
      <c r="TU48" s="220"/>
      <c r="TV48" s="220"/>
      <c r="TW48" s="220"/>
      <c r="TX48" s="220"/>
      <c r="TY48" s="220"/>
      <c r="TZ48" s="220"/>
      <c r="UA48" s="220"/>
      <c r="UB48" s="220"/>
      <c r="UC48" s="220"/>
      <c r="UD48" s="220"/>
      <c r="UE48" s="220"/>
      <c r="UF48" s="220"/>
      <c r="UG48" s="220"/>
      <c r="UH48" s="220"/>
      <c r="UI48" s="220"/>
      <c r="UJ48" s="220"/>
      <c r="UK48" s="216"/>
      <c r="UL48" s="216"/>
      <c r="UM48" s="216"/>
      <c r="UN48" s="216"/>
      <c r="UO48" s="216"/>
      <c r="UP48" s="216"/>
      <c r="UQ48" s="216"/>
      <c r="UR48" s="216"/>
      <c r="US48" s="216"/>
      <c r="UT48" s="216"/>
      <c r="UU48" s="216"/>
      <c r="UV48" s="216"/>
      <c r="UW48" s="216"/>
      <c r="UX48" s="216"/>
      <c r="UY48" s="216"/>
      <c r="UZ48" s="216"/>
      <c r="VA48" s="216"/>
    </row>
    <row r="49" spans="1:573" s="4" customFormat="1" ht="18.75" customHeight="1" x14ac:dyDescent="0.25">
      <c r="A49" s="659">
        <v>0.375</v>
      </c>
      <c r="B49" s="660"/>
      <c r="C49" s="139">
        <f>A49*C48</f>
        <v>90</v>
      </c>
      <c r="D49" s="128"/>
      <c r="E49" s="133" t="s">
        <v>145</v>
      </c>
      <c r="F49" s="130">
        <f>0.5*C49*F47*F48</f>
        <v>12.66135647357623</v>
      </c>
      <c r="G49" s="140" t="str" cm="1">
        <f t="array" ref="G49:G50">IF(BA32=0,"",_xlfn._xlws.FILTER(G31:G33,AZ32:AZ34))</f>
        <v>P6</v>
      </c>
      <c r="H49" s="141">
        <f>IF(J31&lt;&gt;"",TRUNC(J31-J38,3),"")</f>
        <v>-1</v>
      </c>
      <c r="I49" s="141">
        <f>IF(H31&lt;&gt;"",TRUNC(H31-J36,3),"")</f>
        <v>0.46400000000000002</v>
      </c>
      <c r="J49" s="708">
        <f>IF(H49&lt;&gt;"",H49^2,"")</f>
        <v>1</v>
      </c>
      <c r="K49" s="708"/>
      <c r="L49" s="141">
        <f>IF(I49&lt;&gt;"",I49^2,"")</f>
        <v>0.21529600000000002</v>
      </c>
      <c r="M49" s="717">
        <f t="shared" si="91"/>
        <v>36</v>
      </c>
      <c r="N49" s="717"/>
      <c r="O49" s="142" t="str">
        <f>IF(H49&lt;&gt;"",IF(M49&lt;=$M$8,"PASS","FALSE"),"")</f>
        <v>PASS</v>
      </c>
      <c r="P49" s="143"/>
      <c r="Q49" s="143"/>
      <c r="R49" s="143"/>
      <c r="S49" s="143"/>
      <c r="T49" s="143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5"/>
      <c r="AM49" s="45"/>
      <c r="AN49" s="45"/>
      <c r="AO49" s="45"/>
      <c r="AP49" s="310"/>
      <c r="AQ49" s="310"/>
      <c r="AR49" s="310"/>
      <c r="AS49" s="449" t="str">
        <f>"SR-24  "&amp;AT49</f>
        <v>SR-24  RB6</v>
      </c>
      <c r="AT49" s="459" t="str">
        <f>"RB"&amp;TRUNC(AU49,2)</f>
        <v>RB6</v>
      </c>
      <c r="AU49" s="460">
        <v>6</v>
      </c>
      <c r="AV49" s="461">
        <f t="shared" ref="AV49:AV55" si="101">(3.14*AU49^2/4)/100</f>
        <v>0.28260000000000002</v>
      </c>
      <c r="AW49" s="310"/>
      <c r="AX49" s="310"/>
      <c r="AY49" s="310"/>
      <c r="AZ49" s="310"/>
      <c r="BA49" s="310"/>
      <c r="BB49" s="310"/>
      <c r="BC49" s="392" t="b">
        <f>AND(BC43=TRUE,BC44=TRUE,BC45=TRUE,BC46=TRUE)</f>
        <v>1</v>
      </c>
      <c r="BD49" s="310" t="s">
        <v>207</v>
      </c>
      <c r="BE49" s="310" t="s">
        <v>198</v>
      </c>
      <c r="BF49" s="310"/>
      <c r="BG49" s="310"/>
      <c r="BH49" s="310"/>
      <c r="BI49" s="310"/>
      <c r="BJ49" s="310"/>
      <c r="BK49" s="310"/>
      <c r="BL49" s="310"/>
      <c r="BM49" s="310"/>
      <c r="BN49" s="310" t="s">
        <v>201</v>
      </c>
      <c r="BO49" s="310"/>
      <c r="BP49" s="310"/>
      <c r="BQ49" s="310"/>
      <c r="BR49" s="310"/>
      <c r="BS49" s="310"/>
      <c r="BT49" s="310"/>
      <c r="BU49" s="310"/>
      <c r="BV49" s="310"/>
      <c r="BW49" s="310"/>
      <c r="BX49" s="400"/>
      <c r="BY49" s="228" t="e">
        <v>#N/A</v>
      </c>
      <c r="BZ49" s="228" t="e">
        <v>#N/A</v>
      </c>
      <c r="CA49" s="310"/>
      <c r="CB49" s="351" t="e">
        <f t="shared" si="95"/>
        <v>#N/A</v>
      </c>
      <c r="CC49" s="452" t="e">
        <f t="shared" si="95"/>
        <v>#N/A</v>
      </c>
      <c r="CD49" s="233" t="e">
        <f>CB48</f>
        <v>#N/A</v>
      </c>
      <c r="CE49" s="233" t="e">
        <f>CE48</f>
        <v>#N/A</v>
      </c>
      <c r="CF49" s="241" t="e">
        <f>CD53</f>
        <v>#N/A</v>
      </c>
      <c r="CG49" s="242" t="e">
        <f>IF(CE45=TRUE,NO11,#N/A)</f>
        <v>#N/A</v>
      </c>
      <c r="CH49" s="453" t="e">
        <f>CC48-CC49</f>
        <v>#N/A</v>
      </c>
      <c r="CI49" s="454"/>
      <c r="CJ49" s="242" t="e">
        <f>IF(AND(CK27=TRUE,CK28=TRUE),CK25-$BT$7/2,#N/A)</f>
        <v>#N/A</v>
      </c>
      <c r="CK49" s="242" t="e">
        <f>IF(AND(CK27=TRUE,CK28=TRUE),CL25+$BT$7/2,#N/A)</f>
        <v>#N/A</v>
      </c>
      <c r="CL49" s="310"/>
      <c r="CM49" s="310"/>
      <c r="CN49" s="338" t="e">
        <f>CN48</f>
        <v>#N/A</v>
      </c>
      <c r="CO49" s="338" t="e">
        <f>CL21</f>
        <v>#N/A</v>
      </c>
      <c r="CP49" s="328" t="s">
        <v>266</v>
      </c>
      <c r="CQ49" s="338" t="e">
        <f>CO57-CO56</f>
        <v>#N/A</v>
      </c>
      <c r="CR49" s="338" t="e">
        <f>IF(CQ49&gt;=$BT$7,TRUE,FALSE)</f>
        <v>#N/A</v>
      </c>
      <c r="CS49" s="310"/>
      <c r="CT49" s="338" t="e">
        <f>IF(CU34=TRUE,CK24,#N/A)</f>
        <v>#N/A</v>
      </c>
      <c r="CU49" s="338" t="e">
        <f>CU48</f>
        <v>#N/A</v>
      </c>
      <c r="CV49" s="338" t="s">
        <v>265</v>
      </c>
      <c r="CW49" s="338" t="s">
        <v>270</v>
      </c>
      <c r="CX49" s="338" t="s">
        <v>271</v>
      </c>
      <c r="CY49" s="310"/>
      <c r="CZ49" s="310"/>
      <c r="DA49" s="310"/>
      <c r="DB49" s="310"/>
      <c r="DC49" s="310"/>
      <c r="DD49" s="310"/>
      <c r="DE49" s="310"/>
      <c r="DF49" s="280" t="e">
        <v>#N/A</v>
      </c>
      <c r="DG49" s="280" t="e">
        <v>#N/A</v>
      </c>
      <c r="DH49" s="338" t="e">
        <v>#N/A</v>
      </c>
      <c r="DI49" s="310"/>
      <c r="DJ49" s="310"/>
      <c r="DK49" s="313">
        <v>41</v>
      </c>
      <c r="DL49" s="282" t="e">
        <f t="shared" si="3"/>
        <v>#N/A</v>
      </c>
      <c r="DM49" s="291" t="e">
        <f t="shared" si="4"/>
        <v>#N/A</v>
      </c>
      <c r="DN49" s="310"/>
      <c r="DO49" s="310"/>
      <c r="DP49" s="310"/>
      <c r="DQ49" s="310"/>
      <c r="DR49" s="310"/>
      <c r="DS49" s="310"/>
      <c r="DT49" s="328" t="s">
        <v>152</v>
      </c>
      <c r="DU49" s="231">
        <f>DU48</f>
        <v>0.65</v>
      </c>
      <c r="DV49" s="231">
        <f>DU22+J15/2</f>
        <v>0.65</v>
      </c>
      <c r="DW49" s="447" t="str">
        <f t="shared" si="94"/>
        <v>P4</v>
      </c>
      <c r="DX49" s="328" t="s">
        <v>152</v>
      </c>
      <c r="DY49" s="228">
        <f>IF($BE$7=TRUE,IF(AND($DU$20=TRUE,J29&lt;&gt;""),J29,#N/A),#N/A)</f>
        <v>0.65</v>
      </c>
      <c r="DZ49" s="228">
        <f>IF(AND(CP13=TRUE,$BE$7=TRUE),IF($DU$20=TRUE,H29,#N/A),#N/A)</f>
        <v>0.65</v>
      </c>
      <c r="EA49" s="310"/>
      <c r="EB49" s="310" t="b">
        <f>IF($DU$20=TRUE,IF(M47&lt;=$M$8,TRUE,FALSE),"")</f>
        <v>1</v>
      </c>
      <c r="EC49" s="310" t="b">
        <f>IF(EB49=FALSE,TRUE,FALSE)</f>
        <v>0</v>
      </c>
      <c r="ED49" s="247">
        <f>IF(EB49=TRUE,DZ49,#N/A)</f>
        <v>0.65</v>
      </c>
      <c r="EE49" s="247">
        <f>IF(EB49=TRUE,DY49,#N/A)</f>
        <v>0.65</v>
      </c>
      <c r="EF49" s="448">
        <f>IF(EB49=TRUE,M47,#N/A)</f>
        <v>0</v>
      </c>
      <c r="EG49" s="310"/>
      <c r="EH49" s="310"/>
      <c r="EI49" s="310"/>
      <c r="EJ49" s="310"/>
      <c r="EK49" s="310"/>
      <c r="EL49" s="310"/>
      <c r="EM49" s="310"/>
      <c r="EN49" s="310"/>
      <c r="EO49" s="310"/>
      <c r="EP49" s="310"/>
      <c r="EQ49" s="310"/>
      <c r="ER49" s="310"/>
      <c r="ES49" s="310"/>
      <c r="ET49" s="310"/>
      <c r="EU49" s="310"/>
      <c r="EV49" s="310"/>
      <c r="EW49" s="310"/>
      <c r="EX49" s="310"/>
      <c r="EY49" s="310"/>
      <c r="EZ49" s="310"/>
      <c r="FA49" s="310"/>
      <c r="FB49" s="310"/>
      <c r="FC49" s="310"/>
      <c r="FD49" s="310"/>
      <c r="FE49" s="310"/>
      <c r="FF49" s="310"/>
      <c r="FG49" s="310"/>
      <c r="FH49" s="310"/>
      <c r="FI49" s="310"/>
      <c r="FJ49" s="310"/>
      <c r="FK49" s="310"/>
      <c r="FL49" s="310"/>
      <c r="FM49" s="318" t="b">
        <f>AND(FL26=TRUE,BM9=TRUE)</f>
        <v>1</v>
      </c>
      <c r="FN49" s="318"/>
      <c r="FO49" s="318" t="s">
        <v>312</v>
      </c>
      <c r="FP49" s="310"/>
      <c r="FQ49" s="313" t="s">
        <v>334</v>
      </c>
      <c r="FR49" s="318">
        <f>$GP$27</f>
        <v>1.2999999999999998</v>
      </c>
      <c r="FS49" s="318">
        <f>$GQ$27</f>
        <v>0.95</v>
      </c>
      <c r="FT49" s="318">
        <f>$GP$27</f>
        <v>1.2999999999999998</v>
      </c>
      <c r="FU49" s="318">
        <f>$GQ$27</f>
        <v>0.95</v>
      </c>
      <c r="FV49" s="318">
        <f>$GP$27</f>
        <v>1.2999999999999998</v>
      </c>
      <c r="FW49" s="318">
        <f>$GQ$27</f>
        <v>0.95</v>
      </c>
      <c r="FX49" s="318">
        <f>$GP$27</f>
        <v>1.2999999999999998</v>
      </c>
      <c r="FY49" s="318">
        <f>$GQ$27</f>
        <v>0.95</v>
      </c>
      <c r="FZ49" s="318">
        <f>$GP$27</f>
        <v>1.2999999999999998</v>
      </c>
      <c r="GA49" s="318">
        <f>$GQ$27</f>
        <v>0.95</v>
      </c>
      <c r="GB49" s="318">
        <v>1.2999999999999998</v>
      </c>
      <c r="GC49" s="318">
        <v>0.95</v>
      </c>
      <c r="GD49" s="310"/>
      <c r="GE49" s="535"/>
      <c r="GF49" s="328" t="s">
        <v>335</v>
      </c>
      <c r="GG49" s="328" t="s">
        <v>335</v>
      </c>
      <c r="GH49" s="328" t="s">
        <v>335</v>
      </c>
      <c r="GI49" s="328" t="str">
        <f t="shared" si="98"/>
        <v>C4</v>
      </c>
      <c r="GJ49" s="328" t="s">
        <v>335</v>
      </c>
      <c r="GK49" s="328" t="s">
        <v>336</v>
      </c>
      <c r="GL49" s="328" t="s">
        <v>336</v>
      </c>
      <c r="GM49" s="328" t="s">
        <v>333</v>
      </c>
      <c r="GN49" s="328" t="s">
        <v>337</v>
      </c>
      <c r="GO49" s="328"/>
      <c r="GP49" s="402" t="str">
        <v>C4</v>
      </c>
      <c r="GQ49" s="223">
        <f t="shared" si="99"/>
        <v>1.2999999999999998</v>
      </c>
      <c r="GR49" s="223">
        <f t="shared" si="100"/>
        <v>-0.95</v>
      </c>
      <c r="GS49" s="402"/>
      <c r="GT49" s="531"/>
      <c r="GU49" s="531"/>
      <c r="GV49" s="518"/>
      <c r="GW49" s="531"/>
      <c r="GX49" s="531"/>
      <c r="GY49" s="531"/>
      <c r="GZ49" s="242">
        <f>IF(HE48=TRUE,GQ49,#N/A)</f>
        <v>1.2999999999999998</v>
      </c>
      <c r="HA49" s="242">
        <f>IF(HE48=TRUE,GR49,#N/A)</f>
        <v>-0.95</v>
      </c>
      <c r="HB49" s="242" t="e">
        <f>IF(HF48=TRUE,GQ49,#N/A)</f>
        <v>#N/A</v>
      </c>
      <c r="HC49" s="242" t="e">
        <f>IF(HF48=TRUE,GR49,#N/A)</f>
        <v>#N/A</v>
      </c>
      <c r="HD49" s="310"/>
      <c r="HE49" s="531"/>
      <c r="HF49" s="532"/>
      <c r="HG49" s="523"/>
      <c r="HH49" s="310"/>
      <c r="HI49" s="310"/>
      <c r="HJ49" s="310"/>
      <c r="HK49" s="342">
        <v>35</v>
      </c>
      <c r="HL49" s="235" t="e">
        <f t="shared" si="5"/>
        <v>#N/A</v>
      </c>
      <c r="HM49" s="235" t="e">
        <f t="shared" si="6"/>
        <v>#N/A</v>
      </c>
      <c r="HN49" s="310"/>
      <c r="HO49" s="310"/>
      <c r="HP49" s="235" t="e">
        <f t="shared" si="7"/>
        <v>#N/A</v>
      </c>
      <c r="HQ49" s="235" t="e">
        <f t="shared" si="8"/>
        <v>#N/A</v>
      </c>
      <c r="HR49" s="310"/>
      <c r="HS49" s="310"/>
      <c r="HT49" s="235" t="e">
        <f t="shared" si="9"/>
        <v>#N/A</v>
      </c>
      <c r="HU49" s="235" t="e">
        <f t="shared" si="10"/>
        <v>#N/A</v>
      </c>
      <c r="HV49" s="310"/>
      <c r="HW49" s="310"/>
      <c r="HX49" s="235" t="e">
        <f t="shared" si="11"/>
        <v>#N/A</v>
      </c>
      <c r="HY49" s="235" t="e">
        <f t="shared" si="12"/>
        <v>#N/A</v>
      </c>
      <c r="HZ49" s="310"/>
      <c r="IA49" s="310"/>
      <c r="IB49" s="235" t="e">
        <f t="shared" si="13"/>
        <v>#N/A</v>
      </c>
      <c r="IC49" s="235" t="e">
        <f t="shared" si="14"/>
        <v>#N/A</v>
      </c>
      <c r="ID49" s="310"/>
      <c r="IE49" s="342">
        <v>35</v>
      </c>
      <c r="IF49" s="262" t="e">
        <f t="shared" si="15"/>
        <v>#N/A</v>
      </c>
      <c r="IG49" s="262" t="e">
        <f t="shared" si="16"/>
        <v>#N/A</v>
      </c>
      <c r="IH49" s="390"/>
      <c r="II49" s="390"/>
      <c r="IJ49" s="262" t="e">
        <f t="shared" si="17"/>
        <v>#N/A</v>
      </c>
      <c r="IK49" s="262" t="e">
        <f t="shared" si="18"/>
        <v>#N/A</v>
      </c>
      <c r="IL49" s="390"/>
      <c r="IM49" s="390"/>
      <c r="IN49" s="262" t="e">
        <f t="shared" si="19"/>
        <v>#N/A</v>
      </c>
      <c r="IO49" s="262" t="e">
        <f t="shared" si="20"/>
        <v>#N/A</v>
      </c>
      <c r="IP49" s="390"/>
      <c r="IQ49" s="390"/>
      <c r="IR49" s="262" t="e">
        <f t="shared" si="21"/>
        <v>#N/A</v>
      </c>
      <c r="IS49" s="262" t="e">
        <f t="shared" si="22"/>
        <v>#N/A</v>
      </c>
      <c r="IT49" s="390"/>
      <c r="IU49" s="390"/>
      <c r="IV49" s="262" t="e">
        <f t="shared" si="23"/>
        <v>#N/A</v>
      </c>
      <c r="IW49" s="262" t="e">
        <f t="shared" si="24"/>
        <v>#N/A</v>
      </c>
      <c r="IX49" s="310"/>
      <c r="IY49" s="310"/>
      <c r="IZ49" s="310"/>
      <c r="JA49" s="310"/>
      <c r="JB49" s="313" t="s">
        <v>372</v>
      </c>
      <c r="JC49" s="236" t="e">
        <f>JC48</f>
        <v>#N/A</v>
      </c>
      <c r="JD49" s="236" t="e">
        <f>JA44+($IZ$10/2)-$IZ$9</f>
        <v>#N/A</v>
      </c>
      <c r="JE49" s="310"/>
      <c r="JF49" s="310"/>
      <c r="JG49" s="310"/>
      <c r="JH49" s="310"/>
      <c r="JI49" s="313" t="s">
        <v>372</v>
      </c>
      <c r="JJ49" s="263" t="e">
        <f>JJ48</f>
        <v>#N/A</v>
      </c>
      <c r="JK49" s="263" t="e">
        <f>JH44+($IZ$10/2)-$IZ$9</f>
        <v>#N/A</v>
      </c>
      <c r="JL49" s="310"/>
      <c r="JM49" s="310"/>
      <c r="JN49" s="261" t="e">
        <f t="shared" si="25"/>
        <v>#N/A</v>
      </c>
      <c r="JO49" s="261" t="e">
        <f t="shared" si="26"/>
        <v>#N/A</v>
      </c>
      <c r="JP49" s="310"/>
      <c r="JQ49" s="310"/>
      <c r="JR49" s="261" t="e">
        <f t="shared" si="31"/>
        <v>#N/A</v>
      </c>
      <c r="JS49" s="261" t="e">
        <f t="shared" si="32"/>
        <v>#N/A</v>
      </c>
      <c r="JT49" s="310"/>
      <c r="JU49" s="310"/>
      <c r="JV49" s="261" t="e">
        <f t="shared" si="27"/>
        <v>#N/A</v>
      </c>
      <c r="JW49" s="261" t="e">
        <f t="shared" si="28"/>
        <v>#N/A</v>
      </c>
      <c r="JX49" s="310"/>
      <c r="JY49" s="313" t="s">
        <v>72</v>
      </c>
      <c r="JZ49" s="362" t="e">
        <f>IF(KA47=TRUE,$J$32,#N/A)</f>
        <v>#N/A</v>
      </c>
      <c r="KA49" s="363" t="e">
        <f>IF(KA47=TRUE,$H$32,#N/A)</f>
        <v>#N/A</v>
      </c>
      <c r="KB49" s="313" t="s">
        <v>149</v>
      </c>
      <c r="KC49" s="265" t="e">
        <f>JZ49+$IZ$62</f>
        <v>#N/A</v>
      </c>
      <c r="KD49" s="265" t="e">
        <f>KA49</f>
        <v>#N/A</v>
      </c>
      <c r="KE49" s="310"/>
      <c r="KF49" s="310"/>
      <c r="KG49" s="310"/>
      <c r="KH49" s="310"/>
      <c r="KI49" s="310"/>
      <c r="KJ49" s="310"/>
      <c r="KK49" s="310"/>
      <c r="KL49" s="310"/>
      <c r="KM49" s="310"/>
      <c r="KN49" s="269" t="e">
        <f>IF(KR36=TRUE,ON52-KN9,#N/A)</f>
        <v>#N/A</v>
      </c>
      <c r="KO49" s="269" t="e">
        <f>IF(KR36=TRUE,OO52,#N/A)</f>
        <v>#N/A</v>
      </c>
      <c r="KP49" s="346"/>
      <c r="KQ49" s="346"/>
      <c r="KR49" s="346"/>
      <c r="KS49" s="310"/>
      <c r="KT49" s="242">
        <f>IF(KX36=TRUE,ON49-KN9,#N/A)</f>
        <v>-1.3499999999999999</v>
      </c>
      <c r="KU49" s="242">
        <f>IF(KX36=TRUE,OO50,#N/A)</f>
        <v>0.95</v>
      </c>
      <c r="KV49" s="338"/>
      <c r="KW49" s="338"/>
      <c r="KX49" s="389"/>
      <c r="KY49" s="310"/>
      <c r="KZ49" s="310"/>
      <c r="LA49" s="310"/>
      <c r="LB49" s="310"/>
      <c r="LC49" s="310"/>
      <c r="LD49" s="310"/>
      <c r="LE49" s="310" t="s">
        <v>465</v>
      </c>
      <c r="LF49" s="310"/>
      <c r="LG49" s="310"/>
      <c r="LH49" s="311">
        <v>0.05</v>
      </c>
      <c r="LI49" s="311">
        <v>0.6</v>
      </c>
      <c r="LJ49" s="310"/>
      <c r="LK49" s="310"/>
      <c r="LL49" s="310"/>
      <c r="LM49" s="310"/>
      <c r="LN49" s="310"/>
      <c r="LO49" s="311">
        <v>0.05</v>
      </c>
      <c r="LP49" s="311">
        <v>0.6</v>
      </c>
      <c r="LQ49" s="310"/>
      <c r="LR49" s="310"/>
      <c r="LS49" s="310"/>
      <c r="LT49" s="310"/>
      <c r="LU49" s="310"/>
      <c r="LV49" s="311">
        <v>0.05</v>
      </c>
      <c r="LW49" s="311">
        <v>0.6</v>
      </c>
      <c r="LX49" s="310"/>
      <c r="LY49" s="310"/>
      <c r="LZ49" s="310"/>
      <c r="MA49" s="310"/>
      <c r="MB49" s="310"/>
      <c r="MC49" s="311">
        <v>0.05</v>
      </c>
      <c r="MD49" s="311">
        <v>0.6</v>
      </c>
      <c r="ME49" s="310"/>
      <c r="MF49" s="310"/>
      <c r="MG49" s="310"/>
      <c r="MH49" s="310"/>
      <c r="MI49" s="310"/>
      <c r="MJ49" s="310"/>
      <c r="MK49" s="310"/>
      <c r="ML49" s="310"/>
      <c r="MM49" s="310"/>
      <c r="MN49" s="310"/>
      <c r="MO49" s="310"/>
      <c r="MP49" s="310"/>
      <c r="MQ49" s="310"/>
      <c r="MR49" s="310"/>
      <c r="MS49" s="310"/>
      <c r="MT49" s="310"/>
      <c r="MU49" s="280" t="e">
        <f>MU48</f>
        <v>#N/A</v>
      </c>
      <c r="MV49" s="280" t="e">
        <f>IF(MU29=TRUE,NC34+NA29*2,#N/A)</f>
        <v>#N/A</v>
      </c>
      <c r="MW49" s="310"/>
      <c r="MX49" s="310"/>
      <c r="MY49" s="310"/>
      <c r="MZ49" s="328">
        <v>16</v>
      </c>
      <c r="NA49" s="372" t="b">
        <f t="shared" si="76"/>
        <v>0</v>
      </c>
      <c r="NB49" s="280" t="e">
        <f t="shared" si="80"/>
        <v>#N/A</v>
      </c>
      <c r="NC49" s="280" t="e">
        <f t="shared" si="81"/>
        <v>#N/A</v>
      </c>
      <c r="ND49" s="280" t="e">
        <f t="shared" si="77"/>
        <v>#N/A</v>
      </c>
      <c r="NE49" s="280" t="e">
        <f t="shared" si="78"/>
        <v>#N/A</v>
      </c>
      <c r="NF49" s="310"/>
      <c r="NG49" s="310"/>
      <c r="NH49" s="509" t="e">
        <f>NH45+0.1</f>
        <v>#N/A</v>
      </c>
      <c r="NI49" s="298" t="e">
        <f>NI45</f>
        <v>#N/A</v>
      </c>
      <c r="NJ49" s="310"/>
      <c r="NK49" s="310"/>
      <c r="NL49" s="310"/>
      <c r="NM49" s="310"/>
      <c r="NN49" s="310"/>
      <c r="NO49" s="310"/>
      <c r="NP49" s="310"/>
      <c r="NQ49" s="310"/>
      <c r="NR49" s="310"/>
      <c r="NS49" s="242" t="e">
        <f>IF(NS35=TRUE,OC42,#N/A)</f>
        <v>#N/A</v>
      </c>
      <c r="NT49" s="242" t="e">
        <f>IF(NS35=TRUE,NT48,#N/A)</f>
        <v>#N/A</v>
      </c>
      <c r="NU49" s="310"/>
      <c r="NV49" s="310"/>
      <c r="NW49" s="257" t="e">
        <f>NW48</f>
        <v>#N/A</v>
      </c>
      <c r="NX49" s="257" t="e">
        <f>IF(CP13=TRUE,IF(NS35=TRUE,OD39,#N/A),#N/A)</f>
        <v>#N/A</v>
      </c>
      <c r="NY49" s="310"/>
      <c r="NZ49" s="310"/>
      <c r="OA49" s="310"/>
      <c r="OB49" s="310"/>
      <c r="OC49" s="310"/>
      <c r="OD49" s="310"/>
      <c r="OE49" s="310"/>
      <c r="OF49" s="310"/>
      <c r="OG49" s="310"/>
      <c r="OH49" s="310"/>
      <c r="OI49" s="310"/>
      <c r="OJ49" s="310"/>
      <c r="OK49" s="310"/>
      <c r="OL49" s="310"/>
      <c r="OM49" s="328" t="str" cm="1">
        <f t="array" ref="OM49:OM54">GF25:GF30</f>
        <v>C1</v>
      </c>
      <c r="ON49" s="328" cm="1">
        <f t="array" ref="ON49:OO54">IF(BE8,GP25:GQ30,KZ7:LA12)</f>
        <v>-1.2999999999999998</v>
      </c>
      <c r="OO49" s="328">
        <v>-0.95</v>
      </c>
      <c r="OP49" s="310"/>
      <c r="OQ49" s="310"/>
      <c r="OR49" s="310"/>
      <c r="OS49" s="310"/>
      <c r="OT49" s="310"/>
      <c r="OU49" s="292" t="e">
        <v>#N/A</v>
      </c>
      <c r="OV49" s="292" t="e">
        <v>#N/A</v>
      </c>
      <c r="OW49" s="310"/>
      <c r="OX49" s="310"/>
      <c r="OY49" s="310"/>
      <c r="OZ49" s="310"/>
      <c r="PA49" s="310"/>
      <c r="PB49" s="310"/>
      <c r="PC49" s="310"/>
      <c r="PD49" s="310"/>
      <c r="PE49" s="292" t="e">
        <v>#N/A</v>
      </c>
      <c r="PF49" s="328" t="e">
        <v>#N/A</v>
      </c>
      <c r="PG49" s="292" t="e">
        <f t="shared" si="84"/>
        <v>#N/A</v>
      </c>
      <c r="PH49" s="310"/>
      <c r="PI49" s="310"/>
      <c r="PJ49" s="310"/>
      <c r="PK49" s="310"/>
      <c r="PL49" s="310"/>
      <c r="PM49" s="310"/>
      <c r="PN49" s="310"/>
      <c r="PO49" s="310"/>
      <c r="PP49" s="310"/>
      <c r="PQ49" s="310"/>
      <c r="PR49" s="310"/>
      <c r="PS49" s="342">
        <v>35</v>
      </c>
      <c r="PT49" s="261" t="e">
        <f t="shared" si="29"/>
        <v>#N/A</v>
      </c>
      <c r="PU49" s="261" t="e">
        <f t="shared" si="30"/>
        <v>#N/A</v>
      </c>
      <c r="PV49" s="310"/>
      <c r="PW49" s="310"/>
      <c r="PX49" s="310"/>
      <c r="PY49" s="310"/>
      <c r="PZ49" s="310"/>
      <c r="QA49" s="310"/>
      <c r="QB49" s="310"/>
      <c r="QC49" s="310"/>
      <c r="QD49" s="310"/>
      <c r="QE49" s="310"/>
      <c r="QF49" s="310"/>
      <c r="QG49" s="310"/>
      <c r="QH49" s="310"/>
      <c r="QI49" s="310"/>
      <c r="QJ49" s="310"/>
      <c r="QK49" s="310"/>
      <c r="QL49" s="310"/>
      <c r="QM49" s="310"/>
      <c r="QN49" s="310"/>
      <c r="QO49" s="310"/>
      <c r="QP49" s="310"/>
      <c r="QQ49" s="310"/>
      <c r="QR49" s="310"/>
      <c r="QS49" s="310"/>
      <c r="QT49" s="310"/>
      <c r="QU49" s="310"/>
      <c r="QV49" s="310"/>
      <c r="QW49" s="310"/>
      <c r="QX49" s="310"/>
      <c r="QY49" s="310"/>
      <c r="QZ49" s="310"/>
      <c r="RA49" s="310"/>
      <c r="RB49" s="310"/>
      <c r="RC49" s="310"/>
      <c r="RD49" s="310"/>
      <c r="RE49" s="310"/>
      <c r="RF49" s="310"/>
      <c r="RG49" s="310"/>
      <c r="RH49" s="310"/>
      <c r="RI49" s="310"/>
      <c r="RJ49" s="310"/>
      <c r="RK49" s="310"/>
      <c r="RL49" s="310"/>
      <c r="RM49" s="310"/>
      <c r="RN49" s="310"/>
      <c r="RO49" s="310"/>
      <c r="RP49" s="310"/>
      <c r="RQ49" s="310"/>
      <c r="RR49" s="310"/>
      <c r="RS49" s="310"/>
      <c r="RT49" s="310"/>
      <c r="RU49" s="310"/>
      <c r="RV49" s="310"/>
      <c r="RW49" s="310"/>
      <c r="RX49" s="310"/>
      <c r="RY49" s="310"/>
      <c r="RZ49" s="310"/>
      <c r="SA49" s="310"/>
      <c r="SB49" s="310"/>
      <c r="SC49" s="310"/>
      <c r="SD49" s="310"/>
      <c r="SE49" s="310"/>
      <c r="SF49" s="310"/>
      <c r="SG49" s="310"/>
      <c r="SH49" s="310"/>
      <c r="SI49" s="310"/>
      <c r="SJ49" s="310"/>
      <c r="SK49" s="310"/>
      <c r="SL49" s="310"/>
      <c r="SM49" s="310"/>
      <c r="SN49" s="310"/>
      <c r="SO49" s="220"/>
      <c r="SP49" s="220"/>
      <c r="SQ49" s="220"/>
      <c r="SR49" s="220"/>
      <c r="SS49" s="220"/>
      <c r="ST49" s="220"/>
      <c r="SU49" s="220"/>
      <c r="SV49" s="220"/>
      <c r="SW49" s="220"/>
      <c r="SX49" s="220"/>
      <c r="SY49" s="220"/>
      <c r="SZ49" s="220"/>
      <c r="TA49" s="220"/>
      <c r="TB49" s="220"/>
      <c r="TC49" s="220"/>
      <c r="TD49" s="220"/>
      <c r="TE49" s="220"/>
      <c r="TF49" s="220"/>
      <c r="TG49" s="220"/>
      <c r="TH49" s="220"/>
      <c r="TI49" s="220"/>
      <c r="TJ49" s="220"/>
      <c r="TK49" s="220"/>
      <c r="TL49" s="220"/>
      <c r="TM49" s="220"/>
      <c r="TN49" s="220"/>
      <c r="TO49" s="220"/>
      <c r="TP49" s="220"/>
      <c r="TQ49" s="220"/>
      <c r="TR49" s="220"/>
      <c r="TS49" s="220"/>
      <c r="TT49" s="220"/>
      <c r="TU49" s="220"/>
      <c r="TV49" s="220"/>
      <c r="TW49" s="220"/>
      <c r="TX49" s="220"/>
      <c r="TY49" s="220"/>
      <c r="TZ49" s="220"/>
      <c r="UA49" s="220"/>
      <c r="UB49" s="220"/>
      <c r="UC49" s="220"/>
      <c r="UD49" s="220"/>
      <c r="UE49" s="220"/>
      <c r="UF49" s="220"/>
      <c r="UG49" s="220"/>
      <c r="UH49" s="220"/>
      <c r="UI49" s="220"/>
      <c r="UJ49" s="220"/>
      <c r="UK49" s="216"/>
      <c r="UL49" s="216"/>
      <c r="UM49" s="216"/>
      <c r="UN49" s="216"/>
      <c r="UO49" s="216"/>
      <c r="UP49" s="216"/>
      <c r="UQ49" s="216"/>
      <c r="UR49" s="216"/>
      <c r="US49" s="216"/>
      <c r="UT49" s="216"/>
      <c r="UU49" s="216"/>
      <c r="UV49" s="216"/>
      <c r="UW49" s="216"/>
      <c r="UX49" s="216"/>
      <c r="UY49" s="216"/>
      <c r="UZ49" s="216"/>
      <c r="VA49" s="216"/>
    </row>
    <row r="50" spans="1:573" s="4" customFormat="1" ht="18.75" customHeight="1" x14ac:dyDescent="0.25">
      <c r="A50" s="126"/>
      <c r="B50" s="131" t="s">
        <v>150</v>
      </c>
      <c r="C50" s="139">
        <v>2040000</v>
      </c>
      <c r="D50" s="128"/>
      <c r="E50" s="129" t="s">
        <v>151</v>
      </c>
      <c r="F50" s="196">
        <v>7.5</v>
      </c>
      <c r="G50" s="144" t="str">
        <v>P7</v>
      </c>
      <c r="H50" s="145">
        <f>IF(J32&lt;&gt;"",TRUNC(J32-J38,3),"")</f>
        <v>1</v>
      </c>
      <c r="I50" s="145">
        <f>IF(H32&lt;&gt;"",TRUNC(H32-J36,3),"")</f>
        <v>0.46400000000000002</v>
      </c>
      <c r="J50" s="746">
        <f>IF(H50&lt;&gt;"",H50^2,"")</f>
        <v>1</v>
      </c>
      <c r="K50" s="746"/>
      <c r="L50" s="145">
        <f>IF(I50&lt;&gt;"",I50^2,"")</f>
        <v>0.21529600000000002</v>
      </c>
      <c r="M50" s="718">
        <f t="shared" si="91"/>
        <v>36</v>
      </c>
      <c r="N50" s="718"/>
      <c r="O50" s="146" t="str">
        <f>IF(H50&lt;&gt;"",IF(M50&lt;=$M$8,"PASS","FALSE"),"")</f>
        <v>PASS</v>
      </c>
      <c r="P50" s="147"/>
      <c r="Q50" s="50"/>
      <c r="R50" s="751" t="s">
        <v>447</v>
      </c>
      <c r="S50" s="752"/>
      <c r="T50" s="753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5"/>
      <c r="AM50" s="45"/>
      <c r="AN50" s="45"/>
      <c r="AO50" s="45"/>
      <c r="AP50" s="310"/>
      <c r="AQ50" s="310"/>
      <c r="AR50" s="310"/>
      <c r="AS50" s="449" t="str">
        <f>"SR-24  "&amp;AT50</f>
        <v>SR-24  RB9</v>
      </c>
      <c r="AT50" s="459" t="str">
        <f>"RB"&amp;TRUNC(AU50,2)</f>
        <v>RB9</v>
      </c>
      <c r="AU50" s="460">
        <v>9</v>
      </c>
      <c r="AV50" s="461">
        <f t="shared" si="101"/>
        <v>0.63585000000000003</v>
      </c>
      <c r="AW50" s="310"/>
      <c r="AX50" s="310"/>
      <c r="AY50" s="310"/>
      <c r="AZ50" s="310"/>
      <c r="BA50" s="310"/>
      <c r="BB50" s="310"/>
      <c r="BC50" s="310"/>
      <c r="BD50" s="310"/>
      <c r="BE50" s="310"/>
      <c r="BF50" s="310"/>
      <c r="BG50" s="310"/>
      <c r="BH50" s="310"/>
      <c r="BI50" s="310"/>
      <c r="BJ50" s="310"/>
      <c r="BK50" s="310"/>
      <c r="BL50" s="310"/>
      <c r="BM50" s="310"/>
      <c r="BN50" s="310"/>
      <c r="BO50" s="310"/>
      <c r="BP50" s="310"/>
      <c r="BQ50" s="310"/>
      <c r="BR50" s="310"/>
      <c r="BS50" s="310"/>
      <c r="BT50" s="310"/>
      <c r="BU50" s="310"/>
      <c r="BV50" s="310"/>
      <c r="BW50" s="310"/>
      <c r="BX50" s="400" t="s">
        <v>106</v>
      </c>
      <c r="BY50" s="228" t="e">
        <f>IF(BW38=TRUE,BZ22,#N/A)</f>
        <v>#N/A</v>
      </c>
      <c r="BZ50" s="228" t="e">
        <f>IF(BW38=TRUE,BY22+J15/2,#N/A)</f>
        <v>#N/A</v>
      </c>
      <c r="CA50" s="310" t="str">
        <f>IF($BL$8=TRUE,IF($AY$16=TRUE,BX50,""),"")</f>
        <v/>
      </c>
      <c r="CB50" s="351" t="e">
        <f t="shared" si="95"/>
        <v>#N/A</v>
      </c>
      <c r="CC50" s="452" t="e">
        <f t="shared" si="95"/>
        <v>#N/A</v>
      </c>
      <c r="CD50" s="233" t="e">
        <f>CD49</f>
        <v>#N/A</v>
      </c>
      <c r="CE50" s="233" t="e">
        <f>CE47</f>
        <v>#N/A</v>
      </c>
      <c r="CF50" s="310"/>
      <c r="CG50" s="310"/>
      <c r="CH50" s="310"/>
      <c r="CI50" s="310"/>
      <c r="CJ50" s="242" t="e">
        <f>IF(AND(CK27=TRUE,CK28=TRUE),CK25+$BT$7/2,#N/A)</f>
        <v>#N/A</v>
      </c>
      <c r="CK50" s="242" t="e">
        <f>CK49</f>
        <v>#N/A</v>
      </c>
      <c r="CL50" s="310"/>
      <c r="CM50" s="310"/>
      <c r="CN50" s="338" t="e">
        <f>CK21</f>
        <v>#N/A</v>
      </c>
      <c r="CO50" s="338" t="e">
        <f>CO49</f>
        <v>#N/A</v>
      </c>
      <c r="CP50" s="328" t="s">
        <v>267</v>
      </c>
      <c r="CQ50" s="338" t="e">
        <f>CO49-CO48</f>
        <v>#N/A</v>
      </c>
      <c r="CR50" s="338" t="e">
        <f>IF(CQ50&gt;=$BT$7,TRUE,FALSE)</f>
        <v>#N/A</v>
      </c>
      <c r="CS50" s="310"/>
      <c r="CT50" s="338" t="e">
        <f>IF(CU34=TRUE,CK24,#N/A)</f>
        <v>#N/A</v>
      </c>
      <c r="CU50" s="338" t="e">
        <f>IF(CU34=TRUE,CL24,#N/A)</f>
        <v>#N/A</v>
      </c>
      <c r="CV50" s="328" t="s">
        <v>266</v>
      </c>
      <c r="CW50" s="338" t="e">
        <f>CO28-MAX(CL24:CL25)</f>
        <v>#N/A</v>
      </c>
      <c r="CX50" s="338" t="e">
        <f>IF(CW50&gt;=$BT$7,TRUE,FALSE)</f>
        <v>#N/A</v>
      </c>
      <c r="CY50" s="310"/>
      <c r="CZ50" s="310"/>
      <c r="DA50" s="310"/>
      <c r="DB50" s="310"/>
      <c r="DC50" s="310" t="s">
        <v>194</v>
      </c>
      <c r="DD50" s="310" t="b">
        <f>AND(BY20=TRUE,AQ58=TRUE)</f>
        <v>0</v>
      </c>
      <c r="DE50" s="310"/>
      <c r="DF50" s="280" t="e">
        <f>DF47</f>
        <v>#N/A</v>
      </c>
      <c r="DG50" s="280" t="e">
        <f t="shared" ref="DG50" si="102">IF(DH50&lt;=$DG$39,DH50,#N/A)</f>
        <v>#N/A</v>
      </c>
      <c r="DH50" s="338">
        <f>DH47+0.2</f>
        <v>0.60000000000000009</v>
      </c>
      <c r="DI50" s="310"/>
      <c r="DJ50" s="310"/>
      <c r="DK50" s="313">
        <v>42</v>
      </c>
      <c r="DL50" s="282" t="e">
        <f t="shared" si="3"/>
        <v>#N/A</v>
      </c>
      <c r="DM50" s="291" t="e">
        <f t="shared" si="4"/>
        <v>#N/A</v>
      </c>
      <c r="DN50" s="310"/>
      <c r="DO50" s="310"/>
      <c r="DP50" s="310"/>
      <c r="DQ50" s="310"/>
      <c r="DR50" s="310"/>
      <c r="DS50" s="310"/>
      <c r="DT50" s="328" t="s">
        <v>167</v>
      </c>
      <c r="DU50" s="231">
        <f>IF(BM11=TRUE,M23,#N/A)</f>
        <v>0</v>
      </c>
      <c r="DV50" s="231">
        <f>IF(BM11=TRUE,J23,#N/A)</f>
        <v>0</v>
      </c>
      <c r="DW50" s="447" t="str">
        <f t="shared" si="94"/>
        <v>P5</v>
      </c>
      <c r="DX50" s="310"/>
      <c r="DY50" s="310"/>
      <c r="DZ50" s="310"/>
      <c r="EA50" s="310"/>
      <c r="EB50" s="310"/>
      <c r="EC50" s="310"/>
      <c r="ED50" s="310" t="e">
        <v>#N/A</v>
      </c>
      <c r="EE50" s="310" t="e">
        <v>#N/A</v>
      </c>
      <c r="EF50" s="310"/>
      <c r="EG50" s="310"/>
      <c r="EH50" s="310"/>
      <c r="EI50" s="310"/>
      <c r="EJ50" s="310"/>
      <c r="EK50" s="310"/>
      <c r="EL50" s="310"/>
      <c r="EM50" s="310"/>
      <c r="EN50" s="310"/>
      <c r="EO50" s="310"/>
      <c r="EP50" s="310"/>
      <c r="EQ50" s="310"/>
      <c r="ER50" s="310"/>
      <c r="ES50" s="310"/>
      <c r="ET50" s="310"/>
      <c r="EU50" s="310"/>
      <c r="EV50" s="310"/>
      <c r="EW50" s="310"/>
      <c r="EX50" s="310"/>
      <c r="EY50" s="310"/>
      <c r="EZ50" s="310"/>
      <c r="FA50" s="310"/>
      <c r="FB50" s="310"/>
      <c r="FC50" s="310"/>
      <c r="FD50" s="310"/>
      <c r="FE50" s="310"/>
      <c r="FF50" s="310"/>
      <c r="FG50" s="310"/>
      <c r="FH50" s="310"/>
      <c r="FI50" s="310"/>
      <c r="FJ50" s="310"/>
      <c r="FK50" s="310"/>
      <c r="FL50" s="310"/>
      <c r="FM50" s="310"/>
      <c r="FN50" s="310"/>
      <c r="FO50" s="310"/>
      <c r="FP50" s="310"/>
      <c r="FQ50" s="312"/>
      <c r="FR50" s="318" t="e">
        <v>#N/A</v>
      </c>
      <c r="FS50" s="318" t="e">
        <v>#N/A</v>
      </c>
      <c r="FT50" s="318" t="e">
        <v>#N/A</v>
      </c>
      <c r="FU50" s="318" t="e">
        <v>#N/A</v>
      </c>
      <c r="FV50" s="318" t="e">
        <v>#N/A</v>
      </c>
      <c r="FW50" s="318" t="e">
        <v>#N/A</v>
      </c>
      <c r="FX50" s="318" t="e">
        <v>#N/A</v>
      </c>
      <c r="FY50" s="318" t="e">
        <v>#N/A</v>
      </c>
      <c r="FZ50" s="318" t="e">
        <v>#N/A</v>
      </c>
      <c r="GA50" s="318" t="e">
        <v>#N/A</v>
      </c>
      <c r="GB50" s="318" t="e">
        <v>#N/A</v>
      </c>
      <c r="GC50" s="318" t="e">
        <v>#N/A</v>
      </c>
      <c r="GD50" s="310"/>
      <c r="GE50" s="310"/>
      <c r="GF50" s="313" t="e">
        <v>#N/A</v>
      </c>
      <c r="GG50" s="313" t="e">
        <v>#N/A</v>
      </c>
      <c r="GH50" s="313" t="e">
        <v>#N/A</v>
      </c>
      <c r="GI50" s="313" t="e">
        <v>#N/A</v>
      </c>
      <c r="GJ50" s="313" t="e">
        <v>#N/A</v>
      </c>
      <c r="GK50" s="313" t="e">
        <v>#N/A</v>
      </c>
      <c r="GL50" s="313" t="e">
        <v>#N/A</v>
      </c>
      <c r="GM50" s="313" t="e">
        <v>#N/A</v>
      </c>
      <c r="GN50" s="313" t="e">
        <v>#N/A</v>
      </c>
      <c r="GO50" s="328"/>
      <c r="GP50" s="402" t="e">
        <v>#N/A</v>
      </c>
      <c r="GQ50" s="223" t="e">
        <v>#N/A</v>
      </c>
      <c r="GR50" s="223" t="e">
        <v>#N/A</v>
      </c>
      <c r="GS50" s="402"/>
      <c r="GT50" s="338"/>
      <c r="GU50" s="338"/>
      <c r="GV50" s="372"/>
      <c r="GW50" s="338"/>
      <c r="GX50" s="338"/>
      <c r="GY50" s="310"/>
      <c r="GZ50" s="260" t="e">
        <v>#N/A</v>
      </c>
      <c r="HA50" s="260" t="e">
        <v>#N/A</v>
      </c>
      <c r="HB50" s="260" t="e">
        <v>#N/A</v>
      </c>
      <c r="HC50" s="260" t="e">
        <v>#N/A</v>
      </c>
      <c r="HD50" s="310"/>
      <c r="HE50" s="310"/>
      <c r="HF50" s="310"/>
      <c r="HG50" s="224"/>
      <c r="HH50" s="310"/>
      <c r="HI50" s="310"/>
      <c r="HJ50" s="310"/>
      <c r="HK50" s="342">
        <v>36</v>
      </c>
      <c r="HL50" s="235" t="e">
        <f t="shared" si="5"/>
        <v>#N/A</v>
      </c>
      <c r="HM50" s="235" t="e">
        <f t="shared" si="6"/>
        <v>#N/A</v>
      </c>
      <c r="HN50" s="310"/>
      <c r="HO50" s="310"/>
      <c r="HP50" s="235" t="e">
        <f t="shared" si="7"/>
        <v>#N/A</v>
      </c>
      <c r="HQ50" s="235" t="e">
        <f t="shared" si="8"/>
        <v>#N/A</v>
      </c>
      <c r="HR50" s="310"/>
      <c r="HS50" s="310"/>
      <c r="HT50" s="235" t="e">
        <f t="shared" si="9"/>
        <v>#N/A</v>
      </c>
      <c r="HU50" s="235" t="e">
        <f t="shared" si="10"/>
        <v>#N/A</v>
      </c>
      <c r="HV50" s="310"/>
      <c r="HW50" s="310"/>
      <c r="HX50" s="235" t="e">
        <f t="shared" si="11"/>
        <v>#N/A</v>
      </c>
      <c r="HY50" s="235" t="e">
        <f t="shared" si="12"/>
        <v>#N/A</v>
      </c>
      <c r="HZ50" s="310"/>
      <c r="IA50" s="310"/>
      <c r="IB50" s="235" t="e">
        <f t="shared" si="13"/>
        <v>#N/A</v>
      </c>
      <c r="IC50" s="235" t="e">
        <f t="shared" si="14"/>
        <v>#N/A</v>
      </c>
      <c r="ID50" s="310"/>
      <c r="IE50" s="342">
        <v>36</v>
      </c>
      <c r="IF50" s="262" t="e">
        <f t="shared" si="15"/>
        <v>#N/A</v>
      </c>
      <c r="IG50" s="262" t="e">
        <f t="shared" si="16"/>
        <v>#N/A</v>
      </c>
      <c r="IH50" s="390"/>
      <c r="II50" s="390"/>
      <c r="IJ50" s="262" t="e">
        <f t="shared" si="17"/>
        <v>#N/A</v>
      </c>
      <c r="IK50" s="262" t="e">
        <f t="shared" si="18"/>
        <v>#N/A</v>
      </c>
      <c r="IL50" s="390"/>
      <c r="IM50" s="390"/>
      <c r="IN50" s="262" t="e">
        <f t="shared" si="19"/>
        <v>#N/A</v>
      </c>
      <c r="IO50" s="262" t="e">
        <f t="shared" si="20"/>
        <v>#N/A</v>
      </c>
      <c r="IP50" s="390"/>
      <c r="IQ50" s="390"/>
      <c r="IR50" s="262" t="e">
        <f t="shared" si="21"/>
        <v>#N/A</v>
      </c>
      <c r="IS50" s="262" t="e">
        <f t="shared" si="22"/>
        <v>#N/A</v>
      </c>
      <c r="IT50" s="390"/>
      <c r="IU50" s="390"/>
      <c r="IV50" s="262" t="e">
        <f t="shared" si="23"/>
        <v>#N/A</v>
      </c>
      <c r="IW50" s="262" t="e">
        <f t="shared" si="24"/>
        <v>#N/A</v>
      </c>
      <c r="IX50" s="310"/>
      <c r="IY50" s="310"/>
      <c r="IZ50" s="310"/>
      <c r="JA50" s="310"/>
      <c r="JB50" s="313" t="s">
        <v>373</v>
      </c>
      <c r="JC50" s="236" t="e">
        <f>JC42</f>
        <v>#N/A</v>
      </c>
      <c r="JD50" s="236" t="e">
        <f>JD42</f>
        <v>#N/A</v>
      </c>
      <c r="JE50" s="310"/>
      <c r="JF50" s="310"/>
      <c r="JG50" s="310"/>
      <c r="JH50" s="310"/>
      <c r="JI50" s="313" t="s">
        <v>373</v>
      </c>
      <c r="JJ50" s="263" t="e">
        <f>JJ42</f>
        <v>#N/A</v>
      </c>
      <c r="JK50" s="263" t="e">
        <f>JK42</f>
        <v>#N/A</v>
      </c>
      <c r="JL50" s="310"/>
      <c r="JM50" s="310"/>
      <c r="JN50" s="261" t="e">
        <f t="shared" si="25"/>
        <v>#N/A</v>
      </c>
      <c r="JO50" s="261" t="e">
        <f t="shared" si="26"/>
        <v>#N/A</v>
      </c>
      <c r="JP50" s="310"/>
      <c r="JQ50" s="310"/>
      <c r="JR50" s="261" t="e">
        <f t="shared" si="31"/>
        <v>#N/A</v>
      </c>
      <c r="JS50" s="261" t="e">
        <f t="shared" si="32"/>
        <v>#N/A</v>
      </c>
      <c r="JT50" s="310"/>
      <c r="JU50" s="310"/>
      <c r="JV50" s="261" t="e">
        <f t="shared" si="27"/>
        <v>#N/A</v>
      </c>
      <c r="JW50" s="261" t="e">
        <f t="shared" si="28"/>
        <v>#N/A</v>
      </c>
      <c r="JX50" s="310"/>
      <c r="JY50" s="310"/>
      <c r="JZ50" s="310"/>
      <c r="KA50" s="310"/>
      <c r="KB50" s="313" t="s">
        <v>152</v>
      </c>
      <c r="KC50" s="242" t="e">
        <f>KC48</f>
        <v>#N/A</v>
      </c>
      <c r="KD50" s="242" t="e">
        <f>KA49-$IZ$61/2</f>
        <v>#N/A</v>
      </c>
      <c r="KE50" s="310"/>
      <c r="KF50" s="310"/>
      <c r="KG50" s="310"/>
      <c r="KH50" s="310"/>
      <c r="KI50" s="310"/>
      <c r="KJ50" s="310"/>
      <c r="KK50" s="310"/>
      <c r="KL50" s="310"/>
      <c r="KM50" s="310"/>
      <c r="KN50" s="242" t="e">
        <f>IF(KR36=TRUE,ON52-KO9/2,#N/A)</f>
        <v>#N/A</v>
      </c>
      <c r="KO50" s="243" t="e">
        <f>KO49</f>
        <v>#N/A</v>
      </c>
      <c r="KP50" s="328"/>
      <c r="KQ50" s="328"/>
      <c r="KR50" s="328"/>
      <c r="KS50" s="310"/>
      <c r="KT50" s="242">
        <f>IF(KX36=TRUE,ON49-KO9,#N/A)</f>
        <v>-1.9</v>
      </c>
      <c r="KU50" s="242">
        <f>KU49</f>
        <v>0.95</v>
      </c>
      <c r="KV50" s="338"/>
      <c r="KW50" s="338"/>
      <c r="KX50" s="389"/>
      <c r="KY50" s="310"/>
      <c r="KZ50" s="310"/>
      <c r="LA50" s="310"/>
      <c r="LB50" s="338" t="str" cm="1">
        <f t="array" ref="LB50:LB67">EU23:EU40</f>
        <v>PILE CAP F3</v>
      </c>
      <c r="LC50" s="328" t="s">
        <v>48</v>
      </c>
      <c r="LD50" s="328" t="s">
        <v>49</v>
      </c>
      <c r="LE50" s="338" t="s">
        <v>48</v>
      </c>
      <c r="LF50" s="338" t="s">
        <v>49</v>
      </c>
      <c r="LG50" s="310"/>
      <c r="LH50" s="313" t="s">
        <v>48</v>
      </c>
      <c r="LI50" s="313" t="s">
        <v>49</v>
      </c>
      <c r="LJ50" s="313" t="s">
        <v>48</v>
      </c>
      <c r="LK50" s="313" t="s">
        <v>49</v>
      </c>
      <c r="LL50" s="313" t="s">
        <v>139</v>
      </c>
      <c r="LM50" s="310"/>
      <c r="LN50" s="310"/>
      <c r="LO50" s="313" t="s">
        <v>48</v>
      </c>
      <c r="LP50" s="313" t="s">
        <v>49</v>
      </c>
      <c r="LQ50" s="313" t="s">
        <v>48</v>
      </c>
      <c r="LR50" s="313" t="s">
        <v>49</v>
      </c>
      <c r="LS50" s="313" t="s">
        <v>139</v>
      </c>
      <c r="LT50" s="310"/>
      <c r="LU50" s="310"/>
      <c r="LV50" s="313" t="s">
        <v>48</v>
      </c>
      <c r="LW50" s="313" t="s">
        <v>49</v>
      </c>
      <c r="LX50" s="313" t="s">
        <v>48</v>
      </c>
      <c r="LY50" s="313" t="s">
        <v>49</v>
      </c>
      <c r="LZ50" s="313" t="s">
        <v>139</v>
      </c>
      <c r="MA50" s="310"/>
      <c r="MB50" s="310"/>
      <c r="MC50" s="313" t="s">
        <v>48</v>
      </c>
      <c r="MD50" s="313" t="s">
        <v>49</v>
      </c>
      <c r="ME50" s="313" t="s">
        <v>48</v>
      </c>
      <c r="MF50" s="313" t="s">
        <v>49</v>
      </c>
      <c r="MG50" s="313" t="s">
        <v>139</v>
      </c>
      <c r="MH50" s="310"/>
      <c r="MI50" s="310"/>
      <c r="MJ50" s="313" t="s">
        <v>48</v>
      </c>
      <c r="MK50" s="313" t="s">
        <v>49</v>
      </c>
      <c r="ML50" s="313" t="s">
        <v>48</v>
      </c>
      <c r="MM50" s="313" t="s">
        <v>49</v>
      </c>
      <c r="MN50" s="313" t="s">
        <v>139</v>
      </c>
      <c r="MO50" s="310"/>
      <c r="MP50" s="310"/>
      <c r="MQ50" s="310"/>
      <c r="MR50" s="310"/>
      <c r="MS50" s="310"/>
      <c r="MT50" s="310"/>
      <c r="MU50" s="280" t="e">
        <f>IF(MU29=TRUE,MT33-NA30,#N/A)</f>
        <v>#N/A</v>
      </c>
      <c r="MV50" s="280" t="e">
        <f>MV49</f>
        <v>#N/A</v>
      </c>
      <c r="MW50" s="310"/>
      <c r="MX50" s="310"/>
      <c r="MY50" s="310"/>
      <c r="MZ50" s="328">
        <v>17</v>
      </c>
      <c r="NA50" s="372" t="b">
        <f t="shared" si="76"/>
        <v>0</v>
      </c>
      <c r="NB50" s="280" t="e">
        <f t="shared" si="80"/>
        <v>#N/A</v>
      </c>
      <c r="NC50" s="280" t="e">
        <f t="shared" si="81"/>
        <v>#N/A</v>
      </c>
      <c r="ND50" s="280" t="e">
        <f t="shared" si="77"/>
        <v>#N/A</v>
      </c>
      <c r="NE50" s="280" t="e">
        <f t="shared" si="78"/>
        <v>#N/A</v>
      </c>
      <c r="NF50" s="310"/>
      <c r="NG50" s="310"/>
      <c r="NH50" s="310"/>
      <c r="NI50" s="310"/>
      <c r="NJ50" s="310"/>
      <c r="NK50" s="310"/>
      <c r="NL50" s="310"/>
      <c r="NM50" s="310"/>
      <c r="NN50" s="310"/>
      <c r="NO50" s="310"/>
      <c r="NP50" s="310"/>
      <c r="NQ50" s="310"/>
      <c r="NR50" s="310"/>
      <c r="NS50" s="276" t="e">
        <f>NS49</f>
        <v>#N/A</v>
      </c>
      <c r="NT50" s="276" t="e">
        <f>IF(NS35=TRUE,OD42,#N/A)</f>
        <v>#N/A</v>
      </c>
      <c r="NU50" s="310"/>
      <c r="NV50" s="310"/>
      <c r="NW50" s="257" t="e">
        <f>IF(NY39=TRUE,NV39,NV40)</f>
        <v>#N/A</v>
      </c>
      <c r="NX50" s="257" t="e">
        <f>NX49</f>
        <v>#N/A</v>
      </c>
      <c r="NY50" s="310"/>
      <c r="NZ50" s="310"/>
      <c r="OA50" s="310"/>
      <c r="OB50" s="310"/>
      <c r="OC50" s="310"/>
      <c r="OD50" s="310"/>
      <c r="OE50" s="310"/>
      <c r="OF50" s="310"/>
      <c r="OG50" s="310"/>
      <c r="OH50" s="310"/>
      <c r="OI50" s="310"/>
      <c r="OJ50" s="310"/>
      <c r="OK50" s="310"/>
      <c r="OL50" s="310"/>
      <c r="OM50" s="328" t="str">
        <v>C2</v>
      </c>
      <c r="ON50" s="328">
        <v>-1.2999999999999998</v>
      </c>
      <c r="OO50" s="328">
        <v>0.95</v>
      </c>
      <c r="OP50" s="310"/>
      <c r="OQ50" s="310"/>
      <c r="OR50" s="310"/>
      <c r="OS50" s="310"/>
      <c r="OT50" s="310"/>
      <c r="OU50" s="281" t="e">
        <f>OU46+$PF$13/2</f>
        <v>#N/A</v>
      </c>
      <c r="OV50" s="281" t="e">
        <f>OV46</f>
        <v>#N/A</v>
      </c>
      <c r="OW50" s="310"/>
      <c r="OX50" s="310"/>
      <c r="OY50" s="310"/>
      <c r="OZ50" s="310"/>
      <c r="PA50" s="310"/>
      <c r="PB50" s="310"/>
      <c r="PC50" s="310"/>
      <c r="PD50" s="310"/>
      <c r="PE50" s="292" t="e">
        <f>IF($OV$8=TRUE,PE47,#N/A)</f>
        <v>#N/A</v>
      </c>
      <c r="PF50" s="328" t="e">
        <f>IF($OV$8=TRUE,PF48+0.2,#N/A)</f>
        <v>#N/A</v>
      </c>
      <c r="PG50" s="292" t="e">
        <f t="shared" si="84"/>
        <v>#N/A</v>
      </c>
      <c r="PH50" s="310"/>
      <c r="PI50" s="310"/>
      <c r="PJ50" s="310"/>
      <c r="PK50" s="310"/>
      <c r="PL50" s="310"/>
      <c r="PM50" s="310"/>
      <c r="PN50" s="310"/>
      <c r="PO50" s="310"/>
      <c r="PP50" s="310"/>
      <c r="PQ50" s="310"/>
      <c r="PR50" s="310"/>
      <c r="PS50" s="342">
        <v>36</v>
      </c>
      <c r="PT50" s="261" t="e">
        <f t="shared" si="29"/>
        <v>#N/A</v>
      </c>
      <c r="PU50" s="261" t="e">
        <f t="shared" si="30"/>
        <v>#N/A</v>
      </c>
      <c r="PV50" s="310"/>
      <c r="PW50" s="310"/>
      <c r="PX50" s="310"/>
      <c r="PY50" s="310"/>
      <c r="PZ50" s="310"/>
      <c r="QA50" s="310"/>
      <c r="QB50" s="310"/>
      <c r="QC50" s="310"/>
      <c r="QD50" s="310"/>
      <c r="QE50" s="310"/>
      <c r="QF50" s="310"/>
      <c r="QG50" s="310"/>
      <c r="QH50" s="310"/>
      <c r="QI50" s="310"/>
      <c r="QJ50" s="310"/>
      <c r="QK50" s="310"/>
      <c r="QL50" s="310"/>
      <c r="QM50" s="310"/>
      <c r="QN50" s="310"/>
      <c r="QO50" s="310"/>
      <c r="QP50" s="310"/>
      <c r="QQ50" s="310"/>
      <c r="QR50" s="310"/>
      <c r="QS50" s="310"/>
      <c r="QT50" s="310"/>
      <c r="QU50" s="310"/>
      <c r="QV50" s="310"/>
      <c r="QW50" s="310"/>
      <c r="QX50" s="310"/>
      <c r="QY50" s="310"/>
      <c r="QZ50" s="310"/>
      <c r="RA50" s="310"/>
      <c r="RB50" s="310"/>
      <c r="RC50" s="310"/>
      <c r="RD50" s="310"/>
      <c r="RE50" s="310"/>
      <c r="RF50" s="310"/>
      <c r="RG50" s="310"/>
      <c r="RH50" s="310"/>
      <c r="RI50" s="310"/>
      <c r="RJ50" s="310"/>
      <c r="RK50" s="310"/>
      <c r="RL50" s="310"/>
      <c r="RM50" s="310"/>
      <c r="RN50" s="310"/>
      <c r="RO50" s="310"/>
      <c r="RP50" s="310"/>
      <c r="RQ50" s="310"/>
      <c r="RR50" s="310"/>
      <c r="RS50" s="310"/>
      <c r="RT50" s="310"/>
      <c r="RU50" s="310"/>
      <c r="RV50" s="310"/>
      <c r="RW50" s="310"/>
      <c r="RX50" s="310"/>
      <c r="RY50" s="310"/>
      <c r="RZ50" s="310"/>
      <c r="SA50" s="310"/>
      <c r="SB50" s="310"/>
      <c r="SC50" s="310"/>
      <c r="SD50" s="310"/>
      <c r="SE50" s="310"/>
      <c r="SF50" s="310"/>
      <c r="SG50" s="310"/>
      <c r="SH50" s="310"/>
      <c r="SI50" s="310"/>
      <c r="SJ50" s="310"/>
      <c r="SK50" s="310"/>
      <c r="SL50" s="310"/>
      <c r="SM50" s="310"/>
      <c r="SN50" s="310"/>
      <c r="SO50" s="220"/>
      <c r="SP50" s="220"/>
      <c r="SQ50" s="220"/>
      <c r="SR50" s="220"/>
      <c r="SS50" s="220"/>
      <c r="ST50" s="220"/>
      <c r="SU50" s="220"/>
      <c r="SV50" s="220"/>
      <c r="SW50" s="220"/>
      <c r="SX50" s="220"/>
      <c r="SY50" s="220"/>
      <c r="SZ50" s="220"/>
      <c r="TA50" s="220"/>
      <c r="TB50" s="220"/>
      <c r="TC50" s="220"/>
      <c r="TD50" s="220"/>
      <c r="TE50" s="220"/>
      <c r="TF50" s="220"/>
      <c r="TG50" s="220"/>
      <c r="TH50" s="220"/>
      <c r="TI50" s="220"/>
      <c r="TJ50" s="220"/>
      <c r="TK50" s="220"/>
      <c r="TL50" s="220"/>
      <c r="TM50" s="220"/>
      <c r="TN50" s="220"/>
      <c r="TO50" s="220"/>
      <c r="TP50" s="220"/>
      <c r="TQ50" s="220"/>
      <c r="TR50" s="220"/>
      <c r="TS50" s="220"/>
      <c r="TT50" s="220"/>
      <c r="TU50" s="220"/>
      <c r="TV50" s="220"/>
      <c r="TW50" s="220"/>
      <c r="TX50" s="220"/>
      <c r="TY50" s="220"/>
      <c r="TZ50" s="220"/>
      <c r="UA50" s="220"/>
      <c r="UB50" s="220"/>
      <c r="UC50" s="220"/>
      <c r="UD50" s="220"/>
      <c r="UE50" s="220"/>
      <c r="UF50" s="220"/>
      <c r="UG50" s="220"/>
      <c r="UH50" s="220"/>
      <c r="UI50" s="220"/>
      <c r="UJ50" s="220"/>
      <c r="UK50" s="216"/>
      <c r="UL50" s="216"/>
      <c r="UM50" s="216"/>
      <c r="UN50" s="216"/>
      <c r="UO50" s="216"/>
      <c r="UP50" s="216"/>
      <c r="UQ50" s="216"/>
      <c r="UR50" s="216"/>
      <c r="US50" s="216"/>
      <c r="UT50" s="216"/>
      <c r="UU50" s="216"/>
      <c r="UV50" s="216"/>
      <c r="UW50" s="216"/>
      <c r="UX50" s="216"/>
      <c r="UY50" s="216"/>
      <c r="UZ50" s="216"/>
      <c r="VA50" s="216"/>
    </row>
    <row r="51" spans="1:573" s="4" customFormat="1" x14ac:dyDescent="0.25">
      <c r="A51" s="148"/>
      <c r="B51" s="149" t="s">
        <v>424</v>
      </c>
      <c r="C51" s="150">
        <f>IF(CP13=TRUE,IF(OR(BL10=TRUE,BL11=TRUE),EN62*100,IF(BL8=TRUE,DM78*100,IF(BL9=TRUE,NL39*100,T52))),"")</f>
        <v>45.499999999999993</v>
      </c>
      <c r="D51" s="151"/>
      <c r="E51" s="152" t="s">
        <v>153</v>
      </c>
      <c r="F51" s="212">
        <v>60</v>
      </c>
      <c r="G51" s="153"/>
      <c r="H51" s="154" t="str">
        <f>IF(J33&lt;&gt;"",IF(BM11=TRUE,TRUNC(J33-J38,3),""),"")</f>
        <v/>
      </c>
      <c r="I51" s="154" t="str">
        <f>IF(H33&lt;&gt;"",IF(BM11=TRUE,TRUNC(H33-J36,3),""),"")</f>
        <v/>
      </c>
      <c r="J51" s="719" t="str">
        <f>IF(H51&lt;&gt;"",IF(BM11=TRUE,H51^2,""),"")</f>
        <v/>
      </c>
      <c r="K51" s="719"/>
      <c r="L51" s="154" t="str">
        <f>IF(I51&lt;&gt;"",IF(BM11=TRUE,I51^2,""),"")</f>
        <v/>
      </c>
      <c r="M51" s="720" t="str">
        <f t="shared" si="91"/>
        <v/>
      </c>
      <c r="N51" s="720"/>
      <c r="O51" s="155" t="str">
        <f>IF(H51&lt;&gt;"",IF(BM11=TRUE,IF(M51&lt;=$M$8,"PASS","FALSE"),""),"")</f>
        <v/>
      </c>
      <c r="P51" s="72"/>
      <c r="Q51" s="50"/>
      <c r="R51" s="156" t="s">
        <v>448</v>
      </c>
      <c r="S51" s="15"/>
      <c r="T51" s="157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5"/>
      <c r="AM51" s="45"/>
      <c r="AN51" s="45"/>
      <c r="AO51" s="45"/>
      <c r="AP51" s="310"/>
      <c r="AQ51" s="310"/>
      <c r="AR51" s="310"/>
      <c r="AS51" s="449" t="str">
        <f>"SD-40  "&amp;AT51</f>
        <v>SD-40  DB12</v>
      </c>
      <c r="AT51" s="459" t="str">
        <f>"DB"&amp;TRUNC(AU51,2)</f>
        <v>DB12</v>
      </c>
      <c r="AU51" s="460">
        <v>12</v>
      </c>
      <c r="AV51" s="461">
        <f t="shared" si="101"/>
        <v>1.1304000000000001</v>
      </c>
      <c r="AW51" s="310"/>
      <c r="AX51" s="310"/>
      <c r="AY51" s="310"/>
      <c r="AZ51" s="310"/>
      <c r="BA51" s="310"/>
      <c r="BB51" s="310"/>
      <c r="BC51" s="310"/>
      <c r="BD51" s="310"/>
      <c r="BE51" s="310"/>
      <c r="BF51" s="310"/>
      <c r="BG51" s="310"/>
      <c r="BH51" s="310"/>
      <c r="BI51" s="310"/>
      <c r="BJ51" s="310"/>
      <c r="BK51" s="310"/>
      <c r="BL51" s="310"/>
      <c r="BM51" s="310"/>
      <c r="BN51" s="310"/>
      <c r="BO51" s="310"/>
      <c r="BP51" s="310"/>
      <c r="BQ51" s="310"/>
      <c r="BR51" s="310"/>
      <c r="BS51" s="310"/>
      <c r="BT51" s="310"/>
      <c r="BU51" s="310"/>
      <c r="BV51" s="310"/>
      <c r="BW51" s="310"/>
      <c r="BX51" s="400" t="s">
        <v>144</v>
      </c>
      <c r="BY51" s="228" t="e">
        <f>IF(BW38=TRUE,BZ22,#N/A)</f>
        <v>#N/A</v>
      </c>
      <c r="BZ51" s="228" t="e">
        <f>IF(BW38=TRUE,BY22-J15/2,#N/A)</f>
        <v>#N/A</v>
      </c>
      <c r="CA51" s="310" t="str">
        <f>IF($BL$8=TRUE,IF($AY$16=TRUE,BX51,""),"")</f>
        <v/>
      </c>
      <c r="CB51" s="351" t="e">
        <f t="shared" si="95"/>
        <v>#N/A</v>
      </c>
      <c r="CC51" s="452" t="e">
        <f t="shared" si="95"/>
        <v>#N/A</v>
      </c>
      <c r="CD51" s="231" t="e">
        <v>#N/A</v>
      </c>
      <c r="CE51" s="231" t="e">
        <v>#N/A</v>
      </c>
      <c r="CF51" s="310"/>
      <c r="CG51" s="310"/>
      <c r="CH51" s="310"/>
      <c r="CI51" s="310"/>
      <c r="CJ51" s="257" t="e">
        <f>CJ50</f>
        <v>#N/A</v>
      </c>
      <c r="CK51" s="242" t="e">
        <f>IF(AND(CK27=TRUE,CK28=TRUE),CL25-$BT$7/2,#N/A)</f>
        <v>#N/A</v>
      </c>
      <c r="CL51" s="310"/>
      <c r="CM51" s="310"/>
      <c r="CN51" s="338" t="e">
        <v>#N/A</v>
      </c>
      <c r="CO51" s="338" t="e">
        <v>#N/A</v>
      </c>
      <c r="CP51" s="328" t="s">
        <v>268</v>
      </c>
      <c r="CQ51" s="336" t="e">
        <f>CK21-CN28</f>
        <v>#N/A</v>
      </c>
      <c r="CR51" s="338" t="e">
        <f>IF(CQ51&gt;=$BT$7,TRUE,FALSE)</f>
        <v>#N/A</v>
      </c>
      <c r="CS51" s="310"/>
      <c r="CT51" s="338" t="e">
        <v>#N/A</v>
      </c>
      <c r="CU51" s="338" t="e">
        <v>#N/A</v>
      </c>
      <c r="CV51" s="328" t="s">
        <v>267</v>
      </c>
      <c r="CW51" s="338" t="e">
        <f>MIN(CL24:CL25)-CO30</f>
        <v>#N/A</v>
      </c>
      <c r="CX51" s="338" t="e">
        <f>IF(CW51&gt;=$BT$7,TRUE,FALSE)</f>
        <v>#N/A</v>
      </c>
      <c r="CY51" s="310"/>
      <c r="CZ51" s="310"/>
      <c r="DA51" s="310"/>
      <c r="DB51" s="310"/>
      <c r="DC51" s="310" t="s">
        <v>48</v>
      </c>
      <c r="DD51" s="310" t="s">
        <v>290</v>
      </c>
      <c r="DE51" s="310"/>
      <c r="DF51" s="280" t="e">
        <f>DF48</f>
        <v>#N/A</v>
      </c>
      <c r="DG51" s="280" t="e">
        <f t="shared" ref="DG51" si="103">DG50</f>
        <v>#N/A</v>
      </c>
      <c r="DH51" s="338">
        <f>DH50</f>
        <v>0.60000000000000009</v>
      </c>
      <c r="DI51" s="310"/>
      <c r="DJ51" s="310"/>
      <c r="DK51" s="313">
        <v>43</v>
      </c>
      <c r="DL51" s="282" t="e">
        <f t="shared" si="3"/>
        <v>#N/A</v>
      </c>
      <c r="DM51" s="291" t="e">
        <f t="shared" si="4"/>
        <v>#N/A</v>
      </c>
      <c r="DN51" s="310"/>
      <c r="DO51" s="310"/>
      <c r="DP51" s="310"/>
      <c r="DQ51" s="310"/>
      <c r="DR51" s="310"/>
      <c r="DS51" s="310"/>
      <c r="DT51" s="328" t="s">
        <v>106</v>
      </c>
      <c r="DU51" s="338">
        <f>DU46-$BT$7/2</f>
        <v>-0.8</v>
      </c>
      <c r="DV51" s="338">
        <f>DV46+$BT$7/2</f>
        <v>-0.5</v>
      </c>
      <c r="DW51" s="310"/>
      <c r="DX51" s="310"/>
      <c r="DY51" s="338">
        <f>DY46-$BT$7/2</f>
        <v>-0.8</v>
      </c>
      <c r="DZ51" s="338">
        <f>DZ46+$BT$7/2</f>
        <v>-0.5</v>
      </c>
      <c r="EA51" s="310"/>
      <c r="EB51" s="310"/>
      <c r="EC51" s="310"/>
      <c r="ED51" s="310" t="e">
        <f>IF(EC46=TRUE,DZ46,#N/A)</f>
        <v>#N/A</v>
      </c>
      <c r="EE51" s="310" t="e">
        <f>IF(EC46=TRUE,DY46,#N/A)</f>
        <v>#N/A</v>
      </c>
      <c r="EF51" s="448" t="e">
        <f>IF(EC46=TRUE,M44,#N/A)</f>
        <v>#N/A</v>
      </c>
      <c r="EG51" s="310"/>
      <c r="EH51" s="310"/>
      <c r="EI51" s="310"/>
      <c r="EJ51" s="310"/>
      <c r="EK51" s="310"/>
      <c r="EL51" s="310"/>
      <c r="EM51" s="310"/>
      <c r="EN51" s="310"/>
      <c r="EO51" s="310"/>
      <c r="EP51" s="310"/>
      <c r="EQ51" s="310"/>
      <c r="ER51" s="310"/>
      <c r="ES51" s="310"/>
      <c r="ET51" s="310"/>
      <c r="EU51" s="310"/>
      <c r="EV51" s="310"/>
      <c r="EW51" s="310"/>
      <c r="EX51" s="310"/>
      <c r="EY51" s="310"/>
      <c r="EZ51" s="310"/>
      <c r="FA51" s="310"/>
      <c r="FB51" s="310"/>
      <c r="FC51" s="310"/>
      <c r="FD51" s="310"/>
      <c r="FE51" s="310"/>
      <c r="FF51" s="310"/>
      <c r="FG51" s="310"/>
      <c r="FH51" s="310"/>
      <c r="FI51" s="310"/>
      <c r="FJ51" s="310"/>
      <c r="FK51" s="310"/>
      <c r="FL51" s="310"/>
      <c r="FM51" s="310"/>
      <c r="FN51" s="310"/>
      <c r="FO51" s="310"/>
      <c r="FP51" s="310"/>
      <c r="FQ51" s="313" t="s">
        <v>334</v>
      </c>
      <c r="FR51" s="318">
        <f t="shared" ref="FR51:GA51" si="104">FR49</f>
        <v>1.2999999999999998</v>
      </c>
      <c r="FS51" s="318">
        <f t="shared" si="104"/>
        <v>0.95</v>
      </c>
      <c r="FT51" s="318">
        <f t="shared" si="104"/>
        <v>1.2999999999999998</v>
      </c>
      <c r="FU51" s="318">
        <f t="shared" si="104"/>
        <v>0.95</v>
      </c>
      <c r="FV51" s="318">
        <f t="shared" si="104"/>
        <v>1.2999999999999998</v>
      </c>
      <c r="FW51" s="318">
        <f t="shared" si="104"/>
        <v>0.95</v>
      </c>
      <c r="FX51" s="318">
        <f t="shared" si="104"/>
        <v>1.2999999999999998</v>
      </c>
      <c r="FY51" s="318">
        <f t="shared" si="104"/>
        <v>0.95</v>
      </c>
      <c r="FZ51" s="318">
        <f t="shared" si="104"/>
        <v>1.2999999999999998</v>
      </c>
      <c r="GA51" s="318">
        <f t="shared" si="104"/>
        <v>0.95</v>
      </c>
      <c r="GB51" s="318">
        <v>1.2999999999999998</v>
      </c>
      <c r="GC51" s="318">
        <v>0.95</v>
      </c>
      <c r="GD51" s="310"/>
      <c r="GE51" s="535" t="s">
        <v>116</v>
      </c>
      <c r="GF51" s="328" t="s">
        <v>333</v>
      </c>
      <c r="GG51" s="328" t="s">
        <v>334</v>
      </c>
      <c r="GH51" s="328" t="s">
        <v>334</v>
      </c>
      <c r="GI51" s="328" t="str">
        <f t="shared" ref="GI51:GI52" si="105">IF($AX$14=1,GG51,GH51)</f>
        <v>C3</v>
      </c>
      <c r="GJ51" s="328" t="s">
        <v>334</v>
      </c>
      <c r="GK51" s="328" t="s">
        <v>334</v>
      </c>
      <c r="GL51" s="328" t="s">
        <v>334</v>
      </c>
      <c r="GM51" s="328" t="s">
        <v>336</v>
      </c>
      <c r="GN51" s="328" t="s">
        <v>335</v>
      </c>
      <c r="GO51" s="328"/>
      <c r="GP51" s="402" t="str">
        <v>C3</v>
      </c>
      <c r="GQ51" s="223">
        <f t="shared" ref="GQ51:GQ52" si="106">INDEX($GP$25:$GP$30,MATCH(GP51,$GF$25:$GF$30,0))</f>
        <v>1.2999999999999998</v>
      </c>
      <c r="GR51" s="223">
        <f t="shared" ref="GR51:GR52" si="107">INDEX($GQ$25:$GQ$30,MATCH(GP51,$GF$25:$GF$30,0))</f>
        <v>0.95</v>
      </c>
      <c r="GS51" s="445">
        <f>MAX(GQ51:GQ52)</f>
        <v>1.2999999999999998</v>
      </c>
      <c r="GT51" s="531" t="s">
        <v>116</v>
      </c>
      <c r="GU51" s="531">
        <f>_xlfn.AGGREGATE(4,6,BC75:BC82)</f>
        <v>1</v>
      </c>
      <c r="GV51" s="536">
        <f>ABS(GS51)-ABS(GU51)</f>
        <v>0.29999999999999982</v>
      </c>
      <c r="GW51" s="533" t="b">
        <f>IF(GV51&gt;=IF(BK6=1,0.5*BT7,BT7),TRUE,FALSE)</f>
        <v>1</v>
      </c>
      <c r="GX51" s="531" t="b">
        <f>IF(GW51=FALSE,TRUE,FALSE)</f>
        <v>0</v>
      </c>
      <c r="GY51" s="533">
        <f>GV51-$J$16</f>
        <v>0</v>
      </c>
      <c r="GZ51" s="242">
        <f>IF(HE51=TRUE,GQ51,#N/A)</f>
        <v>1.2999999999999998</v>
      </c>
      <c r="HA51" s="242">
        <f>IF(HE51=TRUE,GR51,#N/A)</f>
        <v>0.95</v>
      </c>
      <c r="HB51" s="242" t="e">
        <f>IF(HF51=TRUE,GQ51,#N/A)</f>
        <v>#N/A</v>
      </c>
      <c r="HC51" s="242" t="e">
        <f>IF(HF51=TRUE,GR51,#N/A)</f>
        <v>#N/A</v>
      </c>
      <c r="HD51" s="310"/>
      <c r="HE51" s="531" t="b">
        <f>IF(HG51&gt;=BT7,TRUE,FALSE)</f>
        <v>1</v>
      </c>
      <c r="HF51" s="532" t="b">
        <f>IF(HE51=FALSE,TRUE,FALSE)</f>
        <v>0</v>
      </c>
      <c r="HG51" s="523">
        <f>IF(CP13=TRUE,ABS(GV51),"")</f>
        <v>0.29999999999999982</v>
      </c>
      <c r="HH51" s="310" t="str">
        <f>IF(HF51=TRUE,"RIGHT +"&amp;TEXT(BT7-HG51,"0.00")&amp;"m,","")</f>
        <v/>
      </c>
      <c r="HI51" s="310"/>
      <c r="HJ51" s="310"/>
      <c r="HK51" s="342">
        <v>37</v>
      </c>
      <c r="HL51" s="235" t="e">
        <f t="shared" si="5"/>
        <v>#N/A</v>
      </c>
      <c r="HM51" s="235" t="e">
        <f t="shared" si="6"/>
        <v>#N/A</v>
      </c>
      <c r="HN51" s="310"/>
      <c r="HO51" s="310"/>
      <c r="HP51" s="235" t="e">
        <f t="shared" si="7"/>
        <v>#N/A</v>
      </c>
      <c r="HQ51" s="235" t="e">
        <f t="shared" si="8"/>
        <v>#N/A</v>
      </c>
      <c r="HR51" s="310"/>
      <c r="HS51" s="310"/>
      <c r="HT51" s="235" t="e">
        <f t="shared" si="9"/>
        <v>#N/A</v>
      </c>
      <c r="HU51" s="235" t="e">
        <f t="shared" si="10"/>
        <v>#N/A</v>
      </c>
      <c r="HV51" s="310"/>
      <c r="HW51" s="310"/>
      <c r="HX51" s="235" t="e">
        <f t="shared" si="11"/>
        <v>#N/A</v>
      </c>
      <c r="HY51" s="235" t="e">
        <f t="shared" si="12"/>
        <v>#N/A</v>
      </c>
      <c r="HZ51" s="310"/>
      <c r="IA51" s="310"/>
      <c r="IB51" s="235" t="e">
        <f t="shared" si="13"/>
        <v>#N/A</v>
      </c>
      <c r="IC51" s="235" t="e">
        <f t="shared" si="14"/>
        <v>#N/A</v>
      </c>
      <c r="ID51" s="310"/>
      <c r="IE51" s="342">
        <v>37</v>
      </c>
      <c r="IF51" s="262" t="e">
        <f t="shared" si="15"/>
        <v>#N/A</v>
      </c>
      <c r="IG51" s="262" t="e">
        <f t="shared" si="16"/>
        <v>#N/A</v>
      </c>
      <c r="IH51" s="390"/>
      <c r="II51" s="390"/>
      <c r="IJ51" s="262" t="e">
        <f t="shared" si="17"/>
        <v>#N/A</v>
      </c>
      <c r="IK51" s="262" t="e">
        <f t="shared" si="18"/>
        <v>#N/A</v>
      </c>
      <c r="IL51" s="390"/>
      <c r="IM51" s="390"/>
      <c r="IN51" s="262" t="e">
        <f t="shared" si="19"/>
        <v>#N/A</v>
      </c>
      <c r="IO51" s="262" t="e">
        <f t="shared" si="20"/>
        <v>#N/A</v>
      </c>
      <c r="IP51" s="390"/>
      <c r="IQ51" s="390"/>
      <c r="IR51" s="262" t="e">
        <f t="shared" si="21"/>
        <v>#N/A</v>
      </c>
      <c r="IS51" s="262" t="e">
        <f t="shared" si="22"/>
        <v>#N/A</v>
      </c>
      <c r="IT51" s="390"/>
      <c r="IU51" s="390"/>
      <c r="IV51" s="262" t="e">
        <f t="shared" si="23"/>
        <v>#N/A</v>
      </c>
      <c r="IW51" s="262" t="e">
        <f t="shared" si="24"/>
        <v>#N/A</v>
      </c>
      <c r="IX51" s="310"/>
      <c r="IY51" s="310"/>
      <c r="IZ51" s="310"/>
      <c r="JA51" s="310"/>
      <c r="JB51" s="338"/>
      <c r="JC51" s="228" t="e">
        <v>#N/A</v>
      </c>
      <c r="JD51" s="228" t="e">
        <v>#N/A</v>
      </c>
      <c r="JE51" s="310"/>
      <c r="JF51" s="310"/>
      <c r="JG51" s="310"/>
      <c r="JH51" s="310"/>
      <c r="JI51" s="338"/>
      <c r="JJ51" s="264" t="e">
        <v>#N/A</v>
      </c>
      <c r="JK51" s="264" t="e">
        <v>#N/A</v>
      </c>
      <c r="JL51" s="310"/>
      <c r="JM51" s="310"/>
      <c r="JN51" s="261" t="e">
        <f t="shared" si="25"/>
        <v>#N/A</v>
      </c>
      <c r="JO51" s="261" t="e">
        <f t="shared" si="26"/>
        <v>#N/A</v>
      </c>
      <c r="JP51" s="310"/>
      <c r="JQ51" s="310"/>
      <c r="JR51" s="261" t="e">
        <f t="shared" si="31"/>
        <v>#N/A</v>
      </c>
      <c r="JS51" s="261" t="e">
        <f t="shared" si="32"/>
        <v>#N/A</v>
      </c>
      <c r="JT51" s="310"/>
      <c r="JU51" s="310"/>
      <c r="JV51" s="261" t="e">
        <f t="shared" si="27"/>
        <v>#N/A</v>
      </c>
      <c r="JW51" s="261" t="e">
        <f t="shared" si="28"/>
        <v>#N/A</v>
      </c>
      <c r="JX51" s="310"/>
      <c r="JY51" s="310"/>
      <c r="JZ51" s="310"/>
      <c r="KA51" s="310"/>
      <c r="KB51" s="313" t="s">
        <v>167</v>
      </c>
      <c r="KC51" s="242" t="e">
        <f>KC47</f>
        <v>#N/A</v>
      </c>
      <c r="KD51" s="242" t="e">
        <f>KD50</f>
        <v>#N/A</v>
      </c>
      <c r="KE51" s="310"/>
      <c r="KF51" s="310"/>
      <c r="KG51" s="310"/>
      <c r="KH51" s="310"/>
      <c r="KI51" s="310"/>
      <c r="KJ51" s="310"/>
      <c r="KK51" s="310"/>
      <c r="KL51" s="310"/>
      <c r="KM51" s="310"/>
      <c r="KN51" s="242" t="e">
        <f>KN50</f>
        <v>#N/A</v>
      </c>
      <c r="KO51" s="243" t="e">
        <f>IF(KR36=TRUE,OO50,#N/A)</f>
        <v>#N/A</v>
      </c>
      <c r="KP51" s="328"/>
      <c r="KQ51" s="328"/>
      <c r="KR51" s="328"/>
      <c r="KS51" s="310"/>
      <c r="KT51" s="242">
        <f>KT50</f>
        <v>-1.9</v>
      </c>
      <c r="KU51" s="242">
        <f>IF(KX36=TRUE,OO49,#N/A)</f>
        <v>-0.95</v>
      </c>
      <c r="KV51" s="338"/>
      <c r="KW51" s="338"/>
      <c r="KX51" s="389"/>
      <c r="KY51" s="310"/>
      <c r="KZ51" s="310"/>
      <c r="LA51" s="310"/>
      <c r="LB51" s="328" t="str">
        <v>P1</v>
      </c>
      <c r="LC51" s="391" t="e" cm="1">
        <f t="array" ref="LC51:LD67">FD24:FE40</f>
        <v>#N/A</v>
      </c>
      <c r="LD51" s="391" t="e">
        <v>#N/A</v>
      </c>
      <c r="LE51" s="462">
        <f>M11</f>
        <v>0</v>
      </c>
      <c r="LF51" s="387">
        <f>M10</f>
        <v>0</v>
      </c>
      <c r="LG51" s="310"/>
      <c r="LH51" s="463" t="e">
        <f>LC51-LH49</f>
        <v>#N/A</v>
      </c>
      <c r="LI51" s="463" t="e">
        <f>LD51</f>
        <v>#N/A</v>
      </c>
      <c r="LJ51" s="463" t="e">
        <f>LH52</f>
        <v>#N/A</v>
      </c>
      <c r="LK51" s="463" t="e">
        <f>LI52-(LI52-LI53)/2</f>
        <v>#N/A</v>
      </c>
      <c r="LL51" s="463" t="e">
        <f>LI52-LI53</f>
        <v>#N/A</v>
      </c>
      <c r="LM51" s="310"/>
      <c r="LN51" s="310"/>
      <c r="LO51" s="347" t="e">
        <f>LC52-LO49</f>
        <v>#N/A</v>
      </c>
      <c r="LP51" s="347" t="e">
        <f>LD52</f>
        <v>#N/A</v>
      </c>
      <c r="LQ51" s="368" t="e">
        <f>LO52</f>
        <v>#N/A</v>
      </c>
      <c r="LR51" s="318" t="e">
        <f>LP52-(LP52-LP53)/2</f>
        <v>#N/A</v>
      </c>
      <c r="LS51" s="347" t="e">
        <f>LP52-LP53</f>
        <v>#N/A</v>
      </c>
      <c r="LT51" s="310"/>
      <c r="LU51" s="310"/>
      <c r="LV51" s="347" t="e">
        <f>LC55</f>
        <v>#N/A</v>
      </c>
      <c r="LW51" s="347" t="e">
        <f>LD55+LV49</f>
        <v>#N/A</v>
      </c>
      <c r="LX51" s="318" t="e">
        <f>LV52+(LV53-LV52)/2</f>
        <v>#N/A</v>
      </c>
      <c r="LY51" s="368" t="e">
        <f>LW52</f>
        <v>#N/A</v>
      </c>
      <c r="LZ51" s="347" t="e">
        <f>LV53-LV52</f>
        <v>#N/A</v>
      </c>
      <c r="MA51" s="310"/>
      <c r="MB51" s="310"/>
      <c r="MC51" s="347" t="e">
        <f>LC52</f>
        <v>#N/A</v>
      </c>
      <c r="MD51" s="347" t="e">
        <f>LD52+MC49</f>
        <v>#N/A</v>
      </c>
      <c r="ME51" s="313" t="e">
        <f>MC52+(MC53-MC52)/2</f>
        <v>#N/A</v>
      </c>
      <c r="MF51" s="347" t="e">
        <f>MD52</f>
        <v>#N/A</v>
      </c>
      <c r="MG51" s="347" t="e">
        <f>MC53-MC52</f>
        <v>#N/A</v>
      </c>
      <c r="MH51" s="310"/>
      <c r="MI51" s="310"/>
      <c r="MJ51" s="238" t="e" cm="1">
        <f t="array" ref="MJ51:MM80">IF(BK6=3,_xlfn.SWITCH(EU17,
"Y-AXIS-T",LH51:LL80,
"Y-AXIS-B",LO51:LS80,
"X-AXIS-L",MC51:MG80,
"X-AXIS-R",LV51:LZ80,
""),MP51:MS80)</f>
        <v>#N/A</v>
      </c>
      <c r="MK51" s="238" t="e">
        <v>#N/A</v>
      </c>
      <c r="ML51" s="236" t="e">
        <v>#N/A</v>
      </c>
      <c r="MM51" s="236" t="e">
        <v>#N/A</v>
      </c>
      <c r="MN51" s="347"/>
      <c r="MO51" s="310"/>
      <c r="MP51" s="311" t="e">
        <v>#N/A</v>
      </c>
      <c r="MQ51" s="311" t="e">
        <v>#N/A</v>
      </c>
      <c r="MR51" s="311" t="e">
        <v>#N/A</v>
      </c>
      <c r="MS51" s="311" t="e">
        <v>#N/A</v>
      </c>
      <c r="MT51" s="310"/>
      <c r="MU51" s="280" t="e">
        <f>MU50</f>
        <v>#N/A</v>
      </c>
      <c r="MV51" s="280" t="e">
        <f>MV48</f>
        <v>#N/A</v>
      </c>
      <c r="MW51" s="310"/>
      <c r="MX51" s="310"/>
      <c r="MY51" s="310"/>
      <c r="MZ51" s="328">
        <v>18</v>
      </c>
      <c r="NA51" s="372" t="b">
        <f t="shared" si="76"/>
        <v>0</v>
      </c>
      <c r="NB51" s="280" t="e">
        <f t="shared" si="80"/>
        <v>#N/A</v>
      </c>
      <c r="NC51" s="280" t="e">
        <f t="shared" si="81"/>
        <v>#N/A</v>
      </c>
      <c r="ND51" s="280" t="e">
        <f t="shared" si="77"/>
        <v>#N/A</v>
      </c>
      <c r="NE51" s="280" t="e">
        <f t="shared" si="78"/>
        <v>#N/A</v>
      </c>
      <c r="NF51" s="310"/>
      <c r="NG51" s="310"/>
      <c r="NH51" s="310"/>
      <c r="NI51" s="310"/>
      <c r="NJ51" s="310"/>
      <c r="NK51" s="310"/>
      <c r="NL51" s="310"/>
      <c r="NM51" s="310"/>
      <c r="NN51" s="310"/>
      <c r="NO51" s="310"/>
      <c r="NP51" s="310"/>
      <c r="NQ51" s="310"/>
      <c r="NR51" s="310"/>
      <c r="NS51" s="242" t="e">
        <f>NS48-(NS48-NS49)/2</f>
        <v>#N/A</v>
      </c>
      <c r="NT51" s="242" t="e">
        <f>NT49</f>
        <v>#N/A</v>
      </c>
      <c r="NU51" s="338" t="e">
        <f>"lx="&amp;TEXT(NS48-NS49,"0.00")&amp;"m"</f>
        <v>#N/A</v>
      </c>
      <c r="NV51" s="310"/>
      <c r="NW51" s="242" t="e">
        <f>NW49</f>
        <v>#N/A</v>
      </c>
      <c r="NX51" s="242" t="e">
        <f>NX48-(NX48-NX49)/2</f>
        <v>#N/A</v>
      </c>
      <c r="NY51" s="310" t="e">
        <f>"ly="&amp;TEXT(NX48-NX49,"0.00")&amp;"m"</f>
        <v>#N/A</v>
      </c>
      <c r="NZ51" s="310"/>
      <c r="OA51" s="310"/>
      <c r="OB51" s="310"/>
      <c r="OC51" s="310"/>
      <c r="OD51" s="310"/>
      <c r="OE51" s="310"/>
      <c r="OF51" s="310"/>
      <c r="OG51" s="310"/>
      <c r="OH51" s="310"/>
      <c r="OI51" s="310"/>
      <c r="OJ51" s="310"/>
      <c r="OK51" s="310"/>
      <c r="OL51" s="310"/>
      <c r="OM51" s="328" t="str">
        <v>C3</v>
      </c>
      <c r="ON51" s="328">
        <v>1.2999999999999998</v>
      </c>
      <c r="OO51" s="328">
        <v>0.95</v>
      </c>
      <c r="OP51" s="310"/>
      <c r="OQ51" s="310"/>
      <c r="OR51" s="310"/>
      <c r="OS51" s="310"/>
      <c r="OT51" s="310"/>
      <c r="OU51" s="281" t="e">
        <f>OU47+$PF$13/2</f>
        <v>#N/A</v>
      </c>
      <c r="OV51" s="281" t="e">
        <f>OV47</f>
        <v>#N/A</v>
      </c>
      <c r="OW51" s="310"/>
      <c r="OX51" s="310"/>
      <c r="OY51" s="310"/>
      <c r="OZ51" s="310"/>
      <c r="PA51" s="310"/>
      <c r="PB51" s="310"/>
      <c r="PC51" s="310"/>
      <c r="PD51" s="310"/>
      <c r="PE51" s="292" t="e">
        <f>IF($OV$8=TRUE,PE48,#N/A)</f>
        <v>#N/A</v>
      </c>
      <c r="PF51" s="328" t="e">
        <f>PF50</f>
        <v>#N/A</v>
      </c>
      <c r="PG51" s="292" t="e">
        <f t="shared" si="84"/>
        <v>#N/A</v>
      </c>
      <c r="PH51" s="310"/>
      <c r="PI51" s="310"/>
      <c r="PJ51" s="310"/>
      <c r="PK51" s="310"/>
      <c r="PL51" s="310"/>
      <c r="PM51" s="310"/>
      <c r="PN51" s="310"/>
      <c r="PO51" s="310"/>
      <c r="PP51" s="310"/>
      <c r="PQ51" s="310"/>
      <c r="PR51" s="310"/>
      <c r="PS51" s="342">
        <v>37</v>
      </c>
      <c r="PT51" s="261" t="e">
        <f t="shared" si="29"/>
        <v>#N/A</v>
      </c>
      <c r="PU51" s="261" t="e">
        <f t="shared" si="30"/>
        <v>#N/A</v>
      </c>
      <c r="PV51" s="310"/>
      <c r="PW51" s="310"/>
      <c r="PX51" s="310"/>
      <c r="PY51" s="310"/>
      <c r="PZ51" s="310"/>
      <c r="QA51" s="310"/>
      <c r="QB51" s="310"/>
      <c r="QC51" s="310"/>
      <c r="QD51" s="310"/>
      <c r="QE51" s="310"/>
      <c r="QF51" s="310"/>
      <c r="QG51" s="310"/>
      <c r="QH51" s="310"/>
      <c r="QI51" s="310"/>
      <c r="QJ51" s="310"/>
      <c r="QK51" s="310"/>
      <c r="QL51" s="310"/>
      <c r="QM51" s="310"/>
      <c r="QN51" s="310"/>
      <c r="QO51" s="310"/>
      <c r="QP51" s="310"/>
      <c r="QQ51" s="310"/>
      <c r="QR51" s="310"/>
      <c r="QS51" s="310"/>
      <c r="QT51" s="310"/>
      <c r="QU51" s="310"/>
      <c r="QV51" s="310"/>
      <c r="QW51" s="310"/>
      <c r="QX51" s="310"/>
      <c r="QY51" s="310"/>
      <c r="QZ51" s="310"/>
      <c r="RA51" s="310"/>
      <c r="RB51" s="310"/>
      <c r="RC51" s="310"/>
      <c r="RD51" s="310"/>
      <c r="RE51" s="310"/>
      <c r="RF51" s="310"/>
      <c r="RG51" s="310"/>
      <c r="RH51" s="310"/>
      <c r="RI51" s="310"/>
      <c r="RJ51" s="310"/>
      <c r="RK51" s="310"/>
      <c r="RL51" s="310"/>
      <c r="RM51" s="310"/>
      <c r="RN51" s="310"/>
      <c r="RO51" s="310"/>
      <c r="RP51" s="310"/>
      <c r="RQ51" s="310"/>
      <c r="RR51" s="310"/>
      <c r="RS51" s="310"/>
      <c r="RT51" s="310"/>
      <c r="RU51" s="310"/>
      <c r="RV51" s="310"/>
      <c r="RW51" s="310"/>
      <c r="RX51" s="310"/>
      <c r="RY51" s="310"/>
      <c r="RZ51" s="310"/>
      <c r="SA51" s="310"/>
      <c r="SB51" s="310"/>
      <c r="SC51" s="310"/>
      <c r="SD51" s="310"/>
      <c r="SE51" s="310"/>
      <c r="SF51" s="310"/>
      <c r="SG51" s="310"/>
      <c r="SH51" s="310"/>
      <c r="SI51" s="310"/>
      <c r="SJ51" s="310"/>
      <c r="SK51" s="310"/>
      <c r="SL51" s="310"/>
      <c r="SM51" s="310"/>
      <c r="SN51" s="310"/>
      <c r="SO51" s="220"/>
      <c r="SP51" s="220"/>
      <c r="SQ51" s="220"/>
      <c r="SR51" s="220"/>
      <c r="SS51" s="220"/>
      <c r="ST51" s="220"/>
      <c r="SU51" s="220"/>
      <c r="SV51" s="220"/>
      <c r="SW51" s="220"/>
      <c r="SX51" s="220"/>
      <c r="SY51" s="220"/>
      <c r="SZ51" s="220"/>
      <c r="TA51" s="220"/>
      <c r="TB51" s="220"/>
      <c r="TC51" s="220"/>
      <c r="TD51" s="220"/>
      <c r="TE51" s="220"/>
      <c r="TF51" s="220"/>
      <c r="TG51" s="220"/>
      <c r="TH51" s="220"/>
      <c r="TI51" s="220"/>
      <c r="TJ51" s="220"/>
      <c r="TK51" s="220"/>
      <c r="TL51" s="220"/>
      <c r="TM51" s="220"/>
      <c r="TN51" s="220"/>
      <c r="TO51" s="220"/>
      <c r="TP51" s="220"/>
      <c r="TQ51" s="220"/>
      <c r="TR51" s="220"/>
      <c r="TS51" s="220"/>
      <c r="TT51" s="220"/>
      <c r="TU51" s="220"/>
      <c r="TV51" s="220"/>
      <c r="TW51" s="220"/>
      <c r="TX51" s="220"/>
      <c r="TY51" s="220"/>
      <c r="TZ51" s="220"/>
      <c r="UA51" s="220"/>
      <c r="UB51" s="220"/>
      <c r="UC51" s="220"/>
      <c r="UD51" s="220"/>
      <c r="UE51" s="220"/>
      <c r="UF51" s="220"/>
      <c r="UG51" s="220"/>
      <c r="UH51" s="220"/>
      <c r="UI51" s="220"/>
      <c r="UJ51" s="220"/>
      <c r="UK51" s="216"/>
      <c r="UL51" s="216"/>
      <c r="UM51" s="216"/>
      <c r="UN51" s="216"/>
      <c r="UO51" s="216"/>
      <c r="UP51" s="216"/>
      <c r="UQ51" s="216"/>
      <c r="UR51" s="216"/>
      <c r="US51" s="216"/>
      <c r="UT51" s="216"/>
      <c r="UU51" s="216"/>
      <c r="UV51" s="216"/>
      <c r="UW51" s="216"/>
      <c r="UX51" s="216"/>
      <c r="UY51" s="216"/>
      <c r="UZ51" s="216"/>
      <c r="VA51" s="216"/>
    </row>
    <row r="52" spans="1:573" s="4" customFormat="1" ht="18.75" customHeight="1" x14ac:dyDescent="0.25">
      <c r="A52" s="158"/>
      <c r="B52" s="159"/>
      <c r="C52" s="128"/>
      <c r="D52" s="128"/>
      <c r="E52" s="128"/>
      <c r="F52" s="160" t="s">
        <v>436</v>
      </c>
      <c r="G52" s="721">
        <v>10</v>
      </c>
      <c r="H52" s="722"/>
      <c r="I52" s="161" t="s">
        <v>146</v>
      </c>
      <c r="J52" s="693">
        <f>IF(CP13=TRUE,SUM(J44:J51),"")</f>
        <v>3.6900000000000004</v>
      </c>
      <c r="K52" s="694"/>
      <c r="L52" s="162">
        <f>IF(CP13=TRUE,SUM(L44:L51),"")</f>
        <v>2.2898589999999999</v>
      </c>
      <c r="M52" s="163">
        <f>IF(CP13=TRUE,TRUNC(ROUND(SUM(M44:M51),2),2),"")</f>
        <v>180</v>
      </c>
      <c r="N52" s="161" t="s">
        <v>147</v>
      </c>
      <c r="O52" s="161" t="str">
        <f>IF(CP13=TRUE,IF(ABS(M52-$M$16)&lt;=0.05,"PASS","FALSE"),"")</f>
        <v>PASS</v>
      </c>
      <c r="P52" s="72"/>
      <c r="Q52" s="50"/>
      <c r="R52" s="754" t="s">
        <v>424</v>
      </c>
      <c r="S52" s="754"/>
      <c r="T52" s="150" t="str">
        <f>IF(CP13=TRUE,IF(OM9=TRUE,IF(OT10=TRUE,OY44*100,OY45*100),""),"")</f>
        <v/>
      </c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5"/>
      <c r="AM52" s="45"/>
      <c r="AN52" s="45"/>
      <c r="AO52" s="45"/>
      <c r="AP52" s="310"/>
      <c r="AQ52" s="310"/>
      <c r="AR52" s="310"/>
      <c r="AS52" s="449" t="str">
        <f>"SD-40  "&amp;AT52</f>
        <v>SD-40  DB16</v>
      </c>
      <c r="AT52" s="459" t="str">
        <f>"DB"&amp;TRUNC(AU52,2)</f>
        <v>DB16</v>
      </c>
      <c r="AU52" s="460">
        <v>16</v>
      </c>
      <c r="AV52" s="461">
        <f t="shared" si="101"/>
        <v>2.0096000000000003</v>
      </c>
      <c r="AW52" s="310"/>
      <c r="AX52" s="310"/>
      <c r="AY52" s="310"/>
      <c r="AZ52" s="310"/>
      <c r="BA52" s="310"/>
      <c r="BB52" s="310"/>
      <c r="BC52" s="535" t="s">
        <v>13</v>
      </c>
      <c r="BD52" s="535"/>
      <c r="BE52" s="329"/>
      <c r="BF52" s="535" t="s">
        <v>19</v>
      </c>
      <c r="BG52" s="535"/>
      <c r="BH52" s="535"/>
      <c r="BI52" s="535" t="s">
        <v>24</v>
      </c>
      <c r="BJ52" s="535"/>
      <c r="BK52" s="535" t="s">
        <v>29</v>
      </c>
      <c r="BL52" s="535"/>
      <c r="BM52" s="535" t="s">
        <v>34</v>
      </c>
      <c r="BN52" s="535"/>
      <c r="BO52" s="531" t="s">
        <v>238</v>
      </c>
      <c r="BP52" s="531"/>
      <c r="BQ52" s="310"/>
      <c r="BR52" s="310"/>
      <c r="BS52" s="310"/>
      <c r="BT52" s="310"/>
      <c r="BU52" s="310"/>
      <c r="BV52" s="310"/>
      <c r="BW52" s="310"/>
      <c r="BX52" s="310"/>
      <c r="BY52" s="310"/>
      <c r="BZ52" s="310"/>
      <c r="CA52" s="310"/>
      <c r="CB52" s="310"/>
      <c r="CC52" s="310"/>
      <c r="CD52" s="233" t="e">
        <f>CB48+CD44</f>
        <v>#N/A</v>
      </c>
      <c r="CE52" s="233" t="e">
        <f>CC48</f>
        <v>#N/A</v>
      </c>
      <c r="CF52" s="310"/>
      <c r="CG52" s="310"/>
      <c r="CH52" s="310"/>
      <c r="CI52" s="310"/>
      <c r="CJ52" s="257" t="e">
        <f>CJ49</f>
        <v>#N/A</v>
      </c>
      <c r="CK52" s="257" t="e">
        <f>CK51</f>
        <v>#N/A</v>
      </c>
      <c r="CL52" s="310"/>
      <c r="CM52" s="310"/>
      <c r="CN52" s="338" t="e">
        <f>CN49</f>
        <v>#N/A</v>
      </c>
      <c r="CO52" s="338" t="e">
        <f>CO49</f>
        <v>#N/A</v>
      </c>
      <c r="CP52" s="328" t="s">
        <v>269</v>
      </c>
      <c r="CQ52" s="338" t="e">
        <f>CN30-CK21</f>
        <v>#N/A</v>
      </c>
      <c r="CR52" s="338" t="e">
        <f>IF(CQ52&gt;=$BT$7,TRUE,FALSE)</f>
        <v>#N/A</v>
      </c>
      <c r="CS52" s="310"/>
      <c r="CT52" s="338" t="e">
        <f>CT49</f>
        <v>#N/A</v>
      </c>
      <c r="CU52" s="338" t="e">
        <f>CU49</f>
        <v>#N/A</v>
      </c>
      <c r="CV52" s="328" t="s">
        <v>268</v>
      </c>
      <c r="CW52" s="336" t="e">
        <f>CK24-CN28</f>
        <v>#N/A</v>
      </c>
      <c r="CX52" s="338" t="e">
        <f>IF(CW52&gt;=$BT$7,TRUE,FALSE)</f>
        <v>#N/A</v>
      </c>
      <c r="CY52" s="310"/>
      <c r="CZ52" s="310"/>
      <c r="DA52" s="310"/>
      <c r="DB52" s="310"/>
      <c r="DC52" s="280" t="e">
        <f>IF(DD50=TRUE,IF(DG6=TRUE,DF33-0.009,DC33-0.009),#N/A)</f>
        <v>#N/A</v>
      </c>
      <c r="DD52" s="280" t="e">
        <f>IF(DD50=TRUE,IF(DG6=TRUE,DG33-0.025,DD33-0.025),#N/A)</f>
        <v>#N/A</v>
      </c>
      <c r="DE52" s="310"/>
      <c r="DF52" s="280" t="e">
        <v>#N/A</v>
      </c>
      <c r="DG52" s="280" t="e">
        <v>#N/A</v>
      </c>
      <c r="DH52" s="338" t="e">
        <v>#N/A</v>
      </c>
      <c r="DI52" s="310"/>
      <c r="DJ52" s="310"/>
      <c r="DK52" s="313">
        <v>44</v>
      </c>
      <c r="DL52" s="282" t="e">
        <f t="shared" si="3"/>
        <v>#N/A</v>
      </c>
      <c r="DM52" s="291" t="e">
        <f t="shared" si="4"/>
        <v>#N/A</v>
      </c>
      <c r="DN52" s="310"/>
      <c r="DO52" s="310"/>
      <c r="DP52" s="310"/>
      <c r="DQ52" s="310"/>
      <c r="DR52" s="310"/>
      <c r="DS52" s="310"/>
      <c r="DT52" s="338"/>
      <c r="DU52" s="338">
        <f>DU46+$BT$7/2</f>
        <v>-0.5</v>
      </c>
      <c r="DV52" s="338">
        <f>DV51</f>
        <v>-0.5</v>
      </c>
      <c r="DW52" s="310"/>
      <c r="DX52" s="310"/>
      <c r="DY52" s="338">
        <f>DY46+$BT$7/2</f>
        <v>-0.5</v>
      </c>
      <c r="DZ52" s="338">
        <f>DZ51</f>
        <v>-0.5</v>
      </c>
      <c r="EA52" s="310"/>
      <c r="EB52" s="310"/>
      <c r="EC52" s="310"/>
      <c r="ED52" s="310" t="e">
        <f>IF(EC47=TRUE,DZ47,#N/A)</f>
        <v>#N/A</v>
      </c>
      <c r="EE52" s="310" t="e">
        <f>IF(EC47=TRUE,DY47,#N/A)</f>
        <v>#N/A</v>
      </c>
      <c r="EF52" s="448" t="e">
        <f>IF(EC47=TRUE,M45,#N/A)</f>
        <v>#N/A</v>
      </c>
      <c r="EG52" s="310"/>
      <c r="EH52" s="310"/>
      <c r="EI52" s="310"/>
      <c r="EJ52" s="310"/>
      <c r="EK52" s="310"/>
      <c r="EL52" s="310"/>
      <c r="EM52" s="310"/>
      <c r="EN52" s="310"/>
      <c r="EO52" s="310"/>
      <c r="EP52" s="310"/>
      <c r="EQ52" s="310"/>
      <c r="ER52" s="310"/>
      <c r="ES52" s="310"/>
      <c r="ET52" s="310"/>
      <c r="EU52" s="310"/>
      <c r="EV52" s="310"/>
      <c r="EW52" s="310"/>
      <c r="EX52" s="310"/>
      <c r="EY52" s="310"/>
      <c r="EZ52" s="310"/>
      <c r="FA52" s="310"/>
      <c r="FB52" s="310"/>
      <c r="FC52" s="310"/>
      <c r="FD52" s="310"/>
      <c r="FE52" s="310"/>
      <c r="FF52" s="310"/>
      <c r="FG52" s="310"/>
      <c r="FH52" s="310"/>
      <c r="FI52" s="310"/>
      <c r="FJ52" s="310"/>
      <c r="FK52" s="310"/>
      <c r="FL52" s="310"/>
      <c r="FM52" s="318" t="b">
        <f>AND(FL27=TRUE,BM10=TRUE)</f>
        <v>1</v>
      </c>
      <c r="FN52" s="318"/>
      <c r="FO52" s="318" t="s">
        <v>313</v>
      </c>
      <c r="FP52" s="310"/>
      <c r="FQ52" s="313" t="s">
        <v>335</v>
      </c>
      <c r="FR52" s="318">
        <f>$GP$28</f>
        <v>1.2999999999999998</v>
      </c>
      <c r="FS52" s="318">
        <f>$GQ$28</f>
        <v>-0.95</v>
      </c>
      <c r="FT52" s="318">
        <f>$GP$28</f>
        <v>1.2999999999999998</v>
      </c>
      <c r="FU52" s="318">
        <f>$GQ$28</f>
        <v>-0.95</v>
      </c>
      <c r="FV52" s="318">
        <f>$GP$28</f>
        <v>1.2999999999999998</v>
      </c>
      <c r="FW52" s="318">
        <f>$GQ$28</f>
        <v>-0.95</v>
      </c>
      <c r="FX52" s="318">
        <f>$GP$28</f>
        <v>1.2999999999999998</v>
      </c>
      <c r="FY52" s="318">
        <f>$GQ$28</f>
        <v>-0.95</v>
      </c>
      <c r="FZ52" s="318">
        <f>$GC$28</f>
        <v>0.95</v>
      </c>
      <c r="GA52" s="318">
        <f>$GD$28</f>
        <v>-0.95</v>
      </c>
      <c r="GB52" s="318">
        <v>0.95</v>
      </c>
      <c r="GC52" s="318">
        <v>-0.95</v>
      </c>
      <c r="GD52" s="310"/>
      <c r="GE52" s="535"/>
      <c r="GF52" s="328" t="s">
        <v>334</v>
      </c>
      <c r="GG52" s="328" t="s">
        <v>335</v>
      </c>
      <c r="GH52" s="328" t="s">
        <v>335</v>
      </c>
      <c r="GI52" s="328" t="str">
        <f t="shared" si="105"/>
        <v>C4</v>
      </c>
      <c r="GJ52" s="328" t="s">
        <v>335</v>
      </c>
      <c r="GK52" s="328" t="s">
        <v>335</v>
      </c>
      <c r="GL52" s="328" t="s">
        <v>335</v>
      </c>
      <c r="GM52" s="328" t="s">
        <v>337</v>
      </c>
      <c r="GN52" s="328" t="s">
        <v>336</v>
      </c>
      <c r="GO52" s="328"/>
      <c r="GP52" s="402" t="str">
        <v>C4</v>
      </c>
      <c r="GQ52" s="223">
        <f t="shared" si="106"/>
        <v>1.2999999999999998</v>
      </c>
      <c r="GR52" s="223">
        <f t="shared" si="107"/>
        <v>-0.95</v>
      </c>
      <c r="GS52" s="402"/>
      <c r="GT52" s="531"/>
      <c r="GU52" s="531"/>
      <c r="GV52" s="518"/>
      <c r="GW52" s="531"/>
      <c r="GX52" s="531"/>
      <c r="GY52" s="531"/>
      <c r="GZ52" s="242">
        <f>IF(HE51=TRUE,GQ52,#N/A)</f>
        <v>1.2999999999999998</v>
      </c>
      <c r="HA52" s="242">
        <f>IF(HE51=TRUE,GR52,#N/A)</f>
        <v>-0.95</v>
      </c>
      <c r="HB52" s="242" t="e">
        <f>IF(HF51=TRUE,GQ52,#N/A)</f>
        <v>#N/A</v>
      </c>
      <c r="HC52" s="242" t="e">
        <f>IF(HF51=TRUE,GR52,#N/A)</f>
        <v>#N/A</v>
      </c>
      <c r="HD52" s="310"/>
      <c r="HE52" s="531"/>
      <c r="HF52" s="532"/>
      <c r="HG52" s="523"/>
      <c r="HH52" s="310"/>
      <c r="HI52" s="310"/>
      <c r="HJ52" s="310"/>
      <c r="HK52" s="342">
        <v>38</v>
      </c>
      <c r="HL52" s="235" t="e">
        <f t="shared" si="5"/>
        <v>#N/A</v>
      </c>
      <c r="HM52" s="235" t="e">
        <f t="shared" si="6"/>
        <v>#N/A</v>
      </c>
      <c r="HN52" s="310"/>
      <c r="HO52" s="310"/>
      <c r="HP52" s="235" t="e">
        <f t="shared" si="7"/>
        <v>#N/A</v>
      </c>
      <c r="HQ52" s="235" t="e">
        <f t="shared" si="8"/>
        <v>#N/A</v>
      </c>
      <c r="HR52" s="310"/>
      <c r="HS52" s="310"/>
      <c r="HT52" s="235" t="e">
        <f t="shared" si="9"/>
        <v>#N/A</v>
      </c>
      <c r="HU52" s="235" t="e">
        <f t="shared" si="10"/>
        <v>#N/A</v>
      </c>
      <c r="HV52" s="310"/>
      <c r="HW52" s="310"/>
      <c r="HX52" s="235" t="e">
        <f t="shared" si="11"/>
        <v>#N/A</v>
      </c>
      <c r="HY52" s="235" t="e">
        <f t="shared" si="12"/>
        <v>#N/A</v>
      </c>
      <c r="HZ52" s="310"/>
      <c r="IA52" s="310"/>
      <c r="IB52" s="235" t="e">
        <f t="shared" si="13"/>
        <v>#N/A</v>
      </c>
      <c r="IC52" s="235" t="e">
        <f t="shared" si="14"/>
        <v>#N/A</v>
      </c>
      <c r="ID52" s="310"/>
      <c r="IE52" s="342">
        <v>38</v>
      </c>
      <c r="IF52" s="262" t="e">
        <f t="shared" si="15"/>
        <v>#N/A</v>
      </c>
      <c r="IG52" s="262" t="e">
        <f t="shared" si="16"/>
        <v>#N/A</v>
      </c>
      <c r="IH52" s="390"/>
      <c r="II52" s="390"/>
      <c r="IJ52" s="262" t="e">
        <f t="shared" si="17"/>
        <v>#N/A</v>
      </c>
      <c r="IK52" s="262" t="e">
        <f t="shared" si="18"/>
        <v>#N/A</v>
      </c>
      <c r="IL52" s="390"/>
      <c r="IM52" s="390"/>
      <c r="IN52" s="262" t="e">
        <f t="shared" si="19"/>
        <v>#N/A</v>
      </c>
      <c r="IO52" s="262" t="e">
        <f t="shared" si="20"/>
        <v>#N/A</v>
      </c>
      <c r="IP52" s="390"/>
      <c r="IQ52" s="390"/>
      <c r="IR52" s="262" t="e">
        <f t="shared" si="21"/>
        <v>#N/A</v>
      </c>
      <c r="IS52" s="262" t="e">
        <f t="shared" si="22"/>
        <v>#N/A</v>
      </c>
      <c r="IT52" s="390"/>
      <c r="IU52" s="390"/>
      <c r="IV52" s="262" t="e">
        <f t="shared" si="23"/>
        <v>#N/A</v>
      </c>
      <c r="IW52" s="262" t="e">
        <f t="shared" si="24"/>
        <v>#N/A</v>
      </c>
      <c r="IX52" s="310"/>
      <c r="IY52" s="342" t="s">
        <v>353</v>
      </c>
      <c r="IZ52" s="313" t="s">
        <v>377</v>
      </c>
      <c r="JA52" s="343" t="b">
        <f>AND($GY$6&gt;=$GX$14,$GY$6&lt;=$GX$20,$BM$11=TRUE)</f>
        <v>0</v>
      </c>
      <c r="JB52" s="313" t="s">
        <v>106</v>
      </c>
      <c r="JC52" s="236" t="e">
        <f>IZ54-($IZ$10/2)+$IZ$9</f>
        <v>#N/A</v>
      </c>
      <c r="JD52" s="236" t="e">
        <f>JA54+$IZ$10/2</f>
        <v>#N/A</v>
      </c>
      <c r="JE52" s="310"/>
      <c r="JF52" s="342" t="s">
        <v>353</v>
      </c>
      <c r="JG52" s="313" t="s">
        <v>377</v>
      </c>
      <c r="JH52" s="343" t="b">
        <f>IF(CP13=TRUE,AND($GY$6&gt;=$GX$14,$GY$6&lt;=$GX$20,$BM$11=TRUE,$BE$7=TRUE,CU11=TRUE),FALSE)</f>
        <v>0</v>
      </c>
      <c r="JI52" s="313" t="s">
        <v>106</v>
      </c>
      <c r="JJ52" s="263" t="e">
        <f>JG54-($IZ$10/2)+$IZ$9</f>
        <v>#N/A</v>
      </c>
      <c r="JK52" s="263" t="e">
        <f>JH54+$IZ$10/2</f>
        <v>#N/A</v>
      </c>
      <c r="JL52" s="310"/>
      <c r="JM52" s="310"/>
      <c r="JN52" s="261" t="e">
        <f t="shared" si="25"/>
        <v>#N/A</v>
      </c>
      <c r="JO52" s="261" t="e">
        <f t="shared" si="26"/>
        <v>#N/A</v>
      </c>
      <c r="JP52" s="310"/>
      <c r="JQ52" s="310"/>
      <c r="JR52" s="261" t="e">
        <f t="shared" si="31"/>
        <v>#N/A</v>
      </c>
      <c r="JS52" s="261" t="e">
        <f t="shared" si="32"/>
        <v>#N/A</v>
      </c>
      <c r="JT52" s="310"/>
      <c r="JU52" s="310"/>
      <c r="JV52" s="261" t="e">
        <f t="shared" si="27"/>
        <v>#N/A</v>
      </c>
      <c r="JW52" s="261" t="e">
        <f t="shared" si="28"/>
        <v>#N/A</v>
      </c>
      <c r="JX52" s="310"/>
      <c r="JY52" s="310"/>
      <c r="JZ52" s="310"/>
      <c r="KA52" s="310"/>
      <c r="KB52" s="313" t="s">
        <v>325</v>
      </c>
      <c r="KC52" s="265" t="e">
        <f>JZ49-$IZ$62</f>
        <v>#N/A</v>
      </c>
      <c r="KD52" s="265" t="e">
        <f>KA49</f>
        <v>#N/A</v>
      </c>
      <c r="KE52" s="310"/>
      <c r="KF52" s="310"/>
      <c r="KG52" s="310"/>
      <c r="KH52" s="310"/>
      <c r="KI52" s="310"/>
      <c r="KJ52" s="310"/>
      <c r="KK52" s="310"/>
      <c r="KL52" s="310"/>
      <c r="KM52" s="310"/>
      <c r="KN52" s="243" t="e">
        <f>KN49</f>
        <v>#N/A</v>
      </c>
      <c r="KO52" s="243" t="e">
        <f>KO51</f>
        <v>#N/A</v>
      </c>
      <c r="KP52" s="328"/>
      <c r="KQ52" s="328"/>
      <c r="KR52" s="328"/>
      <c r="KS52" s="310"/>
      <c r="KT52" s="242">
        <f>KT49</f>
        <v>-1.3499999999999999</v>
      </c>
      <c r="KU52" s="242">
        <f>KU51</f>
        <v>-0.95</v>
      </c>
      <c r="KV52" s="338"/>
      <c r="KW52" s="338"/>
      <c r="KX52" s="389"/>
      <c r="KY52" s="310"/>
      <c r="KZ52" s="310"/>
      <c r="LA52" s="310"/>
      <c r="LB52" s="328" t="str">
        <v>P2</v>
      </c>
      <c r="LC52" s="391" t="e">
        <v>#N/A</v>
      </c>
      <c r="LD52" s="391" t="e">
        <v>#N/A</v>
      </c>
      <c r="LE52" s="310"/>
      <c r="LF52" s="310"/>
      <c r="LG52" s="310"/>
      <c r="LH52" s="463" t="e">
        <f>LC51-LI49*1.95</f>
        <v>#N/A</v>
      </c>
      <c r="LI52" s="463" t="e">
        <f>LI51</f>
        <v>#N/A</v>
      </c>
      <c r="LJ52" s="463" t="e">
        <f>LH56</f>
        <v>#N/A</v>
      </c>
      <c r="LK52" s="463" t="e">
        <f>LI56-(LI56-LI57)/2</f>
        <v>#N/A</v>
      </c>
      <c r="LL52" s="463" t="e">
        <f>LI56-LI57</f>
        <v>#N/A</v>
      </c>
      <c r="LM52" s="310"/>
      <c r="LN52" s="310"/>
      <c r="LO52" s="347" t="e">
        <f>LC52-LP49*1.05</f>
        <v>#N/A</v>
      </c>
      <c r="LP52" s="347" t="e">
        <f>LP51</f>
        <v>#N/A</v>
      </c>
      <c r="LQ52" s="347" t="e">
        <f>LO56</f>
        <v>#N/A</v>
      </c>
      <c r="LR52" s="313" t="e">
        <f>LP56-(LP56-LP57)/2</f>
        <v>#N/A</v>
      </c>
      <c r="LS52" s="347" t="e">
        <f>LP56-LP57</f>
        <v>#N/A</v>
      </c>
      <c r="LT52" s="310"/>
      <c r="LU52" s="310"/>
      <c r="LV52" s="347" t="e">
        <f>LV51</f>
        <v>#N/A</v>
      </c>
      <c r="LW52" s="347" t="e">
        <f>LD55+LW49*1.15</f>
        <v>#N/A</v>
      </c>
      <c r="LX52" s="313" t="e">
        <f>LV56+(LV57-LV56)/2</f>
        <v>#N/A</v>
      </c>
      <c r="LY52" s="347" t="e">
        <f>LW56</f>
        <v>#N/A</v>
      </c>
      <c r="LZ52" s="347" t="e">
        <f>LV57-LV56</f>
        <v>#N/A</v>
      </c>
      <c r="MA52" s="310"/>
      <c r="MB52" s="310"/>
      <c r="MC52" s="347" t="e">
        <f>MC51</f>
        <v>#N/A</v>
      </c>
      <c r="MD52" s="347" t="e">
        <f>LD52+MD49*1.95</f>
        <v>#N/A</v>
      </c>
      <c r="ME52" s="313" t="e">
        <f>MC56+(MC57-MC56)/2</f>
        <v>#N/A</v>
      </c>
      <c r="MF52" s="347" t="e">
        <f>MD56</f>
        <v>#N/A</v>
      </c>
      <c r="MG52" s="347" t="e">
        <f>MC57-MC56</f>
        <v>#N/A</v>
      </c>
      <c r="MH52" s="310"/>
      <c r="MI52" s="310"/>
      <c r="MJ52" s="238" t="e">
        <v>#N/A</v>
      </c>
      <c r="MK52" s="238" t="e">
        <v>#N/A</v>
      </c>
      <c r="ML52" s="232" t="e">
        <v>#N/A</v>
      </c>
      <c r="MM52" s="232" t="e">
        <v>#N/A</v>
      </c>
      <c r="MN52" s="347"/>
      <c r="MO52" s="310"/>
      <c r="MP52" s="311" t="e">
        <v>#N/A</v>
      </c>
      <c r="MQ52" s="311" t="e">
        <v>#N/A</v>
      </c>
      <c r="MR52" s="311" t="e">
        <v>#N/A</v>
      </c>
      <c r="MS52" s="311" t="e">
        <v>#N/A</v>
      </c>
      <c r="MT52" s="310"/>
      <c r="MU52" s="310"/>
      <c r="MV52" s="310"/>
      <c r="MW52" s="310"/>
      <c r="MX52" s="310"/>
      <c r="MY52" s="310"/>
      <c r="MZ52" s="328">
        <v>19</v>
      </c>
      <c r="NA52" s="372" t="b">
        <f t="shared" si="76"/>
        <v>0</v>
      </c>
      <c r="NB52" s="280" t="e">
        <f t="shared" si="80"/>
        <v>#N/A</v>
      </c>
      <c r="NC52" s="280" t="e">
        <f t="shared" si="81"/>
        <v>#N/A</v>
      </c>
      <c r="ND52" s="280" t="e">
        <f t="shared" si="77"/>
        <v>#N/A</v>
      </c>
      <c r="NE52" s="280" t="e">
        <f t="shared" si="78"/>
        <v>#N/A</v>
      </c>
      <c r="NF52" s="310"/>
      <c r="NG52" s="310"/>
      <c r="NH52" s="310"/>
      <c r="NI52" s="310"/>
      <c r="NJ52" s="310"/>
      <c r="NK52" s="310"/>
      <c r="NL52" s="310"/>
      <c r="NM52" s="310"/>
      <c r="NN52" s="310"/>
      <c r="NO52" s="310"/>
      <c r="NP52" s="310"/>
      <c r="NQ52" s="310"/>
      <c r="NR52" s="310"/>
      <c r="NS52" s="310"/>
      <c r="NT52" s="310"/>
      <c r="NU52" s="310"/>
      <c r="NV52" s="310"/>
      <c r="NW52" s="310"/>
      <c r="NX52" s="310"/>
      <c r="NY52" s="310"/>
      <c r="NZ52" s="310"/>
      <c r="OA52" s="310"/>
      <c r="OB52" s="310"/>
      <c r="OC52" s="310"/>
      <c r="OD52" s="310"/>
      <c r="OE52" s="310"/>
      <c r="OF52" s="310"/>
      <c r="OG52" s="310"/>
      <c r="OH52" s="310"/>
      <c r="OI52" s="310"/>
      <c r="OJ52" s="310"/>
      <c r="OK52" s="310"/>
      <c r="OL52" s="310"/>
      <c r="OM52" s="328" t="str">
        <v>C4</v>
      </c>
      <c r="ON52" s="328">
        <v>1.2999999999999998</v>
      </c>
      <c r="OO52" s="328">
        <v>-0.95</v>
      </c>
      <c r="OP52" s="310"/>
      <c r="OQ52" s="310"/>
      <c r="OR52" s="310"/>
      <c r="OS52" s="310"/>
      <c r="OT52" s="310"/>
      <c r="OU52" s="292" t="e">
        <v>#N/A</v>
      </c>
      <c r="OV52" s="292" t="e">
        <v>#N/A</v>
      </c>
      <c r="OW52" s="310"/>
      <c r="OX52" s="310"/>
      <c r="OY52" s="310"/>
      <c r="OZ52" s="310"/>
      <c r="PA52" s="310"/>
      <c r="PB52" s="310"/>
      <c r="PC52" s="310"/>
      <c r="PD52" s="310"/>
      <c r="PE52" s="292" t="e">
        <v>#N/A</v>
      </c>
      <c r="PF52" s="328" t="e">
        <v>#N/A</v>
      </c>
      <c r="PG52" s="292" t="e">
        <f t="shared" si="84"/>
        <v>#N/A</v>
      </c>
      <c r="PH52" s="310"/>
      <c r="PI52" s="310"/>
      <c r="PJ52" s="310"/>
      <c r="PK52" s="310"/>
      <c r="PL52" s="310"/>
      <c r="PM52" s="310"/>
      <c r="PN52" s="310"/>
      <c r="PO52" s="310"/>
      <c r="PP52" s="310"/>
      <c r="PQ52" s="310"/>
      <c r="PR52" s="310"/>
      <c r="PS52" s="342">
        <v>38</v>
      </c>
      <c r="PT52" s="261" t="e">
        <f t="shared" si="29"/>
        <v>#N/A</v>
      </c>
      <c r="PU52" s="261" t="e">
        <f t="shared" si="30"/>
        <v>#N/A</v>
      </c>
      <c r="PV52" s="310"/>
      <c r="PW52" s="310"/>
      <c r="PX52" s="310"/>
      <c r="PY52" s="310"/>
      <c r="PZ52" s="310"/>
      <c r="QA52" s="310"/>
      <c r="QB52" s="310"/>
      <c r="QC52" s="310"/>
      <c r="QD52" s="310"/>
      <c r="QE52" s="310"/>
      <c r="QF52" s="310"/>
      <c r="QG52" s="310"/>
      <c r="QH52" s="310"/>
      <c r="QI52" s="310"/>
      <c r="QJ52" s="310"/>
      <c r="QK52" s="310"/>
      <c r="QL52" s="310"/>
      <c r="QM52" s="310"/>
      <c r="QN52" s="310"/>
      <c r="QO52" s="310"/>
      <c r="QP52" s="310"/>
      <c r="QQ52" s="310"/>
      <c r="QR52" s="310"/>
      <c r="QS52" s="310"/>
      <c r="QT52" s="310"/>
      <c r="QU52" s="310"/>
      <c r="QV52" s="310"/>
      <c r="QW52" s="310"/>
      <c r="QX52" s="310"/>
      <c r="QY52" s="310"/>
      <c r="QZ52" s="310"/>
      <c r="RA52" s="310"/>
      <c r="RB52" s="310"/>
      <c r="RC52" s="310"/>
      <c r="RD52" s="310"/>
      <c r="RE52" s="310"/>
      <c r="RF52" s="310"/>
      <c r="RG52" s="310"/>
      <c r="RH52" s="310"/>
      <c r="RI52" s="310"/>
      <c r="RJ52" s="310"/>
      <c r="RK52" s="310"/>
      <c r="RL52" s="310"/>
      <c r="RM52" s="310"/>
      <c r="RN52" s="310"/>
      <c r="RO52" s="310"/>
      <c r="RP52" s="310"/>
      <c r="RQ52" s="310"/>
      <c r="RR52" s="310"/>
      <c r="RS52" s="310"/>
      <c r="RT52" s="310"/>
      <c r="RU52" s="310"/>
      <c r="RV52" s="310"/>
      <c r="RW52" s="310"/>
      <c r="RX52" s="310"/>
      <c r="RY52" s="310"/>
      <c r="RZ52" s="310"/>
      <c r="SA52" s="310"/>
      <c r="SB52" s="310"/>
      <c r="SC52" s="310"/>
      <c r="SD52" s="310"/>
      <c r="SE52" s="310"/>
      <c r="SF52" s="310"/>
      <c r="SG52" s="310"/>
      <c r="SH52" s="310"/>
      <c r="SI52" s="310"/>
      <c r="SJ52" s="310"/>
      <c r="SK52" s="310"/>
      <c r="SL52" s="310"/>
      <c r="SM52" s="310"/>
      <c r="SN52" s="310"/>
      <c r="SO52" s="220"/>
      <c r="SP52" s="220"/>
      <c r="SQ52" s="220"/>
      <c r="SR52" s="220"/>
      <c r="SS52" s="220"/>
      <c r="ST52" s="220"/>
      <c r="SU52" s="220"/>
      <c r="SV52" s="220"/>
      <c r="SW52" s="220"/>
      <c r="SX52" s="220"/>
      <c r="SY52" s="220"/>
      <c r="SZ52" s="220"/>
      <c r="TA52" s="220"/>
      <c r="TB52" s="220"/>
      <c r="TC52" s="220"/>
      <c r="TD52" s="220"/>
      <c r="TE52" s="220"/>
      <c r="TF52" s="220"/>
      <c r="TG52" s="220"/>
      <c r="TH52" s="220"/>
      <c r="TI52" s="220"/>
      <c r="TJ52" s="220"/>
      <c r="TK52" s="220"/>
      <c r="TL52" s="220"/>
      <c r="TM52" s="220"/>
      <c r="TN52" s="220"/>
      <c r="TO52" s="220"/>
      <c r="TP52" s="220"/>
      <c r="TQ52" s="220"/>
      <c r="TR52" s="220"/>
      <c r="TS52" s="220"/>
      <c r="TT52" s="220"/>
      <c r="TU52" s="220"/>
      <c r="TV52" s="220"/>
      <c r="TW52" s="220"/>
      <c r="TX52" s="220"/>
      <c r="TY52" s="220"/>
      <c r="TZ52" s="220"/>
      <c r="UA52" s="220"/>
      <c r="UB52" s="220"/>
      <c r="UC52" s="220"/>
      <c r="UD52" s="220"/>
      <c r="UE52" s="220"/>
      <c r="UF52" s="220"/>
      <c r="UG52" s="220"/>
      <c r="UH52" s="220"/>
      <c r="UI52" s="220"/>
      <c r="UJ52" s="220"/>
      <c r="UK52" s="216"/>
      <c r="UL52" s="216"/>
      <c r="UM52" s="216"/>
      <c r="UN52" s="216"/>
      <c r="UO52" s="216"/>
      <c r="UP52" s="216"/>
      <c r="UQ52" s="216"/>
      <c r="UR52" s="216"/>
      <c r="US52" s="216"/>
      <c r="UT52" s="216"/>
      <c r="UU52" s="216"/>
      <c r="UV52" s="216"/>
      <c r="UW52" s="216"/>
      <c r="UX52" s="216"/>
      <c r="UY52" s="216"/>
      <c r="UZ52" s="216"/>
      <c r="VA52" s="216"/>
    </row>
    <row r="53" spans="1:573" s="4" customFormat="1" ht="15" customHeight="1" x14ac:dyDescent="0.25">
      <c r="A53" s="158"/>
      <c r="B53" s="159"/>
      <c r="C53" s="128"/>
      <c r="D53" s="128"/>
      <c r="E53" s="128"/>
      <c r="F53" s="128"/>
      <c r="G53" s="164" t="s">
        <v>291</v>
      </c>
      <c r="H53" s="165"/>
      <c r="I53" s="165"/>
      <c r="J53" s="165"/>
      <c r="K53" s="165"/>
      <c r="L53" s="165"/>
      <c r="M53" s="165"/>
      <c r="N53" s="165"/>
      <c r="O53" s="166"/>
      <c r="P53" s="72"/>
      <c r="Q53" s="50"/>
      <c r="R53" s="50"/>
      <c r="S53" s="50"/>
      <c r="T53" s="167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5"/>
      <c r="AM53" s="45"/>
      <c r="AN53" s="45"/>
      <c r="AO53" s="45"/>
      <c r="AP53" s="310"/>
      <c r="AQ53" s="310"/>
      <c r="AR53" s="310"/>
      <c r="AS53" s="449" t="str">
        <f>"SD-40  "&amp;AT53</f>
        <v>SD-40  DB19</v>
      </c>
      <c r="AT53" s="459" t="str">
        <f>"DB"&amp;TRUNC(AU53,2)</f>
        <v>DB19</v>
      </c>
      <c r="AU53" s="460">
        <v>19</v>
      </c>
      <c r="AV53" s="461">
        <f t="shared" si="101"/>
        <v>2.83385</v>
      </c>
      <c r="AW53" s="310"/>
      <c r="AX53" s="310"/>
      <c r="AY53" s="310"/>
      <c r="AZ53" s="310"/>
      <c r="BA53" s="310"/>
      <c r="BB53" s="310"/>
      <c r="BC53" s="329" t="s">
        <v>82</v>
      </c>
      <c r="BD53" s="329" t="s">
        <v>84</v>
      </c>
      <c r="BE53" s="329"/>
      <c r="BF53" s="329" t="s">
        <v>82</v>
      </c>
      <c r="BG53" s="329" t="s">
        <v>84</v>
      </c>
      <c r="BH53" s="310"/>
      <c r="BI53" s="329" t="s">
        <v>82</v>
      </c>
      <c r="BJ53" s="329" t="s">
        <v>84</v>
      </c>
      <c r="BK53" s="329" t="s">
        <v>82</v>
      </c>
      <c r="BL53" s="329" t="s">
        <v>84</v>
      </c>
      <c r="BM53" s="329" t="s">
        <v>82</v>
      </c>
      <c r="BN53" s="329" t="s">
        <v>84</v>
      </c>
      <c r="BO53" s="328" t="s">
        <v>82</v>
      </c>
      <c r="BP53" s="328" t="s">
        <v>84</v>
      </c>
      <c r="BQ53" s="310"/>
      <c r="BR53" s="310"/>
      <c r="BS53" s="310"/>
      <c r="BT53" s="310"/>
      <c r="BU53" s="310"/>
      <c r="BV53" s="310"/>
      <c r="BW53" s="310"/>
      <c r="BX53" s="310"/>
      <c r="BY53" s="338" t="e">
        <f>BY47-BT7/2</f>
        <v>#N/A</v>
      </c>
      <c r="BZ53" s="338" t="e">
        <f>BZ47+BT7/2</f>
        <v>#N/A</v>
      </c>
      <c r="CA53" s="310"/>
      <c r="CB53" s="310"/>
      <c r="CC53" s="310"/>
      <c r="CD53" s="233" t="e">
        <f>CD52+CE44</f>
        <v>#N/A</v>
      </c>
      <c r="CE53" s="233" t="e">
        <f>CE52</f>
        <v>#N/A</v>
      </c>
      <c r="CF53" s="310"/>
      <c r="CG53" s="310"/>
      <c r="CH53" s="310"/>
      <c r="CI53" s="310"/>
      <c r="CJ53" s="257" t="e">
        <f>CJ49</f>
        <v>#N/A</v>
      </c>
      <c r="CK53" s="257" t="e">
        <f>CK49</f>
        <v>#N/A</v>
      </c>
      <c r="CL53" s="310"/>
      <c r="CM53" s="310"/>
      <c r="CN53" s="338" t="e">
        <f>CN52</f>
        <v>#N/A</v>
      </c>
      <c r="CO53" s="338" t="e">
        <f>CL22</f>
        <v>#N/A</v>
      </c>
      <c r="CP53" s="310"/>
      <c r="CQ53" s="310"/>
      <c r="CR53" s="310"/>
      <c r="CS53" s="310"/>
      <c r="CT53" s="338" t="e">
        <f>IF(CU34=TRUE,CK25,#N/A)</f>
        <v>#N/A</v>
      </c>
      <c r="CU53" s="338" t="e">
        <f>CU52</f>
        <v>#N/A</v>
      </c>
      <c r="CV53" s="328" t="s">
        <v>269</v>
      </c>
      <c r="CW53" s="416" t="e">
        <f>CN30-CK25</f>
        <v>#N/A</v>
      </c>
      <c r="CX53" s="416" t="e">
        <f>IF(CW53&gt;=$BT$7,TRUE,FALSE)</f>
        <v>#N/A</v>
      </c>
      <c r="CY53" s="310"/>
      <c r="CZ53" s="310"/>
      <c r="DA53" s="310"/>
      <c r="DB53" s="310"/>
      <c r="DC53" s="280" t="e">
        <f>IF(DD50=TRUE,IF(DG6=TRUE,DF35+0.009,DC35+0.009),#N/A)</f>
        <v>#N/A</v>
      </c>
      <c r="DD53" s="280" t="e">
        <f>DD52</f>
        <v>#N/A</v>
      </c>
      <c r="DE53" s="310"/>
      <c r="DF53" s="280" t="e">
        <f>DF50</f>
        <v>#N/A</v>
      </c>
      <c r="DG53" s="280" t="e">
        <f t="shared" ref="DG53" si="108">IF(DH53&lt;=$DG$39,DH53,#N/A)</f>
        <v>#N/A</v>
      </c>
      <c r="DH53" s="338">
        <f>DH50+0.2</f>
        <v>0.8</v>
      </c>
      <c r="DI53" s="310"/>
      <c r="DJ53" s="310"/>
      <c r="DK53" s="313">
        <v>45</v>
      </c>
      <c r="DL53" s="282" t="e">
        <f t="shared" si="3"/>
        <v>#N/A</v>
      </c>
      <c r="DM53" s="291" t="e">
        <f t="shared" si="4"/>
        <v>#N/A</v>
      </c>
      <c r="DN53" s="310"/>
      <c r="DO53" s="310"/>
      <c r="DP53" s="310"/>
      <c r="DQ53" s="310"/>
      <c r="DR53" s="310"/>
      <c r="DS53" s="310"/>
      <c r="DT53" s="338"/>
      <c r="DU53" s="338">
        <f>DU52</f>
        <v>-0.5</v>
      </c>
      <c r="DV53" s="338">
        <f>DV46-$BT$7/2</f>
        <v>-0.8</v>
      </c>
      <c r="DW53" s="310"/>
      <c r="DX53" s="310"/>
      <c r="DY53" s="338">
        <f>DY52</f>
        <v>-0.5</v>
      </c>
      <c r="DZ53" s="338">
        <f>DZ46-$BT$7/2</f>
        <v>-0.8</v>
      </c>
      <c r="EA53" s="310"/>
      <c r="EB53" s="310"/>
      <c r="EC53" s="310"/>
      <c r="ED53" s="310" t="e">
        <f>IF(EC48=TRUE,DZ48,#N/A)</f>
        <v>#N/A</v>
      </c>
      <c r="EE53" s="310" t="e">
        <f>IF(EC48=TRUE,DY48,#N/A)</f>
        <v>#N/A</v>
      </c>
      <c r="EF53" s="448" t="e">
        <f>IF(EC48=TRUE,M46,#N/A)</f>
        <v>#N/A</v>
      </c>
      <c r="EG53" s="310"/>
      <c r="EH53" s="310"/>
      <c r="EI53" s="310"/>
      <c r="EJ53" s="310"/>
      <c r="EK53" s="310"/>
      <c r="EL53" s="310"/>
      <c r="EM53" s="310"/>
      <c r="EN53" s="310"/>
      <c r="EO53" s="310"/>
      <c r="EP53" s="310"/>
      <c r="EQ53" s="310"/>
      <c r="ER53" s="310"/>
      <c r="ES53" s="310"/>
      <c r="ET53" s="310"/>
      <c r="EU53" s="310"/>
      <c r="EV53" s="310"/>
      <c r="EW53" s="310"/>
      <c r="EX53" s="310"/>
      <c r="EY53" s="310"/>
      <c r="EZ53" s="310"/>
      <c r="FA53" s="310"/>
      <c r="FB53" s="310"/>
      <c r="FC53" s="310"/>
      <c r="FD53" s="310"/>
      <c r="FE53" s="310"/>
      <c r="FF53" s="310"/>
      <c r="FG53" s="310"/>
      <c r="FH53" s="310"/>
      <c r="FI53" s="310"/>
      <c r="FJ53" s="310"/>
      <c r="FK53" s="310"/>
      <c r="FL53" s="310"/>
      <c r="FM53" s="310"/>
      <c r="FN53" s="310"/>
      <c r="FO53" s="310"/>
      <c r="FP53" s="310"/>
      <c r="FQ53" s="312"/>
      <c r="FR53" s="318" t="e">
        <v>#N/A</v>
      </c>
      <c r="FS53" s="318" t="e">
        <v>#N/A</v>
      </c>
      <c r="FT53" s="318" t="e">
        <v>#N/A</v>
      </c>
      <c r="FU53" s="318" t="e">
        <v>#N/A</v>
      </c>
      <c r="FV53" s="318" t="e">
        <v>#N/A</v>
      </c>
      <c r="FW53" s="318" t="e">
        <v>#N/A</v>
      </c>
      <c r="FX53" s="318" t="e">
        <v>#N/A</v>
      </c>
      <c r="FY53" s="318" t="e">
        <v>#N/A</v>
      </c>
      <c r="FZ53" s="318" t="e">
        <v>#N/A</v>
      </c>
      <c r="GA53" s="318" t="e">
        <v>#N/A</v>
      </c>
      <c r="GB53" s="318" t="e">
        <v>#N/A</v>
      </c>
      <c r="GC53" s="318" t="e">
        <v>#N/A</v>
      </c>
      <c r="GD53" s="310"/>
      <c r="GE53" s="310"/>
      <c r="GF53" s="313" t="e">
        <v>#N/A</v>
      </c>
      <c r="GG53" s="313" t="e">
        <v>#N/A</v>
      </c>
      <c r="GH53" s="313" t="e">
        <v>#N/A</v>
      </c>
      <c r="GI53" s="313" t="e">
        <v>#N/A</v>
      </c>
      <c r="GJ53" s="313" t="e">
        <v>#N/A</v>
      </c>
      <c r="GK53" s="313" t="e">
        <v>#N/A</v>
      </c>
      <c r="GL53" s="313" t="e">
        <v>#N/A</v>
      </c>
      <c r="GM53" s="313" t="e">
        <v>#N/A</v>
      </c>
      <c r="GN53" s="313" t="e">
        <v>#N/A</v>
      </c>
      <c r="GO53" s="328"/>
      <c r="GP53" s="402" t="e">
        <v>#N/A</v>
      </c>
      <c r="GQ53" s="223" t="e">
        <v>#N/A</v>
      </c>
      <c r="GR53" s="223" t="e">
        <v>#N/A</v>
      </c>
      <c r="GS53" s="402"/>
      <c r="GT53" s="338"/>
      <c r="GU53" s="338"/>
      <c r="GV53" s="372"/>
      <c r="GW53" s="338"/>
      <c r="GX53" s="338"/>
      <c r="GY53" s="310"/>
      <c r="GZ53" s="260" t="e">
        <v>#N/A</v>
      </c>
      <c r="HA53" s="260" t="e">
        <v>#N/A</v>
      </c>
      <c r="HB53" s="260" t="e">
        <v>#N/A</v>
      </c>
      <c r="HC53" s="260" t="e">
        <v>#N/A</v>
      </c>
      <c r="HD53" s="310"/>
      <c r="HE53" s="310"/>
      <c r="HF53" s="310"/>
      <c r="HG53" s="224"/>
      <c r="HH53" s="310"/>
      <c r="HI53" s="310"/>
      <c r="HJ53" s="310"/>
      <c r="HK53" s="342">
        <v>39</v>
      </c>
      <c r="HL53" s="235" t="e">
        <f t="shared" si="5"/>
        <v>#N/A</v>
      </c>
      <c r="HM53" s="235" t="e">
        <f t="shared" si="6"/>
        <v>#N/A</v>
      </c>
      <c r="HN53" s="310"/>
      <c r="HO53" s="310"/>
      <c r="HP53" s="235" t="e">
        <f t="shared" si="7"/>
        <v>#N/A</v>
      </c>
      <c r="HQ53" s="235" t="e">
        <f t="shared" si="8"/>
        <v>#N/A</v>
      </c>
      <c r="HR53" s="310"/>
      <c r="HS53" s="310"/>
      <c r="HT53" s="235" t="e">
        <f t="shared" si="9"/>
        <v>#N/A</v>
      </c>
      <c r="HU53" s="235" t="e">
        <f t="shared" si="10"/>
        <v>#N/A</v>
      </c>
      <c r="HV53" s="310"/>
      <c r="HW53" s="310"/>
      <c r="HX53" s="235" t="e">
        <f t="shared" si="11"/>
        <v>#N/A</v>
      </c>
      <c r="HY53" s="235" t="e">
        <f t="shared" si="12"/>
        <v>#N/A</v>
      </c>
      <c r="HZ53" s="310"/>
      <c r="IA53" s="310"/>
      <c r="IB53" s="235" t="e">
        <f t="shared" si="13"/>
        <v>#N/A</v>
      </c>
      <c r="IC53" s="235" t="e">
        <f t="shared" si="14"/>
        <v>#N/A</v>
      </c>
      <c r="ID53" s="310"/>
      <c r="IE53" s="342">
        <v>39</v>
      </c>
      <c r="IF53" s="262" t="e">
        <f t="shared" si="15"/>
        <v>#N/A</v>
      </c>
      <c r="IG53" s="262" t="e">
        <f t="shared" si="16"/>
        <v>#N/A</v>
      </c>
      <c r="IH53" s="390"/>
      <c r="II53" s="390"/>
      <c r="IJ53" s="262" t="e">
        <f t="shared" si="17"/>
        <v>#N/A</v>
      </c>
      <c r="IK53" s="262" t="e">
        <f t="shared" si="18"/>
        <v>#N/A</v>
      </c>
      <c r="IL53" s="390"/>
      <c r="IM53" s="390"/>
      <c r="IN53" s="262" t="e">
        <f t="shared" si="19"/>
        <v>#N/A</v>
      </c>
      <c r="IO53" s="262" t="e">
        <f t="shared" si="20"/>
        <v>#N/A</v>
      </c>
      <c r="IP53" s="390"/>
      <c r="IQ53" s="390"/>
      <c r="IR53" s="262" t="e">
        <f t="shared" si="21"/>
        <v>#N/A</v>
      </c>
      <c r="IS53" s="262" t="e">
        <f t="shared" si="22"/>
        <v>#N/A</v>
      </c>
      <c r="IT53" s="390"/>
      <c r="IU53" s="390"/>
      <c r="IV53" s="262" t="e">
        <f t="shared" si="23"/>
        <v>#N/A</v>
      </c>
      <c r="IW53" s="262" t="e">
        <f t="shared" si="24"/>
        <v>#N/A</v>
      </c>
      <c r="IX53" s="310"/>
      <c r="IY53" s="342" t="s">
        <v>355</v>
      </c>
      <c r="IZ53" s="342" t="s">
        <v>48</v>
      </c>
      <c r="JA53" s="353" t="s">
        <v>49</v>
      </c>
      <c r="JB53" s="313" t="s">
        <v>144</v>
      </c>
      <c r="JC53" s="236" t="e">
        <f>IZ54+($IZ$10/2)-$IZ$9</f>
        <v>#N/A</v>
      </c>
      <c r="JD53" s="236" t="e">
        <f>JD52</f>
        <v>#N/A</v>
      </c>
      <c r="JE53" s="310"/>
      <c r="JF53" s="342" t="s">
        <v>355</v>
      </c>
      <c r="JG53" s="342" t="s">
        <v>48</v>
      </c>
      <c r="JH53" s="353" t="s">
        <v>49</v>
      </c>
      <c r="JI53" s="313" t="s">
        <v>144</v>
      </c>
      <c r="JJ53" s="263" t="e">
        <f>JG54+($IZ$10/2)-$IZ$9</f>
        <v>#N/A</v>
      </c>
      <c r="JK53" s="263" t="e">
        <f>JK52</f>
        <v>#N/A</v>
      </c>
      <c r="JL53" s="310"/>
      <c r="JM53" s="310"/>
      <c r="JN53" s="261" t="e">
        <f t="shared" si="25"/>
        <v>#N/A</v>
      </c>
      <c r="JO53" s="261" t="e">
        <f t="shared" si="26"/>
        <v>#N/A</v>
      </c>
      <c r="JP53" s="310"/>
      <c r="JQ53" s="310"/>
      <c r="JR53" s="261" t="e">
        <f t="shared" si="31"/>
        <v>#N/A</v>
      </c>
      <c r="JS53" s="261" t="e">
        <f t="shared" si="32"/>
        <v>#N/A</v>
      </c>
      <c r="JT53" s="310"/>
      <c r="JU53" s="310"/>
      <c r="JV53" s="261" t="e">
        <f t="shared" si="27"/>
        <v>#N/A</v>
      </c>
      <c r="JW53" s="261" t="e">
        <f t="shared" si="28"/>
        <v>#N/A</v>
      </c>
      <c r="JX53" s="310"/>
      <c r="JY53" s="310"/>
      <c r="JZ53" s="310"/>
      <c r="KA53" s="310"/>
      <c r="KB53" s="313" t="s">
        <v>326</v>
      </c>
      <c r="KC53" s="242" t="e">
        <f>KC47</f>
        <v>#N/A</v>
      </c>
      <c r="KD53" s="242" t="e">
        <f>KD47</f>
        <v>#N/A</v>
      </c>
      <c r="KE53" s="310"/>
      <c r="KF53" s="310"/>
      <c r="KG53" s="310"/>
      <c r="KH53" s="310"/>
      <c r="KI53" s="310"/>
      <c r="KJ53" s="310"/>
      <c r="KK53" s="310"/>
      <c r="KL53" s="310"/>
      <c r="KM53" s="310"/>
      <c r="KN53" s="267" t="e">
        <v>#N/A</v>
      </c>
      <c r="KO53" s="267" t="e">
        <v>#N/A</v>
      </c>
      <c r="KP53" s="328"/>
      <c r="KQ53" s="328"/>
      <c r="KR53" s="328"/>
      <c r="KS53" s="310"/>
      <c r="KT53" s="267" t="e">
        <v>#N/A</v>
      </c>
      <c r="KU53" s="267" t="e">
        <v>#N/A</v>
      </c>
      <c r="KV53" s="338"/>
      <c r="KW53" s="338"/>
      <c r="KX53" s="389"/>
      <c r="KY53" s="310"/>
      <c r="KZ53" s="310"/>
      <c r="LA53" s="310"/>
      <c r="LB53" s="328">
        <v>0</v>
      </c>
      <c r="LC53" s="391" t="e">
        <v>#N/A</v>
      </c>
      <c r="LD53" s="391" t="e">
        <v>#N/A</v>
      </c>
      <c r="LE53" s="310"/>
      <c r="LF53" s="310"/>
      <c r="LG53" s="310"/>
      <c r="LH53" s="463" t="e">
        <f>LH52</f>
        <v>#N/A</v>
      </c>
      <c r="LI53" s="463" t="e">
        <f>LD61</f>
        <v>#N/A</v>
      </c>
      <c r="LJ53" s="463" t="e">
        <f>LJ52</f>
        <v>#N/A</v>
      </c>
      <c r="LK53" s="463" t="e">
        <f>LI59-(LI59-LI60)/2</f>
        <v>#N/A</v>
      </c>
      <c r="LL53" s="463" t="e">
        <f>LI59-LI60</f>
        <v>#N/A</v>
      </c>
      <c r="LM53" s="310"/>
      <c r="LN53" s="310"/>
      <c r="LO53" s="347" t="e">
        <f>LO52</f>
        <v>#N/A</v>
      </c>
      <c r="LP53" s="347" t="e">
        <f>LD64</f>
        <v>#N/A</v>
      </c>
      <c r="LQ53" s="368" t="e">
        <f>LQ52</f>
        <v>#N/A</v>
      </c>
      <c r="LR53" s="318" t="e">
        <f>LP59-(LP59-LP60)/2</f>
        <v>#N/A</v>
      </c>
      <c r="LS53" s="347" t="e">
        <f>LP59-LP60</f>
        <v>#N/A</v>
      </c>
      <c r="LT53" s="310"/>
      <c r="LU53" s="310"/>
      <c r="LV53" s="347" t="e">
        <f>LC61</f>
        <v>#N/A</v>
      </c>
      <c r="LW53" s="347" t="e">
        <f>LW52</f>
        <v>#N/A</v>
      </c>
      <c r="LX53" s="318" t="e">
        <f>LV59+(LV60-LV59)/2</f>
        <v>#N/A</v>
      </c>
      <c r="LY53" s="368" t="e">
        <f>LY52</f>
        <v>#N/A</v>
      </c>
      <c r="LZ53" s="347" t="e">
        <f>LV60-LV59</f>
        <v>#N/A</v>
      </c>
      <c r="MA53" s="310"/>
      <c r="MB53" s="310"/>
      <c r="MC53" s="347" t="e">
        <f>LC58</f>
        <v>#N/A</v>
      </c>
      <c r="MD53" s="347" t="e">
        <f>MD52</f>
        <v>#N/A</v>
      </c>
      <c r="ME53" s="313" t="e">
        <f>MC59+(MC60-MC59)/2</f>
        <v>#N/A</v>
      </c>
      <c r="MF53" s="347" t="e">
        <f>MF52</f>
        <v>#N/A</v>
      </c>
      <c r="MG53" s="347" t="e">
        <f>MC60-MC59</f>
        <v>#N/A</v>
      </c>
      <c r="MH53" s="310"/>
      <c r="MI53" s="310"/>
      <c r="MJ53" s="238" t="e">
        <v>#N/A</v>
      </c>
      <c r="MK53" s="238" t="e">
        <v>#N/A</v>
      </c>
      <c r="ML53" s="236" t="e">
        <v>#N/A</v>
      </c>
      <c r="MM53" s="236" t="e">
        <v>#N/A</v>
      </c>
      <c r="MN53" s="347"/>
      <c r="MO53" s="310"/>
      <c r="MP53" s="311" t="e">
        <v>#N/A</v>
      </c>
      <c r="MQ53" s="311" t="e">
        <v>#N/A</v>
      </c>
      <c r="MR53" s="311" t="e">
        <v>#N/A</v>
      </c>
      <c r="MS53" s="311" t="e">
        <v>#N/A</v>
      </c>
      <c r="MT53" s="310"/>
      <c r="MU53" s="310" t="s">
        <v>484</v>
      </c>
      <c r="MV53" s="310"/>
      <c r="MW53" s="310" t="s">
        <v>485</v>
      </c>
      <c r="MX53" s="310"/>
      <c r="MY53" s="310"/>
      <c r="MZ53" s="328">
        <v>20</v>
      </c>
      <c r="NA53" s="372" t="b">
        <f t="shared" si="76"/>
        <v>0</v>
      </c>
      <c r="NB53" s="280" t="e">
        <f t="shared" si="80"/>
        <v>#N/A</v>
      </c>
      <c r="NC53" s="280" t="e">
        <f t="shared" si="81"/>
        <v>#N/A</v>
      </c>
      <c r="ND53" s="280" t="e">
        <f t="shared" si="77"/>
        <v>#N/A</v>
      </c>
      <c r="NE53" s="280" t="e">
        <f t="shared" si="78"/>
        <v>#N/A</v>
      </c>
      <c r="NF53" s="310"/>
      <c r="NG53" s="310"/>
      <c r="NH53" s="310"/>
      <c r="NI53" s="310"/>
      <c r="NJ53" s="310"/>
      <c r="NK53" s="310"/>
      <c r="NL53" s="310"/>
      <c r="NM53" s="310"/>
      <c r="NN53" s="310"/>
      <c r="NO53" s="310"/>
      <c r="NP53" s="310"/>
      <c r="NQ53" s="310"/>
      <c r="NR53" s="310"/>
      <c r="NS53" s="310"/>
      <c r="NT53" s="310"/>
      <c r="NU53" s="310"/>
      <c r="NV53" s="310"/>
      <c r="NW53" s="310"/>
      <c r="NX53" s="310"/>
      <c r="NY53" s="310"/>
      <c r="NZ53" s="310"/>
      <c r="OA53" s="310"/>
      <c r="OB53" s="310"/>
      <c r="OC53" s="310"/>
      <c r="OD53" s="310"/>
      <c r="OE53" s="310"/>
      <c r="OF53" s="310"/>
      <c r="OG53" s="310"/>
      <c r="OH53" s="310"/>
      <c r="OI53" s="310"/>
      <c r="OJ53" s="310"/>
      <c r="OK53" s="310"/>
      <c r="OL53" s="310"/>
      <c r="OM53" s="328" t="str">
        <v>C5</v>
      </c>
      <c r="ON53" s="328" t="e">
        <v>#N/A</v>
      </c>
      <c r="OO53" s="328" t="e">
        <v>#N/A</v>
      </c>
      <c r="OP53" s="310"/>
      <c r="OQ53" s="310"/>
      <c r="OR53" s="310"/>
      <c r="OS53" s="310"/>
      <c r="OT53" s="310"/>
      <c r="OU53" s="281" t="e">
        <f>IF(OT9=TRUE,OU34+(OU35-OU34)/2,#N/A)</f>
        <v>#N/A</v>
      </c>
      <c r="OV53" s="281" t="e">
        <f>IF(OT9=TRUE,OV17,#N/A)</f>
        <v>#N/A</v>
      </c>
      <c r="OW53" s="310"/>
      <c r="OX53" s="310"/>
      <c r="OY53" s="310"/>
      <c r="OZ53" s="310"/>
      <c r="PA53" s="310"/>
      <c r="PB53" s="310"/>
      <c r="PC53" s="310"/>
      <c r="PD53" s="310"/>
      <c r="PE53" s="310"/>
      <c r="PF53" s="310"/>
      <c r="PG53" s="310"/>
      <c r="PH53" s="310"/>
      <c r="PI53" s="310"/>
      <c r="PJ53" s="310"/>
      <c r="PK53" s="310"/>
      <c r="PL53" s="310"/>
      <c r="PM53" s="310"/>
      <c r="PN53" s="310"/>
      <c r="PO53" s="310"/>
      <c r="PP53" s="310"/>
      <c r="PQ53" s="310"/>
      <c r="PR53" s="310"/>
      <c r="PS53" s="342">
        <v>39</v>
      </c>
      <c r="PT53" s="261" t="e">
        <f t="shared" si="29"/>
        <v>#N/A</v>
      </c>
      <c r="PU53" s="261" t="e">
        <f t="shared" si="30"/>
        <v>#N/A</v>
      </c>
      <c r="PV53" s="310"/>
      <c r="PW53" s="310"/>
      <c r="PX53" s="310"/>
      <c r="PY53" s="310"/>
      <c r="PZ53" s="310"/>
      <c r="QA53" s="310"/>
      <c r="QB53" s="310"/>
      <c r="QC53" s="310"/>
      <c r="QD53" s="310"/>
      <c r="QE53" s="310"/>
      <c r="QF53" s="310"/>
      <c r="QG53" s="310"/>
      <c r="QH53" s="310"/>
      <c r="QI53" s="310"/>
      <c r="QJ53" s="310"/>
      <c r="QK53" s="310"/>
      <c r="QL53" s="310"/>
      <c r="QM53" s="310"/>
      <c r="QN53" s="310"/>
      <c r="QO53" s="310"/>
      <c r="QP53" s="310"/>
      <c r="QQ53" s="310"/>
      <c r="QR53" s="310"/>
      <c r="QS53" s="310"/>
      <c r="QT53" s="310"/>
      <c r="QU53" s="310"/>
      <c r="QV53" s="310"/>
      <c r="QW53" s="310"/>
      <c r="QX53" s="310"/>
      <c r="QY53" s="310"/>
      <c r="QZ53" s="310"/>
      <c r="RA53" s="310"/>
      <c r="RB53" s="310"/>
      <c r="RC53" s="310"/>
      <c r="RD53" s="310"/>
      <c r="RE53" s="310"/>
      <c r="RF53" s="310"/>
      <c r="RG53" s="310"/>
      <c r="RH53" s="310"/>
      <c r="RI53" s="310"/>
      <c r="RJ53" s="310"/>
      <c r="RK53" s="310"/>
      <c r="RL53" s="310"/>
      <c r="RM53" s="310"/>
      <c r="RN53" s="310"/>
      <c r="RO53" s="310"/>
      <c r="RP53" s="310"/>
      <c r="RQ53" s="310"/>
      <c r="RR53" s="310"/>
      <c r="RS53" s="310"/>
      <c r="RT53" s="310"/>
      <c r="RU53" s="310"/>
      <c r="RV53" s="310"/>
      <c r="RW53" s="310"/>
      <c r="RX53" s="310"/>
      <c r="RY53" s="310"/>
      <c r="RZ53" s="310"/>
      <c r="SA53" s="310"/>
      <c r="SB53" s="310"/>
      <c r="SC53" s="310"/>
      <c r="SD53" s="310"/>
      <c r="SE53" s="310"/>
      <c r="SF53" s="310"/>
      <c r="SG53" s="310"/>
      <c r="SH53" s="310"/>
      <c r="SI53" s="310"/>
      <c r="SJ53" s="310"/>
      <c r="SK53" s="310"/>
      <c r="SL53" s="310"/>
      <c r="SM53" s="310"/>
      <c r="SN53" s="310"/>
      <c r="SO53" s="220"/>
      <c r="SP53" s="220"/>
      <c r="SQ53" s="220"/>
      <c r="SR53" s="220"/>
      <c r="SS53" s="220"/>
      <c r="ST53" s="220"/>
      <c r="SU53" s="220"/>
      <c r="SV53" s="220"/>
      <c r="SW53" s="220"/>
      <c r="SX53" s="220"/>
      <c r="SY53" s="220"/>
      <c r="SZ53" s="220"/>
      <c r="TA53" s="220"/>
      <c r="TB53" s="220"/>
      <c r="TC53" s="220"/>
      <c r="TD53" s="220"/>
      <c r="TE53" s="220"/>
      <c r="TF53" s="220"/>
      <c r="TG53" s="220"/>
      <c r="TH53" s="220"/>
      <c r="TI53" s="220"/>
      <c r="TJ53" s="220"/>
      <c r="TK53" s="220"/>
      <c r="TL53" s="220"/>
      <c r="TM53" s="220"/>
      <c r="TN53" s="220"/>
      <c r="TO53" s="220"/>
      <c r="TP53" s="220"/>
      <c r="TQ53" s="220"/>
      <c r="TR53" s="220"/>
      <c r="TS53" s="220"/>
      <c r="TT53" s="220"/>
      <c r="TU53" s="220"/>
      <c r="TV53" s="220"/>
      <c r="TW53" s="220"/>
      <c r="TX53" s="220"/>
      <c r="TY53" s="220"/>
      <c r="TZ53" s="220"/>
      <c r="UA53" s="220"/>
      <c r="UB53" s="220"/>
      <c r="UC53" s="220"/>
      <c r="UD53" s="220"/>
      <c r="UE53" s="220"/>
      <c r="UF53" s="220"/>
      <c r="UG53" s="220"/>
      <c r="UH53" s="220"/>
      <c r="UI53" s="220"/>
      <c r="UJ53" s="220"/>
      <c r="UK53" s="216"/>
      <c r="UL53" s="216"/>
      <c r="UM53" s="216"/>
      <c r="UN53" s="216"/>
      <c r="UO53" s="216"/>
      <c r="UP53" s="216"/>
      <c r="UQ53" s="216"/>
      <c r="UR53" s="216"/>
      <c r="US53" s="216"/>
      <c r="UT53" s="216"/>
      <c r="UU53" s="216"/>
      <c r="UV53" s="216"/>
      <c r="UW53" s="216"/>
      <c r="UX53" s="216"/>
      <c r="UY53" s="216"/>
      <c r="UZ53" s="216"/>
      <c r="VA53" s="216"/>
    </row>
    <row r="54" spans="1:573" s="4" customFormat="1" ht="15" customHeight="1" x14ac:dyDescent="0.25">
      <c r="A54" s="168"/>
      <c r="B54" s="16"/>
      <c r="C54" s="16"/>
      <c r="D54" s="16"/>
      <c r="E54" s="16"/>
      <c r="F54" s="16"/>
      <c r="G54" s="724" t="s">
        <v>248</v>
      </c>
      <c r="H54" s="725"/>
      <c r="I54" s="169" t="s">
        <v>472</v>
      </c>
      <c r="J54" s="698" t="s">
        <v>154</v>
      </c>
      <c r="K54" s="699"/>
      <c r="L54" s="169" t="s">
        <v>113</v>
      </c>
      <c r="M54" s="661" t="s">
        <v>155</v>
      </c>
      <c r="N54" s="661"/>
      <c r="O54" s="661"/>
      <c r="P54" s="72"/>
      <c r="Q54" s="50"/>
      <c r="R54" s="50"/>
      <c r="S54" s="50"/>
      <c r="T54" s="167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5"/>
      <c r="AM54" s="45"/>
      <c r="AN54" s="45"/>
      <c r="AO54" s="45"/>
      <c r="AP54" s="310"/>
      <c r="AQ54" s="310"/>
      <c r="AR54" s="310"/>
      <c r="AS54" s="449" t="str">
        <f>"SD-40  "&amp;AT54</f>
        <v>SD-40  DB20</v>
      </c>
      <c r="AT54" s="459" t="str">
        <f>"DB"&amp;TRUNC(AU54,2)</f>
        <v>DB20</v>
      </c>
      <c r="AU54" s="460">
        <v>20</v>
      </c>
      <c r="AV54" s="461">
        <f t="shared" si="101"/>
        <v>3.14</v>
      </c>
      <c r="AW54" s="310"/>
      <c r="AX54" s="310"/>
      <c r="AY54" s="310"/>
      <c r="AZ54" s="310"/>
      <c r="BA54" s="310"/>
      <c r="BB54" s="329" t="s">
        <v>106</v>
      </c>
      <c r="BC54" s="387" t="e">
        <f>BU34</f>
        <v>#N/A</v>
      </c>
      <c r="BD54" s="462" t="e">
        <f>BV34</f>
        <v>#N/A</v>
      </c>
      <c r="BE54" s="462"/>
      <c r="BF54" s="338" t="e">
        <f>IF(AY15=TRUE,BZ47,BZ51)</f>
        <v>#N/A</v>
      </c>
      <c r="BG54" s="338" t="e">
        <f>IF(AY15=TRUE,BY47,BY50)</f>
        <v>#N/A</v>
      </c>
      <c r="BH54" s="310"/>
      <c r="BI54" s="223" t="e" cm="1">
        <f t="array" ref="BI54:BI56">FE19:FE21</f>
        <v>#N/A</v>
      </c>
      <c r="BJ54" s="223" t="e" cm="1">
        <f t="array" ref="BJ54:BJ56">FD19:FD21</f>
        <v>#N/A</v>
      </c>
      <c r="BK54" s="338">
        <f>DV46</f>
        <v>-0.65</v>
      </c>
      <c r="BL54" s="338">
        <f t="shared" ref="BL54:BM57" si="109">DU46</f>
        <v>-0.65</v>
      </c>
      <c r="BM54" s="338">
        <f t="shared" si="109"/>
        <v>-0.65</v>
      </c>
      <c r="BN54" s="338">
        <f>DU46</f>
        <v>-0.65</v>
      </c>
      <c r="BO54" s="338" cm="1">
        <f t="array" ref="BO54:BP58">CHOOSE(MATCH(VALUE(BK6),{1,2,3,4,5},0),
BC54:BD54,
BF54:BG55,
BI54:BJ56,
BK54:BL57,
BM54:BN58)</f>
        <v>-0.65</v>
      </c>
      <c r="BP54" s="338">
        <v>-0.65</v>
      </c>
      <c r="BQ54" s="338"/>
      <c r="BR54" s="338"/>
      <c r="BS54" s="310" t="e">
        <v>#N/A</v>
      </c>
      <c r="BT54" s="310" t="e">
        <v>#N/A</v>
      </c>
      <c r="BU54" s="310"/>
      <c r="BV54" s="310"/>
      <c r="BW54" s="310"/>
      <c r="BX54" s="310"/>
      <c r="BY54" s="338" t="e">
        <f>BY47+BT7/2</f>
        <v>#N/A</v>
      </c>
      <c r="BZ54" s="338" t="e">
        <f>BZ53</f>
        <v>#N/A</v>
      </c>
      <c r="CA54" s="310"/>
      <c r="CB54" s="310"/>
      <c r="CC54" s="310"/>
      <c r="CD54" s="233" t="e">
        <f>CD53</f>
        <v>#N/A</v>
      </c>
      <c r="CE54" s="233" t="e">
        <f>CC49</f>
        <v>#N/A</v>
      </c>
      <c r="CF54" s="310"/>
      <c r="CG54" s="310"/>
      <c r="CH54" s="310"/>
      <c r="CI54" s="310"/>
      <c r="CJ54" s="676" t="s">
        <v>228</v>
      </c>
      <c r="CK54" s="676"/>
      <c r="CL54" s="310"/>
      <c r="CM54" s="310"/>
      <c r="CN54" s="338" t="e">
        <f>CK22</f>
        <v>#N/A</v>
      </c>
      <c r="CO54" s="338" t="e">
        <f>CL22</f>
        <v>#N/A</v>
      </c>
      <c r="CP54" s="310" t="s">
        <v>272</v>
      </c>
      <c r="CQ54" s="310"/>
      <c r="CR54" s="310"/>
      <c r="CS54" s="310"/>
      <c r="CT54" s="338" t="e">
        <f>IF(CU34=TRUE,CK25,#N/A)</f>
        <v>#N/A</v>
      </c>
      <c r="CU54" s="338" t="e">
        <f>IF(CU34=TRUE,CL25,#N/A)</f>
        <v>#N/A</v>
      </c>
      <c r="CV54" s="310"/>
      <c r="CW54" s="310"/>
      <c r="CX54" s="310"/>
      <c r="CY54" s="310"/>
      <c r="CZ54" s="310"/>
      <c r="DA54" s="310"/>
      <c r="DB54" s="310"/>
      <c r="DC54" s="280" t="e">
        <v>#N/A</v>
      </c>
      <c r="DD54" s="280" t="e">
        <v>#N/A</v>
      </c>
      <c r="DE54" s="310"/>
      <c r="DF54" s="280" t="e">
        <f>DF51</f>
        <v>#N/A</v>
      </c>
      <c r="DG54" s="280" t="e">
        <f t="shared" ref="DG54" si="110">DG53</f>
        <v>#N/A</v>
      </c>
      <c r="DH54" s="338">
        <f>DH53</f>
        <v>0.8</v>
      </c>
      <c r="DI54" s="310"/>
      <c r="DJ54" s="310"/>
      <c r="DK54" s="313">
        <v>46</v>
      </c>
      <c r="DL54" s="282" t="e">
        <f t="shared" si="3"/>
        <v>#N/A</v>
      </c>
      <c r="DM54" s="291" t="e">
        <f t="shared" si="4"/>
        <v>#N/A</v>
      </c>
      <c r="DN54" s="310"/>
      <c r="DO54" s="310"/>
      <c r="DP54" s="310"/>
      <c r="DQ54" s="310"/>
      <c r="DR54" s="310"/>
      <c r="DS54" s="310"/>
      <c r="DT54" s="338"/>
      <c r="DU54" s="338">
        <f>DU51</f>
        <v>-0.8</v>
      </c>
      <c r="DV54" s="338">
        <f>DV53</f>
        <v>-0.8</v>
      </c>
      <c r="DW54" s="310"/>
      <c r="DX54" s="310"/>
      <c r="DY54" s="338">
        <f>DY51</f>
        <v>-0.8</v>
      </c>
      <c r="DZ54" s="338">
        <f>DZ53</f>
        <v>-0.8</v>
      </c>
      <c r="EA54" s="310"/>
      <c r="EB54" s="310"/>
      <c r="EC54" s="310"/>
      <c r="ED54" s="310" t="e">
        <f>IF(EC49=TRUE,DZ49,#N/A)</f>
        <v>#N/A</v>
      </c>
      <c r="EE54" s="310" t="e">
        <f>IF(EC49=TRUE,DY49,#N/A)</f>
        <v>#N/A</v>
      </c>
      <c r="EF54" s="448" t="e">
        <f>IF(EC49=TRUE,M47,#N/A)</f>
        <v>#N/A</v>
      </c>
      <c r="EG54" s="310"/>
      <c r="EH54" s="310"/>
      <c r="EI54" s="310"/>
      <c r="EJ54" s="310"/>
      <c r="EK54" s="310"/>
      <c r="EL54" s="310"/>
      <c r="EM54" s="310"/>
      <c r="EN54" s="310"/>
      <c r="EO54" s="310"/>
      <c r="EP54" s="310"/>
      <c r="EQ54" s="310"/>
      <c r="ER54" s="310"/>
      <c r="ES54" s="310"/>
      <c r="ET54" s="310"/>
      <c r="EU54" s="310"/>
      <c r="EV54" s="310"/>
      <c r="EW54" s="310"/>
      <c r="EX54" s="310"/>
      <c r="EY54" s="310"/>
      <c r="EZ54" s="310"/>
      <c r="FA54" s="310"/>
      <c r="FB54" s="310"/>
      <c r="FC54" s="310"/>
      <c r="FD54" s="310"/>
      <c r="FE54" s="310"/>
      <c r="FF54" s="310"/>
      <c r="FG54" s="310"/>
      <c r="FH54" s="310"/>
      <c r="FI54" s="310"/>
      <c r="FJ54" s="310"/>
      <c r="FK54" s="310"/>
      <c r="FL54" s="310"/>
      <c r="FM54" s="310"/>
      <c r="FN54" s="310"/>
      <c r="FO54" s="310"/>
      <c r="FP54" s="310"/>
      <c r="FQ54" s="313" t="s">
        <v>335</v>
      </c>
      <c r="FR54" s="318">
        <f t="shared" ref="FR54:GA54" si="111">FR52</f>
        <v>1.2999999999999998</v>
      </c>
      <c r="FS54" s="318">
        <f t="shared" si="111"/>
        <v>-0.95</v>
      </c>
      <c r="FT54" s="318">
        <f t="shared" si="111"/>
        <v>1.2999999999999998</v>
      </c>
      <c r="FU54" s="318">
        <f t="shared" si="111"/>
        <v>-0.95</v>
      </c>
      <c r="FV54" s="318">
        <f t="shared" si="111"/>
        <v>1.2999999999999998</v>
      </c>
      <c r="FW54" s="318">
        <f t="shared" si="111"/>
        <v>-0.95</v>
      </c>
      <c r="FX54" s="318">
        <f t="shared" si="111"/>
        <v>1.2999999999999998</v>
      </c>
      <c r="FY54" s="318">
        <f t="shared" si="111"/>
        <v>-0.95</v>
      </c>
      <c r="FZ54" s="318">
        <f t="shared" si="111"/>
        <v>0.95</v>
      </c>
      <c r="GA54" s="318">
        <f t="shared" si="111"/>
        <v>-0.95</v>
      </c>
      <c r="GB54" s="318">
        <v>0.95</v>
      </c>
      <c r="GC54" s="318">
        <v>-0.95</v>
      </c>
      <c r="GD54" s="310"/>
      <c r="GE54" s="535" t="s">
        <v>110</v>
      </c>
      <c r="GF54" s="328" t="s">
        <v>332</v>
      </c>
      <c r="GG54" s="328" t="s">
        <v>333</v>
      </c>
      <c r="GH54" s="328" t="s">
        <v>333</v>
      </c>
      <c r="GI54" s="328" t="str">
        <f t="shared" ref="GI54:GI55" si="112">IF($AX$14=1,GG54,GH54)</f>
        <v>C2</v>
      </c>
      <c r="GJ54" s="328" t="s">
        <v>333</v>
      </c>
      <c r="GK54" s="328" t="s">
        <v>336</v>
      </c>
      <c r="GL54" s="328" t="s">
        <v>332</v>
      </c>
      <c r="GM54" s="328" t="s">
        <v>333</v>
      </c>
      <c r="GN54" s="328" t="s">
        <v>332</v>
      </c>
      <c r="GO54" s="328"/>
      <c r="GP54" s="402" t="str">
        <v>C2</v>
      </c>
      <c r="GQ54" s="223">
        <f t="shared" ref="GQ54:GQ55" si="113">INDEX($GP$25:$GP$30,MATCH(GP54,$GF$25:$GF$30,0))</f>
        <v>-1.2999999999999998</v>
      </c>
      <c r="GR54" s="223">
        <f t="shared" ref="GR54:GR55" si="114">INDEX($GQ$25:$GQ$30,MATCH(GP54,$GF$25:$GF$30,0))</f>
        <v>0.95</v>
      </c>
      <c r="GS54" s="445">
        <f>MIN(GQ54:GQ55)</f>
        <v>-1.2999999999999998</v>
      </c>
      <c r="GT54" s="531" t="s">
        <v>110</v>
      </c>
      <c r="GU54" s="531">
        <f>_xlfn.AGGREGATE(5,6,BC75:BC82)</f>
        <v>-1</v>
      </c>
      <c r="GV54" s="536">
        <f>ABS(GS54)-ABS(GU54)</f>
        <v>0.29999999999999982</v>
      </c>
      <c r="GW54" s="533" t="b">
        <f>IF(HE54&gt;=IF(BK6=1,0.5*BT7,BT7),TRUE,FALSE)</f>
        <v>1</v>
      </c>
      <c r="GX54" s="531" t="b">
        <f>IF(GW54=FALSE,TRUE,FALSE)</f>
        <v>0</v>
      </c>
      <c r="GY54" s="533">
        <f>GV54-$J$16</f>
        <v>0</v>
      </c>
      <c r="GZ54" s="242">
        <f>IF(HE54=TRUE,GQ54,#N/A)</f>
        <v>-1.2999999999999998</v>
      </c>
      <c r="HA54" s="242">
        <f>IF(HE54=TRUE,GR54,#N/A)</f>
        <v>0.95</v>
      </c>
      <c r="HB54" s="242" t="e">
        <f>IF(HF54=TRUE,GQ54,#N/A)</f>
        <v>#N/A</v>
      </c>
      <c r="HC54" s="242" t="e">
        <f>IF(HF54=TRUE,GR54,#N/A)</f>
        <v>#N/A</v>
      </c>
      <c r="HD54" s="310"/>
      <c r="HE54" s="531" t="b">
        <f>IF(HG54&gt;=BT7,TRUE,FALSE)</f>
        <v>1</v>
      </c>
      <c r="HF54" s="532" t="b">
        <f>IF(HE54=FALSE,TRUE,FALSE)</f>
        <v>0</v>
      </c>
      <c r="HG54" s="523">
        <f>IF(CP13=TRUE,ABS(GV54),"")</f>
        <v>0.29999999999999982</v>
      </c>
      <c r="HH54" s="310" t="str">
        <f>IF(HF54=TRUE,"LEFT +"&amp;TEXT(BT7-HG54,"0.00")&amp;"m,","")</f>
        <v/>
      </c>
      <c r="HI54" s="310"/>
      <c r="HJ54" s="310"/>
      <c r="HK54" s="342">
        <v>40</v>
      </c>
      <c r="HL54" s="235" t="e">
        <f t="shared" si="5"/>
        <v>#N/A</v>
      </c>
      <c r="HM54" s="235" t="e">
        <f t="shared" si="6"/>
        <v>#N/A</v>
      </c>
      <c r="HN54" s="310"/>
      <c r="HO54" s="310"/>
      <c r="HP54" s="235" t="e">
        <f t="shared" si="7"/>
        <v>#N/A</v>
      </c>
      <c r="HQ54" s="235" t="e">
        <f t="shared" si="8"/>
        <v>#N/A</v>
      </c>
      <c r="HR54" s="310"/>
      <c r="HS54" s="310"/>
      <c r="HT54" s="235" t="e">
        <f t="shared" si="9"/>
        <v>#N/A</v>
      </c>
      <c r="HU54" s="235" t="e">
        <f t="shared" si="10"/>
        <v>#N/A</v>
      </c>
      <c r="HV54" s="310"/>
      <c r="HW54" s="310"/>
      <c r="HX54" s="235" t="e">
        <f t="shared" si="11"/>
        <v>#N/A</v>
      </c>
      <c r="HY54" s="235" t="e">
        <f t="shared" si="12"/>
        <v>#N/A</v>
      </c>
      <c r="HZ54" s="310"/>
      <c r="IA54" s="310"/>
      <c r="IB54" s="235" t="e">
        <f t="shared" si="13"/>
        <v>#N/A</v>
      </c>
      <c r="IC54" s="235" t="e">
        <f t="shared" si="14"/>
        <v>#N/A</v>
      </c>
      <c r="ID54" s="310"/>
      <c r="IE54" s="342">
        <v>40</v>
      </c>
      <c r="IF54" s="262" t="e">
        <f t="shared" si="15"/>
        <v>#N/A</v>
      </c>
      <c r="IG54" s="262" t="e">
        <f t="shared" si="16"/>
        <v>#N/A</v>
      </c>
      <c r="IH54" s="390"/>
      <c r="II54" s="390"/>
      <c r="IJ54" s="262" t="e">
        <f t="shared" si="17"/>
        <v>#N/A</v>
      </c>
      <c r="IK54" s="262" t="e">
        <f t="shared" si="18"/>
        <v>#N/A</v>
      </c>
      <c r="IL54" s="390"/>
      <c r="IM54" s="390"/>
      <c r="IN54" s="262" t="e">
        <f t="shared" si="19"/>
        <v>#N/A</v>
      </c>
      <c r="IO54" s="262" t="e">
        <f t="shared" si="20"/>
        <v>#N/A</v>
      </c>
      <c r="IP54" s="390"/>
      <c r="IQ54" s="390"/>
      <c r="IR54" s="262" t="e">
        <f t="shared" si="21"/>
        <v>#N/A</v>
      </c>
      <c r="IS54" s="262" t="e">
        <f t="shared" si="22"/>
        <v>#N/A</v>
      </c>
      <c r="IT54" s="390"/>
      <c r="IU54" s="390"/>
      <c r="IV54" s="262" t="e">
        <f t="shared" si="23"/>
        <v>#N/A</v>
      </c>
      <c r="IW54" s="262" t="e">
        <f t="shared" si="24"/>
        <v>#N/A</v>
      </c>
      <c r="IX54" s="310"/>
      <c r="IY54" s="313" t="s">
        <v>72</v>
      </c>
      <c r="IZ54" s="362" t="e">
        <f>IF(JA52=TRUE,$M$23,#N/A)</f>
        <v>#N/A</v>
      </c>
      <c r="JA54" s="363" t="e">
        <f>IF(JA52=TRUE,$J$23,#N/A)</f>
        <v>#N/A</v>
      </c>
      <c r="JB54" s="313" t="s">
        <v>149</v>
      </c>
      <c r="JC54" s="236" t="e">
        <f>IZ54+($IZ$10/2)</f>
        <v>#N/A</v>
      </c>
      <c r="JD54" s="236" t="e">
        <f>JA54+($IZ$10/2)-$IZ$9</f>
        <v>#N/A</v>
      </c>
      <c r="JE54" s="310"/>
      <c r="JF54" s="313" t="s">
        <v>72</v>
      </c>
      <c r="JG54" s="362" t="e">
        <f>IF(JH52=TRUE,$J$30,#N/A)</f>
        <v>#N/A</v>
      </c>
      <c r="JH54" s="363" t="e">
        <f>IF(JH52=TRUE,$H$30,#N/A)</f>
        <v>#N/A</v>
      </c>
      <c r="JI54" s="313" t="s">
        <v>149</v>
      </c>
      <c r="JJ54" s="263" t="e">
        <f>JG54+($IZ$10/2)</f>
        <v>#N/A</v>
      </c>
      <c r="JK54" s="263" t="e">
        <f>JH54+($IZ$10/2)-$IZ$9</f>
        <v>#N/A</v>
      </c>
      <c r="JL54" s="310"/>
      <c r="JM54" s="310"/>
      <c r="JN54" s="261" t="e">
        <f t="shared" si="25"/>
        <v>#N/A</v>
      </c>
      <c r="JO54" s="261" t="e">
        <f t="shared" si="26"/>
        <v>#N/A</v>
      </c>
      <c r="JP54" s="310"/>
      <c r="JQ54" s="310"/>
      <c r="JR54" s="261" t="e">
        <f t="shared" si="31"/>
        <v>#N/A</v>
      </c>
      <c r="JS54" s="261" t="e">
        <f t="shared" si="32"/>
        <v>#N/A</v>
      </c>
      <c r="JT54" s="310"/>
      <c r="JU54" s="310"/>
      <c r="JV54" s="261" t="e">
        <f t="shared" si="27"/>
        <v>#N/A</v>
      </c>
      <c r="JW54" s="261" t="e">
        <f t="shared" si="28"/>
        <v>#N/A</v>
      </c>
      <c r="JX54" s="310"/>
      <c r="JY54" s="310"/>
      <c r="JZ54" s="310"/>
      <c r="KA54" s="310"/>
      <c r="KB54" s="310"/>
      <c r="KC54" s="264" t="e">
        <v>#N/A</v>
      </c>
      <c r="KD54" s="264" t="e">
        <v>#N/A</v>
      </c>
      <c r="KE54" s="310"/>
      <c r="KF54" s="310"/>
      <c r="KG54" s="310"/>
      <c r="KH54" s="310"/>
      <c r="KI54" s="310"/>
      <c r="KJ54" s="310"/>
      <c r="KK54" s="310"/>
      <c r="KL54" s="310"/>
      <c r="KM54" s="310"/>
      <c r="KN54" s="242" t="e">
        <f>IF(KR36=TRUE,ON52-KO9/4,#N/A)</f>
        <v>#N/A</v>
      </c>
      <c r="KO54" s="243" t="e">
        <f>KO49</f>
        <v>#N/A</v>
      </c>
      <c r="KP54" s="328"/>
      <c r="KQ54" s="328"/>
      <c r="KR54" s="328"/>
      <c r="KS54" s="310"/>
      <c r="KT54" s="242">
        <f>IF(KX36=TRUE,ON49-KO9/2,#N/A)</f>
        <v>-1.5999999999999999</v>
      </c>
      <c r="KU54" s="242">
        <f>IF(KX36=TRUE,OO50,#N/A)</f>
        <v>0.95</v>
      </c>
      <c r="KV54" s="338"/>
      <c r="KW54" s="338"/>
      <c r="KX54" s="389"/>
      <c r="KY54" s="310"/>
      <c r="KZ54" s="310"/>
      <c r="LA54" s="310"/>
      <c r="LB54" s="328" t="str">
        <v>P2</v>
      </c>
      <c r="LC54" s="391" t="e">
        <v>#N/A</v>
      </c>
      <c r="LD54" s="391" t="e">
        <v>#N/A</v>
      </c>
      <c r="LE54" s="310"/>
      <c r="LF54" s="310"/>
      <c r="LG54" s="310"/>
      <c r="LH54" s="463" t="e">
        <f>LC61-LH49</f>
        <v>#N/A</v>
      </c>
      <c r="LI54" s="463" t="e">
        <f>LI53</f>
        <v>#N/A</v>
      </c>
      <c r="LJ54" s="463" t="e">
        <v>#N/A</v>
      </c>
      <c r="LK54" s="463" t="e">
        <v>#N/A</v>
      </c>
      <c r="LL54" s="463"/>
      <c r="LM54" s="310"/>
      <c r="LN54" s="310"/>
      <c r="LO54" s="347" t="e">
        <f>LC66-LO49</f>
        <v>#N/A</v>
      </c>
      <c r="LP54" s="347" t="e">
        <f>LP53</f>
        <v>#N/A</v>
      </c>
      <c r="LQ54" s="463" t="e">
        <v>#N/A</v>
      </c>
      <c r="LR54" s="463" t="e">
        <v>#N/A</v>
      </c>
      <c r="LS54" s="347"/>
      <c r="LT54" s="310"/>
      <c r="LU54" s="310"/>
      <c r="LV54" s="347" t="e">
        <f>LV53</f>
        <v>#N/A</v>
      </c>
      <c r="LW54" s="347" t="e">
        <f>LD63+LV49</f>
        <v>#N/A</v>
      </c>
      <c r="LX54" s="463" t="e">
        <v>#N/A</v>
      </c>
      <c r="LY54" s="463" t="e">
        <v>#N/A</v>
      </c>
      <c r="LZ54" s="347"/>
      <c r="MA54" s="310"/>
      <c r="MB54" s="310"/>
      <c r="MC54" s="347" t="e">
        <f>MC53</f>
        <v>#N/A</v>
      </c>
      <c r="MD54" s="347" t="e">
        <f>LD58+MC49</f>
        <v>#N/A</v>
      </c>
      <c r="ME54" s="347" t="e">
        <v>#N/A</v>
      </c>
      <c r="MF54" s="347" t="e">
        <v>#N/A</v>
      </c>
      <c r="MG54" s="347"/>
      <c r="MH54" s="310"/>
      <c r="MI54" s="310"/>
      <c r="MJ54" s="238" t="e">
        <v>#N/A</v>
      </c>
      <c r="MK54" s="238" t="e">
        <v>#N/A</v>
      </c>
      <c r="ML54" s="240" t="e">
        <v>#N/A</v>
      </c>
      <c r="MM54" s="236" t="e">
        <v>#N/A</v>
      </c>
      <c r="MN54" s="347"/>
      <c r="MO54" s="310"/>
      <c r="MP54" s="311" t="e">
        <v>#N/A</v>
      </c>
      <c r="MQ54" s="311" t="e">
        <v>#N/A</v>
      </c>
      <c r="MR54" s="311" t="e">
        <v>#N/A</v>
      </c>
      <c r="MS54" s="311" t="e">
        <v>#N/A</v>
      </c>
      <c r="MT54" s="310"/>
      <c r="MU54" s="328" t="s">
        <v>48</v>
      </c>
      <c r="MV54" s="328" t="s">
        <v>49</v>
      </c>
      <c r="MW54" s="328" t="s">
        <v>48</v>
      </c>
      <c r="MX54" s="328" t="s">
        <v>49</v>
      </c>
      <c r="MY54" s="310" t="b">
        <f>AQ58</f>
        <v>1</v>
      </c>
      <c r="MZ54" s="328">
        <v>21</v>
      </c>
      <c r="NA54" s="372" t="b">
        <f t="shared" si="76"/>
        <v>0</v>
      </c>
      <c r="NB54" s="280" t="e">
        <f t="shared" si="80"/>
        <v>#N/A</v>
      </c>
      <c r="NC54" s="280" t="e">
        <f t="shared" si="81"/>
        <v>#N/A</v>
      </c>
      <c r="ND54" s="280" t="e">
        <f t="shared" si="77"/>
        <v>#N/A</v>
      </c>
      <c r="NE54" s="280" t="e">
        <f t="shared" si="78"/>
        <v>#N/A</v>
      </c>
      <c r="NF54" s="310"/>
      <c r="NG54" s="310"/>
      <c r="NH54" s="310"/>
      <c r="NI54" s="310"/>
      <c r="NJ54" s="310"/>
      <c r="NK54" s="310"/>
      <c r="NL54" s="310"/>
      <c r="NM54" s="310"/>
      <c r="NN54" s="310"/>
      <c r="NO54" s="310"/>
      <c r="NP54" s="310"/>
      <c r="NQ54" s="310"/>
      <c r="NR54" s="310"/>
      <c r="NS54" s="310"/>
      <c r="NT54" s="310"/>
      <c r="NU54" s="310"/>
      <c r="NV54" s="310"/>
      <c r="NW54" s="310"/>
      <c r="NX54" s="310"/>
      <c r="NY54" s="310"/>
      <c r="NZ54" s="310"/>
      <c r="OA54" s="310"/>
      <c r="OB54" s="310"/>
      <c r="OC54" s="310"/>
      <c r="OD54" s="310"/>
      <c r="OE54" s="310"/>
      <c r="OF54" s="310"/>
      <c r="OG54" s="310"/>
      <c r="OH54" s="310"/>
      <c r="OI54" s="310"/>
      <c r="OJ54" s="310"/>
      <c r="OK54" s="310"/>
      <c r="OL54" s="310"/>
      <c r="OM54" s="328" t="str">
        <v>C6</v>
      </c>
      <c r="ON54" s="328" t="e">
        <v>#N/A</v>
      </c>
      <c r="OO54" s="328" t="e">
        <v>#N/A</v>
      </c>
      <c r="OP54" s="310"/>
      <c r="OQ54" s="310"/>
      <c r="OR54" s="310"/>
      <c r="OS54" s="310"/>
      <c r="OT54" s="310"/>
      <c r="OU54" s="281" t="e">
        <f>OU53</f>
        <v>#N/A</v>
      </c>
      <c r="OV54" s="281" t="e">
        <f>IF(OT9=TRUE,OV16-OW30-(F50/100),#N/A)</f>
        <v>#N/A</v>
      </c>
      <c r="OW54" s="310"/>
      <c r="OX54" s="310"/>
      <c r="OY54" s="310"/>
      <c r="OZ54" s="310"/>
      <c r="PA54" s="310"/>
      <c r="PB54" s="310"/>
      <c r="PC54" s="310"/>
      <c r="PD54" s="310"/>
      <c r="PE54" s="310"/>
      <c r="PF54" s="310"/>
      <c r="PG54" s="310"/>
      <c r="PH54" s="310"/>
      <c r="PI54" s="310"/>
      <c r="PJ54" s="310"/>
      <c r="PK54" s="310"/>
      <c r="PL54" s="310"/>
      <c r="PM54" s="310"/>
      <c r="PN54" s="310"/>
      <c r="PO54" s="310"/>
      <c r="PP54" s="310"/>
      <c r="PQ54" s="310"/>
      <c r="PR54" s="310"/>
      <c r="PS54" s="342">
        <v>40</v>
      </c>
      <c r="PT54" s="261" t="e">
        <f t="shared" si="29"/>
        <v>#N/A</v>
      </c>
      <c r="PU54" s="261" t="e">
        <f t="shared" si="30"/>
        <v>#N/A</v>
      </c>
      <c r="PV54" s="310"/>
      <c r="PW54" s="310"/>
      <c r="PX54" s="310"/>
      <c r="PY54" s="310"/>
      <c r="PZ54" s="310"/>
      <c r="QA54" s="310"/>
      <c r="QB54" s="310"/>
      <c r="QC54" s="310"/>
      <c r="QD54" s="310"/>
      <c r="QE54" s="310"/>
      <c r="QF54" s="310"/>
      <c r="QG54" s="310"/>
      <c r="QH54" s="310"/>
      <c r="QI54" s="310"/>
      <c r="QJ54" s="310"/>
      <c r="QK54" s="310"/>
      <c r="QL54" s="310"/>
      <c r="QM54" s="310"/>
      <c r="QN54" s="310"/>
      <c r="QO54" s="310"/>
      <c r="QP54" s="310"/>
      <c r="QQ54" s="310"/>
      <c r="QR54" s="310"/>
      <c r="QS54" s="310"/>
      <c r="QT54" s="310"/>
      <c r="QU54" s="310"/>
      <c r="QV54" s="310"/>
      <c r="QW54" s="310"/>
      <c r="QX54" s="310"/>
      <c r="QY54" s="310"/>
      <c r="QZ54" s="310"/>
      <c r="RA54" s="310"/>
      <c r="RB54" s="310"/>
      <c r="RC54" s="310"/>
      <c r="RD54" s="310"/>
      <c r="RE54" s="310"/>
      <c r="RF54" s="310"/>
      <c r="RG54" s="310"/>
      <c r="RH54" s="310"/>
      <c r="RI54" s="310"/>
      <c r="RJ54" s="310"/>
      <c r="RK54" s="310"/>
      <c r="RL54" s="310"/>
      <c r="RM54" s="310"/>
      <c r="RN54" s="310"/>
      <c r="RO54" s="310"/>
      <c r="RP54" s="310"/>
      <c r="RQ54" s="310"/>
      <c r="RR54" s="310"/>
      <c r="RS54" s="310"/>
      <c r="RT54" s="310"/>
      <c r="RU54" s="310"/>
      <c r="RV54" s="310"/>
      <c r="RW54" s="310"/>
      <c r="RX54" s="310"/>
      <c r="RY54" s="310"/>
      <c r="RZ54" s="310"/>
      <c r="SA54" s="310"/>
      <c r="SB54" s="310"/>
      <c r="SC54" s="310"/>
      <c r="SD54" s="310"/>
      <c r="SE54" s="310"/>
      <c r="SF54" s="310"/>
      <c r="SG54" s="310"/>
      <c r="SH54" s="310"/>
      <c r="SI54" s="310"/>
      <c r="SJ54" s="310"/>
      <c r="SK54" s="310"/>
      <c r="SL54" s="310"/>
      <c r="SM54" s="310"/>
      <c r="SN54" s="310"/>
      <c r="SO54" s="220"/>
      <c r="SP54" s="220"/>
      <c r="SQ54" s="220"/>
      <c r="SR54" s="220"/>
      <c r="SS54" s="220"/>
      <c r="ST54" s="220"/>
      <c r="SU54" s="220"/>
      <c r="SV54" s="220"/>
      <c r="SW54" s="220"/>
      <c r="SX54" s="220"/>
      <c r="SY54" s="220"/>
      <c r="SZ54" s="220"/>
      <c r="TA54" s="220"/>
      <c r="TB54" s="220"/>
      <c r="TC54" s="220"/>
      <c r="TD54" s="220"/>
      <c r="TE54" s="220"/>
      <c r="TF54" s="220"/>
      <c r="TG54" s="220"/>
      <c r="TH54" s="220"/>
      <c r="TI54" s="220"/>
      <c r="TJ54" s="220"/>
      <c r="TK54" s="220"/>
      <c r="TL54" s="220"/>
      <c r="TM54" s="220"/>
      <c r="TN54" s="220"/>
      <c r="TO54" s="220"/>
      <c r="TP54" s="220"/>
      <c r="TQ54" s="220"/>
      <c r="TR54" s="220"/>
      <c r="TS54" s="220"/>
      <c r="TT54" s="220"/>
      <c r="TU54" s="220"/>
      <c r="TV54" s="220"/>
      <c r="TW54" s="220"/>
      <c r="TX54" s="220"/>
      <c r="TY54" s="220"/>
      <c r="TZ54" s="220"/>
      <c r="UA54" s="220"/>
      <c r="UB54" s="220"/>
      <c r="UC54" s="220"/>
      <c r="UD54" s="220"/>
      <c r="UE54" s="220"/>
      <c r="UF54" s="220"/>
      <c r="UG54" s="220"/>
      <c r="UH54" s="220"/>
      <c r="UI54" s="220"/>
      <c r="UJ54" s="220"/>
      <c r="UK54" s="216"/>
      <c r="UL54" s="216"/>
      <c r="UM54" s="216"/>
      <c r="UN54" s="216"/>
      <c r="UO54" s="216"/>
      <c r="UP54" s="216"/>
      <c r="UQ54" s="216"/>
      <c r="UR54" s="216"/>
      <c r="US54" s="216"/>
      <c r="UT54" s="216"/>
      <c r="UU54" s="216"/>
      <c r="UV54" s="216"/>
      <c r="UW54" s="216"/>
      <c r="UX54" s="216"/>
      <c r="UY54" s="216"/>
      <c r="UZ54" s="216"/>
      <c r="VA54" s="216"/>
    </row>
    <row r="55" spans="1:573" s="4" customFormat="1" ht="15" customHeight="1" x14ac:dyDescent="0.25">
      <c r="A55" s="168"/>
      <c r="B55" s="16"/>
      <c r="C55" s="16"/>
      <c r="D55" s="16"/>
      <c r="E55" s="16"/>
      <c r="F55" s="16"/>
      <c r="G55" s="715" t="s">
        <v>470</v>
      </c>
      <c r="H55" s="716"/>
      <c r="I55" s="713">
        <f>IF(CP13=TRUE,IF(G56="Temp.",0.0018*MAX(AV74:AW74)*100*F51,(G56*100)/(C45*F48*C51)),"")</f>
        <v>23.394660220670474</v>
      </c>
      <c r="J55" s="689" cm="1">
        <f t="array" ref="J55">IF(CP13=TRUE,INDEX(AV49:AV55,AS57)*N55,"")</f>
        <v>25.12</v>
      </c>
      <c r="K55" s="690"/>
      <c r="L55" s="695" t="str">
        <f>IF(CP13=TRUE,IF(J55&gt;=I55,BT11,BT12),"")</f>
        <v>ü</v>
      </c>
      <c r="M55" s="170" t="s">
        <v>156</v>
      </c>
      <c r="N55" s="211">
        <v>8</v>
      </c>
      <c r="O55" s="58" t="s">
        <v>157</v>
      </c>
      <c r="P55" s="72"/>
      <c r="Q55" s="50"/>
      <c r="R55" s="50"/>
      <c r="S55" s="50"/>
      <c r="T55" s="167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5"/>
      <c r="AM55" s="45"/>
      <c r="AN55" s="45"/>
      <c r="AO55" s="45"/>
      <c r="AP55" s="310"/>
      <c r="AQ55" s="310"/>
      <c r="AR55" s="310"/>
      <c r="AS55" s="449" t="str">
        <f>"SD-40  "&amp;AT55</f>
        <v>SD-40  DB25</v>
      </c>
      <c r="AT55" s="459" t="str">
        <f>"DB"&amp;TRUNC(AU55,2)</f>
        <v>DB25</v>
      </c>
      <c r="AU55" s="464">
        <v>25</v>
      </c>
      <c r="AV55" s="465">
        <f t="shared" si="101"/>
        <v>4.90625</v>
      </c>
      <c r="AW55" s="310"/>
      <c r="AX55" s="310"/>
      <c r="AY55" s="310"/>
      <c r="AZ55" s="310"/>
      <c r="BA55" s="310"/>
      <c r="BB55" s="329" t="s">
        <v>144</v>
      </c>
      <c r="BC55" s="338"/>
      <c r="BD55" s="338"/>
      <c r="BE55" s="338"/>
      <c r="BF55" s="338" t="e">
        <f>IF(AY15=TRUE,BZ48,BZ50)</f>
        <v>#N/A</v>
      </c>
      <c r="BG55" s="338" t="e">
        <f>IF(AY15=TRUE,BY48,BY51)</f>
        <v>#N/A</v>
      </c>
      <c r="BH55" s="310"/>
      <c r="BI55" s="223" t="e">
        <v>#N/A</v>
      </c>
      <c r="BJ55" s="223" t="e">
        <v>#N/A</v>
      </c>
      <c r="BK55" s="338">
        <f>DV47</f>
        <v>0.65</v>
      </c>
      <c r="BL55" s="338">
        <f t="shared" si="109"/>
        <v>-0.65</v>
      </c>
      <c r="BM55" s="338">
        <f t="shared" si="109"/>
        <v>0.65</v>
      </c>
      <c r="BN55" s="338">
        <f>DU47</f>
        <v>-0.65</v>
      </c>
      <c r="BO55" s="338">
        <v>0.65</v>
      </c>
      <c r="BP55" s="338">
        <v>-0.65</v>
      </c>
      <c r="BQ55" s="338"/>
      <c r="BR55" s="338"/>
      <c r="BS55" s="310" t="e">
        <v>#N/A</v>
      </c>
      <c r="BT55" s="310" t="e">
        <v>#N/A</v>
      </c>
      <c r="BU55" s="310"/>
      <c r="BV55" s="310"/>
      <c r="BW55" s="310"/>
      <c r="BX55" s="310"/>
      <c r="BY55" s="338" t="e">
        <f>BY54</f>
        <v>#N/A</v>
      </c>
      <c r="BZ55" s="338" t="e">
        <f>BZ47-BT7/2</f>
        <v>#N/A</v>
      </c>
      <c r="CA55" s="310"/>
      <c r="CB55" s="310"/>
      <c r="CC55" s="310"/>
      <c r="CD55" s="233" t="e">
        <f>CD52</f>
        <v>#N/A</v>
      </c>
      <c r="CE55" s="233" t="e">
        <f>CE54</f>
        <v>#N/A</v>
      </c>
      <c r="CF55" s="310"/>
      <c r="CG55" s="310"/>
      <c r="CH55" s="310"/>
      <c r="CI55" s="310"/>
      <c r="CJ55" s="328" t="s">
        <v>48</v>
      </c>
      <c r="CK55" s="328" t="s">
        <v>49</v>
      </c>
      <c r="CL55" s="310" t="s">
        <v>139</v>
      </c>
      <c r="CM55" s="310"/>
      <c r="CN55" s="338" t="e">
        <v>#N/A</v>
      </c>
      <c r="CO55" s="338" t="e">
        <v>#N/A</v>
      </c>
      <c r="CP55" s="328" t="s">
        <v>268</v>
      </c>
      <c r="CQ55" s="373" t="e">
        <f>(CO30-CO28)</f>
        <v>#N/A</v>
      </c>
      <c r="CR55" s="310"/>
      <c r="CS55" s="310"/>
      <c r="CT55" s="338" t="e">
        <v>#N/A</v>
      </c>
      <c r="CU55" s="338" t="e">
        <v>#N/A</v>
      </c>
      <c r="CV55" s="310" t="s">
        <v>272</v>
      </c>
      <c r="CW55" s="310"/>
      <c r="CX55" s="310"/>
      <c r="CY55" s="310"/>
      <c r="CZ55" s="310"/>
      <c r="DA55" s="310"/>
      <c r="DB55" s="310">
        <v>2</v>
      </c>
      <c r="DC55" s="280" t="e">
        <f>IF(AND($DD$50=TRUE,$D$63&gt;=DB55),$DC$52,#N/A)</f>
        <v>#N/A</v>
      </c>
      <c r="DD55" s="280" t="e">
        <f>IF(AND($DD$50=TRUE,$D$63&gt;=DB55),$DD$52-0.2,#N/A)</f>
        <v>#N/A</v>
      </c>
      <c r="DE55" s="310"/>
      <c r="DF55" s="280" t="e">
        <v>#N/A</v>
      </c>
      <c r="DG55" s="280" t="e">
        <v>#N/A</v>
      </c>
      <c r="DH55" s="338" t="e">
        <v>#N/A</v>
      </c>
      <c r="DI55" s="310"/>
      <c r="DJ55" s="310"/>
      <c r="DK55" s="313">
        <v>47</v>
      </c>
      <c r="DL55" s="282" t="e">
        <f t="shared" si="3"/>
        <v>#N/A</v>
      </c>
      <c r="DM55" s="291" t="e">
        <f t="shared" si="4"/>
        <v>#N/A</v>
      </c>
      <c r="DN55" s="310"/>
      <c r="DO55" s="310"/>
      <c r="DP55" s="310"/>
      <c r="DQ55" s="310"/>
      <c r="DR55" s="310"/>
      <c r="DS55" s="310"/>
      <c r="DT55" s="338"/>
      <c r="DU55" s="338">
        <f>DU51</f>
        <v>-0.8</v>
      </c>
      <c r="DV55" s="338">
        <f>DV51</f>
        <v>-0.5</v>
      </c>
      <c r="DW55" s="310"/>
      <c r="DX55" s="310"/>
      <c r="DY55" s="338">
        <f>DY51</f>
        <v>-0.8</v>
      </c>
      <c r="DZ55" s="338">
        <f>DZ51</f>
        <v>-0.5</v>
      </c>
      <c r="EA55" s="310"/>
      <c r="EB55" s="310"/>
      <c r="EC55" s="310"/>
      <c r="ED55" s="310"/>
      <c r="EE55" s="310"/>
      <c r="EF55" s="310"/>
      <c r="EG55" s="310"/>
      <c r="EH55" s="310"/>
      <c r="EI55" s="310"/>
      <c r="EJ55" s="310"/>
      <c r="EK55" s="310"/>
      <c r="EL55" s="310"/>
      <c r="EM55" s="310"/>
      <c r="EN55" s="310"/>
      <c r="EO55" s="310"/>
      <c r="EP55" s="310"/>
      <c r="EQ55" s="310"/>
      <c r="ER55" s="310"/>
      <c r="ES55" s="310"/>
      <c r="ET55" s="310"/>
      <c r="EU55" s="310"/>
      <c r="EV55" s="310"/>
      <c r="EW55" s="310"/>
      <c r="EX55" s="310"/>
      <c r="EY55" s="310"/>
      <c r="EZ55" s="310"/>
      <c r="FA55" s="310"/>
      <c r="FB55" s="310"/>
      <c r="FC55" s="310"/>
      <c r="FD55" s="310"/>
      <c r="FE55" s="310"/>
      <c r="FF55" s="310"/>
      <c r="FG55" s="310"/>
      <c r="FH55" s="312"/>
      <c r="FI55" s="312"/>
      <c r="FJ55" s="312"/>
      <c r="FK55" s="312"/>
      <c r="FL55" s="310"/>
      <c r="FM55" s="318" t="b">
        <f>AND(FL28=TRUE,BM11=TRUE)</f>
        <v>0</v>
      </c>
      <c r="FN55" s="318"/>
      <c r="FO55" s="318" t="s">
        <v>314</v>
      </c>
      <c r="FP55" s="310"/>
      <c r="FQ55" s="313" t="s">
        <v>336</v>
      </c>
      <c r="FR55" s="318">
        <f>FR45</f>
        <v>-1.2999999999999998</v>
      </c>
      <c r="FS55" s="318">
        <f>FS45</f>
        <v>-0.95</v>
      </c>
      <c r="FT55" s="318">
        <f>$FT$45</f>
        <v>-1.2999999999999998</v>
      </c>
      <c r="FU55" s="318">
        <f>$FU$45</f>
        <v>-0.95</v>
      </c>
      <c r="FV55" s="318" t="e">
        <f>$GP$29</f>
        <v>#N/A</v>
      </c>
      <c r="FW55" s="318" t="e">
        <f>$GQ$29</f>
        <v>#N/A</v>
      </c>
      <c r="FX55" s="318" t="e">
        <f>$GP$29</f>
        <v>#N/A</v>
      </c>
      <c r="FY55" s="318" t="e">
        <f>$GQ$29</f>
        <v>#N/A</v>
      </c>
      <c r="FZ55" s="318">
        <f>FZ45</f>
        <v>-1.2999999999999998</v>
      </c>
      <c r="GA55" s="318">
        <f>GA45</f>
        <v>-0.95</v>
      </c>
      <c r="GB55" s="318">
        <v>-1.2999999999999998</v>
      </c>
      <c r="GC55" s="318">
        <v>-0.95</v>
      </c>
      <c r="GD55" s="310"/>
      <c r="GE55" s="535"/>
      <c r="GF55" s="328" t="s">
        <v>335</v>
      </c>
      <c r="GG55" s="328" t="s">
        <v>332</v>
      </c>
      <c r="GH55" s="328" t="s">
        <v>332</v>
      </c>
      <c r="GI55" s="328" t="str">
        <f t="shared" si="112"/>
        <v>C1</v>
      </c>
      <c r="GJ55" s="328" t="s">
        <v>332</v>
      </c>
      <c r="GK55" s="328" t="s">
        <v>337</v>
      </c>
      <c r="GL55" s="328" t="s">
        <v>333</v>
      </c>
      <c r="GM55" s="328" t="s">
        <v>334</v>
      </c>
      <c r="GN55" s="328" t="s">
        <v>333</v>
      </c>
      <c r="GO55" s="328"/>
      <c r="GP55" s="402" t="str">
        <v>C1</v>
      </c>
      <c r="GQ55" s="223">
        <f t="shared" si="113"/>
        <v>-1.2999999999999998</v>
      </c>
      <c r="GR55" s="223">
        <f t="shared" si="114"/>
        <v>-0.95</v>
      </c>
      <c r="GS55" s="310"/>
      <c r="GT55" s="531"/>
      <c r="GU55" s="531"/>
      <c r="GV55" s="518"/>
      <c r="GW55" s="531"/>
      <c r="GX55" s="531"/>
      <c r="GY55" s="531"/>
      <c r="GZ55" s="242">
        <f>IF(HE54=TRUE,GQ55,#N/A)</f>
        <v>-1.2999999999999998</v>
      </c>
      <c r="HA55" s="242">
        <f>IF(HE54=TRUE,GR55,#N/A)</f>
        <v>-0.95</v>
      </c>
      <c r="HB55" s="242" t="e">
        <f>IF(HF54=TRUE,GQ55,#N/A)</f>
        <v>#N/A</v>
      </c>
      <c r="HC55" s="242" t="e">
        <f>IF(HF54=TRUE,GR55,#N/A)</f>
        <v>#N/A</v>
      </c>
      <c r="HD55" s="310"/>
      <c r="HE55" s="531"/>
      <c r="HF55" s="532"/>
      <c r="HG55" s="523"/>
      <c r="HH55" s="310"/>
      <c r="HI55" s="310"/>
      <c r="HJ55" s="310"/>
      <c r="HK55" s="342">
        <v>41</v>
      </c>
      <c r="HL55" s="235" t="e">
        <f t="shared" si="5"/>
        <v>#N/A</v>
      </c>
      <c r="HM55" s="235" t="e">
        <f t="shared" si="6"/>
        <v>#N/A</v>
      </c>
      <c r="HN55" s="310"/>
      <c r="HO55" s="310"/>
      <c r="HP55" s="235" t="e">
        <f t="shared" si="7"/>
        <v>#N/A</v>
      </c>
      <c r="HQ55" s="235" t="e">
        <f t="shared" si="8"/>
        <v>#N/A</v>
      </c>
      <c r="HR55" s="310"/>
      <c r="HS55" s="310"/>
      <c r="HT55" s="235" t="e">
        <f t="shared" si="9"/>
        <v>#N/A</v>
      </c>
      <c r="HU55" s="235" t="e">
        <f t="shared" si="10"/>
        <v>#N/A</v>
      </c>
      <c r="HV55" s="310"/>
      <c r="HW55" s="310"/>
      <c r="HX55" s="235" t="e">
        <f t="shared" si="11"/>
        <v>#N/A</v>
      </c>
      <c r="HY55" s="235" t="e">
        <f t="shared" si="12"/>
        <v>#N/A</v>
      </c>
      <c r="HZ55" s="310"/>
      <c r="IA55" s="310"/>
      <c r="IB55" s="235" t="e">
        <f t="shared" si="13"/>
        <v>#N/A</v>
      </c>
      <c r="IC55" s="235" t="e">
        <f t="shared" si="14"/>
        <v>#N/A</v>
      </c>
      <c r="ID55" s="310"/>
      <c r="IE55" s="342">
        <v>41</v>
      </c>
      <c r="IF55" s="262" t="e">
        <f t="shared" si="15"/>
        <v>#N/A</v>
      </c>
      <c r="IG55" s="262" t="e">
        <f t="shared" si="16"/>
        <v>#N/A</v>
      </c>
      <c r="IH55" s="390"/>
      <c r="II55" s="390"/>
      <c r="IJ55" s="262" t="e">
        <f t="shared" si="17"/>
        <v>#N/A</v>
      </c>
      <c r="IK55" s="262" t="e">
        <f t="shared" si="18"/>
        <v>#N/A</v>
      </c>
      <c r="IL55" s="390"/>
      <c r="IM55" s="390"/>
      <c r="IN55" s="262" t="e">
        <f t="shared" si="19"/>
        <v>#N/A</v>
      </c>
      <c r="IO55" s="262" t="e">
        <f t="shared" si="20"/>
        <v>#N/A</v>
      </c>
      <c r="IP55" s="390"/>
      <c r="IQ55" s="390"/>
      <c r="IR55" s="262" t="e">
        <f t="shared" si="21"/>
        <v>#N/A</v>
      </c>
      <c r="IS55" s="262" t="e">
        <f t="shared" si="22"/>
        <v>#N/A</v>
      </c>
      <c r="IT55" s="390"/>
      <c r="IU55" s="390"/>
      <c r="IV55" s="262" t="e">
        <f t="shared" si="23"/>
        <v>#N/A</v>
      </c>
      <c r="IW55" s="262" t="e">
        <f t="shared" si="24"/>
        <v>#N/A</v>
      </c>
      <c r="IX55" s="310"/>
      <c r="IY55" s="310"/>
      <c r="IZ55" s="310"/>
      <c r="JA55" s="310"/>
      <c r="JB55" s="313" t="s">
        <v>152</v>
      </c>
      <c r="JC55" s="236" t="e">
        <f>JC54</f>
        <v>#N/A</v>
      </c>
      <c r="JD55" s="236" t="e">
        <f>JA54-($IZ$10/2)+$IZ$9</f>
        <v>#N/A</v>
      </c>
      <c r="JE55" s="310"/>
      <c r="JF55" s="310"/>
      <c r="JG55" s="310"/>
      <c r="JH55" s="310"/>
      <c r="JI55" s="313" t="s">
        <v>152</v>
      </c>
      <c r="JJ55" s="263" t="e">
        <f>JJ54</f>
        <v>#N/A</v>
      </c>
      <c r="JK55" s="263" t="e">
        <f>JH54-($IZ$10/2)+$IZ$9</f>
        <v>#N/A</v>
      </c>
      <c r="JL55" s="310"/>
      <c r="JM55" s="310"/>
      <c r="JN55" s="261" t="e">
        <f t="shared" si="25"/>
        <v>#N/A</v>
      </c>
      <c r="JO55" s="261" t="e">
        <f t="shared" si="26"/>
        <v>#N/A</v>
      </c>
      <c r="JP55" s="310"/>
      <c r="JQ55" s="310"/>
      <c r="JR55" s="261" t="e">
        <f t="shared" si="31"/>
        <v>#N/A</v>
      </c>
      <c r="JS55" s="261" t="e">
        <f t="shared" si="32"/>
        <v>#N/A</v>
      </c>
      <c r="JT55" s="310"/>
      <c r="JU55" s="310"/>
      <c r="JV55" s="261" t="e">
        <f t="shared" si="27"/>
        <v>#N/A</v>
      </c>
      <c r="JW55" s="261" t="e">
        <f t="shared" si="28"/>
        <v>#N/A</v>
      </c>
      <c r="JX55" s="310"/>
      <c r="JY55" s="342" t="s">
        <v>353</v>
      </c>
      <c r="JZ55" s="328" t="s">
        <v>384</v>
      </c>
      <c r="KA55" s="338" t="b">
        <f>AND(AZ32=TRUE,AZ33=TRUE,AZ34=TRUE,$GY$6&gt;=$GX$21,$GY$6&lt;=$GX$27,JM11=TRUE)</f>
        <v>0</v>
      </c>
      <c r="KB55" s="313" t="s">
        <v>106</v>
      </c>
      <c r="KC55" s="242" t="e">
        <f>JZ57-$IZ$62/2</f>
        <v>#N/A</v>
      </c>
      <c r="KD55" s="242" t="e">
        <f>KA57+$IZ$61/2</f>
        <v>#N/A</v>
      </c>
      <c r="KE55" s="310"/>
      <c r="KF55" s="310"/>
      <c r="KG55" s="310"/>
      <c r="KH55" s="310"/>
      <c r="KI55" s="310"/>
      <c r="KJ55" s="310"/>
      <c r="KK55" s="310"/>
      <c r="KL55" s="310"/>
      <c r="KM55" s="310"/>
      <c r="KN55" s="242" t="e">
        <f>KN54</f>
        <v>#N/A</v>
      </c>
      <c r="KO55" s="242" t="e">
        <f>IF(KR36=TRUE,OO57,#N/A)</f>
        <v>#N/A</v>
      </c>
      <c r="KP55" s="328"/>
      <c r="KQ55" s="328"/>
      <c r="KR55" s="328"/>
      <c r="KS55" s="310"/>
      <c r="KT55" s="242">
        <f>KT54</f>
        <v>-1.5999999999999999</v>
      </c>
      <c r="KU55" s="242">
        <f>IF(KX36=TRUE,OO57,#N/A)</f>
        <v>0</v>
      </c>
      <c r="KV55" s="338"/>
      <c r="KW55" s="338"/>
      <c r="KX55" s="389"/>
      <c r="KY55" s="310"/>
      <c r="KZ55" s="310"/>
      <c r="LA55" s="310"/>
      <c r="LB55" s="328" t="str">
        <v>P3</v>
      </c>
      <c r="LC55" s="391" t="e">
        <v>#N/A</v>
      </c>
      <c r="LD55" s="391" t="e">
        <v>#N/A</v>
      </c>
      <c r="LE55" s="310"/>
      <c r="LF55" s="310"/>
      <c r="LG55" s="310"/>
      <c r="LH55" s="463" t="e">
        <v>#N/A</v>
      </c>
      <c r="LI55" s="463" t="e">
        <v>#N/A</v>
      </c>
      <c r="LJ55" s="463" t="e">
        <f>LH63+(LH64-LH63)/2</f>
        <v>#N/A</v>
      </c>
      <c r="LK55" s="463" t="e">
        <f>LI63</f>
        <v>#N/A</v>
      </c>
      <c r="LL55" s="463" t="e">
        <f>LH64-LH63</f>
        <v>#N/A</v>
      </c>
      <c r="LM55" s="310"/>
      <c r="LN55" s="310"/>
      <c r="LO55" s="463" t="e">
        <v>#N/A</v>
      </c>
      <c r="LP55" s="463" t="e">
        <v>#N/A</v>
      </c>
      <c r="LQ55" s="368" t="e">
        <f>LO63+(LO64-LO63)/2</f>
        <v>#N/A</v>
      </c>
      <c r="LR55" s="368" t="e">
        <f>LP63</f>
        <v>#N/A</v>
      </c>
      <c r="LS55" s="347" t="e">
        <f>LO64-LO63</f>
        <v>#N/A</v>
      </c>
      <c r="LT55" s="310"/>
      <c r="LU55" s="310"/>
      <c r="LV55" s="463" t="e">
        <v>#N/A</v>
      </c>
      <c r="LW55" s="463" t="e">
        <v>#N/A</v>
      </c>
      <c r="LX55" s="368" t="e">
        <f>LV63</f>
        <v>#N/A</v>
      </c>
      <c r="LY55" s="318" t="e">
        <f>LW63-(LW63-LW64)/2</f>
        <v>#N/A</v>
      </c>
      <c r="LZ55" s="347" t="e">
        <f>LW63-LW64</f>
        <v>#N/A</v>
      </c>
      <c r="MA55" s="310"/>
      <c r="MB55" s="310"/>
      <c r="MC55" s="347" t="e">
        <v>#N/A</v>
      </c>
      <c r="MD55" s="347" t="e">
        <v>#N/A</v>
      </c>
      <c r="ME55" s="347" t="e">
        <f>MC63</f>
        <v>#N/A</v>
      </c>
      <c r="MF55" s="313" t="e">
        <f>MD63-(MD63-MD64)/2</f>
        <v>#N/A</v>
      </c>
      <c r="MG55" s="347" t="e">
        <f>MD63-MD64</f>
        <v>#N/A</v>
      </c>
      <c r="MH55" s="310"/>
      <c r="MI55" s="310"/>
      <c r="MJ55" s="238" t="e">
        <v>#N/A</v>
      </c>
      <c r="MK55" s="238" t="e">
        <v>#N/A</v>
      </c>
      <c r="ML55" s="240" t="e">
        <v>#N/A</v>
      </c>
      <c r="MM55" s="236" t="e">
        <v>#N/A</v>
      </c>
      <c r="MN55" s="347"/>
      <c r="MO55" s="310"/>
      <c r="MP55" s="311" t="e">
        <v>#N/A</v>
      </c>
      <c r="MQ55" s="311" t="e">
        <v>#N/A</v>
      </c>
      <c r="MR55" s="311" t="e">
        <v>#N/A</v>
      </c>
      <c r="MS55" s="311" t="e">
        <v>#N/A</v>
      </c>
      <c r="MT55" s="310"/>
      <c r="MU55" s="292" t="e">
        <f>IF(MU29=TRUE,MT37+NA30+0.009,#N/A)</f>
        <v>#N/A</v>
      </c>
      <c r="MV55" s="297" t="e">
        <f>MU38</f>
        <v>#N/A</v>
      </c>
      <c r="MW55" s="281" t="e">
        <f>IF(MY55=TRUE,MU48-0.009,#N/A)</f>
        <v>#N/A</v>
      </c>
      <c r="MX55" s="281" t="e">
        <f>IF(MY55=TRUE,MU31-NA30-0.009,#N/A)</f>
        <v>#N/A</v>
      </c>
      <c r="MY55" s="338" t="b">
        <f>AND(MY54=TRUE,$D$63&gt;=MZ34)</f>
        <v>1</v>
      </c>
      <c r="MZ55" s="403">
        <v>22</v>
      </c>
      <c r="NA55" s="372" t="b">
        <f t="shared" si="76"/>
        <v>0</v>
      </c>
      <c r="NB55" s="280" t="e">
        <f t="shared" si="80"/>
        <v>#N/A</v>
      </c>
      <c r="NC55" s="280" t="e">
        <f t="shared" si="81"/>
        <v>#N/A</v>
      </c>
      <c r="ND55" s="280" t="e">
        <f t="shared" si="77"/>
        <v>#N/A</v>
      </c>
      <c r="NE55" s="280" t="e">
        <f t="shared" si="78"/>
        <v>#N/A</v>
      </c>
      <c r="NF55" s="310"/>
      <c r="NG55" s="310"/>
      <c r="NH55" s="310"/>
      <c r="NI55" s="310"/>
      <c r="NJ55" s="310"/>
      <c r="NK55" s="310"/>
      <c r="NL55" s="310"/>
      <c r="NM55" s="310"/>
      <c r="NN55" s="310"/>
      <c r="NO55" s="310"/>
      <c r="NP55" s="310"/>
      <c r="NQ55" s="310"/>
      <c r="NR55" s="310"/>
      <c r="NS55" s="310"/>
      <c r="NT55" s="310"/>
      <c r="NU55" s="310"/>
      <c r="NV55" s="310"/>
      <c r="NW55" s="310"/>
      <c r="NX55" s="310"/>
      <c r="NY55" s="310"/>
      <c r="NZ55" s="310"/>
      <c r="OA55" s="310"/>
      <c r="OB55" s="310"/>
      <c r="OC55" s="310"/>
      <c r="OD55" s="310"/>
      <c r="OE55" s="310"/>
      <c r="OF55" s="310"/>
      <c r="OG55" s="310"/>
      <c r="OH55" s="310"/>
      <c r="OI55" s="310"/>
      <c r="OJ55" s="310"/>
      <c r="OK55" s="310"/>
      <c r="OL55" s="310"/>
      <c r="OM55" s="310"/>
      <c r="ON55" s="310"/>
      <c r="OO55" s="310"/>
      <c r="OP55" s="310"/>
      <c r="OQ55" s="310"/>
      <c r="OR55" s="310"/>
      <c r="OS55" s="310"/>
      <c r="OT55" s="310"/>
      <c r="OU55" s="281" t="e">
        <f>IF(OT9=TRUE,PA26,#N/A)</f>
        <v>#N/A</v>
      </c>
      <c r="OV55" s="281" t="e">
        <f>OV54</f>
        <v>#N/A</v>
      </c>
      <c r="OW55" s="310"/>
      <c r="OX55" s="310"/>
      <c r="OY55" s="310"/>
      <c r="OZ55" s="310"/>
      <c r="PA55" s="310"/>
      <c r="PB55" s="310"/>
      <c r="PC55" s="310"/>
      <c r="PD55" s="310"/>
      <c r="PE55" s="310"/>
      <c r="PF55" s="310"/>
      <c r="PG55" s="310"/>
      <c r="PH55" s="310"/>
      <c r="PI55" s="310"/>
      <c r="PJ55" s="310"/>
      <c r="PK55" s="310"/>
      <c r="PL55" s="310"/>
      <c r="PM55" s="310"/>
      <c r="PN55" s="310"/>
      <c r="PO55" s="310"/>
      <c r="PP55" s="310"/>
      <c r="PQ55" s="310"/>
      <c r="PR55" s="310"/>
      <c r="PS55" s="342">
        <v>41</v>
      </c>
      <c r="PT55" s="261" t="e">
        <f t="shared" si="29"/>
        <v>#N/A</v>
      </c>
      <c r="PU55" s="261" t="e">
        <f t="shared" si="30"/>
        <v>#N/A</v>
      </c>
      <c r="PV55" s="310"/>
      <c r="PW55" s="310"/>
      <c r="PX55" s="310"/>
      <c r="PY55" s="310"/>
      <c r="PZ55" s="310"/>
      <c r="QA55" s="310"/>
      <c r="QB55" s="310"/>
      <c r="QC55" s="310"/>
      <c r="QD55" s="310"/>
      <c r="QE55" s="310"/>
      <c r="QF55" s="310"/>
      <c r="QG55" s="310"/>
      <c r="QH55" s="310"/>
      <c r="QI55" s="310"/>
      <c r="QJ55" s="310"/>
      <c r="QK55" s="310"/>
      <c r="QL55" s="310"/>
      <c r="QM55" s="310"/>
      <c r="QN55" s="310"/>
      <c r="QO55" s="310"/>
      <c r="QP55" s="310"/>
      <c r="QQ55" s="310"/>
      <c r="QR55" s="310"/>
      <c r="QS55" s="310"/>
      <c r="QT55" s="310"/>
      <c r="QU55" s="310"/>
      <c r="QV55" s="310"/>
      <c r="QW55" s="310"/>
      <c r="QX55" s="310"/>
      <c r="QY55" s="310"/>
      <c r="QZ55" s="310"/>
      <c r="RA55" s="310"/>
      <c r="RB55" s="310"/>
      <c r="RC55" s="310"/>
      <c r="RD55" s="310"/>
      <c r="RE55" s="310"/>
      <c r="RF55" s="310"/>
      <c r="RG55" s="310"/>
      <c r="RH55" s="310"/>
      <c r="RI55" s="310"/>
      <c r="RJ55" s="310"/>
      <c r="RK55" s="310"/>
      <c r="RL55" s="310"/>
      <c r="RM55" s="310"/>
      <c r="RN55" s="310"/>
      <c r="RO55" s="310"/>
      <c r="RP55" s="310"/>
      <c r="RQ55" s="310"/>
      <c r="RR55" s="310"/>
      <c r="RS55" s="310"/>
      <c r="RT55" s="310"/>
      <c r="RU55" s="310"/>
      <c r="RV55" s="310"/>
      <c r="RW55" s="310"/>
      <c r="RX55" s="310"/>
      <c r="RY55" s="310"/>
      <c r="RZ55" s="310"/>
      <c r="SA55" s="310"/>
      <c r="SB55" s="310"/>
      <c r="SC55" s="310"/>
      <c r="SD55" s="310"/>
      <c r="SE55" s="310"/>
      <c r="SF55" s="310"/>
      <c r="SG55" s="310"/>
      <c r="SH55" s="310"/>
      <c r="SI55" s="310"/>
      <c r="SJ55" s="310"/>
      <c r="SK55" s="310"/>
      <c r="SL55" s="310"/>
      <c r="SM55" s="310"/>
      <c r="SN55" s="310"/>
      <c r="SO55" s="220"/>
      <c r="SP55" s="220"/>
      <c r="SQ55" s="220"/>
      <c r="SR55" s="220"/>
      <c r="SS55" s="220"/>
      <c r="ST55" s="220"/>
      <c r="SU55" s="220"/>
      <c r="SV55" s="220"/>
      <c r="SW55" s="220"/>
      <c r="SX55" s="220"/>
      <c r="SY55" s="220"/>
      <c r="SZ55" s="220"/>
      <c r="TA55" s="220"/>
      <c r="TB55" s="220"/>
      <c r="TC55" s="220"/>
      <c r="TD55" s="220"/>
      <c r="TE55" s="220"/>
      <c r="TF55" s="220"/>
      <c r="TG55" s="220"/>
      <c r="TH55" s="220"/>
      <c r="TI55" s="220"/>
      <c r="TJ55" s="220"/>
      <c r="TK55" s="220"/>
      <c r="TL55" s="220"/>
      <c r="TM55" s="220"/>
      <c r="TN55" s="220"/>
      <c r="TO55" s="220"/>
      <c r="TP55" s="220"/>
      <c r="TQ55" s="220"/>
      <c r="TR55" s="220"/>
      <c r="TS55" s="220"/>
      <c r="TT55" s="220"/>
      <c r="TU55" s="220"/>
      <c r="TV55" s="220"/>
      <c r="TW55" s="220"/>
      <c r="TX55" s="220"/>
      <c r="TY55" s="220"/>
      <c r="TZ55" s="220"/>
      <c r="UA55" s="220"/>
      <c r="UB55" s="220"/>
      <c r="UC55" s="220"/>
      <c r="UD55" s="220"/>
      <c r="UE55" s="220"/>
      <c r="UF55" s="220"/>
      <c r="UG55" s="220"/>
      <c r="UH55" s="220"/>
      <c r="UI55" s="220"/>
      <c r="UJ55" s="220"/>
      <c r="UK55" s="216"/>
      <c r="UL55" s="216"/>
      <c r="UM55" s="216"/>
      <c r="UN55" s="216"/>
      <c r="UO55" s="216"/>
      <c r="UP55" s="216"/>
      <c r="UQ55" s="216"/>
      <c r="UR55" s="216"/>
      <c r="US55" s="216"/>
      <c r="UT55" s="216"/>
      <c r="UU55" s="216"/>
      <c r="UV55" s="216"/>
      <c r="UW55" s="216"/>
      <c r="UX55" s="216"/>
      <c r="UY55" s="216"/>
      <c r="UZ55" s="216"/>
      <c r="VA55" s="216"/>
    </row>
    <row r="56" spans="1:573" s="4" customFormat="1" ht="15" customHeight="1" x14ac:dyDescent="0.5">
      <c r="A56" s="168"/>
      <c r="B56" s="16"/>
      <c r="C56" s="16"/>
      <c r="D56" s="16"/>
      <c r="E56" s="16"/>
      <c r="F56" s="16"/>
      <c r="G56" s="711">
        <f>IF(CP13=TRUE,IF(BK6=2,IF(AX14=1,BM93*1000,"Temp."),BM93*1000),"")</f>
        <v>16200</v>
      </c>
      <c r="H56" s="712"/>
      <c r="I56" s="714"/>
      <c r="J56" s="691"/>
      <c r="K56" s="692"/>
      <c r="L56" s="696"/>
      <c r="M56" s="684" t="str" cm="1">
        <f t="array" ref="M56">INDEX(AS49:AS55,AS57)&amp;" @ "&amp;TEXT(TRUNC(AY57,3),"0.##")&amp;"m."</f>
        <v>SD-40  DB20 @ 0.13m.</v>
      </c>
      <c r="N56" s="685"/>
      <c r="O56" s="686"/>
      <c r="P56" s="72"/>
      <c r="Q56" s="50"/>
      <c r="R56" s="50"/>
      <c r="S56" s="50"/>
      <c r="T56" s="167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5"/>
      <c r="AM56" s="45"/>
      <c r="AN56" s="45"/>
      <c r="AO56" s="45"/>
      <c r="AP56" s="310"/>
      <c r="AQ56" s="310"/>
      <c r="AR56" s="310" t="s">
        <v>159</v>
      </c>
      <c r="AS56" s="310"/>
      <c r="AT56" s="310"/>
      <c r="AU56" s="310"/>
      <c r="AV56" s="310"/>
      <c r="AW56" s="310" t="s">
        <v>160</v>
      </c>
      <c r="AX56" s="310" t="s">
        <v>15</v>
      </c>
      <c r="AY56" s="310"/>
      <c r="AZ56" s="310"/>
      <c r="BA56" s="310"/>
      <c r="BB56" s="329" t="s">
        <v>149</v>
      </c>
      <c r="BC56" s="338"/>
      <c r="BD56" s="338"/>
      <c r="BE56" s="338"/>
      <c r="BF56" s="338"/>
      <c r="BG56" s="338"/>
      <c r="BH56" s="338"/>
      <c r="BI56" s="223" t="e">
        <v>#N/A</v>
      </c>
      <c r="BJ56" s="223" t="e">
        <v>#N/A</v>
      </c>
      <c r="BK56" s="338">
        <f>DV48</f>
        <v>-0.65</v>
      </c>
      <c r="BL56" s="338">
        <f t="shared" si="109"/>
        <v>0.65</v>
      </c>
      <c r="BM56" s="338">
        <f t="shared" si="109"/>
        <v>-0.65</v>
      </c>
      <c r="BN56" s="338">
        <f>DU48</f>
        <v>0.65</v>
      </c>
      <c r="BO56" s="338">
        <v>-0.65</v>
      </c>
      <c r="BP56" s="338">
        <v>0.65</v>
      </c>
      <c r="BQ56" s="338"/>
      <c r="BR56" s="338"/>
      <c r="BS56" s="310" t="e">
        <v>#N/A</v>
      </c>
      <c r="BT56" s="310" t="e">
        <v>#N/A</v>
      </c>
      <c r="BU56" s="310"/>
      <c r="BV56" s="310"/>
      <c r="BW56" s="310"/>
      <c r="BX56" s="310"/>
      <c r="BY56" s="338" t="e">
        <f>BY53</f>
        <v>#N/A</v>
      </c>
      <c r="BZ56" s="338" t="e">
        <f>BZ55</f>
        <v>#N/A</v>
      </c>
      <c r="CA56" s="310"/>
      <c r="CB56" s="310"/>
      <c r="CC56" s="310"/>
      <c r="CD56" s="231" t="e">
        <v>#N/A</v>
      </c>
      <c r="CE56" s="231" t="e">
        <v>#N/A</v>
      </c>
      <c r="CF56" s="310"/>
      <c r="CG56" s="310"/>
      <c r="CH56" s="466" t="str">
        <f>G19</f>
        <v>P1 &gt;&gt;</v>
      </c>
      <c r="CI56" s="392" t="b">
        <f>IF(AND(BM7=TRUE,CU11=TRUE),IF(M44&lt;=$M$8,TRUE,FALSE),#N/A)</f>
        <v>1</v>
      </c>
      <c r="CJ56" s="310" t="e">
        <f>IF(CU11=TRUE,IF($CL$20=TRUE,CK21,CK24),#N/A)</f>
        <v>#N/A</v>
      </c>
      <c r="CK56" s="310" t="e">
        <f>IF(CU11=TRUE,IF($CL$20=TRUE,CL21,CL24),#N/A)</f>
        <v>#N/A</v>
      </c>
      <c r="CL56" s="310"/>
      <c r="CM56" s="310"/>
      <c r="CN56" s="338" t="e">
        <f>CN53</f>
        <v>#N/A</v>
      </c>
      <c r="CO56" s="338" t="e">
        <f>CO53</f>
        <v>#N/A</v>
      </c>
      <c r="CP56" s="310"/>
      <c r="CQ56" s="310"/>
      <c r="CR56" s="310"/>
      <c r="CS56" s="310"/>
      <c r="CT56" s="338" t="e">
        <f>CT53</f>
        <v>#N/A</v>
      </c>
      <c r="CU56" s="338" t="e">
        <f>CU53</f>
        <v>#N/A</v>
      </c>
      <c r="CV56" s="328" t="s">
        <v>268</v>
      </c>
      <c r="CW56" s="336" t="e">
        <f>CN29-CN28</f>
        <v>#N/A</v>
      </c>
      <c r="CX56" s="310"/>
      <c r="CY56" s="310"/>
      <c r="CZ56" s="310"/>
      <c r="DA56" s="310"/>
      <c r="DB56" s="310"/>
      <c r="DC56" s="280" t="e">
        <f>IF(AND($DD$50=TRUE,$D$63&gt;=DB55),$DC$53,#N/A)</f>
        <v>#N/A</v>
      </c>
      <c r="DD56" s="280" t="e">
        <f>DD55</f>
        <v>#N/A</v>
      </c>
      <c r="DE56" s="310"/>
      <c r="DF56" s="280" t="e">
        <f>DF53</f>
        <v>#N/A</v>
      </c>
      <c r="DG56" s="280" t="e">
        <f t="shared" ref="DG56" si="115">IF(DH56&lt;=$DG$39,DH56,#N/A)</f>
        <v>#N/A</v>
      </c>
      <c r="DH56" s="338">
        <f>DH53+0.2</f>
        <v>1</v>
      </c>
      <c r="DI56" s="310"/>
      <c r="DJ56" s="310"/>
      <c r="DK56" s="313">
        <v>48</v>
      </c>
      <c r="DL56" s="282" t="e">
        <f t="shared" si="3"/>
        <v>#N/A</v>
      </c>
      <c r="DM56" s="291" t="e">
        <f t="shared" si="4"/>
        <v>#N/A</v>
      </c>
      <c r="DN56" s="310"/>
      <c r="DO56" s="310"/>
      <c r="DP56" s="310"/>
      <c r="DQ56" s="310"/>
      <c r="DR56" s="310"/>
      <c r="DS56" s="310"/>
      <c r="DT56" s="338"/>
      <c r="DU56" s="338" t="e">
        <v>#N/A</v>
      </c>
      <c r="DV56" s="338" t="e">
        <v>#N/A</v>
      </c>
      <c r="DW56" s="310"/>
      <c r="DX56" s="310"/>
      <c r="DY56" s="338" t="e">
        <v>#N/A</v>
      </c>
      <c r="DZ56" s="338" t="e">
        <v>#N/A</v>
      </c>
      <c r="EA56" s="310"/>
      <c r="EB56" s="310"/>
      <c r="EC56" s="310"/>
      <c r="ED56" s="310"/>
      <c r="EE56" s="310"/>
      <c r="EF56" s="310"/>
      <c r="EG56" s="310"/>
      <c r="EH56" s="310"/>
      <c r="EI56" s="310"/>
      <c r="EJ56" s="310"/>
      <c r="EK56" s="310"/>
      <c r="EL56" s="310"/>
      <c r="EM56" s="310"/>
      <c r="EN56" s="310"/>
      <c r="EO56" s="310"/>
      <c r="EP56" s="310"/>
      <c r="EQ56" s="310"/>
      <c r="ER56" s="310"/>
      <c r="ES56" s="310"/>
      <c r="ET56" s="310"/>
      <c r="EU56" s="310"/>
      <c r="EV56" s="310"/>
      <c r="EW56" s="310"/>
      <c r="EX56" s="310"/>
      <c r="EY56" s="310"/>
      <c r="EZ56" s="310"/>
      <c r="FA56" s="310"/>
      <c r="FB56" s="310"/>
      <c r="FC56" s="310"/>
      <c r="FD56" s="310"/>
      <c r="FE56" s="310"/>
      <c r="FF56" s="310"/>
      <c r="FG56" s="310"/>
      <c r="FH56" s="311"/>
      <c r="FI56" s="311"/>
      <c r="FJ56" s="311"/>
      <c r="FK56" s="311"/>
      <c r="FL56" s="310"/>
      <c r="FM56" s="310"/>
      <c r="FN56" s="310"/>
      <c r="FO56" s="310"/>
      <c r="FP56" s="310"/>
      <c r="FQ56" s="312"/>
      <c r="FR56" s="318" t="e">
        <v>#N/A</v>
      </c>
      <c r="FS56" s="318" t="e">
        <v>#N/A</v>
      </c>
      <c r="FT56" s="318" t="e">
        <v>#N/A</v>
      </c>
      <c r="FU56" s="318" t="e">
        <v>#N/A</v>
      </c>
      <c r="FV56" s="318" t="e">
        <v>#N/A</v>
      </c>
      <c r="FW56" s="318" t="e">
        <v>#N/A</v>
      </c>
      <c r="FX56" s="318"/>
      <c r="FY56" s="318"/>
      <c r="FZ56" s="318" t="e">
        <v>#N/A</v>
      </c>
      <c r="GA56" s="318" t="e">
        <v>#N/A</v>
      </c>
      <c r="GB56" s="318" t="e">
        <v>#N/A</v>
      </c>
      <c r="GC56" s="318" t="e">
        <v>#N/A</v>
      </c>
      <c r="GD56" s="310"/>
      <c r="GE56" s="310"/>
      <c r="GF56" s="313" t="e">
        <v>#N/A</v>
      </c>
      <c r="GG56" s="313" t="e">
        <v>#N/A</v>
      </c>
      <c r="GH56" s="313" t="e">
        <v>#N/A</v>
      </c>
      <c r="GI56" s="313" t="e">
        <v>#N/A</v>
      </c>
      <c r="GJ56" s="313" t="e">
        <v>#N/A</v>
      </c>
      <c r="GK56" s="313" t="e">
        <v>#N/A</v>
      </c>
      <c r="GL56" s="313" t="e">
        <v>#N/A</v>
      </c>
      <c r="GM56" s="313" t="e">
        <v>#N/A</v>
      </c>
      <c r="GN56" s="313" t="e">
        <v>#N/A</v>
      </c>
      <c r="GO56" s="328"/>
      <c r="GP56" s="402" t="e">
        <v>#N/A</v>
      </c>
      <c r="GQ56" s="223" t="e">
        <v>#N/A</v>
      </c>
      <c r="GR56" s="223" t="e">
        <v>#N/A</v>
      </c>
      <c r="GS56" s="310"/>
      <c r="GT56" s="310"/>
      <c r="GU56" s="310"/>
      <c r="GV56" s="310"/>
      <c r="GW56" s="338"/>
      <c r="GX56" s="338"/>
      <c r="GY56" s="310"/>
      <c r="GZ56" s="260" t="e">
        <v>#N/A</v>
      </c>
      <c r="HA56" s="260" t="e">
        <v>#N/A</v>
      </c>
      <c r="HB56" s="260" t="e">
        <v>#N/A</v>
      </c>
      <c r="HC56" s="260" t="e">
        <v>#N/A</v>
      </c>
      <c r="HD56" s="310"/>
      <c r="HE56" s="310"/>
      <c r="HF56" s="310"/>
      <c r="HG56" s="224"/>
      <c r="HH56" s="310"/>
      <c r="HI56" s="310"/>
      <c r="HJ56" s="310"/>
      <c r="HK56" s="342">
        <v>42</v>
      </c>
      <c r="HL56" s="235" t="e">
        <f t="shared" si="5"/>
        <v>#N/A</v>
      </c>
      <c r="HM56" s="235" t="e">
        <f t="shared" si="6"/>
        <v>#N/A</v>
      </c>
      <c r="HN56" s="310"/>
      <c r="HO56" s="310"/>
      <c r="HP56" s="235" t="e">
        <f t="shared" si="7"/>
        <v>#N/A</v>
      </c>
      <c r="HQ56" s="235" t="e">
        <f t="shared" si="8"/>
        <v>#N/A</v>
      </c>
      <c r="HR56" s="310"/>
      <c r="HS56" s="310"/>
      <c r="HT56" s="235" t="e">
        <f t="shared" si="9"/>
        <v>#N/A</v>
      </c>
      <c r="HU56" s="235" t="e">
        <f t="shared" si="10"/>
        <v>#N/A</v>
      </c>
      <c r="HV56" s="310"/>
      <c r="HW56" s="310"/>
      <c r="HX56" s="235" t="e">
        <f t="shared" si="11"/>
        <v>#N/A</v>
      </c>
      <c r="HY56" s="235" t="e">
        <f t="shared" si="12"/>
        <v>#N/A</v>
      </c>
      <c r="HZ56" s="310"/>
      <c r="IA56" s="310"/>
      <c r="IB56" s="235" t="e">
        <f t="shared" si="13"/>
        <v>#N/A</v>
      </c>
      <c r="IC56" s="235" t="e">
        <f t="shared" si="14"/>
        <v>#N/A</v>
      </c>
      <c r="ID56" s="310"/>
      <c r="IE56" s="342">
        <v>42</v>
      </c>
      <c r="IF56" s="262" t="e">
        <f t="shared" si="15"/>
        <v>#N/A</v>
      </c>
      <c r="IG56" s="262" t="e">
        <f t="shared" si="16"/>
        <v>#N/A</v>
      </c>
      <c r="IH56" s="390"/>
      <c r="II56" s="390"/>
      <c r="IJ56" s="262" t="e">
        <f t="shared" si="17"/>
        <v>#N/A</v>
      </c>
      <c r="IK56" s="262" t="e">
        <f t="shared" si="18"/>
        <v>#N/A</v>
      </c>
      <c r="IL56" s="390"/>
      <c r="IM56" s="390"/>
      <c r="IN56" s="262" t="e">
        <f t="shared" si="19"/>
        <v>#N/A</v>
      </c>
      <c r="IO56" s="262" t="e">
        <f t="shared" si="20"/>
        <v>#N/A</v>
      </c>
      <c r="IP56" s="390"/>
      <c r="IQ56" s="390"/>
      <c r="IR56" s="262" t="e">
        <f t="shared" si="21"/>
        <v>#N/A</v>
      </c>
      <c r="IS56" s="262" t="e">
        <f t="shared" si="22"/>
        <v>#N/A</v>
      </c>
      <c r="IT56" s="390"/>
      <c r="IU56" s="390"/>
      <c r="IV56" s="262" t="e">
        <f t="shared" si="23"/>
        <v>#N/A</v>
      </c>
      <c r="IW56" s="262" t="e">
        <f t="shared" si="24"/>
        <v>#N/A</v>
      </c>
      <c r="IX56" s="310"/>
      <c r="IY56" s="310"/>
      <c r="IZ56" s="310"/>
      <c r="JA56" s="310"/>
      <c r="JB56" s="313" t="s">
        <v>167</v>
      </c>
      <c r="JC56" s="236" t="e">
        <f>JC53</f>
        <v>#N/A</v>
      </c>
      <c r="JD56" s="236" t="e">
        <f>JA54-($IZ$10/2)</f>
        <v>#N/A</v>
      </c>
      <c r="JE56" s="310"/>
      <c r="JF56" s="310"/>
      <c r="JG56" s="310"/>
      <c r="JH56" s="310"/>
      <c r="JI56" s="313" t="s">
        <v>167</v>
      </c>
      <c r="JJ56" s="263" t="e">
        <f>JJ53</f>
        <v>#N/A</v>
      </c>
      <c r="JK56" s="263" t="e">
        <f>JH54-($IZ$10/2)</f>
        <v>#N/A</v>
      </c>
      <c r="JL56" s="310"/>
      <c r="JM56" s="310"/>
      <c r="JN56" s="261" t="e">
        <f t="shared" si="25"/>
        <v>#N/A</v>
      </c>
      <c r="JO56" s="261" t="e">
        <f t="shared" si="26"/>
        <v>#N/A</v>
      </c>
      <c r="JP56" s="310"/>
      <c r="JQ56" s="310"/>
      <c r="JR56" s="261" t="e">
        <f t="shared" si="31"/>
        <v>#N/A</v>
      </c>
      <c r="JS56" s="261" t="e">
        <f t="shared" si="32"/>
        <v>#N/A</v>
      </c>
      <c r="JT56" s="310"/>
      <c r="JU56" s="310"/>
      <c r="JV56" s="261" t="e">
        <f t="shared" si="27"/>
        <v>#N/A</v>
      </c>
      <c r="JW56" s="261" t="e">
        <f t="shared" si="28"/>
        <v>#N/A</v>
      </c>
      <c r="JX56" s="310"/>
      <c r="JY56" s="342" t="s">
        <v>355</v>
      </c>
      <c r="JZ56" s="342" t="s">
        <v>48</v>
      </c>
      <c r="KA56" s="342" t="s">
        <v>49</v>
      </c>
      <c r="KB56" s="313" t="s">
        <v>144</v>
      </c>
      <c r="KC56" s="242" t="e">
        <f>JZ57+$IZ$62/2</f>
        <v>#N/A</v>
      </c>
      <c r="KD56" s="242" t="e">
        <f>KD55</f>
        <v>#N/A</v>
      </c>
      <c r="KE56" s="310"/>
      <c r="KF56" s="310"/>
      <c r="KG56" s="310"/>
      <c r="KH56" s="310"/>
      <c r="KI56" s="310"/>
      <c r="KJ56" s="310"/>
      <c r="KK56" s="310"/>
      <c r="KL56" s="310"/>
      <c r="KM56" s="310"/>
      <c r="KN56" s="267" t="e">
        <v>#N/A</v>
      </c>
      <c r="KO56" s="267" t="e">
        <v>#N/A</v>
      </c>
      <c r="KP56" s="328"/>
      <c r="KQ56" s="328"/>
      <c r="KR56" s="328"/>
      <c r="KS56" s="310"/>
      <c r="KT56" s="267" t="e">
        <v>#N/A</v>
      </c>
      <c r="KU56" s="267" t="e">
        <v>#N/A</v>
      </c>
      <c r="KV56" s="338"/>
      <c r="KW56" s="338"/>
      <c r="KX56" s="389"/>
      <c r="KY56" s="310"/>
      <c r="KZ56" s="310"/>
      <c r="LA56" s="310"/>
      <c r="LB56" s="328">
        <v>0</v>
      </c>
      <c r="LC56" s="391" t="e">
        <v>#N/A</v>
      </c>
      <c r="LD56" s="391" t="e">
        <v>#N/A</v>
      </c>
      <c r="LE56" s="310"/>
      <c r="LF56" s="310"/>
      <c r="LG56" s="310"/>
      <c r="LH56" s="463" t="e">
        <f>LC51-LI49*1.5</f>
        <v>#N/A</v>
      </c>
      <c r="LI56" s="463" t="e">
        <f>LI52</f>
        <v>#N/A</v>
      </c>
      <c r="LJ56" s="463" t="e">
        <f>LH67+(LH68-LH67)/2</f>
        <v>#N/A</v>
      </c>
      <c r="LK56" s="463" t="e">
        <f>LI67</f>
        <v>#N/A</v>
      </c>
      <c r="LL56" s="463" t="e">
        <f>LH68-LH67</f>
        <v>#N/A</v>
      </c>
      <c r="LM56" s="310"/>
      <c r="LN56" s="310"/>
      <c r="LO56" s="347" t="e">
        <f>LC52-LP49/1.45</f>
        <v>#N/A</v>
      </c>
      <c r="LP56" s="347" t="e">
        <f>LP51</f>
        <v>#N/A</v>
      </c>
      <c r="LQ56" s="347" t="e">
        <f>LO67+(LO68-LO67)/2</f>
        <v>#N/A</v>
      </c>
      <c r="LR56" s="347" t="e">
        <f>LP67</f>
        <v>#N/A</v>
      </c>
      <c r="LS56" s="347" t="e">
        <f>LO68-LO67</f>
        <v>#N/A</v>
      </c>
      <c r="LT56" s="310"/>
      <c r="LU56" s="310"/>
      <c r="LV56" s="347" t="e">
        <f>LV51</f>
        <v>#N/A</v>
      </c>
      <c r="LW56" s="347" t="e">
        <f>LD55+LW49/1.25</f>
        <v>#N/A</v>
      </c>
      <c r="LX56" s="347" t="e">
        <f>LV67</f>
        <v>#N/A</v>
      </c>
      <c r="LY56" s="347" t="e">
        <f>LW67-(LW67-LW68)/2</f>
        <v>#N/A</v>
      </c>
      <c r="LZ56" s="347" t="e">
        <f>LW67-LW68</f>
        <v>#N/A</v>
      </c>
      <c r="MA56" s="310"/>
      <c r="MB56" s="310"/>
      <c r="MC56" s="347" t="e">
        <f>MC52</f>
        <v>#N/A</v>
      </c>
      <c r="MD56" s="347" t="e">
        <f>LD52+MD49*1.55</f>
        <v>#N/A</v>
      </c>
      <c r="ME56" s="347" t="e">
        <f>MC67</f>
        <v>#N/A</v>
      </c>
      <c r="MF56" s="347" t="e">
        <f>MD67-(MD67-MD68)/2</f>
        <v>#N/A</v>
      </c>
      <c r="MG56" s="347" t="e">
        <f>MD67-MD68</f>
        <v>#N/A</v>
      </c>
      <c r="MH56" s="310"/>
      <c r="MI56" s="310"/>
      <c r="MJ56" s="238" t="e">
        <v>#N/A</v>
      </c>
      <c r="MK56" s="238" t="e">
        <v>#N/A</v>
      </c>
      <c r="ML56" s="238" t="e">
        <v>#N/A</v>
      </c>
      <c r="MM56" s="238" t="e">
        <v>#N/A</v>
      </c>
      <c r="MN56" s="347"/>
      <c r="MO56" s="310"/>
      <c r="MP56" s="311" t="e">
        <v>#N/A</v>
      </c>
      <c r="MQ56" s="311" t="e">
        <v>#N/A</v>
      </c>
      <c r="MR56" s="311" t="e">
        <v>#N/A</v>
      </c>
      <c r="MS56" s="311" t="e">
        <v>#N/A</v>
      </c>
      <c r="MT56" s="310"/>
      <c r="MU56" s="292" t="e">
        <f>MU55</f>
        <v>#N/A</v>
      </c>
      <c r="MV56" s="292" t="e">
        <f>NE34+0.025</f>
        <v>#N/A</v>
      </c>
      <c r="MW56" s="281" t="e">
        <f>IF(MY55=TRUE,MU50+0.009,#N/A)</f>
        <v>#N/A</v>
      </c>
      <c r="MX56" s="281" t="e">
        <f>MX55</f>
        <v>#N/A</v>
      </c>
      <c r="MY56" s="338"/>
      <c r="MZ56" s="403">
        <v>23</v>
      </c>
      <c r="NA56" s="372" t="b">
        <f t="shared" si="76"/>
        <v>0</v>
      </c>
      <c r="NB56" s="280" t="e">
        <f t="shared" si="80"/>
        <v>#N/A</v>
      </c>
      <c r="NC56" s="280" t="e">
        <f t="shared" si="81"/>
        <v>#N/A</v>
      </c>
      <c r="ND56" s="280" t="e">
        <f t="shared" si="77"/>
        <v>#N/A</v>
      </c>
      <c r="NE56" s="280" t="e">
        <f t="shared" si="78"/>
        <v>#N/A</v>
      </c>
      <c r="NF56" s="310"/>
      <c r="NG56" s="310"/>
      <c r="NH56" s="310"/>
      <c r="NI56" s="310"/>
      <c r="NJ56" s="310"/>
      <c r="NK56" s="310"/>
      <c r="NL56" s="310"/>
      <c r="NM56" s="310"/>
      <c r="NN56" s="310"/>
      <c r="NO56" s="310"/>
      <c r="NP56" s="310"/>
      <c r="NQ56" s="310"/>
      <c r="NR56" s="310"/>
      <c r="NS56" s="310"/>
      <c r="NT56" s="310"/>
      <c r="NU56" s="310"/>
      <c r="NV56" s="310"/>
      <c r="NW56" s="310"/>
      <c r="NX56" s="310"/>
      <c r="NY56" s="310"/>
      <c r="NZ56" s="310"/>
      <c r="OA56" s="310"/>
      <c r="OB56" s="310"/>
      <c r="OC56" s="310"/>
      <c r="OD56" s="310"/>
      <c r="OE56" s="310"/>
      <c r="OF56" s="310"/>
      <c r="OG56" s="310"/>
      <c r="OH56" s="310"/>
      <c r="OI56" s="310"/>
      <c r="OJ56" s="310"/>
      <c r="OK56" s="310"/>
      <c r="OL56" s="310"/>
      <c r="OM56" s="338"/>
      <c r="ON56" s="338" t="s">
        <v>48</v>
      </c>
      <c r="OO56" s="338" t="s">
        <v>49</v>
      </c>
      <c r="OP56" s="310"/>
      <c r="OQ56" s="310"/>
      <c r="OR56" s="310"/>
      <c r="OS56" s="310"/>
      <c r="OT56" s="310"/>
      <c r="OU56" s="310"/>
      <c r="OV56" s="310"/>
      <c r="OW56" s="310"/>
      <c r="OX56" s="310"/>
      <c r="OY56" s="310"/>
      <c r="OZ56" s="310"/>
      <c r="PA56" s="310"/>
      <c r="PB56" s="310"/>
      <c r="PC56" s="310"/>
      <c r="PD56" s="310"/>
      <c r="PE56" s="310"/>
      <c r="PF56" s="310"/>
      <c r="PG56" s="310"/>
      <c r="PH56" s="310"/>
      <c r="PI56" s="310"/>
      <c r="PJ56" s="310"/>
      <c r="PK56" s="310"/>
      <c r="PL56" s="310"/>
      <c r="PM56" s="310"/>
      <c r="PN56" s="310"/>
      <c r="PO56" s="310"/>
      <c r="PP56" s="310"/>
      <c r="PQ56" s="310"/>
      <c r="PR56" s="310"/>
      <c r="PS56" s="342">
        <v>42</v>
      </c>
      <c r="PT56" s="261" t="e">
        <f t="shared" si="29"/>
        <v>#N/A</v>
      </c>
      <c r="PU56" s="261" t="e">
        <f t="shared" si="30"/>
        <v>#N/A</v>
      </c>
      <c r="PV56" s="310"/>
      <c r="PW56" s="310"/>
      <c r="PX56" s="310"/>
      <c r="PY56" s="310"/>
      <c r="PZ56" s="310"/>
      <c r="QA56" s="310"/>
      <c r="QB56" s="310"/>
      <c r="QC56" s="310"/>
      <c r="QD56" s="310"/>
      <c r="QE56" s="310"/>
      <c r="QF56" s="310"/>
      <c r="QG56" s="310"/>
      <c r="QH56" s="310"/>
      <c r="QI56" s="310"/>
      <c r="QJ56" s="310"/>
      <c r="QK56" s="310"/>
      <c r="QL56" s="310"/>
      <c r="QM56" s="310"/>
      <c r="QN56" s="310"/>
      <c r="QO56" s="310"/>
      <c r="QP56" s="310"/>
      <c r="QQ56" s="310"/>
      <c r="QR56" s="310"/>
      <c r="QS56" s="310"/>
      <c r="QT56" s="310"/>
      <c r="QU56" s="310"/>
      <c r="QV56" s="310"/>
      <c r="QW56" s="310"/>
      <c r="QX56" s="310"/>
      <c r="QY56" s="310"/>
      <c r="QZ56" s="310"/>
      <c r="RA56" s="310"/>
      <c r="RB56" s="310"/>
      <c r="RC56" s="310"/>
      <c r="RD56" s="310"/>
      <c r="RE56" s="310"/>
      <c r="RF56" s="310"/>
      <c r="RG56" s="310"/>
      <c r="RH56" s="310"/>
      <c r="RI56" s="310"/>
      <c r="RJ56" s="310"/>
      <c r="RK56" s="310"/>
      <c r="RL56" s="310"/>
      <c r="RM56" s="310"/>
      <c r="RN56" s="310"/>
      <c r="RO56" s="310"/>
      <c r="RP56" s="310"/>
      <c r="RQ56" s="310"/>
      <c r="RR56" s="310"/>
      <c r="RS56" s="310"/>
      <c r="RT56" s="310"/>
      <c r="RU56" s="310"/>
      <c r="RV56" s="310"/>
      <c r="RW56" s="310"/>
      <c r="RX56" s="310"/>
      <c r="RY56" s="310"/>
      <c r="RZ56" s="310"/>
      <c r="SA56" s="310"/>
      <c r="SB56" s="310"/>
      <c r="SC56" s="310"/>
      <c r="SD56" s="310"/>
      <c r="SE56" s="310"/>
      <c r="SF56" s="310"/>
      <c r="SG56" s="310"/>
      <c r="SH56" s="310"/>
      <c r="SI56" s="310"/>
      <c r="SJ56" s="310"/>
      <c r="SK56" s="310"/>
      <c r="SL56" s="310"/>
      <c r="SM56" s="310"/>
      <c r="SN56" s="310"/>
      <c r="SO56" s="220"/>
      <c r="SP56" s="220"/>
      <c r="SQ56" s="220"/>
      <c r="SR56" s="220"/>
      <c r="SS56" s="220"/>
      <c r="ST56" s="220"/>
      <c r="SU56" s="220"/>
      <c r="SV56" s="220"/>
      <c r="SW56" s="220"/>
      <c r="SX56" s="220"/>
      <c r="SY56" s="220"/>
      <c r="SZ56" s="220"/>
      <c r="TA56" s="220"/>
      <c r="TB56" s="220"/>
      <c r="TC56" s="220"/>
      <c r="TD56" s="220"/>
      <c r="TE56" s="220"/>
      <c r="TF56" s="220"/>
      <c r="TG56" s="220"/>
      <c r="TH56" s="220"/>
      <c r="TI56" s="220"/>
      <c r="TJ56" s="220"/>
      <c r="TK56" s="220"/>
      <c r="TL56" s="220"/>
      <c r="TM56" s="220"/>
      <c r="TN56" s="220"/>
      <c r="TO56" s="220"/>
      <c r="TP56" s="220"/>
      <c r="TQ56" s="220"/>
      <c r="TR56" s="220"/>
      <c r="TS56" s="220"/>
      <c r="TT56" s="220"/>
      <c r="TU56" s="220"/>
      <c r="TV56" s="220"/>
      <c r="TW56" s="220"/>
      <c r="TX56" s="220"/>
      <c r="TY56" s="220"/>
      <c r="TZ56" s="220"/>
      <c r="UA56" s="220"/>
      <c r="UB56" s="220"/>
      <c r="UC56" s="220"/>
      <c r="UD56" s="220"/>
      <c r="UE56" s="220"/>
      <c r="UF56" s="220"/>
      <c r="UG56" s="220"/>
      <c r="UH56" s="220"/>
      <c r="UI56" s="220"/>
      <c r="UJ56" s="220"/>
      <c r="UK56" s="216"/>
      <c r="UL56" s="216"/>
      <c r="UM56" s="216"/>
      <c r="UN56" s="216"/>
      <c r="UO56" s="216"/>
      <c r="UP56" s="216"/>
      <c r="UQ56" s="216"/>
      <c r="UR56" s="216"/>
      <c r="US56" s="216"/>
      <c r="UT56" s="216"/>
      <c r="UU56" s="216"/>
      <c r="UV56" s="216"/>
      <c r="UW56" s="216"/>
      <c r="UX56" s="216"/>
      <c r="UY56" s="216"/>
      <c r="UZ56" s="216"/>
      <c r="VA56" s="216"/>
    </row>
    <row r="57" spans="1:573" s="4" customFormat="1" x14ac:dyDescent="0.5">
      <c r="A57" s="168"/>
      <c r="B57" s="16"/>
      <c r="C57" s="16"/>
      <c r="D57" s="16"/>
      <c r="E57" s="16"/>
      <c r="F57" s="16"/>
      <c r="G57" s="715" t="s">
        <v>471</v>
      </c>
      <c r="H57" s="716"/>
      <c r="I57" s="713">
        <f>IF(CP13=TRUE,IF(G58="Temp.",0.0018*MAX(AV74:AW74)*100*F51,(G58*100)/(C45*F48*C51)),"")</f>
        <v>0</v>
      </c>
      <c r="J57" s="689" cm="1">
        <f t="array" ref="J57">IF(CP13=TRUE,INDEX(AV49:AV55,AS58)*N57,"")</f>
        <v>25.12</v>
      </c>
      <c r="K57" s="690"/>
      <c r="L57" s="697" t="str">
        <f>IF(CP13=TRUE,IF(J57&gt;=I57,BT11,BT12),"")</f>
        <v>ü</v>
      </c>
      <c r="M57" s="170" t="s">
        <v>156</v>
      </c>
      <c r="N57" s="211">
        <v>8</v>
      </c>
      <c r="O57" s="58" t="s">
        <v>157</v>
      </c>
      <c r="P57" s="72"/>
      <c r="Q57" s="50"/>
      <c r="R57" s="50"/>
      <c r="S57" s="50"/>
      <c r="T57" s="167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5"/>
      <c r="AM57" s="45"/>
      <c r="AN57" s="45"/>
      <c r="AO57" s="45"/>
      <c r="AP57" s="310"/>
      <c r="AQ57" s="310"/>
      <c r="AR57" s="424" t="s">
        <v>162</v>
      </c>
      <c r="AS57" s="310">
        <v>6</v>
      </c>
      <c r="AT57" s="310" t="str" cm="1">
        <f t="array" ref="AT57">INDEX(AT49:AT55,AS57)</f>
        <v>DB20</v>
      </c>
      <c r="AU57" s="310" cm="1">
        <f t="array" ref="AU57">INDEX(AU49:AU55,AS57)/1000</f>
        <v>0.02</v>
      </c>
      <c r="AV57" s="310" cm="1">
        <f t="array" ref="AV57">INDEX(AV49:AV55,AS57)*N55</f>
        <v>25.12</v>
      </c>
      <c r="AW57" s="310" t="b">
        <f>IF(J55&gt;=I55,TRUE,FALSE)</f>
        <v>1</v>
      </c>
      <c r="AX57" s="310" t="b">
        <f>IF(AW57=FALSE,TRUE,FALSE)</f>
        <v>0</v>
      </c>
      <c r="AY57" s="467">
        <f>1/N55</f>
        <v>0.125</v>
      </c>
      <c r="AZ57" s="310"/>
      <c r="BA57" s="310"/>
      <c r="BB57" s="329" t="s">
        <v>152</v>
      </c>
      <c r="BC57" s="338"/>
      <c r="BD57" s="338"/>
      <c r="BE57" s="338"/>
      <c r="BF57" s="338"/>
      <c r="BG57" s="338"/>
      <c r="BH57" s="338"/>
      <c r="BI57" s="223"/>
      <c r="BJ57" s="223"/>
      <c r="BK57" s="338">
        <f>DV49</f>
        <v>0.65</v>
      </c>
      <c r="BL57" s="338">
        <f t="shared" si="109"/>
        <v>0.65</v>
      </c>
      <c r="BM57" s="338">
        <f t="shared" si="109"/>
        <v>0.65</v>
      </c>
      <c r="BN57" s="338">
        <f>DU49</f>
        <v>0.65</v>
      </c>
      <c r="BO57" s="338">
        <v>0.65</v>
      </c>
      <c r="BP57" s="338">
        <v>0.65</v>
      </c>
      <c r="BQ57" s="338"/>
      <c r="BR57" s="338"/>
      <c r="BS57" s="310" t="e">
        <v>#N/A</v>
      </c>
      <c r="BT57" s="310" t="e">
        <v>#N/A</v>
      </c>
      <c r="BU57" s="310"/>
      <c r="BV57" s="310"/>
      <c r="BW57" s="310"/>
      <c r="BX57" s="310"/>
      <c r="BY57" s="338" t="e">
        <f>BY53</f>
        <v>#N/A</v>
      </c>
      <c r="BZ57" s="338" t="e">
        <f>BZ53</f>
        <v>#N/A</v>
      </c>
      <c r="CA57" s="310"/>
      <c r="CB57" s="310"/>
      <c r="CC57" s="310"/>
      <c r="CD57" s="233" t="e">
        <f>CD47</f>
        <v>#N/A</v>
      </c>
      <c r="CE57" s="231" t="e">
        <f>CC47+CE44/2</f>
        <v>#N/A</v>
      </c>
      <c r="CF57" s="310"/>
      <c r="CG57" s="310"/>
      <c r="CH57" s="466" t="str">
        <f>G20</f>
        <v>P2 &gt;&gt;</v>
      </c>
      <c r="CI57" s="310" t="b">
        <f>IF(AND(BM7=TRUE,CU11=TRUE),IF(M45&lt;=$M$8,TRUE,FALSE),#N/A)</f>
        <v>1</v>
      </c>
      <c r="CJ57" s="310" t="e">
        <f>IF(CU11=TRUE,IF($CL$20=TRUE,CK22,CK25),#N/A)</f>
        <v>#N/A</v>
      </c>
      <c r="CK57" s="310" t="e">
        <f>IF(CU11=TRUE,IF($CL$20=TRUE,CL22,CL25),#N/A)</f>
        <v>#N/A</v>
      </c>
      <c r="CL57" s="310"/>
      <c r="CM57" s="310"/>
      <c r="CN57" s="338" t="e">
        <f>CN56</f>
        <v>#N/A</v>
      </c>
      <c r="CO57" s="338" t="e">
        <f>CO40</f>
        <v>#N/A</v>
      </c>
      <c r="CP57" s="310"/>
      <c r="CQ57" s="310"/>
      <c r="CR57" s="310"/>
      <c r="CS57" s="310"/>
      <c r="CT57" s="338" t="e">
        <f>IF(CU34=TRUE,CN29,#N/A)</f>
        <v>#N/A</v>
      </c>
      <c r="CU57" s="338" t="e">
        <f>CU56</f>
        <v>#N/A</v>
      </c>
      <c r="CV57" s="310"/>
      <c r="CW57" s="310"/>
      <c r="CX57" s="310"/>
      <c r="CY57" s="310"/>
      <c r="CZ57" s="310"/>
      <c r="DA57" s="310"/>
      <c r="DB57" s="310"/>
      <c r="DC57" s="280" t="e">
        <v>#N/A</v>
      </c>
      <c r="DD57" s="280" t="e">
        <v>#N/A</v>
      </c>
      <c r="DE57" s="310"/>
      <c r="DF57" s="280" t="e">
        <f>DF54</f>
        <v>#N/A</v>
      </c>
      <c r="DG57" s="280" t="e">
        <f t="shared" ref="DG57" si="116">DG56</f>
        <v>#N/A</v>
      </c>
      <c r="DH57" s="338">
        <f>DH56</f>
        <v>1</v>
      </c>
      <c r="DI57" s="310"/>
      <c r="DJ57" s="310"/>
      <c r="DK57" s="313">
        <v>49</v>
      </c>
      <c r="DL57" s="282" t="e">
        <f t="shared" si="3"/>
        <v>#N/A</v>
      </c>
      <c r="DM57" s="291" t="e">
        <f t="shared" si="4"/>
        <v>#N/A</v>
      </c>
      <c r="DN57" s="310"/>
      <c r="DO57" s="310"/>
      <c r="DP57" s="310"/>
      <c r="DQ57" s="310"/>
      <c r="DR57" s="310"/>
      <c r="DS57" s="310"/>
      <c r="DT57" s="328" t="s">
        <v>144</v>
      </c>
      <c r="DU57" s="338">
        <f>DU47-$BT$7/2</f>
        <v>-0.8</v>
      </c>
      <c r="DV57" s="338">
        <f>DV47+$BT$7/2</f>
        <v>0.8</v>
      </c>
      <c r="DW57" s="310"/>
      <c r="DX57" s="310"/>
      <c r="DY57" s="338">
        <f>DY47-$BT$7/2</f>
        <v>-0.8</v>
      </c>
      <c r="DZ57" s="338">
        <f>DZ47+$BT$7/2</f>
        <v>0.8</v>
      </c>
      <c r="EA57" s="310"/>
      <c r="EB57" s="310"/>
      <c r="EC57" s="310"/>
      <c r="ED57" s="310"/>
      <c r="EE57" s="310"/>
      <c r="EF57" s="310"/>
      <c r="EG57" s="310"/>
      <c r="EH57" s="310"/>
      <c r="EI57" s="310"/>
      <c r="EJ57" s="310"/>
      <c r="EK57" s="310"/>
      <c r="EL57" s="310"/>
      <c r="EM57" s="310"/>
      <c r="EN57" s="310"/>
      <c r="EO57" s="310"/>
      <c r="EP57" s="310"/>
      <c r="EQ57" s="310"/>
      <c r="ER57" s="310"/>
      <c r="ES57" s="310"/>
      <c r="ET57" s="310"/>
      <c r="EU57" s="310"/>
      <c r="EV57" s="310"/>
      <c r="EW57" s="310"/>
      <c r="EX57" s="310"/>
      <c r="EY57" s="310"/>
      <c r="EZ57" s="310"/>
      <c r="FA57" s="310"/>
      <c r="FB57" s="310"/>
      <c r="FC57" s="310"/>
      <c r="FD57" s="310"/>
      <c r="FE57" s="310"/>
      <c r="FF57" s="310"/>
      <c r="FG57" s="310"/>
      <c r="FH57" s="311"/>
      <c r="FI57" s="311"/>
      <c r="FJ57" s="311"/>
      <c r="FK57" s="311"/>
      <c r="FL57" s="310"/>
      <c r="FM57" s="310"/>
      <c r="FN57" s="310"/>
      <c r="FO57" s="310"/>
      <c r="FP57" s="310"/>
      <c r="FQ57" s="313" t="s">
        <v>336</v>
      </c>
      <c r="FR57" s="318" t="e">
        <v>#N/A</v>
      </c>
      <c r="FS57" s="318" t="e">
        <v>#N/A</v>
      </c>
      <c r="FT57" s="318" t="e">
        <v>#N/A</v>
      </c>
      <c r="FU57" s="318" t="e">
        <v>#N/A</v>
      </c>
      <c r="FV57" s="318" t="e">
        <f>FV55</f>
        <v>#N/A</v>
      </c>
      <c r="FW57" s="318" t="e">
        <f>FW55</f>
        <v>#N/A</v>
      </c>
      <c r="FX57" s="318"/>
      <c r="FY57" s="318"/>
      <c r="FZ57" s="318" t="e">
        <v>#N/A</v>
      </c>
      <c r="GA57" s="318" t="e">
        <v>#N/A</v>
      </c>
      <c r="GB57" s="318" t="e">
        <v>#N/A</v>
      </c>
      <c r="GC57" s="318" t="e">
        <v>#N/A</v>
      </c>
      <c r="GD57" s="310"/>
      <c r="GE57" s="535" t="s">
        <v>117</v>
      </c>
      <c r="GF57" s="313" t="e">
        <v>#N/A</v>
      </c>
      <c r="GG57" s="313" t="e">
        <v>#N/A</v>
      </c>
      <c r="GH57" s="313" t="e">
        <v>#N/A</v>
      </c>
      <c r="GI57" s="313" t="e">
        <v>#N/A</v>
      </c>
      <c r="GJ57" s="313" t="e">
        <v>#N/A</v>
      </c>
      <c r="GK57" s="328" t="s">
        <v>332</v>
      </c>
      <c r="GL57" s="328" t="s">
        <v>332</v>
      </c>
      <c r="GM57" s="328" t="s">
        <v>335</v>
      </c>
      <c r="GN57" s="328" t="s">
        <v>333</v>
      </c>
      <c r="GO57" s="328"/>
      <c r="GP57" s="402" t="e">
        <v>#N/A</v>
      </c>
      <c r="GQ57" s="223" t="e">
        <f t="shared" ref="GQ57:GQ58" si="117">INDEX($GP$25:$GP$30,MATCH(GP57,$GF$25:$GF$30,0))</f>
        <v>#N/A</v>
      </c>
      <c r="GR57" s="223" t="e">
        <f t="shared" ref="GR57:GR58" si="118">INDEX($GQ$25:$GQ$30,MATCH(GP57,$GF$25:$GF$30,0))</f>
        <v>#N/A</v>
      </c>
      <c r="GS57" s="310"/>
      <c r="GT57" s="310"/>
      <c r="GU57" s="310"/>
      <c r="GV57" s="310"/>
      <c r="GW57" s="531" t="b">
        <f>IF(BK6=3,TRUE,FALSE)</f>
        <v>0</v>
      </c>
      <c r="GX57" s="531" t="b">
        <f>IF(BK6=3,FALSE,FALSE)</f>
        <v>0</v>
      </c>
      <c r="GY57" s="310"/>
      <c r="GZ57" s="242" t="e">
        <f>IF(GW57=TRUE,GQ57,#N/A)</f>
        <v>#N/A</v>
      </c>
      <c r="HA57" s="242" t="e">
        <f>IF(GW57=TRUE,GR57,#N/A)</f>
        <v>#N/A</v>
      </c>
      <c r="HB57" s="242" t="e">
        <f>IF(GX57=TRUE,GQ57,#N/A)</f>
        <v>#N/A</v>
      </c>
      <c r="HC57" s="242" t="e">
        <f>IF(GX57=TRUE,GR57,#N/A)</f>
        <v>#N/A</v>
      </c>
      <c r="HD57" s="310"/>
      <c r="HE57" s="310" t="b">
        <f>IF(COUNTIF(HE45:HE55,TRUE)=4,TRUE,FALSE)</f>
        <v>1</v>
      </c>
      <c r="HF57" s="310" t="b">
        <f>IF(HE57=FALSE,TRUE,FALSE)</f>
        <v>0</v>
      </c>
      <c r="HG57" s="224"/>
      <c r="HH57" s="310"/>
      <c r="HI57" s="310"/>
      <c r="HJ57" s="310"/>
      <c r="HK57" s="342">
        <v>43</v>
      </c>
      <c r="HL57" s="235" t="e">
        <f t="shared" si="5"/>
        <v>#N/A</v>
      </c>
      <c r="HM57" s="235" t="e">
        <f t="shared" si="6"/>
        <v>#N/A</v>
      </c>
      <c r="HN57" s="310"/>
      <c r="HO57" s="310"/>
      <c r="HP57" s="235" t="e">
        <f t="shared" si="7"/>
        <v>#N/A</v>
      </c>
      <c r="HQ57" s="235" t="e">
        <f t="shared" si="8"/>
        <v>#N/A</v>
      </c>
      <c r="HR57" s="310"/>
      <c r="HS57" s="310"/>
      <c r="HT57" s="235" t="e">
        <f t="shared" si="9"/>
        <v>#N/A</v>
      </c>
      <c r="HU57" s="235" t="e">
        <f t="shared" si="10"/>
        <v>#N/A</v>
      </c>
      <c r="HV57" s="310"/>
      <c r="HW57" s="310"/>
      <c r="HX57" s="235" t="e">
        <f t="shared" si="11"/>
        <v>#N/A</v>
      </c>
      <c r="HY57" s="235" t="e">
        <f t="shared" si="12"/>
        <v>#N/A</v>
      </c>
      <c r="HZ57" s="310"/>
      <c r="IA57" s="310"/>
      <c r="IB57" s="235" t="e">
        <f t="shared" si="13"/>
        <v>#N/A</v>
      </c>
      <c r="IC57" s="235" t="e">
        <f t="shared" si="14"/>
        <v>#N/A</v>
      </c>
      <c r="ID57" s="310"/>
      <c r="IE57" s="342">
        <v>43</v>
      </c>
      <c r="IF57" s="262" t="e">
        <f t="shared" si="15"/>
        <v>#N/A</v>
      </c>
      <c r="IG57" s="262" t="e">
        <f t="shared" si="16"/>
        <v>#N/A</v>
      </c>
      <c r="IH57" s="390"/>
      <c r="II57" s="390"/>
      <c r="IJ57" s="262" t="e">
        <f t="shared" si="17"/>
        <v>#N/A</v>
      </c>
      <c r="IK57" s="262" t="e">
        <f t="shared" si="18"/>
        <v>#N/A</v>
      </c>
      <c r="IL57" s="390"/>
      <c r="IM57" s="390"/>
      <c r="IN57" s="262" t="e">
        <f t="shared" si="19"/>
        <v>#N/A</v>
      </c>
      <c r="IO57" s="262" t="e">
        <f t="shared" si="20"/>
        <v>#N/A</v>
      </c>
      <c r="IP57" s="390"/>
      <c r="IQ57" s="390"/>
      <c r="IR57" s="262" t="e">
        <f t="shared" si="21"/>
        <v>#N/A</v>
      </c>
      <c r="IS57" s="262" t="e">
        <f t="shared" si="22"/>
        <v>#N/A</v>
      </c>
      <c r="IT57" s="390"/>
      <c r="IU57" s="390"/>
      <c r="IV57" s="262" t="e">
        <f t="shared" si="23"/>
        <v>#N/A</v>
      </c>
      <c r="IW57" s="262" t="e">
        <f t="shared" si="24"/>
        <v>#N/A</v>
      </c>
      <c r="IX57" s="310"/>
      <c r="IY57" s="310"/>
      <c r="IZ57" s="310"/>
      <c r="JA57" s="310"/>
      <c r="JB57" s="313" t="s">
        <v>325</v>
      </c>
      <c r="JC57" s="236" t="e">
        <f>JC52</f>
        <v>#N/A</v>
      </c>
      <c r="JD57" s="236" t="e">
        <f>JD56</f>
        <v>#N/A</v>
      </c>
      <c r="JE57" s="310"/>
      <c r="JF57" s="310"/>
      <c r="JG57" s="310"/>
      <c r="JH57" s="310"/>
      <c r="JI57" s="313" t="s">
        <v>325</v>
      </c>
      <c r="JJ57" s="263" t="e">
        <f>JJ52</f>
        <v>#N/A</v>
      </c>
      <c r="JK57" s="263" t="e">
        <f>JK56</f>
        <v>#N/A</v>
      </c>
      <c r="JL57" s="310"/>
      <c r="JM57" s="310"/>
      <c r="JN57" s="261" t="e">
        <f t="shared" si="25"/>
        <v>#N/A</v>
      </c>
      <c r="JO57" s="261" t="e">
        <f t="shared" si="26"/>
        <v>#N/A</v>
      </c>
      <c r="JP57" s="310"/>
      <c r="JQ57" s="310"/>
      <c r="JR57" s="261" t="e">
        <f t="shared" si="31"/>
        <v>#N/A</v>
      </c>
      <c r="JS57" s="261" t="e">
        <f t="shared" si="32"/>
        <v>#N/A</v>
      </c>
      <c r="JT57" s="310"/>
      <c r="JU57" s="310"/>
      <c r="JV57" s="261" t="e">
        <f t="shared" si="27"/>
        <v>#N/A</v>
      </c>
      <c r="JW57" s="261" t="e">
        <f t="shared" si="28"/>
        <v>#N/A</v>
      </c>
      <c r="JX57" s="310"/>
      <c r="JY57" s="313" t="s">
        <v>72</v>
      </c>
      <c r="JZ57" s="362" t="e">
        <f>IF(KA55=TRUE,$J$33,#N/A)</f>
        <v>#N/A</v>
      </c>
      <c r="KA57" s="363" t="e">
        <f>IF(KA55=TRUE,$H$33,#N/A)</f>
        <v>#N/A</v>
      </c>
      <c r="KB57" s="313" t="s">
        <v>149</v>
      </c>
      <c r="KC57" s="265" t="e">
        <f>JZ57+$IZ$62</f>
        <v>#N/A</v>
      </c>
      <c r="KD57" s="265" t="e">
        <f>KA57</f>
        <v>#N/A</v>
      </c>
      <c r="KE57" s="310"/>
      <c r="KF57" s="310"/>
      <c r="KG57" s="310"/>
      <c r="KH57" s="310"/>
      <c r="KI57" s="310"/>
      <c r="KJ57" s="310"/>
      <c r="KK57" s="310"/>
      <c r="KL57" s="310"/>
      <c r="KM57" s="310"/>
      <c r="KN57" s="242" t="e">
        <f>KN55</f>
        <v>#N/A</v>
      </c>
      <c r="KO57" s="242" t="e">
        <f>KO55</f>
        <v>#N/A</v>
      </c>
      <c r="KP57" s="328"/>
      <c r="KQ57" s="328"/>
      <c r="KR57" s="328"/>
      <c r="KS57" s="310"/>
      <c r="KT57" s="242">
        <f>KT55</f>
        <v>-1.5999999999999999</v>
      </c>
      <c r="KU57" s="242">
        <f>KU55</f>
        <v>0</v>
      </c>
      <c r="KV57" s="338"/>
      <c r="KW57" s="338"/>
      <c r="KX57" s="389"/>
      <c r="KY57" s="310"/>
      <c r="KZ57" s="310"/>
      <c r="LA57" s="310"/>
      <c r="LB57" s="328" t="str">
        <v>P3</v>
      </c>
      <c r="LC57" s="391" t="e">
        <v>#N/A</v>
      </c>
      <c r="LD57" s="391" t="e">
        <v>#N/A</v>
      </c>
      <c r="LE57" s="310"/>
      <c r="LF57" s="310"/>
      <c r="LG57" s="310"/>
      <c r="LH57" s="463" t="e">
        <f>LH56</f>
        <v>#N/A</v>
      </c>
      <c r="LI57" s="463">
        <f>LF51</f>
        <v>0</v>
      </c>
      <c r="LJ57" s="463" t="e">
        <f>LH70+(LH71-LH70)/2</f>
        <v>#N/A</v>
      </c>
      <c r="LK57" s="463" t="e">
        <f>LK56</f>
        <v>#N/A</v>
      </c>
      <c r="LL57" s="463" t="e">
        <f>LH71-LH70</f>
        <v>#N/A</v>
      </c>
      <c r="LM57" s="310"/>
      <c r="LN57" s="310"/>
      <c r="LO57" s="347" t="e">
        <f>LO56</f>
        <v>#N/A</v>
      </c>
      <c r="LP57" s="347">
        <f>LF51</f>
        <v>0</v>
      </c>
      <c r="LQ57" s="318" t="e">
        <f>LO70+(LO71-LO70)/2</f>
        <v>#N/A</v>
      </c>
      <c r="LR57" s="368" t="e">
        <f>LR56</f>
        <v>#N/A</v>
      </c>
      <c r="LS57" s="347" t="e">
        <f>LO71-LO70</f>
        <v>#N/A</v>
      </c>
      <c r="LT57" s="310"/>
      <c r="LU57" s="310"/>
      <c r="LV57" s="347">
        <f>LE51</f>
        <v>0</v>
      </c>
      <c r="LW57" s="347" t="e">
        <f>LW56</f>
        <v>#N/A</v>
      </c>
      <c r="LX57" s="368" t="e">
        <f>LX56</f>
        <v>#N/A</v>
      </c>
      <c r="LY57" s="368" t="e">
        <f>LW70-(LW70-LW71)/2</f>
        <v>#N/A</v>
      </c>
      <c r="LZ57" s="347" t="e">
        <f>LW70-LW71</f>
        <v>#N/A</v>
      </c>
      <c r="MA57" s="310"/>
      <c r="MB57" s="310"/>
      <c r="MC57" s="347">
        <f>LE51</f>
        <v>0</v>
      </c>
      <c r="MD57" s="347" t="e">
        <f>MD56</f>
        <v>#N/A</v>
      </c>
      <c r="ME57" s="347" t="e">
        <f>ME56</f>
        <v>#N/A</v>
      </c>
      <c r="MF57" s="347" t="e">
        <f>MD70-(MD70-MD71)/2</f>
        <v>#N/A</v>
      </c>
      <c r="MG57" s="347" t="e">
        <f>MD70-MD71</f>
        <v>#N/A</v>
      </c>
      <c r="MH57" s="310"/>
      <c r="MI57" s="310"/>
      <c r="MJ57" s="238" t="e">
        <v>#N/A</v>
      </c>
      <c r="MK57" s="238" t="e">
        <v>#N/A</v>
      </c>
      <c r="ML57" s="236" t="e">
        <v>#N/A</v>
      </c>
      <c r="MM57" s="240" t="e">
        <v>#N/A</v>
      </c>
      <c r="MN57" s="347"/>
      <c r="MO57" s="310"/>
      <c r="MP57" s="311" t="e">
        <v>#N/A</v>
      </c>
      <c r="MQ57" s="311" t="e">
        <v>#N/A</v>
      </c>
      <c r="MR57" s="311" t="e">
        <v>#N/A</v>
      </c>
      <c r="MS57" s="311" t="e">
        <v>#N/A</v>
      </c>
      <c r="MT57" s="310"/>
      <c r="MU57" s="292" t="e">
        <f>MU56-NA29*12</f>
        <v>#N/A</v>
      </c>
      <c r="MV57" s="292" t="e">
        <f>MV56</f>
        <v>#N/A</v>
      </c>
      <c r="MW57" s="292" t="e">
        <v>#N/A</v>
      </c>
      <c r="MX57" s="292" t="e">
        <v>#N/A</v>
      </c>
      <c r="MY57" s="338"/>
      <c r="MZ57" s="403">
        <v>24</v>
      </c>
      <c r="NA57" s="372" t="b">
        <f t="shared" si="76"/>
        <v>0</v>
      </c>
      <c r="NB57" s="280" t="e">
        <f t="shared" si="80"/>
        <v>#N/A</v>
      </c>
      <c r="NC57" s="280" t="e">
        <f t="shared" si="81"/>
        <v>#N/A</v>
      </c>
      <c r="ND57" s="280" t="e">
        <f t="shared" si="77"/>
        <v>#N/A</v>
      </c>
      <c r="NE57" s="280" t="e">
        <f t="shared" si="78"/>
        <v>#N/A</v>
      </c>
      <c r="NF57" s="310"/>
      <c r="NG57" s="310"/>
      <c r="NH57" s="310"/>
      <c r="NI57" s="310"/>
      <c r="NJ57" s="310"/>
      <c r="NK57" s="310"/>
      <c r="NL57" s="310"/>
      <c r="NM57" s="310"/>
      <c r="NN57" s="310"/>
      <c r="NO57" s="310"/>
      <c r="NP57" s="310"/>
      <c r="NQ57" s="310"/>
      <c r="NR57" s="310"/>
      <c r="NS57" s="310"/>
      <c r="NT57" s="310"/>
      <c r="NU57" s="310"/>
      <c r="NV57" s="310"/>
      <c r="NW57" s="310"/>
      <c r="NX57" s="310"/>
      <c r="NY57" s="310"/>
      <c r="NZ57" s="310"/>
      <c r="OA57" s="310"/>
      <c r="OB57" s="310"/>
      <c r="OC57" s="310"/>
      <c r="OD57" s="310"/>
      <c r="OE57" s="310"/>
      <c r="OF57" s="310"/>
      <c r="OG57" s="310"/>
      <c r="OH57" s="310"/>
      <c r="OI57" s="310"/>
      <c r="OJ57" s="310"/>
      <c r="OK57" s="310"/>
      <c r="OL57" s="310"/>
      <c r="OM57" s="338" t="s">
        <v>72</v>
      </c>
      <c r="ON57" s="338">
        <f>IF(BE8=TRUE,M11,#N/A)</f>
        <v>0</v>
      </c>
      <c r="OO57" s="338">
        <f>IF(BE8=TRUE,M10,#N/A)</f>
        <v>0</v>
      </c>
      <c r="OP57" s="310"/>
      <c r="OQ57" s="310"/>
      <c r="OR57" s="310"/>
      <c r="OS57" s="310"/>
      <c r="OT57" s="310"/>
      <c r="OU57" s="310"/>
      <c r="OV57" s="310"/>
      <c r="OW57" s="310"/>
      <c r="OX57" s="310"/>
      <c r="OY57" s="310"/>
      <c r="OZ57" s="310"/>
      <c r="PA57" s="310"/>
      <c r="PB57" s="310"/>
      <c r="PC57" s="310"/>
      <c r="PD57" s="310"/>
      <c r="PE57" s="310"/>
      <c r="PF57" s="310"/>
      <c r="PG57" s="310"/>
      <c r="PH57" s="310"/>
      <c r="PI57" s="310"/>
      <c r="PJ57" s="310"/>
      <c r="PK57" s="310"/>
      <c r="PL57" s="310"/>
      <c r="PM57" s="310"/>
      <c r="PN57" s="310"/>
      <c r="PO57" s="310"/>
      <c r="PP57" s="310"/>
      <c r="PQ57" s="310"/>
      <c r="PR57" s="310"/>
      <c r="PS57" s="342">
        <v>43</v>
      </c>
      <c r="PT57" s="261" t="e">
        <f t="shared" si="29"/>
        <v>#N/A</v>
      </c>
      <c r="PU57" s="261" t="e">
        <f t="shared" si="30"/>
        <v>#N/A</v>
      </c>
      <c r="PV57" s="310"/>
      <c r="PW57" s="310"/>
      <c r="PX57" s="310"/>
      <c r="PY57" s="310"/>
      <c r="PZ57" s="310"/>
      <c r="QA57" s="310"/>
      <c r="QB57" s="310"/>
      <c r="QC57" s="310"/>
      <c r="QD57" s="310"/>
      <c r="QE57" s="310"/>
      <c r="QF57" s="310"/>
      <c r="QG57" s="310"/>
      <c r="QH57" s="310"/>
      <c r="QI57" s="310"/>
      <c r="QJ57" s="310"/>
      <c r="QK57" s="310"/>
      <c r="QL57" s="310"/>
      <c r="QM57" s="310"/>
      <c r="QN57" s="310"/>
      <c r="QO57" s="310"/>
      <c r="QP57" s="310"/>
      <c r="QQ57" s="310"/>
      <c r="QR57" s="310"/>
      <c r="QS57" s="310"/>
      <c r="QT57" s="310"/>
      <c r="QU57" s="310"/>
      <c r="QV57" s="310"/>
      <c r="QW57" s="310"/>
      <c r="QX57" s="310"/>
      <c r="QY57" s="310"/>
      <c r="QZ57" s="310"/>
      <c r="RA57" s="310"/>
      <c r="RB57" s="310"/>
      <c r="RC57" s="310"/>
      <c r="RD57" s="310"/>
      <c r="RE57" s="310"/>
      <c r="RF57" s="310"/>
      <c r="RG57" s="310"/>
      <c r="RH57" s="310"/>
      <c r="RI57" s="310"/>
      <c r="RJ57" s="310"/>
      <c r="RK57" s="310"/>
      <c r="RL57" s="310"/>
      <c r="RM57" s="310"/>
      <c r="RN57" s="310"/>
      <c r="RO57" s="310"/>
      <c r="RP57" s="310"/>
      <c r="RQ57" s="310"/>
      <c r="RR57" s="310"/>
      <c r="RS57" s="310"/>
      <c r="RT57" s="310"/>
      <c r="RU57" s="310"/>
      <c r="RV57" s="310"/>
      <c r="RW57" s="310"/>
      <c r="RX57" s="310"/>
      <c r="RY57" s="310"/>
      <c r="RZ57" s="310"/>
      <c r="SA57" s="310"/>
      <c r="SB57" s="310"/>
      <c r="SC57" s="310"/>
      <c r="SD57" s="310"/>
      <c r="SE57" s="310"/>
      <c r="SF57" s="310"/>
      <c r="SG57" s="310"/>
      <c r="SH57" s="310"/>
      <c r="SI57" s="310"/>
      <c r="SJ57" s="310"/>
      <c r="SK57" s="310"/>
      <c r="SL57" s="310"/>
      <c r="SM57" s="310"/>
      <c r="SN57" s="310"/>
      <c r="SO57" s="220"/>
      <c r="SP57" s="220"/>
      <c r="SQ57" s="220"/>
      <c r="SR57" s="220"/>
      <c r="SS57" s="220"/>
      <c r="ST57" s="220"/>
      <c r="SU57" s="220"/>
      <c r="SV57" s="220"/>
      <c r="SW57" s="220"/>
      <c r="SX57" s="220"/>
      <c r="SY57" s="220"/>
      <c r="SZ57" s="220"/>
      <c r="TA57" s="220"/>
      <c r="TB57" s="220"/>
      <c r="TC57" s="220"/>
      <c r="TD57" s="220"/>
      <c r="TE57" s="220"/>
      <c r="TF57" s="220"/>
      <c r="TG57" s="220"/>
      <c r="TH57" s="220"/>
      <c r="TI57" s="220"/>
      <c r="TJ57" s="220"/>
      <c r="TK57" s="220"/>
      <c r="TL57" s="220"/>
      <c r="TM57" s="220"/>
      <c r="TN57" s="220"/>
      <c r="TO57" s="220"/>
      <c r="TP57" s="220"/>
      <c r="TQ57" s="220"/>
      <c r="TR57" s="220"/>
      <c r="TS57" s="220"/>
      <c r="TT57" s="220"/>
      <c r="TU57" s="220"/>
      <c r="TV57" s="220"/>
      <c r="TW57" s="220"/>
      <c r="TX57" s="220"/>
      <c r="TY57" s="220"/>
      <c r="TZ57" s="220"/>
      <c r="UA57" s="220"/>
      <c r="UB57" s="220"/>
      <c r="UC57" s="220"/>
      <c r="UD57" s="220"/>
      <c r="UE57" s="220"/>
      <c r="UF57" s="220"/>
      <c r="UG57" s="220"/>
      <c r="UH57" s="220"/>
      <c r="UI57" s="220"/>
      <c r="UJ57" s="220"/>
      <c r="UK57" s="216"/>
      <c r="UL57" s="216"/>
      <c r="UM57" s="216"/>
      <c r="UN57" s="216"/>
      <c r="UO57" s="216"/>
      <c r="UP57" s="216"/>
      <c r="UQ57" s="216"/>
      <c r="UR57" s="216"/>
      <c r="US57" s="216"/>
      <c r="UT57" s="216"/>
      <c r="UU57" s="216"/>
      <c r="UV57" s="216"/>
      <c r="UW57" s="216"/>
      <c r="UX57" s="216"/>
      <c r="UY57" s="216"/>
      <c r="UZ57" s="216"/>
      <c r="VA57" s="216"/>
    </row>
    <row r="58" spans="1:573" s="4" customFormat="1" ht="15" customHeight="1" x14ac:dyDescent="0.5">
      <c r="A58" s="168"/>
      <c r="B58" s="16"/>
      <c r="C58" s="16"/>
      <c r="D58" s="16"/>
      <c r="E58" s="16"/>
      <c r="F58" s="16"/>
      <c r="G58" s="711">
        <f>IF(CP13=TRUE,IF(BK6=2,IF(AX14=2,BM94*1000,"Temp."),BM94*1000),"")</f>
        <v>0</v>
      </c>
      <c r="H58" s="712"/>
      <c r="I58" s="714"/>
      <c r="J58" s="691"/>
      <c r="K58" s="692"/>
      <c r="L58" s="696"/>
      <c r="M58" s="684" t="str" cm="1">
        <f t="array" ref="M58">INDEX(AS49:AS55,AS58)&amp;" @ "&amp;TRUNC(AY58,3)&amp;"m."</f>
        <v>SD-40  DB20 @ 0.125m.</v>
      </c>
      <c r="N58" s="685"/>
      <c r="O58" s="686"/>
      <c r="P58" s="72"/>
      <c r="Q58" s="50"/>
      <c r="R58" s="50"/>
      <c r="S58" s="50"/>
      <c r="T58" s="167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5"/>
      <c r="AM58" s="45"/>
      <c r="AN58" s="45"/>
      <c r="AO58" s="45"/>
      <c r="AP58" s="310"/>
      <c r="AQ58" s="310" t="b">
        <v>1</v>
      </c>
      <c r="AR58" s="424" t="s">
        <v>166</v>
      </c>
      <c r="AS58" s="310">
        <v>6</v>
      </c>
      <c r="AT58" s="310" t="str" cm="1">
        <f t="array" ref="AT58">INDEX(AT49:AT55,AS58)</f>
        <v>DB20</v>
      </c>
      <c r="AU58" s="310" cm="1">
        <f t="array" ref="AU58">INDEX(AU49:AU55,AS58)/1000</f>
        <v>0.02</v>
      </c>
      <c r="AV58" s="310" cm="1">
        <f t="array" ref="AV58">INDEX(AV49:AV55,AS58)*N57</f>
        <v>25.12</v>
      </c>
      <c r="AW58" s="310" t="b">
        <f>IF(J57&gt;=I57,TRUE,FALSE)</f>
        <v>1</v>
      </c>
      <c r="AX58" s="310" t="b">
        <f>IF(AW58=FALSE,TRUE,FALSE)</f>
        <v>0</v>
      </c>
      <c r="AY58" s="467">
        <f>1/N57</f>
        <v>0.125</v>
      </c>
      <c r="AZ58" s="310"/>
      <c r="BA58" s="310"/>
      <c r="BB58" s="329" t="s">
        <v>167</v>
      </c>
      <c r="BC58" s="338"/>
      <c r="BD58" s="338"/>
      <c r="BE58" s="338"/>
      <c r="BF58" s="338"/>
      <c r="BG58" s="338"/>
      <c r="BH58" s="338"/>
      <c r="BI58" s="223"/>
      <c r="BJ58" s="223"/>
      <c r="BK58" s="338"/>
      <c r="BL58" s="338"/>
      <c r="BM58" s="387">
        <f>M10</f>
        <v>0</v>
      </c>
      <c r="BN58" s="462">
        <f>M11</f>
        <v>0</v>
      </c>
      <c r="BO58" s="338">
        <v>0</v>
      </c>
      <c r="BP58" s="338">
        <v>0</v>
      </c>
      <c r="BQ58" s="310"/>
      <c r="BR58" s="310"/>
      <c r="BS58" s="310" t="e">
        <v>#N/A</v>
      </c>
      <c r="BT58" s="310" t="e">
        <v>#N/A</v>
      </c>
      <c r="BU58" s="310"/>
      <c r="BV58" s="310"/>
      <c r="BW58" s="310"/>
      <c r="BX58" s="310"/>
      <c r="BY58" s="338" t="e">
        <v>#N/A</v>
      </c>
      <c r="BZ58" s="338" t="e">
        <v>#N/A</v>
      </c>
      <c r="CA58" s="310"/>
      <c r="CB58" s="310"/>
      <c r="CC58" s="310"/>
      <c r="CD58" s="231" t="e">
        <f>BY47</f>
        <v>#N/A</v>
      </c>
      <c r="CE58" s="231" t="e">
        <f>CE57</f>
        <v>#N/A</v>
      </c>
      <c r="CF58" s="310"/>
      <c r="CG58" s="310"/>
      <c r="CH58" s="310"/>
      <c r="CI58" s="424" t="s">
        <v>229</v>
      </c>
      <c r="CJ58" s="493" t="e">
        <f>IF($CI$56=TRUE,CJ56,#N/A)</f>
        <v>#N/A</v>
      </c>
      <c r="CK58" s="493" t="e">
        <f>IF($CI$56=TRUE,CK56,#N/A)</f>
        <v>#N/A</v>
      </c>
      <c r="CL58" s="468">
        <f>IF($CI$56=TRUE,M44,"")</f>
        <v>36</v>
      </c>
      <c r="CM58" s="310"/>
      <c r="CN58" s="338" t="e">
        <v>#N/A</v>
      </c>
      <c r="CO58" s="338" t="e">
        <v>#N/A</v>
      </c>
      <c r="CP58" s="310"/>
      <c r="CQ58" s="310"/>
      <c r="CR58" s="310"/>
      <c r="CS58" s="310"/>
      <c r="CT58" s="338" t="e">
        <v>#N/A</v>
      </c>
      <c r="CU58" s="338" t="e">
        <v>#N/A</v>
      </c>
      <c r="CV58" s="310"/>
      <c r="CW58" s="310"/>
      <c r="CX58" s="310"/>
      <c r="CY58" s="310"/>
      <c r="CZ58" s="310"/>
      <c r="DA58" s="310"/>
      <c r="DB58" s="310">
        <v>3</v>
      </c>
      <c r="DC58" s="280" t="e">
        <f>IF(AND($DD$50=TRUE,$D$63&gt;=DB58),$DC$52,#N/A)</f>
        <v>#N/A</v>
      </c>
      <c r="DD58" s="280" t="e">
        <f>IF(AND($DD$50=TRUE,$D$63&gt;=DB58),$DD$52-0.2,#N/A)</f>
        <v>#N/A</v>
      </c>
      <c r="DE58" s="310"/>
      <c r="DF58" s="310"/>
      <c r="DG58" s="310"/>
      <c r="DH58" s="310"/>
      <c r="DI58" s="310"/>
      <c r="DJ58" s="310"/>
      <c r="DK58" s="313">
        <v>50</v>
      </c>
      <c r="DL58" s="282" t="e">
        <f t="shared" si="3"/>
        <v>#N/A</v>
      </c>
      <c r="DM58" s="291" t="e">
        <f t="shared" si="4"/>
        <v>#N/A</v>
      </c>
      <c r="DN58" s="310"/>
      <c r="DO58" s="310"/>
      <c r="DP58" s="310"/>
      <c r="DQ58" s="310"/>
      <c r="DR58" s="310"/>
      <c r="DS58" s="310"/>
      <c r="DT58" s="338"/>
      <c r="DU58" s="338">
        <f>DU47+$BT$7/2</f>
        <v>-0.5</v>
      </c>
      <c r="DV58" s="338">
        <f>DV57</f>
        <v>0.8</v>
      </c>
      <c r="DW58" s="310"/>
      <c r="DX58" s="310"/>
      <c r="DY58" s="338">
        <f>DY47+$BT$7/2</f>
        <v>-0.5</v>
      </c>
      <c r="DZ58" s="338">
        <f>DZ57</f>
        <v>0.8</v>
      </c>
      <c r="EA58" s="310"/>
      <c r="EB58" s="310" t="s">
        <v>168</v>
      </c>
      <c r="EC58" s="310" t="b">
        <f>IF(CP13=TRUE,DU20,FALSE)</f>
        <v>1</v>
      </c>
      <c r="ED58" s="310"/>
      <c r="EE58" s="310"/>
      <c r="EF58" s="310"/>
      <c r="EG58" s="310"/>
      <c r="EH58" s="310"/>
      <c r="EI58" s="310"/>
      <c r="EJ58" s="310"/>
      <c r="EK58" s="310"/>
      <c r="EL58" s="310"/>
      <c r="EM58" s="310"/>
      <c r="EN58" s="310"/>
      <c r="EO58" s="310"/>
      <c r="EP58" s="310"/>
      <c r="EQ58" s="310"/>
      <c r="ER58" s="310"/>
      <c r="ES58" s="310"/>
      <c r="ET58" s="310"/>
      <c r="EU58" s="310"/>
      <c r="EV58" s="310"/>
      <c r="EW58" s="310"/>
      <c r="EX58" s="310"/>
      <c r="EY58" s="310"/>
      <c r="EZ58" s="310"/>
      <c r="FA58" s="310"/>
      <c r="FB58" s="310"/>
      <c r="FC58" s="310"/>
      <c r="FD58" s="310"/>
      <c r="FE58" s="310"/>
      <c r="FF58" s="310"/>
      <c r="FG58" s="310"/>
      <c r="FH58" s="311"/>
      <c r="FI58" s="311"/>
      <c r="FJ58" s="311"/>
      <c r="FK58" s="311"/>
      <c r="FL58" s="310"/>
      <c r="FM58" s="318" t="b">
        <f>AND(FL29=TRUE,BM12=TRUE)</f>
        <v>0</v>
      </c>
      <c r="FN58" s="318"/>
      <c r="FO58" s="318" t="s">
        <v>315</v>
      </c>
      <c r="FP58" s="310"/>
      <c r="FQ58" s="313" t="s">
        <v>337</v>
      </c>
      <c r="FR58" s="318" t="e">
        <v>#N/A</v>
      </c>
      <c r="FS58" s="318" t="e">
        <v>#N/A</v>
      </c>
      <c r="FT58" s="318" t="e">
        <v>#N/A</v>
      </c>
      <c r="FU58" s="318" t="e">
        <v>#N/A</v>
      </c>
      <c r="FV58" s="318" t="e">
        <f>GC30</f>
        <v>#N/A</v>
      </c>
      <c r="FW58" s="318" t="e">
        <f>GD30</f>
        <v>#N/A</v>
      </c>
      <c r="FX58" s="318"/>
      <c r="FY58" s="318"/>
      <c r="FZ58" s="318" t="e">
        <v>#N/A</v>
      </c>
      <c r="GA58" s="318" t="e">
        <v>#N/A</v>
      </c>
      <c r="GB58" s="318" t="e">
        <v>#N/A</v>
      </c>
      <c r="GC58" s="318" t="e">
        <v>#N/A</v>
      </c>
      <c r="GD58" s="310"/>
      <c r="GE58" s="535"/>
      <c r="GF58" s="313" t="e">
        <v>#N/A</v>
      </c>
      <c r="GG58" s="313" t="e">
        <v>#N/A</v>
      </c>
      <c r="GH58" s="313" t="e">
        <v>#N/A</v>
      </c>
      <c r="GI58" s="313" t="e">
        <v>#N/A</v>
      </c>
      <c r="GJ58" s="313" t="e">
        <v>#N/A</v>
      </c>
      <c r="GK58" s="328" t="s">
        <v>337</v>
      </c>
      <c r="GL58" s="328" t="s">
        <v>337</v>
      </c>
      <c r="GM58" s="328" t="s">
        <v>336</v>
      </c>
      <c r="GN58" s="328" t="s">
        <v>334</v>
      </c>
      <c r="GO58" s="328"/>
      <c r="GP58" s="402" t="e">
        <v>#N/A</v>
      </c>
      <c r="GQ58" s="223" t="e">
        <f t="shared" si="117"/>
        <v>#N/A</v>
      </c>
      <c r="GR58" s="223" t="e">
        <f t="shared" si="118"/>
        <v>#N/A</v>
      </c>
      <c r="GS58" s="310"/>
      <c r="GT58" s="310"/>
      <c r="GU58" s="310"/>
      <c r="GV58" s="310"/>
      <c r="GW58" s="531"/>
      <c r="GX58" s="531"/>
      <c r="GY58" s="310"/>
      <c r="GZ58" s="242" t="e">
        <f>IF(GW57=TRUE,GQ58,#N/A)</f>
        <v>#N/A</v>
      </c>
      <c r="HA58" s="242" t="e">
        <f>IF(GW57=TRUE,GR58,#N/A)</f>
        <v>#N/A</v>
      </c>
      <c r="HB58" s="242" t="e">
        <f>IF(GX57=TRUE,GQ58,#N/A)</f>
        <v>#N/A</v>
      </c>
      <c r="HC58" s="242" t="e">
        <f>IF(GX57=TRUE,GR58,#N/A)</f>
        <v>#N/A</v>
      </c>
      <c r="HD58" s="310"/>
      <c r="HE58" s="310"/>
      <c r="HF58" s="310"/>
      <c r="HG58" s="310"/>
      <c r="HH58" s="310"/>
      <c r="HI58" s="310"/>
      <c r="HJ58" s="310"/>
      <c r="HK58" s="342">
        <v>44</v>
      </c>
      <c r="HL58" s="235" t="e">
        <f t="shared" si="5"/>
        <v>#N/A</v>
      </c>
      <c r="HM58" s="235" t="e">
        <f t="shared" si="6"/>
        <v>#N/A</v>
      </c>
      <c r="HN58" s="310"/>
      <c r="HO58" s="310"/>
      <c r="HP58" s="235" t="e">
        <f t="shared" si="7"/>
        <v>#N/A</v>
      </c>
      <c r="HQ58" s="235" t="e">
        <f t="shared" si="8"/>
        <v>#N/A</v>
      </c>
      <c r="HR58" s="310"/>
      <c r="HS58" s="310"/>
      <c r="HT58" s="235" t="e">
        <f t="shared" si="9"/>
        <v>#N/A</v>
      </c>
      <c r="HU58" s="235" t="e">
        <f t="shared" si="10"/>
        <v>#N/A</v>
      </c>
      <c r="HV58" s="310"/>
      <c r="HW58" s="310"/>
      <c r="HX58" s="235" t="e">
        <f t="shared" si="11"/>
        <v>#N/A</v>
      </c>
      <c r="HY58" s="235" t="e">
        <f t="shared" si="12"/>
        <v>#N/A</v>
      </c>
      <c r="HZ58" s="310"/>
      <c r="IA58" s="310"/>
      <c r="IB58" s="235" t="e">
        <f t="shared" si="13"/>
        <v>#N/A</v>
      </c>
      <c r="IC58" s="235" t="e">
        <f t="shared" si="14"/>
        <v>#N/A</v>
      </c>
      <c r="ID58" s="310"/>
      <c r="IE58" s="342">
        <v>44</v>
      </c>
      <c r="IF58" s="262" t="e">
        <f t="shared" si="15"/>
        <v>#N/A</v>
      </c>
      <c r="IG58" s="262" t="e">
        <f t="shared" si="16"/>
        <v>#N/A</v>
      </c>
      <c r="IH58" s="390"/>
      <c r="II58" s="390"/>
      <c r="IJ58" s="262" t="e">
        <f t="shared" si="17"/>
        <v>#N/A</v>
      </c>
      <c r="IK58" s="262" t="e">
        <f t="shared" si="18"/>
        <v>#N/A</v>
      </c>
      <c r="IL58" s="390"/>
      <c r="IM58" s="390"/>
      <c r="IN58" s="262" t="e">
        <f t="shared" si="19"/>
        <v>#N/A</v>
      </c>
      <c r="IO58" s="262" t="e">
        <f t="shared" si="20"/>
        <v>#N/A</v>
      </c>
      <c r="IP58" s="390"/>
      <c r="IQ58" s="390"/>
      <c r="IR58" s="262" t="e">
        <f t="shared" si="21"/>
        <v>#N/A</v>
      </c>
      <c r="IS58" s="262" t="e">
        <f t="shared" si="22"/>
        <v>#N/A</v>
      </c>
      <c r="IT58" s="390"/>
      <c r="IU58" s="390"/>
      <c r="IV58" s="262" t="e">
        <f t="shared" si="23"/>
        <v>#N/A</v>
      </c>
      <c r="IW58" s="262" t="e">
        <f t="shared" si="24"/>
        <v>#N/A</v>
      </c>
      <c r="IX58" s="310"/>
      <c r="IY58" s="310"/>
      <c r="IZ58" s="310"/>
      <c r="JA58" s="310"/>
      <c r="JB58" s="313" t="s">
        <v>326</v>
      </c>
      <c r="JC58" s="236" t="e">
        <f>IZ54-($IZ$10/2)</f>
        <v>#N/A</v>
      </c>
      <c r="JD58" s="236" t="e">
        <f>JD55</f>
        <v>#N/A</v>
      </c>
      <c r="JE58" s="310"/>
      <c r="JF58" s="310"/>
      <c r="JG58" s="310"/>
      <c r="JH58" s="310"/>
      <c r="JI58" s="313" t="s">
        <v>326</v>
      </c>
      <c r="JJ58" s="263" t="e">
        <f>JG54-($IZ$10/2)</f>
        <v>#N/A</v>
      </c>
      <c r="JK58" s="263" t="e">
        <f>JK55</f>
        <v>#N/A</v>
      </c>
      <c r="JL58" s="310"/>
      <c r="JM58" s="310"/>
      <c r="JN58" s="261" t="e">
        <f t="shared" si="25"/>
        <v>#N/A</v>
      </c>
      <c r="JO58" s="261" t="e">
        <f t="shared" si="26"/>
        <v>#N/A</v>
      </c>
      <c r="JP58" s="310"/>
      <c r="JQ58" s="310"/>
      <c r="JR58" s="261" t="e">
        <f t="shared" si="31"/>
        <v>#N/A</v>
      </c>
      <c r="JS58" s="261" t="e">
        <f t="shared" si="32"/>
        <v>#N/A</v>
      </c>
      <c r="JT58" s="310"/>
      <c r="JU58" s="310"/>
      <c r="JV58" s="261" t="e">
        <f t="shared" si="27"/>
        <v>#N/A</v>
      </c>
      <c r="JW58" s="261" t="e">
        <f t="shared" si="28"/>
        <v>#N/A</v>
      </c>
      <c r="JX58" s="310"/>
      <c r="JY58" s="310"/>
      <c r="JZ58" s="310"/>
      <c r="KA58" s="310"/>
      <c r="KB58" s="313" t="s">
        <v>152</v>
      </c>
      <c r="KC58" s="242" t="e">
        <f>KC56</f>
        <v>#N/A</v>
      </c>
      <c r="KD58" s="242" t="e">
        <f>KA57-$IZ$61/2</f>
        <v>#N/A</v>
      </c>
      <c r="KE58" s="310"/>
      <c r="KF58" s="310"/>
      <c r="KG58" s="310"/>
      <c r="KH58" s="310"/>
      <c r="KI58" s="310"/>
      <c r="KJ58" s="310"/>
      <c r="KK58" s="310"/>
      <c r="KL58" s="310"/>
      <c r="KM58" s="310"/>
      <c r="KN58" s="242" t="e">
        <f>KN57</f>
        <v>#N/A</v>
      </c>
      <c r="KO58" s="242" t="e">
        <f>IF(KR36=TRUE,OO49,#N/A)</f>
        <v>#N/A</v>
      </c>
      <c r="KP58" s="328"/>
      <c r="KQ58" s="328"/>
      <c r="KR58" s="328"/>
      <c r="KS58" s="310"/>
      <c r="KT58" s="242">
        <f>KT57</f>
        <v>-1.5999999999999999</v>
      </c>
      <c r="KU58" s="242">
        <f>IF(KX36=TRUE,OO49,#N/A)</f>
        <v>-0.95</v>
      </c>
      <c r="KV58" s="338"/>
      <c r="KW58" s="338"/>
      <c r="KX58" s="389"/>
      <c r="KY58" s="310"/>
      <c r="KZ58" s="310"/>
      <c r="LA58" s="310"/>
      <c r="LB58" s="328" t="str">
        <v>P4</v>
      </c>
      <c r="LC58" s="391" t="e">
        <v>#N/A</v>
      </c>
      <c r="LD58" s="391" t="e">
        <v>#N/A</v>
      </c>
      <c r="LE58" s="310"/>
      <c r="LF58" s="310"/>
      <c r="LG58" s="310"/>
      <c r="LH58" s="463" t="e">
        <v>#N/A</v>
      </c>
      <c r="LI58" s="463" t="e">
        <v>#N/A</v>
      </c>
      <c r="LJ58" s="463" t="e">
        <v>#N/A</v>
      </c>
      <c r="LK58" s="463" t="e">
        <v>#N/A</v>
      </c>
      <c r="LL58" s="463"/>
      <c r="LM58" s="310"/>
      <c r="LN58" s="310"/>
      <c r="LO58" s="463" t="e">
        <v>#N/A</v>
      </c>
      <c r="LP58" s="463" t="e">
        <v>#N/A</v>
      </c>
      <c r="LQ58" s="463" t="e">
        <v>#N/A</v>
      </c>
      <c r="LR58" s="463" t="e">
        <v>#N/A</v>
      </c>
      <c r="LS58" s="347"/>
      <c r="LT58" s="310"/>
      <c r="LU58" s="310"/>
      <c r="LV58" s="463" t="e">
        <v>#N/A</v>
      </c>
      <c r="LW58" s="463" t="e">
        <v>#N/A</v>
      </c>
      <c r="LX58" s="463" t="e">
        <v>#N/A</v>
      </c>
      <c r="LY58" s="463" t="e">
        <v>#N/A</v>
      </c>
      <c r="LZ58" s="347"/>
      <c r="MA58" s="310"/>
      <c r="MB58" s="310"/>
      <c r="MC58" s="347" t="e">
        <v>#N/A</v>
      </c>
      <c r="MD58" s="347" t="e">
        <v>#N/A</v>
      </c>
      <c r="ME58" s="347" t="e">
        <v>#N/A</v>
      </c>
      <c r="MF58" s="347" t="e">
        <v>#N/A</v>
      </c>
      <c r="MG58" s="347"/>
      <c r="MH58" s="310"/>
      <c r="MI58" s="310"/>
      <c r="MJ58" s="238" t="e">
        <v>#N/A</v>
      </c>
      <c r="MK58" s="238" t="e">
        <v>#N/A</v>
      </c>
      <c r="ML58" s="236" t="e">
        <v>#N/A</v>
      </c>
      <c r="MM58" s="240" t="e">
        <v>#N/A</v>
      </c>
      <c r="MN58" s="347"/>
      <c r="MO58" s="310"/>
      <c r="MP58" s="311" t="e">
        <v>#N/A</v>
      </c>
      <c r="MQ58" s="311" t="e">
        <v>#N/A</v>
      </c>
      <c r="MR58" s="311" t="e">
        <v>#N/A</v>
      </c>
      <c r="MS58" s="311" t="e">
        <v>#N/A</v>
      </c>
      <c r="MT58" s="310"/>
      <c r="MU58" s="292" t="e">
        <v>#N/A</v>
      </c>
      <c r="MV58" s="292" t="e">
        <v>#N/A</v>
      </c>
      <c r="MW58" s="280" t="e">
        <f>IF(MY58=TRUE,MW55,#N/A)</f>
        <v>#N/A</v>
      </c>
      <c r="MX58" s="280" t="e">
        <f>IF(MY58=TRUE,MX55-0.15,#N/A)</f>
        <v>#N/A</v>
      </c>
      <c r="MY58" s="338" t="b">
        <f>AND(MY54=TRUE,$D$63&gt;=MZ35)</f>
        <v>0</v>
      </c>
      <c r="MZ58" s="403">
        <v>25</v>
      </c>
      <c r="NA58" s="372" t="b">
        <f t="shared" si="76"/>
        <v>0</v>
      </c>
      <c r="NB58" s="280" t="e">
        <f t="shared" si="80"/>
        <v>#N/A</v>
      </c>
      <c r="NC58" s="280" t="e">
        <f t="shared" si="81"/>
        <v>#N/A</v>
      </c>
      <c r="ND58" s="280" t="e">
        <f t="shared" si="77"/>
        <v>#N/A</v>
      </c>
      <c r="NE58" s="280" t="e">
        <f t="shared" si="78"/>
        <v>#N/A</v>
      </c>
      <c r="NF58" s="310"/>
      <c r="NG58" s="310"/>
      <c r="NH58" s="310"/>
      <c r="NI58" s="310"/>
      <c r="NJ58" s="310"/>
      <c r="NK58" s="310"/>
      <c r="NL58" s="310"/>
      <c r="NM58" s="310"/>
      <c r="NN58" s="310"/>
      <c r="NO58" s="310"/>
      <c r="NP58" s="310"/>
      <c r="NQ58" s="310"/>
      <c r="NR58" s="310"/>
      <c r="NS58" s="310"/>
      <c r="NT58" s="310"/>
      <c r="NU58" s="310"/>
      <c r="NV58" s="310"/>
      <c r="NW58" s="310"/>
      <c r="NX58" s="310"/>
      <c r="NY58" s="310"/>
      <c r="NZ58" s="310"/>
      <c r="OA58" s="310"/>
      <c r="OB58" s="310"/>
      <c r="OC58" s="310"/>
      <c r="OD58" s="310"/>
      <c r="OE58" s="310"/>
      <c r="OF58" s="310"/>
      <c r="OG58" s="310"/>
      <c r="OH58" s="310"/>
      <c r="OI58" s="310"/>
      <c r="OJ58" s="310"/>
      <c r="OK58" s="310"/>
      <c r="OL58" s="310"/>
      <c r="OM58" s="310"/>
      <c r="ON58" s="310"/>
      <c r="OO58" s="310"/>
      <c r="OP58" s="310"/>
      <c r="OQ58" s="310"/>
      <c r="OR58" s="310"/>
      <c r="OS58" s="310"/>
      <c r="OT58" s="310"/>
      <c r="OU58" s="310"/>
      <c r="OV58" s="310"/>
      <c r="OW58" s="310"/>
      <c r="OX58" s="310"/>
      <c r="OY58" s="310"/>
      <c r="OZ58" s="310"/>
      <c r="PA58" s="310"/>
      <c r="PB58" s="310"/>
      <c r="PC58" s="310"/>
      <c r="PD58" s="310"/>
      <c r="PE58" s="310"/>
      <c r="PF58" s="310"/>
      <c r="PG58" s="310"/>
      <c r="PH58" s="310"/>
      <c r="PI58" s="310"/>
      <c r="PJ58" s="310"/>
      <c r="PK58" s="310"/>
      <c r="PL58" s="310"/>
      <c r="PM58" s="310"/>
      <c r="PN58" s="310"/>
      <c r="PO58" s="310"/>
      <c r="PP58" s="310"/>
      <c r="PQ58" s="310"/>
      <c r="PR58" s="310"/>
      <c r="PS58" s="342">
        <v>44</v>
      </c>
      <c r="PT58" s="261" t="e">
        <f t="shared" si="29"/>
        <v>#N/A</v>
      </c>
      <c r="PU58" s="261" t="e">
        <f t="shared" si="30"/>
        <v>#N/A</v>
      </c>
      <c r="PV58" s="310"/>
      <c r="PW58" s="310"/>
      <c r="PX58" s="310"/>
      <c r="PY58" s="310"/>
      <c r="PZ58" s="310"/>
      <c r="QA58" s="310"/>
      <c r="QB58" s="310"/>
      <c r="QC58" s="310"/>
      <c r="QD58" s="310"/>
      <c r="QE58" s="310"/>
      <c r="QF58" s="310"/>
      <c r="QG58" s="310"/>
      <c r="QH58" s="310"/>
      <c r="QI58" s="310"/>
      <c r="QJ58" s="310"/>
      <c r="QK58" s="310"/>
      <c r="QL58" s="310"/>
      <c r="QM58" s="310"/>
      <c r="QN58" s="310"/>
      <c r="QO58" s="310"/>
      <c r="QP58" s="310"/>
      <c r="QQ58" s="310"/>
      <c r="QR58" s="310"/>
      <c r="QS58" s="310"/>
      <c r="QT58" s="310"/>
      <c r="QU58" s="310"/>
      <c r="QV58" s="310"/>
      <c r="QW58" s="310"/>
      <c r="QX58" s="310"/>
      <c r="QY58" s="310"/>
      <c r="QZ58" s="310"/>
      <c r="RA58" s="310"/>
      <c r="RB58" s="310"/>
      <c r="RC58" s="310"/>
      <c r="RD58" s="310"/>
      <c r="RE58" s="310"/>
      <c r="RF58" s="310"/>
      <c r="RG58" s="310"/>
      <c r="RH58" s="310"/>
      <c r="RI58" s="310"/>
      <c r="RJ58" s="310"/>
      <c r="RK58" s="310"/>
      <c r="RL58" s="310"/>
      <c r="RM58" s="310"/>
      <c r="RN58" s="310"/>
      <c r="RO58" s="310"/>
      <c r="RP58" s="310"/>
      <c r="RQ58" s="310"/>
      <c r="RR58" s="310"/>
      <c r="RS58" s="310"/>
      <c r="RT58" s="310"/>
      <c r="RU58" s="310"/>
      <c r="RV58" s="310"/>
      <c r="RW58" s="310"/>
      <c r="RX58" s="310"/>
      <c r="RY58" s="310"/>
      <c r="RZ58" s="310"/>
      <c r="SA58" s="310"/>
      <c r="SB58" s="310"/>
      <c r="SC58" s="310"/>
      <c r="SD58" s="310"/>
      <c r="SE58" s="310"/>
      <c r="SF58" s="310"/>
      <c r="SG58" s="310"/>
      <c r="SH58" s="310"/>
      <c r="SI58" s="310"/>
      <c r="SJ58" s="310"/>
      <c r="SK58" s="310"/>
      <c r="SL58" s="310"/>
      <c r="SM58" s="310"/>
      <c r="SN58" s="310"/>
      <c r="SO58" s="220"/>
      <c r="SP58" s="220"/>
      <c r="SQ58" s="220"/>
      <c r="SR58" s="220"/>
      <c r="SS58" s="220"/>
      <c r="ST58" s="220"/>
      <c r="SU58" s="220"/>
      <c r="SV58" s="220"/>
      <c r="SW58" s="220"/>
      <c r="SX58" s="220"/>
      <c r="SY58" s="220"/>
      <c r="SZ58" s="220"/>
      <c r="TA58" s="220"/>
      <c r="TB58" s="220"/>
      <c r="TC58" s="220"/>
      <c r="TD58" s="220"/>
      <c r="TE58" s="220"/>
      <c r="TF58" s="220"/>
      <c r="TG58" s="220"/>
      <c r="TH58" s="220"/>
      <c r="TI58" s="220"/>
      <c r="TJ58" s="220"/>
      <c r="TK58" s="220"/>
      <c r="TL58" s="220"/>
      <c r="TM58" s="220"/>
      <c r="TN58" s="220"/>
      <c r="TO58" s="220"/>
      <c r="TP58" s="220"/>
      <c r="TQ58" s="220"/>
      <c r="TR58" s="220"/>
      <c r="TS58" s="220"/>
      <c r="TT58" s="220"/>
      <c r="TU58" s="220"/>
      <c r="TV58" s="220"/>
      <c r="TW58" s="220"/>
      <c r="TX58" s="220"/>
      <c r="TY58" s="220"/>
      <c r="TZ58" s="220"/>
      <c r="UA58" s="220"/>
      <c r="UB58" s="220"/>
      <c r="UC58" s="220"/>
      <c r="UD58" s="220"/>
      <c r="UE58" s="220"/>
      <c r="UF58" s="220"/>
      <c r="UG58" s="220"/>
      <c r="UH58" s="220"/>
      <c r="UI58" s="220"/>
      <c r="UJ58" s="220"/>
      <c r="UK58" s="216"/>
      <c r="UL58" s="216"/>
      <c r="UM58" s="216"/>
      <c r="UN58" s="216"/>
      <c r="UO58" s="216"/>
      <c r="UP58" s="216"/>
      <c r="UQ58" s="216"/>
      <c r="UR58" s="216"/>
      <c r="US58" s="216"/>
      <c r="UT58" s="216"/>
      <c r="UU58" s="216"/>
      <c r="UV58" s="216"/>
      <c r="UW58" s="216"/>
      <c r="UX58" s="216"/>
      <c r="UY58" s="216"/>
      <c r="UZ58" s="216"/>
      <c r="VA58" s="216"/>
    </row>
    <row r="59" spans="1:573" s="4" customFormat="1" x14ac:dyDescent="0.5">
      <c r="A59" s="168"/>
      <c r="B59" s="16"/>
      <c r="C59" s="16"/>
      <c r="D59" s="16"/>
      <c r="E59" s="16"/>
      <c r="F59" s="16"/>
      <c r="G59" s="171" t="s">
        <v>161</v>
      </c>
      <c r="H59" s="172"/>
      <c r="I59" s="172"/>
      <c r="J59" s="172"/>
      <c r="K59" s="172"/>
      <c r="L59" s="172"/>
      <c r="M59" s="172"/>
      <c r="N59" s="172"/>
      <c r="O59" s="173"/>
      <c r="P59" s="72"/>
      <c r="Q59" s="50"/>
      <c r="R59" s="50"/>
      <c r="S59" s="50"/>
      <c r="T59" s="167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5"/>
      <c r="AM59" s="45"/>
      <c r="AN59" s="45"/>
      <c r="AO59" s="45"/>
      <c r="AP59" s="310"/>
      <c r="AQ59" s="310"/>
      <c r="AR59" s="424" t="s">
        <v>169</v>
      </c>
      <c r="AS59" s="310">
        <v>4</v>
      </c>
      <c r="AT59" s="310" t="str" cm="1">
        <f t="array" ref="AT59">INDEX(AT49:AT55,AS59)</f>
        <v>DB16</v>
      </c>
      <c r="AU59" s="310"/>
      <c r="AV59" s="310"/>
      <c r="AW59" s="310"/>
      <c r="AX59" s="310"/>
      <c r="AY59" s="310"/>
      <c r="AZ59" s="310"/>
      <c r="BA59" s="310"/>
      <c r="BB59" s="310" t="s">
        <v>244</v>
      </c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38" t="e">
        <f>BY48-BT7/2</f>
        <v>#N/A</v>
      </c>
      <c r="BZ59" s="338" t="e">
        <f>BZ48+BT7/2</f>
        <v>#N/A</v>
      </c>
      <c r="CA59" s="310"/>
      <c r="CB59" s="310"/>
      <c r="CC59" s="310"/>
      <c r="CD59" s="231" t="e">
        <f>BY47</f>
        <v>#N/A</v>
      </c>
      <c r="CE59" s="231" t="e">
        <f>BZ47</f>
        <v>#N/A</v>
      </c>
      <c r="CF59" s="310"/>
      <c r="CG59" s="310"/>
      <c r="CH59" s="310"/>
      <c r="CI59" s="310"/>
      <c r="CJ59" s="242" t="e">
        <f>IF($CI$57=TRUE,CJ57,#N/A)</f>
        <v>#N/A</v>
      </c>
      <c r="CK59" s="242" t="e">
        <f>IF($CI$57=TRUE,CK57,#N/A)</f>
        <v>#N/A</v>
      </c>
      <c r="CL59" s="469">
        <f>IF($CI$57=TRUE,M45,"")</f>
        <v>0</v>
      </c>
      <c r="CM59" s="310"/>
      <c r="CN59" s="336" t="e">
        <f>CN28</f>
        <v>#N/A</v>
      </c>
      <c r="CO59" s="338" t="e">
        <f>CO28+CN36</f>
        <v>#N/A</v>
      </c>
      <c r="CP59" s="310"/>
      <c r="CQ59" s="310"/>
      <c r="CR59" s="310"/>
      <c r="CS59" s="310"/>
      <c r="CT59" s="338" t="e">
        <f>IF(CU34=TRUE,CN28-CT36,#N/A)</f>
        <v>#N/A</v>
      </c>
      <c r="CU59" s="338" t="e">
        <f>IF(CU34=TRUE,CO30,#N/A)</f>
        <v>#N/A</v>
      </c>
      <c r="CV59" s="310"/>
      <c r="CW59" s="310"/>
      <c r="CX59" s="310"/>
      <c r="CY59" s="310"/>
      <c r="CZ59" s="310"/>
      <c r="DA59" s="310"/>
      <c r="DB59" s="310"/>
      <c r="DC59" s="280" t="e">
        <f>IF(AND($DD$50=TRUE,$D$63&gt;=DB58),$DC$53,#N/A)</f>
        <v>#N/A</v>
      </c>
      <c r="DD59" s="280" t="e">
        <f>DD58</f>
        <v>#N/A</v>
      </c>
      <c r="DE59" s="310"/>
      <c r="DF59" s="310"/>
      <c r="DG59" s="310"/>
      <c r="DH59" s="310"/>
      <c r="DI59" s="310"/>
      <c r="DJ59" s="310"/>
      <c r="DK59" s="310"/>
      <c r="DL59" s="310"/>
      <c r="DM59" s="310"/>
      <c r="DN59" s="310"/>
      <c r="DO59" s="310"/>
      <c r="DP59" s="310"/>
      <c r="DQ59" s="310"/>
      <c r="DR59" s="310"/>
      <c r="DS59" s="310"/>
      <c r="DT59" s="338"/>
      <c r="DU59" s="338">
        <f>DU58</f>
        <v>-0.5</v>
      </c>
      <c r="DV59" s="338">
        <f>DV47-$BT$7/2</f>
        <v>0.5</v>
      </c>
      <c r="DW59" s="310"/>
      <c r="DX59" s="310"/>
      <c r="DY59" s="338">
        <f>DY58</f>
        <v>-0.5</v>
      </c>
      <c r="DZ59" s="338">
        <f>DZ47-$BT$7/2</f>
        <v>0.5</v>
      </c>
      <c r="EA59" s="310"/>
      <c r="EB59" s="310" t="s">
        <v>170</v>
      </c>
      <c r="EC59" s="310"/>
      <c r="ED59" s="310"/>
      <c r="EE59" s="310" t="s">
        <v>171</v>
      </c>
      <c r="EF59" s="310"/>
      <c r="EG59" s="310" t="s">
        <v>172</v>
      </c>
      <c r="EH59" s="310"/>
      <c r="EI59" s="310"/>
      <c r="EJ59" s="310" t="s">
        <v>173</v>
      </c>
      <c r="EK59" s="310"/>
      <c r="EL59" s="310"/>
      <c r="EM59" s="310"/>
      <c r="EN59" s="310"/>
      <c r="EO59" s="310"/>
      <c r="EP59" s="310"/>
      <c r="EQ59" s="310"/>
      <c r="ER59" s="310"/>
      <c r="ES59" s="310"/>
      <c r="ET59" s="310"/>
      <c r="EU59" s="310"/>
      <c r="EV59" s="310"/>
      <c r="EW59" s="310"/>
      <c r="EX59" s="310"/>
      <c r="EY59" s="310"/>
      <c r="EZ59" s="310"/>
      <c r="FA59" s="310"/>
      <c r="FB59" s="310"/>
      <c r="FC59" s="310"/>
      <c r="FD59" s="314" t="s">
        <v>622</v>
      </c>
      <c r="FE59" s="310" t="b">
        <f>BL9</f>
        <v>0</v>
      </c>
      <c r="FF59" s="310"/>
      <c r="FG59" s="310"/>
      <c r="FH59" s="311"/>
      <c r="FI59" s="311"/>
      <c r="FJ59" s="311"/>
      <c r="FK59" s="311"/>
      <c r="FL59" s="310"/>
      <c r="FM59" s="310"/>
      <c r="FN59" s="310"/>
      <c r="FO59" s="310"/>
      <c r="FP59" s="310"/>
      <c r="FQ59" s="312"/>
      <c r="FR59" s="318" t="e">
        <v>#N/A</v>
      </c>
      <c r="FS59" s="318" t="e">
        <v>#N/A</v>
      </c>
      <c r="FT59" s="318" t="e">
        <v>#N/A</v>
      </c>
      <c r="FU59" s="318" t="e">
        <v>#N/A</v>
      </c>
      <c r="FV59" s="318" t="e">
        <v>#N/A</v>
      </c>
      <c r="FW59" s="318" t="e">
        <v>#N/A</v>
      </c>
      <c r="FX59" s="318"/>
      <c r="FY59" s="318"/>
      <c r="FZ59" s="318" t="e">
        <v>#N/A</v>
      </c>
      <c r="GA59" s="318" t="e">
        <v>#N/A</v>
      </c>
      <c r="GB59" s="318" t="e">
        <v>#N/A</v>
      </c>
      <c r="GC59" s="318" t="e">
        <v>#N/A</v>
      </c>
      <c r="GD59" s="310"/>
      <c r="GE59" s="310"/>
      <c r="GF59" s="313" t="e">
        <v>#N/A</v>
      </c>
      <c r="GG59" s="313" t="e">
        <v>#N/A</v>
      </c>
      <c r="GH59" s="313" t="e">
        <v>#N/A</v>
      </c>
      <c r="GI59" s="313" t="e">
        <v>#N/A</v>
      </c>
      <c r="GJ59" s="313" t="e">
        <v>#N/A</v>
      </c>
      <c r="GK59" s="313" t="e">
        <v>#N/A</v>
      </c>
      <c r="GL59" s="313" t="e">
        <v>#N/A</v>
      </c>
      <c r="GM59" s="313" t="e">
        <v>#N/A</v>
      </c>
      <c r="GN59" s="313" t="e">
        <v>#N/A</v>
      </c>
      <c r="GO59" s="328"/>
      <c r="GP59" s="402" t="e">
        <v>#N/A</v>
      </c>
      <c r="GQ59" s="223" t="e">
        <v>#N/A</v>
      </c>
      <c r="GR59" s="223" t="e">
        <v>#N/A</v>
      </c>
      <c r="GS59" s="310"/>
      <c r="GT59" s="310"/>
      <c r="GU59" s="310"/>
      <c r="GV59" s="310"/>
      <c r="GW59" s="338"/>
      <c r="GX59" s="338"/>
      <c r="GY59" s="310"/>
      <c r="GZ59" s="260" t="e">
        <v>#N/A</v>
      </c>
      <c r="HA59" s="260" t="e">
        <v>#N/A</v>
      </c>
      <c r="HB59" s="260" t="e">
        <v>#N/A</v>
      </c>
      <c r="HC59" s="260" t="e">
        <v>#N/A</v>
      </c>
      <c r="HD59" s="310"/>
      <c r="HE59" s="310"/>
      <c r="HF59" s="310"/>
      <c r="HG59" s="310"/>
      <c r="HH59" s="310"/>
      <c r="HI59" s="310"/>
      <c r="HJ59" s="310"/>
      <c r="HK59" s="342">
        <v>45</v>
      </c>
      <c r="HL59" s="235" t="e">
        <f t="shared" si="5"/>
        <v>#N/A</v>
      </c>
      <c r="HM59" s="235" t="e">
        <f t="shared" si="6"/>
        <v>#N/A</v>
      </c>
      <c r="HN59" s="310"/>
      <c r="HO59" s="310"/>
      <c r="HP59" s="235" t="e">
        <f t="shared" si="7"/>
        <v>#N/A</v>
      </c>
      <c r="HQ59" s="235" t="e">
        <f t="shared" si="8"/>
        <v>#N/A</v>
      </c>
      <c r="HR59" s="310"/>
      <c r="HS59" s="310"/>
      <c r="HT59" s="235" t="e">
        <f t="shared" si="9"/>
        <v>#N/A</v>
      </c>
      <c r="HU59" s="235" t="e">
        <f t="shared" si="10"/>
        <v>#N/A</v>
      </c>
      <c r="HV59" s="310"/>
      <c r="HW59" s="310"/>
      <c r="HX59" s="235" t="e">
        <f t="shared" si="11"/>
        <v>#N/A</v>
      </c>
      <c r="HY59" s="235" t="e">
        <f t="shared" si="12"/>
        <v>#N/A</v>
      </c>
      <c r="HZ59" s="310"/>
      <c r="IA59" s="310"/>
      <c r="IB59" s="235" t="e">
        <f t="shared" si="13"/>
        <v>#N/A</v>
      </c>
      <c r="IC59" s="235" t="e">
        <f t="shared" si="14"/>
        <v>#N/A</v>
      </c>
      <c r="ID59" s="310"/>
      <c r="IE59" s="342">
        <v>45</v>
      </c>
      <c r="IF59" s="262" t="e">
        <f t="shared" si="15"/>
        <v>#N/A</v>
      </c>
      <c r="IG59" s="262" t="e">
        <f t="shared" si="16"/>
        <v>#N/A</v>
      </c>
      <c r="IH59" s="390"/>
      <c r="II59" s="390"/>
      <c r="IJ59" s="262" t="e">
        <f t="shared" si="17"/>
        <v>#N/A</v>
      </c>
      <c r="IK59" s="262" t="e">
        <f t="shared" si="18"/>
        <v>#N/A</v>
      </c>
      <c r="IL59" s="390"/>
      <c r="IM59" s="390"/>
      <c r="IN59" s="262" t="e">
        <f t="shared" si="19"/>
        <v>#N/A</v>
      </c>
      <c r="IO59" s="262" t="e">
        <f t="shared" si="20"/>
        <v>#N/A</v>
      </c>
      <c r="IP59" s="390"/>
      <c r="IQ59" s="390"/>
      <c r="IR59" s="262" t="e">
        <f t="shared" si="21"/>
        <v>#N/A</v>
      </c>
      <c r="IS59" s="262" t="e">
        <f t="shared" si="22"/>
        <v>#N/A</v>
      </c>
      <c r="IT59" s="390"/>
      <c r="IU59" s="390"/>
      <c r="IV59" s="262" t="e">
        <f t="shared" si="23"/>
        <v>#N/A</v>
      </c>
      <c r="IW59" s="262" t="e">
        <f t="shared" si="24"/>
        <v>#N/A</v>
      </c>
      <c r="IX59" s="310"/>
      <c r="IY59" s="310"/>
      <c r="IZ59" s="310"/>
      <c r="JA59" s="310"/>
      <c r="JB59" s="313" t="s">
        <v>372</v>
      </c>
      <c r="JC59" s="236" t="e">
        <f>JC58</f>
        <v>#N/A</v>
      </c>
      <c r="JD59" s="236" t="e">
        <f>JA54+($IZ$10/2)-$IZ$9</f>
        <v>#N/A</v>
      </c>
      <c r="JE59" s="310"/>
      <c r="JF59" s="310"/>
      <c r="JG59" s="310"/>
      <c r="JH59" s="310"/>
      <c r="JI59" s="313" t="s">
        <v>372</v>
      </c>
      <c r="JJ59" s="263" t="e">
        <f>JJ58</f>
        <v>#N/A</v>
      </c>
      <c r="JK59" s="263" t="e">
        <f>JH54+($IZ$10/2)-$IZ$9</f>
        <v>#N/A</v>
      </c>
      <c r="JL59" s="310"/>
      <c r="JM59" s="310"/>
      <c r="JN59" s="261" t="e">
        <f t="shared" si="25"/>
        <v>#N/A</v>
      </c>
      <c r="JO59" s="261" t="e">
        <f t="shared" si="26"/>
        <v>#N/A</v>
      </c>
      <c r="JP59" s="310"/>
      <c r="JQ59" s="310"/>
      <c r="JR59" s="261" t="e">
        <f t="shared" si="31"/>
        <v>#N/A</v>
      </c>
      <c r="JS59" s="261" t="e">
        <f t="shared" si="32"/>
        <v>#N/A</v>
      </c>
      <c r="JT59" s="310"/>
      <c r="JU59" s="310"/>
      <c r="JV59" s="261" t="e">
        <f t="shared" si="27"/>
        <v>#N/A</v>
      </c>
      <c r="JW59" s="261" t="e">
        <f t="shared" si="28"/>
        <v>#N/A</v>
      </c>
      <c r="JX59" s="310"/>
      <c r="JY59" s="310"/>
      <c r="JZ59" s="310"/>
      <c r="KA59" s="310"/>
      <c r="KB59" s="313" t="s">
        <v>167</v>
      </c>
      <c r="KC59" s="242" t="e">
        <f>KC55</f>
        <v>#N/A</v>
      </c>
      <c r="KD59" s="242" t="e">
        <f>KD58</f>
        <v>#N/A</v>
      </c>
      <c r="KE59" s="310"/>
      <c r="KF59" s="310"/>
      <c r="KG59" s="310"/>
      <c r="KH59" s="310"/>
      <c r="KI59" s="310"/>
      <c r="KJ59" s="310"/>
      <c r="KK59" s="310"/>
      <c r="KL59" s="310"/>
      <c r="KM59" s="310"/>
      <c r="KN59" s="310"/>
      <c r="KO59" s="310"/>
      <c r="KP59" s="310"/>
      <c r="KQ59" s="310"/>
      <c r="KR59" s="310"/>
      <c r="KS59" s="310"/>
      <c r="KT59" s="310"/>
      <c r="KU59" s="310"/>
      <c r="KV59" s="310"/>
      <c r="KW59" s="310"/>
      <c r="KX59" s="310"/>
      <c r="KY59" s="310"/>
      <c r="KZ59" s="310"/>
      <c r="LA59" s="310"/>
      <c r="LB59" s="328">
        <v>0</v>
      </c>
      <c r="LC59" s="391" t="e">
        <v>#N/A</v>
      </c>
      <c r="LD59" s="391" t="e">
        <v>#N/A</v>
      </c>
      <c r="LE59" s="310"/>
      <c r="LF59" s="310"/>
      <c r="LG59" s="310"/>
      <c r="LH59" s="463" t="e">
        <f>LH57</f>
        <v>#N/A</v>
      </c>
      <c r="LI59" s="463">
        <f>LI57</f>
        <v>0</v>
      </c>
      <c r="LJ59" s="463" t="e">
        <f>LH74</f>
        <v>#N/A</v>
      </c>
      <c r="LK59" s="463" t="e">
        <f>LI74-(LI74-LI75)/2</f>
        <v>#N/A</v>
      </c>
      <c r="LL59" s="463" t="e">
        <f>LI74-LI75</f>
        <v>#N/A</v>
      </c>
      <c r="LM59" s="310"/>
      <c r="LN59" s="310"/>
      <c r="LO59" s="347" t="e">
        <f>LO57</f>
        <v>#N/A</v>
      </c>
      <c r="LP59" s="347">
        <f>LP57</f>
        <v>0</v>
      </c>
      <c r="LQ59" s="368" t="e">
        <f>LO74</f>
        <v>#N/A</v>
      </c>
      <c r="LR59" s="368" t="e">
        <f>LP74-(LP74-LP75)/2</f>
        <v>#N/A</v>
      </c>
      <c r="LS59" s="347" t="e">
        <f>LP74-LP75</f>
        <v>#N/A</v>
      </c>
      <c r="LT59" s="310"/>
      <c r="LU59" s="310"/>
      <c r="LV59" s="347">
        <f>LV57</f>
        <v>0</v>
      </c>
      <c r="LW59" s="347" t="e">
        <f>LW57</f>
        <v>#N/A</v>
      </c>
      <c r="LX59" s="318" t="e">
        <f>LV74+(LV75-LV74)/2</f>
        <v>#N/A</v>
      </c>
      <c r="LY59" s="368" t="e">
        <f>LW78</f>
        <v>#N/A</v>
      </c>
      <c r="LZ59" s="347" t="e">
        <f>LV75-LV74</f>
        <v>#N/A</v>
      </c>
      <c r="MA59" s="310"/>
      <c r="MB59" s="310"/>
      <c r="MC59" s="347">
        <f>MC57</f>
        <v>0</v>
      </c>
      <c r="MD59" s="347" t="e">
        <f>MD57</f>
        <v>#N/A</v>
      </c>
      <c r="ME59" s="318" t="e">
        <f>MC74+(MC75-MC74)/2</f>
        <v>#N/A</v>
      </c>
      <c r="MF59" s="368" t="e">
        <f>MD79</f>
        <v>#N/A</v>
      </c>
      <c r="MG59" s="347" t="e">
        <f>MC75-MC74</f>
        <v>#N/A</v>
      </c>
      <c r="MH59" s="310"/>
      <c r="MI59" s="310"/>
      <c r="MJ59" s="238" t="e">
        <v>#N/A</v>
      </c>
      <c r="MK59" s="238" t="e">
        <v>#N/A</v>
      </c>
      <c r="ML59" s="236" t="e">
        <v>#N/A</v>
      </c>
      <c r="MM59" s="240" t="e">
        <v>#N/A</v>
      </c>
      <c r="MN59" s="347"/>
      <c r="MO59" s="310"/>
      <c r="MP59" s="311" t="e">
        <v>#N/A</v>
      </c>
      <c r="MQ59" s="311" t="e">
        <v>#N/A</v>
      </c>
      <c r="MR59" s="311" t="e">
        <v>#N/A</v>
      </c>
      <c r="MS59" s="311" t="e">
        <v>#N/A</v>
      </c>
      <c r="MT59" s="310"/>
      <c r="MU59" s="292" t="e">
        <f>IF(MU29=TRUE,MT41-NA30-0.009,#N/A)</f>
        <v>#N/A</v>
      </c>
      <c r="MV59" s="297" t="e">
        <f>MV55</f>
        <v>#N/A</v>
      </c>
      <c r="MW59" s="280" t="e">
        <f>IF(MY58=TRUE,MW56,#N/A)</f>
        <v>#N/A</v>
      </c>
      <c r="MX59" s="280" t="e">
        <f>MX58</f>
        <v>#N/A</v>
      </c>
      <c r="MY59" s="338"/>
      <c r="MZ59" s="403">
        <v>26</v>
      </c>
      <c r="NA59" s="372" t="b">
        <f t="shared" si="76"/>
        <v>0</v>
      </c>
      <c r="NB59" s="280" t="e">
        <f t="shared" si="80"/>
        <v>#N/A</v>
      </c>
      <c r="NC59" s="280" t="e">
        <f t="shared" si="81"/>
        <v>#N/A</v>
      </c>
      <c r="ND59" s="280" t="e">
        <f t="shared" si="77"/>
        <v>#N/A</v>
      </c>
      <c r="NE59" s="280" t="e">
        <f t="shared" si="78"/>
        <v>#N/A</v>
      </c>
      <c r="NF59" s="310"/>
      <c r="NG59" s="310"/>
      <c r="NH59" s="310"/>
      <c r="NI59" s="310"/>
      <c r="NJ59" s="310"/>
      <c r="NK59" s="310"/>
      <c r="NL59" s="310"/>
      <c r="NM59" s="310"/>
      <c r="NN59" s="310"/>
      <c r="NO59" s="310"/>
      <c r="NP59" s="310"/>
      <c r="NQ59" s="310"/>
      <c r="NR59" s="310"/>
      <c r="NS59" s="310"/>
      <c r="NT59" s="310"/>
      <c r="NU59" s="310"/>
      <c r="NV59" s="310"/>
      <c r="NW59" s="310"/>
      <c r="NX59" s="310"/>
      <c r="NY59" s="310"/>
      <c r="NZ59" s="310"/>
      <c r="OA59" s="310"/>
      <c r="OB59" s="310"/>
      <c r="OC59" s="310"/>
      <c r="OD59" s="310"/>
      <c r="OE59" s="310"/>
      <c r="OF59" s="310"/>
      <c r="OG59" s="310"/>
      <c r="OH59" s="310"/>
      <c r="OI59" s="310"/>
      <c r="OJ59" s="310"/>
      <c r="OK59" s="310"/>
      <c r="OL59" s="310"/>
      <c r="OM59" s="310"/>
      <c r="ON59" s="310"/>
      <c r="OO59" s="310"/>
      <c r="OP59" s="310"/>
      <c r="OQ59" s="310"/>
      <c r="OR59" s="310"/>
      <c r="OS59" s="310"/>
      <c r="OT59" s="310"/>
      <c r="OU59" s="310"/>
      <c r="OV59" s="310"/>
      <c r="OW59" s="310"/>
      <c r="OX59" s="310"/>
      <c r="OY59" s="310"/>
      <c r="OZ59" s="310"/>
      <c r="PA59" s="310"/>
      <c r="PB59" s="310"/>
      <c r="PC59" s="310"/>
      <c r="PD59" s="310"/>
      <c r="PE59" s="310"/>
      <c r="PF59" s="310"/>
      <c r="PG59" s="310"/>
      <c r="PH59" s="310"/>
      <c r="PI59" s="310"/>
      <c r="PJ59" s="310"/>
      <c r="PK59" s="310"/>
      <c r="PL59" s="310"/>
      <c r="PM59" s="310"/>
      <c r="PN59" s="310"/>
      <c r="PO59" s="310"/>
      <c r="PP59" s="310"/>
      <c r="PQ59" s="310"/>
      <c r="PR59" s="310"/>
      <c r="PS59" s="342">
        <v>45</v>
      </c>
      <c r="PT59" s="261" t="e">
        <f t="shared" si="29"/>
        <v>#N/A</v>
      </c>
      <c r="PU59" s="261" t="e">
        <f t="shared" si="30"/>
        <v>#N/A</v>
      </c>
      <c r="PV59" s="310"/>
      <c r="PW59" s="310"/>
      <c r="PX59" s="310"/>
      <c r="PY59" s="310"/>
      <c r="PZ59" s="310"/>
      <c r="QA59" s="310"/>
      <c r="QB59" s="310"/>
      <c r="QC59" s="310"/>
      <c r="QD59" s="310"/>
      <c r="QE59" s="310"/>
      <c r="QF59" s="310"/>
      <c r="QG59" s="310"/>
      <c r="QH59" s="310"/>
      <c r="QI59" s="310"/>
      <c r="QJ59" s="310"/>
      <c r="QK59" s="310"/>
      <c r="QL59" s="310"/>
      <c r="QM59" s="310"/>
      <c r="QN59" s="310"/>
      <c r="QO59" s="310"/>
      <c r="QP59" s="310"/>
      <c r="QQ59" s="310"/>
      <c r="QR59" s="310"/>
      <c r="QS59" s="310"/>
      <c r="QT59" s="310"/>
      <c r="QU59" s="310"/>
      <c r="QV59" s="310"/>
      <c r="QW59" s="310"/>
      <c r="QX59" s="310"/>
      <c r="QY59" s="310"/>
      <c r="QZ59" s="310"/>
      <c r="RA59" s="310"/>
      <c r="RB59" s="310"/>
      <c r="RC59" s="310"/>
      <c r="RD59" s="310"/>
      <c r="RE59" s="310"/>
      <c r="RF59" s="310"/>
      <c r="RG59" s="310"/>
      <c r="RH59" s="310"/>
      <c r="RI59" s="310"/>
      <c r="RJ59" s="310"/>
      <c r="RK59" s="310"/>
      <c r="RL59" s="310"/>
      <c r="RM59" s="310"/>
      <c r="RN59" s="310"/>
      <c r="RO59" s="310"/>
      <c r="RP59" s="310"/>
      <c r="RQ59" s="329"/>
      <c r="RR59" s="310"/>
      <c r="RS59" s="310"/>
      <c r="RT59" s="310"/>
      <c r="RU59" s="310"/>
      <c r="RV59" s="310"/>
      <c r="RW59" s="310"/>
      <c r="RX59" s="310"/>
      <c r="RY59" s="310"/>
      <c r="RZ59" s="310"/>
      <c r="SA59" s="310"/>
      <c r="SB59" s="310"/>
      <c r="SC59" s="310"/>
      <c r="SD59" s="310"/>
      <c r="SE59" s="310"/>
      <c r="SF59" s="310"/>
      <c r="SG59" s="310"/>
      <c r="SH59" s="310"/>
      <c r="SI59" s="310"/>
      <c r="SJ59" s="310"/>
      <c r="SK59" s="310"/>
      <c r="SL59" s="310"/>
      <c r="SM59" s="310"/>
      <c r="SN59" s="310"/>
      <c r="SO59" s="220"/>
      <c r="SP59" s="220"/>
      <c r="SQ59" s="220"/>
      <c r="SR59" s="220"/>
      <c r="SS59" s="220"/>
      <c r="ST59" s="220"/>
      <c r="SU59" s="220"/>
      <c r="SV59" s="220"/>
      <c r="SW59" s="220"/>
      <c r="SX59" s="220"/>
      <c r="SY59" s="220"/>
      <c r="SZ59" s="220"/>
      <c r="TA59" s="220"/>
      <c r="TB59" s="220"/>
      <c r="TC59" s="220"/>
      <c r="TD59" s="220"/>
      <c r="TE59" s="220"/>
      <c r="TF59" s="220"/>
      <c r="TG59" s="220"/>
      <c r="TH59" s="220"/>
      <c r="TI59" s="220"/>
      <c r="TJ59" s="220"/>
      <c r="TK59" s="220"/>
      <c r="TL59" s="220"/>
      <c r="TM59" s="220"/>
      <c r="TN59" s="220"/>
      <c r="TO59" s="220"/>
      <c r="TP59" s="220"/>
      <c r="TQ59" s="220"/>
      <c r="TR59" s="220"/>
      <c r="TS59" s="220"/>
      <c r="TT59" s="220"/>
      <c r="TU59" s="220"/>
      <c r="TV59" s="220"/>
      <c r="TW59" s="220"/>
      <c r="TX59" s="220"/>
      <c r="TY59" s="220"/>
      <c r="TZ59" s="220"/>
      <c r="UA59" s="220"/>
      <c r="UB59" s="220"/>
      <c r="UC59" s="220"/>
      <c r="UD59" s="220"/>
      <c r="UE59" s="220"/>
      <c r="UF59" s="220"/>
      <c r="UG59" s="220"/>
      <c r="UH59" s="220"/>
      <c r="UI59" s="220"/>
      <c r="UJ59" s="220"/>
      <c r="UK59" s="216"/>
      <c r="UL59" s="216"/>
      <c r="UM59" s="216"/>
      <c r="UN59" s="216"/>
      <c r="UO59" s="216"/>
      <c r="UP59" s="216"/>
      <c r="UQ59" s="216"/>
      <c r="UR59" s="216"/>
      <c r="US59" s="216"/>
      <c r="UT59" s="216"/>
      <c r="UU59" s="216"/>
      <c r="UV59" s="216"/>
      <c r="UW59" s="216"/>
      <c r="UX59" s="216"/>
      <c r="UY59" s="216"/>
      <c r="UZ59" s="216"/>
      <c r="VA59" s="216"/>
    </row>
    <row r="60" spans="1:573" s="4" customFormat="1" x14ac:dyDescent="0.5">
      <c r="A60" s="168"/>
      <c r="B60" s="16"/>
      <c r="C60" s="16"/>
      <c r="D60" s="16"/>
      <c r="E60" s="16"/>
      <c r="F60" s="16"/>
      <c r="G60" s="700" t="s">
        <v>163</v>
      </c>
      <c r="H60" s="700"/>
      <c r="I60" s="700"/>
      <c r="J60" s="521" t="str">
        <f>"P' = (P/d) (x +"&amp;TRUNC((O12/2)*100,0)&amp;")"</f>
        <v>P' = (P/d) (x +20)</v>
      </c>
      <c r="K60" s="522"/>
      <c r="L60" s="700" t="s">
        <v>164</v>
      </c>
      <c r="M60" s="700"/>
      <c r="N60" s="700" t="s">
        <v>165</v>
      </c>
      <c r="O60" s="700"/>
      <c r="P60" s="72"/>
      <c r="Q60" s="50"/>
      <c r="R60" s="50"/>
      <c r="S60" s="50"/>
      <c r="T60" s="167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5"/>
      <c r="AM60" s="45"/>
      <c r="AN60" s="45"/>
      <c r="AO60" s="45"/>
      <c r="AP60" s="310"/>
      <c r="AQ60" s="310"/>
      <c r="AR60" s="310"/>
      <c r="AS60" s="310"/>
      <c r="AT60" s="310"/>
      <c r="AU60" s="310"/>
      <c r="AV60" s="310"/>
      <c r="AW60" s="310"/>
      <c r="AX60" s="310"/>
      <c r="AY60" s="310"/>
      <c r="AZ60" s="310"/>
      <c r="BA60" s="310" t="str">
        <f>"F"&amp;CP16+BA32</f>
        <v>F5</v>
      </c>
      <c r="BB60" s="328" t="str">
        <f>IF(BK6=1,"F1",IF(BK6=2,IF(AY15=TRUE,"F2x","F2y"),IF(BK6=3,"F3",IF(BK6=4,"F4","F5"))))</f>
        <v>F5</v>
      </c>
      <c r="BC60" s="328" t="s">
        <v>409</v>
      </c>
      <c r="BD60" s="338" t="s">
        <v>234</v>
      </c>
      <c r="BE60" s="338" t="s">
        <v>235</v>
      </c>
      <c r="BF60" s="338" t="s">
        <v>24</v>
      </c>
      <c r="BG60" s="338" t="s">
        <v>29</v>
      </c>
      <c r="BH60" s="338" t="s">
        <v>34</v>
      </c>
      <c r="BI60" s="338" t="s">
        <v>238</v>
      </c>
      <c r="BJ60" s="310"/>
      <c r="BK60" s="310"/>
      <c r="BL60" s="310"/>
      <c r="BM60" s="310"/>
      <c r="BN60" s="310"/>
      <c r="BO60" s="310"/>
      <c r="BP60" s="310"/>
      <c r="BQ60" s="310"/>
      <c r="BR60" s="310"/>
      <c r="BS60" s="310"/>
      <c r="BT60" s="310"/>
      <c r="BU60" s="310"/>
      <c r="BV60" s="310"/>
      <c r="BW60" s="310"/>
      <c r="BX60" s="310"/>
      <c r="BY60" s="338" t="e">
        <f>BY48+BT7/2</f>
        <v>#N/A</v>
      </c>
      <c r="BZ60" s="338" t="e">
        <f>BZ59</f>
        <v>#N/A</v>
      </c>
      <c r="CA60" s="310"/>
      <c r="CB60" s="310"/>
      <c r="CC60" s="310"/>
      <c r="CD60" s="231" t="e">
        <v>#N/A</v>
      </c>
      <c r="CE60" s="231" t="e">
        <v>#N/A</v>
      </c>
      <c r="CF60" s="310"/>
      <c r="CG60" s="310"/>
      <c r="CH60" s="310"/>
      <c r="CI60" s="310"/>
      <c r="CJ60" s="310"/>
      <c r="CK60" s="310"/>
      <c r="CL60" s="448"/>
      <c r="CM60" s="310"/>
      <c r="CN60" s="336" t="e">
        <f>CN59</f>
        <v>#N/A</v>
      </c>
      <c r="CO60" s="338" t="e">
        <f>CO59+CO36</f>
        <v>#N/A</v>
      </c>
      <c r="CP60" s="310"/>
      <c r="CQ60" s="310"/>
      <c r="CR60" s="310"/>
      <c r="CS60" s="310"/>
      <c r="CT60" s="338" t="e">
        <f>CT59-CU36</f>
        <v>#N/A</v>
      </c>
      <c r="CU60" s="338" t="e">
        <f>CU59</f>
        <v>#N/A</v>
      </c>
      <c r="CV60" s="310"/>
      <c r="CW60" s="310"/>
      <c r="CX60" s="310"/>
      <c r="CY60" s="310"/>
      <c r="CZ60" s="310"/>
      <c r="DA60" s="310"/>
      <c r="DB60" s="310"/>
      <c r="DC60" s="280" t="e">
        <v>#N/A</v>
      </c>
      <c r="DD60" s="280" t="e">
        <v>#N/A</v>
      </c>
      <c r="DE60" s="310"/>
      <c r="DF60" s="328" t="s">
        <v>18</v>
      </c>
      <c r="DG60" s="328" t="b">
        <f>IF(AND(CP13=TRUE,CU11=TRUE),BY20,FALSE)</f>
        <v>0</v>
      </c>
      <c r="DH60" s="310"/>
      <c r="DI60" s="310"/>
      <c r="DJ60" s="310"/>
      <c r="DK60" s="310"/>
      <c r="DL60" s="310"/>
      <c r="DM60" s="310"/>
      <c r="DN60" s="310"/>
      <c r="DO60" s="310"/>
      <c r="DP60" s="310"/>
      <c r="DQ60" s="310"/>
      <c r="DR60" s="310"/>
      <c r="DS60" s="310"/>
      <c r="DT60" s="338"/>
      <c r="DU60" s="338">
        <f>DU57</f>
        <v>-0.8</v>
      </c>
      <c r="DV60" s="338">
        <f>DV59</f>
        <v>0.5</v>
      </c>
      <c r="DW60" s="310"/>
      <c r="DX60" s="310"/>
      <c r="DY60" s="338">
        <f>DY57</f>
        <v>-0.8</v>
      </c>
      <c r="DZ60" s="338">
        <f>DZ59</f>
        <v>0.5</v>
      </c>
      <c r="EA60" s="310"/>
      <c r="EB60" s="329" t="s">
        <v>48</v>
      </c>
      <c r="EC60" s="329" t="s">
        <v>49</v>
      </c>
      <c r="ED60" s="310"/>
      <c r="EE60" s="329" t="s">
        <v>48</v>
      </c>
      <c r="EF60" s="329" t="s">
        <v>49</v>
      </c>
      <c r="EG60" s="329" t="s">
        <v>48</v>
      </c>
      <c r="EH60" s="329" t="s">
        <v>49</v>
      </c>
      <c r="EI60" s="310"/>
      <c r="EJ60" s="328" t="s">
        <v>48</v>
      </c>
      <c r="EK60" s="328" t="s">
        <v>49</v>
      </c>
      <c r="EL60" s="310"/>
      <c r="EM60" s="310" t="s">
        <v>179</v>
      </c>
      <c r="EN60" s="310" t="b">
        <f>OR(BL10=TRUE,BL11=TRUE)</f>
        <v>1</v>
      </c>
      <c r="EO60" s="310"/>
      <c r="EP60" s="310"/>
      <c r="EQ60" s="310"/>
      <c r="ER60" s="310"/>
      <c r="ES60" s="310"/>
      <c r="ET60" s="310"/>
      <c r="EU60" s="310"/>
      <c r="EV60" s="310"/>
      <c r="EW60" s="310"/>
      <c r="EX60" s="310"/>
      <c r="EY60" s="310"/>
      <c r="EZ60" s="310"/>
      <c r="FA60" s="310"/>
      <c r="FB60" s="310"/>
      <c r="FC60" s="310"/>
      <c r="FD60" s="4" t="s">
        <v>48</v>
      </c>
      <c r="FE60" s="4" t="s">
        <v>49</v>
      </c>
      <c r="FF60" s="310"/>
      <c r="FG60" s="310"/>
      <c r="FH60" s="311"/>
      <c r="FI60" s="311"/>
      <c r="FJ60" s="311"/>
      <c r="FK60" s="311"/>
      <c r="FL60" s="310"/>
      <c r="FM60" s="310"/>
      <c r="FN60" s="310"/>
      <c r="FO60" s="310"/>
      <c r="FP60" s="310"/>
      <c r="FQ60" s="313" t="s">
        <v>337</v>
      </c>
      <c r="FR60" s="318" t="e">
        <v>#N/A</v>
      </c>
      <c r="FS60" s="318" t="e">
        <v>#N/A</v>
      </c>
      <c r="FT60" s="318" t="e">
        <v>#N/A</v>
      </c>
      <c r="FU60" s="318" t="e">
        <v>#N/A</v>
      </c>
      <c r="FV60" s="318" t="e">
        <f>FV58</f>
        <v>#N/A</v>
      </c>
      <c r="FW60" s="318" t="e">
        <f>FW58</f>
        <v>#N/A</v>
      </c>
      <c r="FX60" s="318"/>
      <c r="FY60" s="318"/>
      <c r="FZ60" s="318" t="e">
        <v>#N/A</v>
      </c>
      <c r="GA60" s="318" t="e">
        <v>#N/A</v>
      </c>
      <c r="GB60" s="318" t="e">
        <v>#N/A</v>
      </c>
      <c r="GC60" s="318" t="e">
        <v>#N/A</v>
      </c>
      <c r="GD60" s="310"/>
      <c r="GE60" s="535" t="s">
        <v>117</v>
      </c>
      <c r="GF60" s="313" t="e">
        <v>#N/A</v>
      </c>
      <c r="GG60" s="313" t="e">
        <v>#N/A</v>
      </c>
      <c r="GH60" s="313" t="e">
        <v>#N/A</v>
      </c>
      <c r="GI60" s="313" t="e">
        <v>#N/A</v>
      </c>
      <c r="GJ60" s="313" t="e">
        <v>#N/A</v>
      </c>
      <c r="GK60" s="328" t="s">
        <v>333</v>
      </c>
      <c r="GL60" s="328" t="s">
        <v>335</v>
      </c>
      <c r="GM60" s="328" t="s">
        <v>332</v>
      </c>
      <c r="GN60" s="328" t="s">
        <v>332</v>
      </c>
      <c r="GO60" s="328"/>
      <c r="GP60" s="402" t="e">
        <v>#N/A</v>
      </c>
      <c r="GQ60" s="223" t="e">
        <f t="shared" ref="GQ60:GQ61" si="119">INDEX($GP$25:$GP$30,MATCH(GP60,$GF$25:$GF$30,0))</f>
        <v>#N/A</v>
      </c>
      <c r="GR60" s="223" t="e">
        <f t="shared" ref="GR60:GR61" si="120">INDEX($GQ$25:$GQ$30,MATCH(GP60,$GF$25:$GF$30,0))</f>
        <v>#N/A</v>
      </c>
      <c r="GS60" s="310"/>
      <c r="GT60" s="310"/>
      <c r="GU60" s="310"/>
      <c r="GV60" s="310"/>
      <c r="GW60" s="531" t="b">
        <f>IF(BK6=3,TRUE,FALSE)</f>
        <v>0</v>
      </c>
      <c r="GX60" s="531" t="b">
        <f>IF(BK6=3,FALSE,FALSE)</f>
        <v>0</v>
      </c>
      <c r="GY60" s="310"/>
      <c r="GZ60" s="242" t="e">
        <f>IF(GW60=TRUE,GQ60,#N/A)</f>
        <v>#N/A</v>
      </c>
      <c r="HA60" s="242" t="e">
        <f>IF(GW60=TRUE,GR60,#N/A)</f>
        <v>#N/A</v>
      </c>
      <c r="HB60" s="242" t="e">
        <f>IF(GX60=TRUE,GQ60,#N/A)</f>
        <v>#N/A</v>
      </c>
      <c r="HC60" s="242" t="e">
        <f>IF(GX60=TRUE,GR60,#N/A)</f>
        <v>#N/A</v>
      </c>
      <c r="HD60" s="310"/>
      <c r="HE60" s="470" t="s">
        <v>204</v>
      </c>
      <c r="HF60" s="310" t="s">
        <v>207</v>
      </c>
      <c r="HG60" s="310" t="str">
        <f>"PILE CAP ENLARGEMENT : "&amp;HH45&amp;HH48&amp;HH51&amp;HH54</f>
        <v xml:space="preserve">PILE CAP ENLARGEMENT : </v>
      </c>
      <c r="HH60" s="310"/>
      <c r="HI60" s="310"/>
      <c r="HJ60" s="310"/>
      <c r="HK60" s="342">
        <v>46</v>
      </c>
      <c r="HL60" s="235" t="e">
        <f t="shared" si="5"/>
        <v>#N/A</v>
      </c>
      <c r="HM60" s="235" t="e">
        <f t="shared" si="6"/>
        <v>#N/A</v>
      </c>
      <c r="HN60" s="310"/>
      <c r="HO60" s="310"/>
      <c r="HP60" s="235" t="e">
        <f t="shared" si="7"/>
        <v>#N/A</v>
      </c>
      <c r="HQ60" s="235" t="e">
        <f t="shared" si="8"/>
        <v>#N/A</v>
      </c>
      <c r="HR60" s="310"/>
      <c r="HS60" s="310"/>
      <c r="HT60" s="235" t="e">
        <f t="shared" si="9"/>
        <v>#N/A</v>
      </c>
      <c r="HU60" s="235" t="e">
        <f t="shared" si="10"/>
        <v>#N/A</v>
      </c>
      <c r="HV60" s="310"/>
      <c r="HW60" s="310"/>
      <c r="HX60" s="235" t="e">
        <f t="shared" si="11"/>
        <v>#N/A</v>
      </c>
      <c r="HY60" s="235" t="e">
        <f t="shared" si="12"/>
        <v>#N/A</v>
      </c>
      <c r="HZ60" s="310"/>
      <c r="IA60" s="310"/>
      <c r="IB60" s="235" t="e">
        <f t="shared" si="13"/>
        <v>#N/A</v>
      </c>
      <c r="IC60" s="235" t="e">
        <f t="shared" si="14"/>
        <v>#N/A</v>
      </c>
      <c r="ID60" s="310"/>
      <c r="IE60" s="342">
        <v>46</v>
      </c>
      <c r="IF60" s="262" t="e">
        <f t="shared" si="15"/>
        <v>#N/A</v>
      </c>
      <c r="IG60" s="262" t="e">
        <f t="shared" si="16"/>
        <v>#N/A</v>
      </c>
      <c r="IH60" s="390"/>
      <c r="II60" s="390"/>
      <c r="IJ60" s="262" t="e">
        <f t="shared" si="17"/>
        <v>#N/A</v>
      </c>
      <c r="IK60" s="262" t="e">
        <f t="shared" si="18"/>
        <v>#N/A</v>
      </c>
      <c r="IL60" s="390"/>
      <c r="IM60" s="390"/>
      <c r="IN60" s="262" t="e">
        <f t="shared" si="19"/>
        <v>#N/A</v>
      </c>
      <c r="IO60" s="262" t="e">
        <f t="shared" si="20"/>
        <v>#N/A</v>
      </c>
      <c r="IP60" s="390"/>
      <c r="IQ60" s="390"/>
      <c r="IR60" s="262" t="e">
        <f t="shared" si="21"/>
        <v>#N/A</v>
      </c>
      <c r="IS60" s="262" t="e">
        <f t="shared" si="22"/>
        <v>#N/A</v>
      </c>
      <c r="IT60" s="390"/>
      <c r="IU60" s="390"/>
      <c r="IV60" s="262" t="e">
        <f t="shared" si="23"/>
        <v>#N/A</v>
      </c>
      <c r="IW60" s="262" t="e">
        <f t="shared" si="24"/>
        <v>#N/A</v>
      </c>
      <c r="IX60" s="310"/>
      <c r="IY60" s="310"/>
      <c r="IZ60" s="310"/>
      <c r="JA60" s="310"/>
      <c r="JB60" s="313" t="s">
        <v>373</v>
      </c>
      <c r="JC60" s="236" t="e">
        <f>JC52</f>
        <v>#N/A</v>
      </c>
      <c r="JD60" s="236" t="e">
        <f>JD52</f>
        <v>#N/A</v>
      </c>
      <c r="JE60" s="310"/>
      <c r="JF60" s="310"/>
      <c r="JG60" s="310"/>
      <c r="JH60" s="310"/>
      <c r="JI60" s="313" t="s">
        <v>373</v>
      </c>
      <c r="JJ60" s="263" t="e">
        <f>JJ52</f>
        <v>#N/A</v>
      </c>
      <c r="JK60" s="263" t="e">
        <f>JK52</f>
        <v>#N/A</v>
      </c>
      <c r="JL60" s="310"/>
      <c r="JM60" s="310"/>
      <c r="JN60" s="261" t="e">
        <f t="shared" si="25"/>
        <v>#N/A</v>
      </c>
      <c r="JO60" s="261" t="e">
        <f t="shared" si="26"/>
        <v>#N/A</v>
      </c>
      <c r="JP60" s="310"/>
      <c r="JQ60" s="310"/>
      <c r="JR60" s="261" t="e">
        <f t="shared" si="31"/>
        <v>#N/A</v>
      </c>
      <c r="JS60" s="261" t="e">
        <f t="shared" si="32"/>
        <v>#N/A</v>
      </c>
      <c r="JT60" s="310"/>
      <c r="JU60" s="310"/>
      <c r="JV60" s="261" t="e">
        <f t="shared" si="27"/>
        <v>#N/A</v>
      </c>
      <c r="JW60" s="261" t="e">
        <f t="shared" si="28"/>
        <v>#N/A</v>
      </c>
      <c r="JX60" s="310"/>
      <c r="JY60" s="310"/>
      <c r="JZ60" s="310"/>
      <c r="KA60" s="310"/>
      <c r="KB60" s="313" t="s">
        <v>325</v>
      </c>
      <c r="KC60" s="265" t="e">
        <f>JZ57-$IZ$62</f>
        <v>#N/A</v>
      </c>
      <c r="KD60" s="265" t="e">
        <f>KA57</f>
        <v>#N/A</v>
      </c>
      <c r="KE60" s="310"/>
      <c r="KF60" s="310"/>
      <c r="KG60" s="310"/>
      <c r="KH60" s="310"/>
      <c r="KI60" s="310"/>
      <c r="KJ60" s="310"/>
      <c r="KK60" s="310"/>
      <c r="KL60" s="310"/>
      <c r="KM60" s="310"/>
      <c r="KN60" s="310"/>
      <c r="KO60" s="310"/>
      <c r="KP60" s="310"/>
      <c r="KQ60" s="310"/>
      <c r="KR60" s="310"/>
      <c r="KS60" s="310"/>
      <c r="KT60" s="310"/>
      <c r="KU60" s="310"/>
      <c r="KV60" s="310"/>
      <c r="KW60" s="310"/>
      <c r="KX60" s="310"/>
      <c r="KY60" s="310"/>
      <c r="KZ60" s="310"/>
      <c r="LA60" s="310"/>
      <c r="LB60" s="328" t="str">
        <v>P4</v>
      </c>
      <c r="LC60" s="391" t="e">
        <v>#N/A</v>
      </c>
      <c r="LD60" s="391" t="e">
        <v>#N/A</v>
      </c>
      <c r="LE60" s="310"/>
      <c r="LF60" s="310"/>
      <c r="LG60" s="310"/>
      <c r="LH60" s="463" t="e">
        <f>LH59</f>
        <v>#N/A</v>
      </c>
      <c r="LI60" s="463" t="e">
        <f>LD61</f>
        <v>#N/A</v>
      </c>
      <c r="LJ60" s="463" t="e">
        <f>LJ59</f>
        <v>#N/A</v>
      </c>
      <c r="LK60" s="463" t="e">
        <f>LI78-(LI78-LI79)/2</f>
        <v>#N/A</v>
      </c>
      <c r="LL60" s="463" t="e">
        <f>LI78-LI79</f>
        <v>#N/A</v>
      </c>
      <c r="LM60" s="310"/>
      <c r="LN60" s="310"/>
      <c r="LO60" s="347" t="e">
        <f>LO59</f>
        <v>#N/A</v>
      </c>
      <c r="LP60" s="347" t="e">
        <f>LD64</f>
        <v>#N/A</v>
      </c>
      <c r="LQ60" s="347" t="e">
        <f>LQ59</f>
        <v>#N/A</v>
      </c>
      <c r="LR60" s="347" t="e">
        <f>LP78-(LP78-LP79)/2</f>
        <v>#N/A</v>
      </c>
      <c r="LS60" s="347" t="e">
        <f>LP78-LP79</f>
        <v>#N/A</v>
      </c>
      <c r="LT60" s="310"/>
      <c r="LU60" s="310"/>
      <c r="LV60" s="347" t="e">
        <f>LC63</f>
        <v>#N/A</v>
      </c>
      <c r="LW60" s="347" t="e">
        <f>LW59</f>
        <v>#N/A</v>
      </c>
      <c r="LX60" s="347" t="e">
        <f>LV78+(LV79-LV78)/2</f>
        <v>#N/A</v>
      </c>
      <c r="LY60" s="347" t="e">
        <f>LY59</f>
        <v>#N/A</v>
      </c>
      <c r="LZ60" s="347" t="e">
        <f>LV79-LV78</f>
        <v>#N/A</v>
      </c>
      <c r="MA60" s="310"/>
      <c r="MB60" s="310"/>
      <c r="MC60" s="347" t="e">
        <f>LC58</f>
        <v>#N/A</v>
      </c>
      <c r="MD60" s="347" t="e">
        <f>MD57</f>
        <v>#N/A</v>
      </c>
      <c r="ME60" s="347" t="e">
        <f>MC78+(MC79-MC78)/2</f>
        <v>#N/A</v>
      </c>
      <c r="MF60" s="347" t="e">
        <f>MF59</f>
        <v>#N/A</v>
      </c>
      <c r="MG60" s="347" t="e">
        <f>MC79-MC78</f>
        <v>#N/A</v>
      </c>
      <c r="MH60" s="310"/>
      <c r="MI60" s="310"/>
      <c r="MJ60" s="238" t="e">
        <v>#N/A</v>
      </c>
      <c r="MK60" s="238" t="e">
        <v>#N/A</v>
      </c>
      <c r="ML60" s="238" t="e">
        <v>#N/A</v>
      </c>
      <c r="MM60" s="238" t="e">
        <v>#N/A</v>
      </c>
      <c r="MN60" s="347"/>
      <c r="MO60" s="310"/>
      <c r="MP60" s="311" t="e">
        <v>#N/A</v>
      </c>
      <c r="MQ60" s="311" t="e">
        <v>#N/A</v>
      </c>
      <c r="MR60" s="311" t="e">
        <v>#N/A</v>
      </c>
      <c r="MS60" s="311" t="e">
        <v>#N/A</v>
      </c>
      <c r="MT60" s="310"/>
      <c r="MU60" s="292" t="e">
        <f>MU59</f>
        <v>#N/A</v>
      </c>
      <c r="MV60" s="297" t="e">
        <f t="shared" ref="MV60:MV61" si="121">MV56</f>
        <v>#N/A</v>
      </c>
      <c r="MW60" s="292" t="e">
        <v>#N/A</v>
      </c>
      <c r="MX60" s="292" t="e">
        <v>#N/A</v>
      </c>
      <c r="MY60" s="338"/>
      <c r="MZ60" s="403">
        <v>27</v>
      </c>
      <c r="NA60" s="372" t="b">
        <f t="shared" si="76"/>
        <v>0</v>
      </c>
      <c r="NB60" s="280" t="e">
        <f t="shared" si="80"/>
        <v>#N/A</v>
      </c>
      <c r="NC60" s="280" t="e">
        <f t="shared" si="81"/>
        <v>#N/A</v>
      </c>
      <c r="ND60" s="280" t="e">
        <f t="shared" si="77"/>
        <v>#N/A</v>
      </c>
      <c r="NE60" s="280" t="e">
        <f t="shared" si="78"/>
        <v>#N/A</v>
      </c>
      <c r="NF60" s="310"/>
      <c r="NG60" s="310"/>
      <c r="NH60" s="310"/>
      <c r="NI60" s="310"/>
      <c r="NJ60" s="310"/>
      <c r="NK60" s="310"/>
      <c r="NL60" s="310"/>
      <c r="NM60" s="310"/>
      <c r="NN60" s="310"/>
      <c r="NO60" s="310"/>
      <c r="NP60" s="310"/>
      <c r="NQ60" s="310"/>
      <c r="NR60" s="310"/>
      <c r="NS60" s="310"/>
      <c r="NT60" s="310"/>
      <c r="NU60" s="310"/>
      <c r="NV60" s="310"/>
      <c r="NW60" s="310"/>
      <c r="NX60" s="310"/>
      <c r="NY60" s="310"/>
      <c r="NZ60" s="310"/>
      <c r="OA60" s="310"/>
      <c r="OB60" s="310"/>
      <c r="OC60" s="310"/>
      <c r="OD60" s="310"/>
      <c r="OE60" s="310"/>
      <c r="OF60" s="310"/>
      <c r="OG60" s="310"/>
      <c r="OH60" s="310"/>
      <c r="OI60" s="310"/>
      <c r="OJ60" s="310"/>
      <c r="OK60" s="310"/>
      <c r="OL60" s="310"/>
      <c r="OM60" s="310"/>
      <c r="ON60" s="310"/>
      <c r="OO60" s="310"/>
      <c r="OP60" s="310"/>
      <c r="OQ60" s="310"/>
      <c r="OR60" s="310"/>
      <c r="OS60" s="310"/>
      <c r="OT60" s="310"/>
      <c r="OU60" s="310"/>
      <c r="OV60" s="310"/>
      <c r="OW60" s="310"/>
      <c r="OX60" s="310"/>
      <c r="OY60" s="310"/>
      <c r="OZ60" s="310"/>
      <c r="PA60" s="310"/>
      <c r="PB60" s="310"/>
      <c r="PC60" s="310"/>
      <c r="PD60" s="310"/>
      <c r="PE60" s="310"/>
      <c r="PF60" s="310"/>
      <c r="PG60" s="310"/>
      <c r="PH60" s="310"/>
      <c r="PI60" s="310"/>
      <c r="PJ60" s="310"/>
      <c r="PK60" s="310"/>
      <c r="PL60" s="310"/>
      <c r="PM60" s="310"/>
      <c r="PN60" s="310"/>
      <c r="PO60" s="310"/>
      <c r="PP60" s="310"/>
      <c r="PQ60" s="310"/>
      <c r="PR60" s="310"/>
      <c r="PS60" s="342">
        <v>46</v>
      </c>
      <c r="PT60" s="261" t="e">
        <f t="shared" si="29"/>
        <v>#N/A</v>
      </c>
      <c r="PU60" s="261" t="e">
        <f t="shared" si="30"/>
        <v>#N/A</v>
      </c>
      <c r="PV60" s="310"/>
      <c r="PW60" s="310"/>
      <c r="PX60" s="310"/>
      <c r="PY60" s="310"/>
      <c r="PZ60" s="310"/>
      <c r="QA60" s="310"/>
      <c r="QB60" s="310"/>
      <c r="QC60" s="310"/>
      <c r="QD60" s="310"/>
      <c r="QE60" s="310"/>
      <c r="QF60" s="310"/>
      <c r="QG60" s="310"/>
      <c r="QH60" s="310"/>
      <c r="QI60" s="310"/>
      <c r="QJ60" s="310"/>
      <c r="QK60" s="310"/>
      <c r="QL60" s="310"/>
      <c r="QM60" s="310"/>
      <c r="QN60" s="310"/>
      <c r="QO60" s="310"/>
      <c r="QP60" s="310"/>
      <c r="QQ60" s="310"/>
      <c r="QR60" s="310"/>
      <c r="QS60" s="310"/>
      <c r="QT60" s="310"/>
      <c r="QU60" s="310"/>
      <c r="QV60" s="310"/>
      <c r="QW60" s="310"/>
      <c r="QX60" s="310"/>
      <c r="QY60" s="310"/>
      <c r="QZ60" s="310"/>
      <c r="RA60" s="310"/>
      <c r="RB60" s="310"/>
      <c r="RC60" s="310"/>
      <c r="RD60" s="310"/>
      <c r="RE60" s="310"/>
      <c r="RF60" s="310"/>
      <c r="RG60" s="310"/>
      <c r="RH60" s="310"/>
      <c r="RI60" s="310"/>
      <c r="RJ60" s="310"/>
      <c r="RK60" s="310"/>
      <c r="RL60" s="310"/>
      <c r="RM60" s="310"/>
      <c r="RN60" s="310"/>
      <c r="RO60" s="310"/>
      <c r="RP60" s="310"/>
      <c r="RQ60" s="329"/>
      <c r="RR60" s="310"/>
      <c r="RS60" s="310"/>
      <c r="RT60" s="310"/>
      <c r="RU60" s="310"/>
      <c r="RV60" s="310"/>
      <c r="RW60" s="310"/>
      <c r="RX60" s="310"/>
      <c r="RY60" s="310"/>
      <c r="RZ60" s="310"/>
      <c r="SA60" s="310"/>
      <c r="SB60" s="310"/>
      <c r="SC60" s="310"/>
      <c r="SD60" s="310"/>
      <c r="SE60" s="310"/>
      <c r="SF60" s="310"/>
      <c r="SG60" s="310"/>
      <c r="SH60" s="310"/>
      <c r="SI60" s="310"/>
      <c r="SJ60" s="310"/>
      <c r="SK60" s="310"/>
      <c r="SL60" s="310"/>
      <c r="SM60" s="310"/>
      <c r="SN60" s="310"/>
      <c r="SO60" s="220"/>
      <c r="SP60" s="220"/>
      <c r="SQ60" s="220"/>
      <c r="SR60" s="220"/>
      <c r="SS60" s="220"/>
      <c r="ST60" s="220"/>
      <c r="SU60" s="220"/>
      <c r="SV60" s="220"/>
      <c r="SW60" s="220"/>
      <c r="SX60" s="220"/>
      <c r="SY60" s="220"/>
      <c r="SZ60" s="220"/>
      <c r="TA60" s="220"/>
      <c r="TB60" s="220"/>
      <c r="TC60" s="220"/>
      <c r="TD60" s="220"/>
      <c r="TE60" s="220"/>
      <c r="TF60" s="220"/>
      <c r="TG60" s="220"/>
      <c r="TH60" s="220"/>
      <c r="TI60" s="220"/>
      <c r="TJ60" s="220"/>
      <c r="TK60" s="220"/>
      <c r="TL60" s="220"/>
      <c r="TM60" s="220"/>
      <c r="TN60" s="220"/>
      <c r="TO60" s="220"/>
      <c r="TP60" s="220"/>
      <c r="TQ60" s="220"/>
      <c r="TR60" s="220"/>
      <c r="TS60" s="220"/>
      <c r="TT60" s="220"/>
      <c r="TU60" s="220"/>
      <c r="TV60" s="220"/>
      <c r="TW60" s="220"/>
      <c r="TX60" s="220"/>
      <c r="TY60" s="220"/>
      <c r="TZ60" s="220"/>
      <c r="UA60" s="220"/>
      <c r="UB60" s="220"/>
      <c r="UC60" s="220"/>
      <c r="UD60" s="220"/>
      <c r="UE60" s="220"/>
      <c r="UF60" s="220"/>
      <c r="UG60" s="220"/>
      <c r="UH60" s="220"/>
      <c r="UI60" s="220"/>
      <c r="UJ60" s="220"/>
      <c r="UK60" s="216"/>
      <c r="UL60" s="216"/>
      <c r="UM60" s="216"/>
      <c r="UN60" s="216"/>
      <c r="UO60" s="216"/>
      <c r="UP60" s="216"/>
      <c r="UQ60" s="216"/>
      <c r="UR60" s="216"/>
      <c r="US60" s="216"/>
      <c r="UT60" s="216"/>
      <c r="UU60" s="216"/>
      <c r="UV60" s="216"/>
      <c r="UW60" s="216"/>
      <c r="UX60" s="216"/>
      <c r="UY60" s="216"/>
      <c r="UZ60" s="216"/>
      <c r="VA60" s="216"/>
    </row>
    <row r="61" spans="1:573" s="4" customFormat="1" x14ac:dyDescent="0.5">
      <c r="A61" s="16"/>
      <c r="B61" s="16"/>
      <c r="C61" s="16"/>
      <c r="D61" s="16"/>
      <c r="E61" s="16"/>
      <c r="F61" s="16"/>
      <c r="G61" s="638" t="str">
        <f>IF(CP13=TRUE,"0.29 x sqrt ("&amp;TRUNC(C48,3)&amp;" )    =","")</f>
        <v>0.29 x sqrt (240 )    =</v>
      </c>
      <c r="H61" s="639"/>
      <c r="I61" s="174">
        <f>IF(CP13=TRUE,0.29*SQRT(C48),"")</f>
        <v>4.4926606816006034</v>
      </c>
      <c r="J61" s="709">
        <f>IF(AND(CP13=TRUE,CU11=TRUE),(M16*1000/C51)*(AS69+(O12/2)*100),"")</f>
        <v>1978.0219780219363</v>
      </c>
      <c r="K61" s="710"/>
      <c r="L61" s="175">
        <f>IF(AND(CP13=TRUE,CU11=TRUE),IF(BL7=TRUE,"NOT REQUIRED",J61/(C51*AT69*100)),"")</f>
        <v>2.2880531845250861E-3</v>
      </c>
      <c r="M61" s="176" t="str">
        <f>IF(AND(CP13=TRUE,CU11=TRUE),IF(BL7=TRUE,"",IF(I61&gt;L61,BT11,BT12)),"")</f>
        <v>ü</v>
      </c>
      <c r="N61" s="175">
        <f>IF(AND(CP13=TRUE,CU11=TRUE),IF(BL7=TRUE,"NOT REQUIRED",J61/(C51*AU69*100)),"")</f>
        <v>2.2880531845250861E-3</v>
      </c>
      <c r="O61" s="176" t="str">
        <f>IF(AND(CP13=TRUE,CU11=TRUE),IF(BL7=TRUE,"",IF(I61&gt;N61,BT11,BT12)),"")</f>
        <v>ü</v>
      </c>
      <c r="P61" s="177"/>
      <c r="Q61" s="178"/>
      <c r="R61" s="178"/>
      <c r="S61" s="178"/>
      <c r="T61" s="157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5"/>
      <c r="AM61" s="45"/>
      <c r="AN61" s="45"/>
      <c r="AO61" s="45"/>
      <c r="AP61" s="310"/>
      <c r="AQ61" s="310"/>
      <c r="AR61" s="310"/>
      <c r="AS61" s="310"/>
      <c r="AT61" s="310"/>
      <c r="AU61" s="310"/>
      <c r="AV61" s="310"/>
      <c r="AW61" s="310"/>
      <c r="AX61" s="310"/>
      <c r="AY61" s="310"/>
      <c r="AZ61" s="310"/>
      <c r="BA61" s="310"/>
      <c r="BB61" s="328" t="s">
        <v>239</v>
      </c>
      <c r="BC61" s="416" t="str">
        <f>IF(AND(CP13,CU11,BL7),$M$16/($BK$6+$BA$32)+IF(BK6&lt;=2,0,IF(OR($J$52=0,$L$52=0),0,($O$40*I44/$L$52)+($O$41*H44/$J$52))),"")</f>
        <v/>
      </c>
      <c r="BD61" s="416" t="str">
        <f>IF(AND(CP13=TRUE,CU11=TRUE,BL8=TRUE,AY15=TRUE),($M$16/($BK$6+$BA$32-$SC$34))+(($O$40*H44)/$J$52),"")</f>
        <v/>
      </c>
      <c r="BE61" s="338" t="str">
        <f>IF(AND(CP13=TRUE,CU11=TRUE,BL8=TRUE,AY16=TRUE),($M$16/($BK$6+$BA$32-$SC$34))+(($O$41*I44)/$L$52),"")</f>
        <v/>
      </c>
      <c r="BF61" s="416" t="str">
        <f>IF(AND(CP13=TRUE,CU11=TRUE,BL9=TRUE),($M$16/($BK$6+$BA$32-$SC$34))+($O$40*I44/$L$52)+($O$41*H44/$J$52),"")</f>
        <v/>
      </c>
      <c r="BG61" s="416" t="str">
        <f>IF(SC29=TRUE,0,IF(AND(CP13=TRUE,CU11=TRUE,BL10=TRUE),($M$16/($BK$6+$BA$32-$SC$34))+($O$40*I44/$L$52)+($O$41*H44/$J$52),""))</f>
        <v/>
      </c>
      <c r="BH61" s="416">
        <f>IF(SC29=TRUE,0,IF(AND(CP13=TRUE,CU11=TRUE,BL11=TRUE),($M$16/($CP$16+$BA$32))+($O$40*I44/$L$52)+($O$41*H44/$J$52),""))</f>
        <v>36</v>
      </c>
      <c r="BI61" s="416" cm="1">
        <f t="array" ref="BI61:BI65">IF(AND(CP13=TRUE,CU11=TRUE),CHOOSE(
MATCH(BB60,{"F1","F2x","F2y","F3","F4","F5"},0),
BC61,
BD61:BD62,
BE61:BE62,
BF61:BF63,
BG61:BG64,
BH61:BH65
),"")</f>
        <v>36</v>
      </c>
      <c r="BJ61" s="310"/>
      <c r="BK61" s="310"/>
      <c r="BL61" s="310"/>
      <c r="BM61" s="310"/>
      <c r="BN61" s="310"/>
      <c r="BO61" s="310"/>
      <c r="BP61" s="310"/>
      <c r="BQ61" s="310"/>
      <c r="BR61" s="310"/>
      <c r="BS61" s="310"/>
      <c r="BT61" s="310"/>
      <c r="BU61" s="310"/>
      <c r="BV61" s="310"/>
      <c r="BW61" s="310"/>
      <c r="BX61" s="310"/>
      <c r="BY61" s="338" t="e">
        <f>BY60</f>
        <v>#N/A</v>
      </c>
      <c r="BZ61" s="338" t="e">
        <f>BZ48-BT7/2</f>
        <v>#N/A</v>
      </c>
      <c r="CA61" s="310"/>
      <c r="CB61" s="310"/>
      <c r="CC61" s="310"/>
      <c r="CD61" s="231" t="e">
        <f>CD58</f>
        <v>#N/A</v>
      </c>
      <c r="CE61" s="231" t="e">
        <f>CE58</f>
        <v>#N/A</v>
      </c>
      <c r="CF61" s="310"/>
      <c r="CG61" s="310"/>
      <c r="CH61" s="310"/>
      <c r="CI61" s="424" t="s">
        <v>230</v>
      </c>
      <c r="CJ61" s="493" t="e">
        <f>IF($CI$56=FALSE,CJ56,#N/A)</f>
        <v>#N/A</v>
      </c>
      <c r="CK61" s="493" t="e">
        <f>IF($CI$56=FALSE,CK56,#N/A)</f>
        <v>#N/A</v>
      </c>
      <c r="CL61" s="468" t="str">
        <f>IF($CI$56=FALSE,M44,"")</f>
        <v/>
      </c>
      <c r="CM61" s="310"/>
      <c r="CN61" s="338" t="e">
        <f>CN29</f>
        <v>#N/A</v>
      </c>
      <c r="CO61" s="338" t="e">
        <f>CO60</f>
        <v>#N/A</v>
      </c>
      <c r="CP61" s="310"/>
      <c r="CQ61" s="310"/>
      <c r="CR61" s="310"/>
      <c r="CS61" s="310"/>
      <c r="CT61" s="338" t="e">
        <f>CT60</f>
        <v>#N/A</v>
      </c>
      <c r="CU61" s="338" t="e">
        <f>CO28</f>
        <v>#N/A</v>
      </c>
      <c r="CV61" s="310"/>
      <c r="CW61" s="310"/>
      <c r="CX61" s="310"/>
      <c r="CY61" s="310"/>
      <c r="CZ61" s="310"/>
      <c r="DA61" s="310"/>
      <c r="DB61" s="310">
        <v>4</v>
      </c>
      <c r="DC61" s="280" t="e">
        <f>IF(AND($DD$50=TRUE,$D$63&gt;=DB61),$DC$52,#N/A)</f>
        <v>#N/A</v>
      </c>
      <c r="DD61" s="280" t="e">
        <f>IF(AND($DD$50=TRUE,$D$63&gt;=DB61),$DD$52-0.2,#N/A)</f>
        <v>#N/A</v>
      </c>
      <c r="DE61" s="310"/>
      <c r="DF61" s="338" t="s">
        <v>48</v>
      </c>
      <c r="DG61" s="338" t="s">
        <v>49</v>
      </c>
      <c r="DH61" s="328" t="s">
        <v>48</v>
      </c>
      <c r="DI61" s="328" t="s">
        <v>49</v>
      </c>
      <c r="DJ61" s="328" t="s">
        <v>139</v>
      </c>
      <c r="DK61" s="310"/>
      <c r="DL61" s="310"/>
      <c r="DM61" s="310"/>
      <c r="DN61" s="310"/>
      <c r="DO61" s="310"/>
      <c r="DP61" s="310"/>
      <c r="DQ61" s="310"/>
      <c r="DR61" s="310"/>
      <c r="DS61" s="310"/>
      <c r="DT61" s="338"/>
      <c r="DU61" s="338">
        <f>DU57</f>
        <v>-0.8</v>
      </c>
      <c r="DV61" s="338">
        <f>DV57</f>
        <v>0.8</v>
      </c>
      <c r="DW61" s="310"/>
      <c r="DX61" s="310"/>
      <c r="DY61" s="338">
        <f>DY57</f>
        <v>-0.8</v>
      </c>
      <c r="DZ61" s="338">
        <f>DZ57</f>
        <v>0.8</v>
      </c>
      <c r="EA61" s="310"/>
      <c r="EB61" s="310">
        <f>IF(EC58=TRUE,M24,#N/A)</f>
        <v>0</v>
      </c>
      <c r="EC61" s="310"/>
      <c r="ED61" s="310"/>
      <c r="EE61" s="280">
        <f>EB61-MAX(EK9:EK10)/2</f>
        <v>-0.95</v>
      </c>
      <c r="EF61" s="280">
        <f>IF(EC58=TRUE,F51/100,#N/A)</f>
        <v>0.6</v>
      </c>
      <c r="EG61" s="280">
        <f>EB67-BT7/2</f>
        <v>-0.8</v>
      </c>
      <c r="EH61" s="280">
        <f>IF(EC58=TRUE,-0.5,#N/A)</f>
        <v>-0.5</v>
      </c>
      <c r="EI61" s="310"/>
      <c r="EJ61" s="280">
        <f>EE61+F50/100</f>
        <v>-0.875</v>
      </c>
      <c r="EK61" s="280">
        <f>EF61-F50/100</f>
        <v>0.52500000000000002</v>
      </c>
      <c r="EL61" s="310"/>
      <c r="EM61" s="310" t="str">
        <f>AT57</f>
        <v>DB20</v>
      </c>
      <c r="EN61" s="310">
        <f>AU57</f>
        <v>0.02</v>
      </c>
      <c r="EO61" s="310"/>
      <c r="EP61" s="310"/>
      <c r="EQ61" s="310"/>
      <c r="ER61" s="310"/>
      <c r="ES61" s="310"/>
      <c r="ET61" s="310"/>
      <c r="EU61" s="310"/>
      <c r="EV61" s="310"/>
      <c r="EW61" s="310"/>
      <c r="EX61" s="310"/>
      <c r="EY61" s="310"/>
      <c r="EZ61" s="310"/>
      <c r="FA61" s="310"/>
      <c r="FB61" s="310"/>
      <c r="FC61" s="424" t="s">
        <v>106</v>
      </c>
      <c r="FD61" s="512" t="e">
        <f>IF($FE$59=TRUE,IF(BM7=TRUE,FD19,#N/A),#N/A)</f>
        <v>#N/A</v>
      </c>
      <c r="FE61" s="512" t="e">
        <f>IF($FE$59=TRUE,IF(BM7=TRUE,FE19,#N/A),#N/A)</f>
        <v>#N/A</v>
      </c>
      <c r="FF61" s="310" t="str">
        <f>IF($FE$59=TRUE,IF(BM7=TRUE,FC61,""),"")</f>
        <v/>
      </c>
      <c r="FG61" s="310"/>
      <c r="FH61" s="311"/>
      <c r="FI61" s="311"/>
      <c r="FJ61" s="311"/>
      <c r="FK61" s="311"/>
      <c r="FL61" s="310"/>
      <c r="FM61" s="310"/>
      <c r="FN61" s="310"/>
      <c r="FO61" s="310"/>
      <c r="FP61" s="310"/>
      <c r="FQ61" s="313" t="s">
        <v>332</v>
      </c>
      <c r="FR61" s="318" t="e">
        <v>#N/A</v>
      </c>
      <c r="FS61" s="318" t="e">
        <v>#N/A</v>
      </c>
      <c r="FT61" s="318" t="e">
        <v>#N/A</v>
      </c>
      <c r="FU61" s="318" t="e">
        <v>#N/A</v>
      </c>
      <c r="FV61" s="318">
        <f>FV45</f>
        <v>-1.2999999999999998</v>
      </c>
      <c r="FW61" s="318">
        <f>FW45</f>
        <v>-0.95</v>
      </c>
      <c r="FX61" s="318"/>
      <c r="FY61" s="318"/>
      <c r="FZ61" s="318" t="e">
        <v>#N/A</v>
      </c>
      <c r="GA61" s="318" t="e">
        <v>#N/A</v>
      </c>
      <c r="GB61" s="318" t="e">
        <v>#N/A</v>
      </c>
      <c r="GC61" s="318" t="e">
        <v>#N/A</v>
      </c>
      <c r="GD61" s="310"/>
      <c r="GE61" s="535"/>
      <c r="GF61" s="313" t="e">
        <v>#N/A</v>
      </c>
      <c r="GG61" s="313" t="e">
        <v>#N/A</v>
      </c>
      <c r="GH61" s="313" t="e">
        <v>#N/A</v>
      </c>
      <c r="GI61" s="313" t="e">
        <v>#N/A</v>
      </c>
      <c r="GJ61" s="313" t="e">
        <v>#N/A</v>
      </c>
      <c r="GK61" s="328" t="s">
        <v>334</v>
      </c>
      <c r="GL61" s="328" t="s">
        <v>336</v>
      </c>
      <c r="GM61" s="328" t="s">
        <v>337</v>
      </c>
      <c r="GN61" s="328" t="s">
        <v>337</v>
      </c>
      <c r="GO61" s="328"/>
      <c r="GP61" s="402" t="e">
        <v>#N/A</v>
      </c>
      <c r="GQ61" s="223" t="e">
        <f t="shared" si="119"/>
        <v>#N/A</v>
      </c>
      <c r="GR61" s="223" t="e">
        <f t="shared" si="120"/>
        <v>#N/A</v>
      </c>
      <c r="GS61" s="310"/>
      <c r="GT61" s="310"/>
      <c r="GU61" s="310"/>
      <c r="GV61" s="310"/>
      <c r="GW61" s="531"/>
      <c r="GX61" s="531"/>
      <c r="GY61" s="310"/>
      <c r="GZ61" s="242" t="e">
        <f>IF(GW60=TRUE,GQ61,#N/A)</f>
        <v>#N/A</v>
      </c>
      <c r="HA61" s="242" t="e">
        <f>IF(GW60=TRUE,GR61,#N/A)</f>
        <v>#N/A</v>
      </c>
      <c r="HB61" s="242" t="e">
        <f>IF(GX60=TRUE,GQ61,#N/A)</f>
        <v>#N/A</v>
      </c>
      <c r="HC61" s="242" t="e">
        <f>IF(GX60=TRUE,GR61,#N/A)</f>
        <v>#N/A</v>
      </c>
      <c r="HD61" s="310"/>
      <c r="HE61" s="470" t="s">
        <v>197</v>
      </c>
      <c r="HF61" s="310"/>
      <c r="HG61" s="310" t="s">
        <v>208</v>
      </c>
      <c r="HH61" s="310"/>
      <c r="HI61" s="310"/>
      <c r="HJ61" s="310"/>
      <c r="HK61" s="342">
        <v>47</v>
      </c>
      <c r="HL61" s="235" t="e">
        <f t="shared" si="5"/>
        <v>#N/A</v>
      </c>
      <c r="HM61" s="235" t="e">
        <f t="shared" si="6"/>
        <v>#N/A</v>
      </c>
      <c r="HN61" s="310"/>
      <c r="HO61" s="310"/>
      <c r="HP61" s="235" t="e">
        <f t="shared" si="7"/>
        <v>#N/A</v>
      </c>
      <c r="HQ61" s="235" t="e">
        <f t="shared" si="8"/>
        <v>#N/A</v>
      </c>
      <c r="HR61" s="310"/>
      <c r="HS61" s="310"/>
      <c r="HT61" s="235" t="e">
        <f t="shared" si="9"/>
        <v>#N/A</v>
      </c>
      <c r="HU61" s="235" t="e">
        <f t="shared" si="10"/>
        <v>#N/A</v>
      </c>
      <c r="HV61" s="310"/>
      <c r="HW61" s="310"/>
      <c r="HX61" s="235" t="e">
        <f t="shared" si="11"/>
        <v>#N/A</v>
      </c>
      <c r="HY61" s="235" t="e">
        <f t="shared" si="12"/>
        <v>#N/A</v>
      </c>
      <c r="HZ61" s="310"/>
      <c r="IA61" s="310"/>
      <c r="IB61" s="235" t="e">
        <f t="shared" si="13"/>
        <v>#N/A</v>
      </c>
      <c r="IC61" s="235" t="e">
        <f t="shared" si="14"/>
        <v>#N/A</v>
      </c>
      <c r="ID61" s="310"/>
      <c r="IE61" s="342">
        <v>47</v>
      </c>
      <c r="IF61" s="262" t="e">
        <f t="shared" si="15"/>
        <v>#N/A</v>
      </c>
      <c r="IG61" s="262" t="e">
        <f t="shared" si="16"/>
        <v>#N/A</v>
      </c>
      <c r="IH61" s="390"/>
      <c r="II61" s="390"/>
      <c r="IJ61" s="262" t="e">
        <f t="shared" si="17"/>
        <v>#N/A</v>
      </c>
      <c r="IK61" s="262" t="e">
        <f t="shared" si="18"/>
        <v>#N/A</v>
      </c>
      <c r="IL61" s="390"/>
      <c r="IM61" s="390"/>
      <c r="IN61" s="262" t="e">
        <f t="shared" si="19"/>
        <v>#N/A</v>
      </c>
      <c r="IO61" s="262" t="e">
        <f t="shared" si="20"/>
        <v>#N/A</v>
      </c>
      <c r="IP61" s="390"/>
      <c r="IQ61" s="390"/>
      <c r="IR61" s="262" t="e">
        <f t="shared" si="21"/>
        <v>#N/A</v>
      </c>
      <c r="IS61" s="262" t="e">
        <f t="shared" si="22"/>
        <v>#N/A</v>
      </c>
      <c r="IT61" s="390"/>
      <c r="IU61" s="390"/>
      <c r="IV61" s="262" t="e">
        <f t="shared" si="23"/>
        <v>#N/A</v>
      </c>
      <c r="IW61" s="262" t="e">
        <f t="shared" si="24"/>
        <v>#N/A</v>
      </c>
      <c r="IX61" s="310"/>
      <c r="IY61" s="312" t="s">
        <v>381</v>
      </c>
      <c r="IZ61" s="312" cm="1">
        <f t="array" ref="IZ61">INDEX(GZ7:GZ28,GY6)/100</f>
        <v>0.3</v>
      </c>
      <c r="JA61" s="310"/>
      <c r="JB61" s="338"/>
      <c r="JC61" s="228" t="e">
        <v>#N/A</v>
      </c>
      <c r="JD61" s="228" t="e">
        <v>#N/A</v>
      </c>
      <c r="JE61" s="310"/>
      <c r="JF61" s="312"/>
      <c r="JG61" s="312"/>
      <c r="JH61" s="310"/>
      <c r="JI61" s="338"/>
      <c r="JJ61" s="264" t="e">
        <v>#N/A</v>
      </c>
      <c r="JK61" s="264" t="e">
        <v>#N/A</v>
      </c>
      <c r="JL61" s="310"/>
      <c r="JM61" s="310"/>
      <c r="JN61" s="261" t="e">
        <f t="shared" si="25"/>
        <v>#N/A</v>
      </c>
      <c r="JO61" s="261" t="e">
        <f t="shared" si="26"/>
        <v>#N/A</v>
      </c>
      <c r="JP61" s="310"/>
      <c r="JQ61" s="310"/>
      <c r="JR61" s="261" t="e">
        <f t="shared" si="31"/>
        <v>#N/A</v>
      </c>
      <c r="JS61" s="261" t="e">
        <f t="shared" si="32"/>
        <v>#N/A</v>
      </c>
      <c r="JT61" s="310"/>
      <c r="JU61" s="310"/>
      <c r="JV61" s="261" t="e">
        <f t="shared" si="27"/>
        <v>#N/A</v>
      </c>
      <c r="JW61" s="261" t="e">
        <f t="shared" si="28"/>
        <v>#N/A</v>
      </c>
      <c r="JX61" s="310"/>
      <c r="JY61" s="310"/>
      <c r="JZ61" s="310"/>
      <c r="KA61" s="310"/>
      <c r="KB61" s="313" t="s">
        <v>326</v>
      </c>
      <c r="KC61" s="242" t="e">
        <f>KC55</f>
        <v>#N/A</v>
      </c>
      <c r="KD61" s="242" t="e">
        <f>KD55</f>
        <v>#N/A</v>
      </c>
      <c r="KE61" s="310"/>
      <c r="KF61" s="310"/>
      <c r="KG61" s="310"/>
      <c r="KH61" s="310"/>
      <c r="KI61" s="310"/>
      <c r="KJ61" s="310"/>
      <c r="KK61" s="310"/>
      <c r="KL61" s="310"/>
      <c r="KM61" s="310"/>
      <c r="KN61" s="310"/>
      <c r="KO61" s="310"/>
      <c r="KP61" s="310"/>
      <c r="KQ61" s="310"/>
      <c r="KR61" s="310"/>
      <c r="KS61" s="310"/>
      <c r="KT61" s="310"/>
      <c r="KU61" s="310"/>
      <c r="KV61" s="310"/>
      <c r="KW61" s="310"/>
      <c r="KX61" s="310"/>
      <c r="KY61" s="310"/>
      <c r="KZ61" s="310"/>
      <c r="LA61" s="310"/>
      <c r="LB61" s="328" t="str">
        <v>P5</v>
      </c>
      <c r="LC61" s="391" t="e">
        <v>#N/A</v>
      </c>
      <c r="LD61" s="391" t="e">
        <v>#N/A</v>
      </c>
      <c r="LE61" s="310"/>
      <c r="LF61" s="310"/>
      <c r="LG61" s="310"/>
      <c r="LH61" s="463" t="e">
        <v>#N/A</v>
      </c>
      <c r="LI61" s="463" t="e">
        <v>#N/A</v>
      </c>
      <c r="LJ61" s="463" t="e">
        <v>#N/A</v>
      </c>
      <c r="LK61" s="463" t="e">
        <v>#N/A</v>
      </c>
      <c r="LL61" s="463"/>
      <c r="LM61" s="310"/>
      <c r="LN61" s="310"/>
      <c r="LO61" s="463" t="e">
        <v>#N/A</v>
      </c>
      <c r="LP61" s="463" t="e">
        <v>#N/A</v>
      </c>
      <c r="LQ61" s="463" t="e">
        <v>#N/A</v>
      </c>
      <c r="LR61" s="463" t="e">
        <v>#N/A</v>
      </c>
      <c r="LS61" s="391"/>
      <c r="LT61" s="310"/>
      <c r="LU61" s="310"/>
      <c r="LV61" s="463" t="e">
        <v>#N/A</v>
      </c>
      <c r="LW61" s="463" t="e">
        <v>#N/A</v>
      </c>
      <c r="LX61" s="463" t="e">
        <v>#N/A</v>
      </c>
      <c r="LY61" s="463" t="e">
        <v>#N/A</v>
      </c>
      <c r="LZ61" s="391"/>
      <c r="MA61" s="310"/>
      <c r="MB61" s="310"/>
      <c r="MC61" s="347" t="e">
        <v>#N/A</v>
      </c>
      <c r="MD61" s="347" t="e">
        <v>#N/A</v>
      </c>
      <c r="ME61" s="463" t="e">
        <v>#N/A</v>
      </c>
      <c r="MF61" s="463" t="e">
        <v>#N/A</v>
      </c>
      <c r="MG61" s="391"/>
      <c r="MH61" s="310"/>
      <c r="MI61" s="310"/>
      <c r="MJ61" s="238" t="e">
        <v>#N/A</v>
      </c>
      <c r="MK61" s="238" t="e">
        <v>#N/A</v>
      </c>
      <c r="ML61" s="229" t="e">
        <v>#N/A</v>
      </c>
      <c r="MM61" s="228" t="e">
        <v>#N/A</v>
      </c>
      <c r="MN61" s="391"/>
      <c r="MO61" s="310"/>
      <c r="MP61" s="311" t="e">
        <v>#N/A</v>
      </c>
      <c r="MQ61" s="311" t="e">
        <v>#N/A</v>
      </c>
      <c r="MR61" s="311" t="e">
        <v>#N/A</v>
      </c>
      <c r="MS61" s="311" t="e">
        <v>#N/A</v>
      </c>
      <c r="MT61" s="310"/>
      <c r="MU61" s="292" t="e">
        <f>MU60+NA29*12</f>
        <v>#N/A</v>
      </c>
      <c r="MV61" s="297" t="e">
        <f t="shared" si="121"/>
        <v>#N/A</v>
      </c>
      <c r="MW61" s="280" t="e">
        <f>IF(MY61=TRUE,MW58,#N/A)</f>
        <v>#N/A</v>
      </c>
      <c r="MX61" s="280" t="e">
        <f>IF(MY61=TRUE,MX58-0.15,#N/A)</f>
        <v>#N/A</v>
      </c>
      <c r="MY61" s="338" t="b">
        <f>AND(MY54=TRUE,$D$63&gt;=MZ36)</f>
        <v>0</v>
      </c>
      <c r="MZ61" s="403">
        <v>28</v>
      </c>
      <c r="NA61" s="372" t="b">
        <f t="shared" si="76"/>
        <v>0</v>
      </c>
      <c r="NB61" s="280" t="e">
        <f t="shared" si="80"/>
        <v>#N/A</v>
      </c>
      <c r="NC61" s="280" t="e">
        <f t="shared" si="81"/>
        <v>#N/A</v>
      </c>
      <c r="ND61" s="280" t="e">
        <f t="shared" si="77"/>
        <v>#N/A</v>
      </c>
      <c r="NE61" s="280" t="e">
        <f t="shared" si="78"/>
        <v>#N/A</v>
      </c>
      <c r="NF61" s="310"/>
      <c r="NG61" s="310"/>
      <c r="NH61" s="310"/>
      <c r="NI61" s="310"/>
      <c r="NJ61" s="310"/>
      <c r="NK61" s="310"/>
      <c r="NL61" s="310"/>
      <c r="NM61" s="310"/>
      <c r="NN61" s="310"/>
      <c r="NO61" s="310"/>
      <c r="NP61" s="310"/>
      <c r="NQ61" s="310"/>
      <c r="NR61" s="310"/>
      <c r="NS61" s="310"/>
      <c r="NT61" s="310"/>
      <c r="NU61" s="310"/>
      <c r="NV61" s="310"/>
      <c r="NW61" s="310"/>
      <c r="NX61" s="310"/>
      <c r="NY61" s="310"/>
      <c r="NZ61" s="310"/>
      <c r="OA61" s="310"/>
      <c r="OB61" s="310"/>
      <c r="OC61" s="310"/>
      <c r="OD61" s="310"/>
      <c r="OE61" s="310"/>
      <c r="OF61" s="310"/>
      <c r="OG61" s="310"/>
      <c r="OH61" s="310"/>
      <c r="OI61" s="310"/>
      <c r="OJ61" s="310"/>
      <c r="OK61" s="310"/>
      <c r="OL61" s="310"/>
      <c r="OM61" s="310"/>
      <c r="ON61" s="310"/>
      <c r="OO61" s="310"/>
      <c r="OP61" s="310"/>
      <c r="OQ61" s="310"/>
      <c r="OR61" s="310"/>
      <c r="OS61" s="310"/>
      <c r="OT61" s="310"/>
      <c r="OU61" s="310"/>
      <c r="OV61" s="310"/>
      <c r="OW61" s="310"/>
      <c r="OX61" s="310"/>
      <c r="OY61" s="310"/>
      <c r="OZ61" s="310"/>
      <c r="PA61" s="310"/>
      <c r="PB61" s="310"/>
      <c r="PC61" s="310"/>
      <c r="PD61" s="310"/>
      <c r="PE61" s="310"/>
      <c r="PF61" s="310"/>
      <c r="PG61" s="310"/>
      <c r="PH61" s="310"/>
      <c r="PI61" s="310"/>
      <c r="PJ61" s="310"/>
      <c r="PK61" s="310"/>
      <c r="PL61" s="310"/>
      <c r="PM61" s="310"/>
      <c r="PN61" s="310"/>
      <c r="PO61" s="310"/>
      <c r="PP61" s="310"/>
      <c r="PQ61" s="310"/>
      <c r="PR61" s="310"/>
      <c r="PS61" s="342">
        <v>47</v>
      </c>
      <c r="PT61" s="261" t="e">
        <f t="shared" si="29"/>
        <v>#N/A</v>
      </c>
      <c r="PU61" s="261" t="e">
        <f t="shared" si="30"/>
        <v>#N/A</v>
      </c>
      <c r="PV61" s="310"/>
      <c r="PW61" s="310"/>
      <c r="PX61" s="310"/>
      <c r="PY61" s="310"/>
      <c r="PZ61" s="310"/>
      <c r="QA61" s="310"/>
      <c r="QB61" s="310"/>
      <c r="QC61" s="310"/>
      <c r="QD61" s="310"/>
      <c r="QE61" s="310"/>
      <c r="QF61" s="310"/>
      <c r="QG61" s="310"/>
      <c r="QH61" s="310"/>
      <c r="QI61" s="310"/>
      <c r="QJ61" s="310"/>
      <c r="QK61" s="310"/>
      <c r="QL61" s="310"/>
      <c r="QM61" s="310"/>
      <c r="QN61" s="310"/>
      <c r="QO61" s="310"/>
      <c r="QP61" s="310"/>
      <c r="QQ61" s="310"/>
      <c r="QR61" s="310"/>
      <c r="QS61" s="310"/>
      <c r="QT61" s="310"/>
      <c r="QU61" s="310"/>
      <c r="QV61" s="310"/>
      <c r="QW61" s="310"/>
      <c r="QX61" s="310"/>
      <c r="QY61" s="310"/>
      <c r="QZ61" s="310"/>
      <c r="RA61" s="310"/>
      <c r="RB61" s="310"/>
      <c r="RC61" s="310"/>
      <c r="RD61" s="310"/>
      <c r="RE61" s="310"/>
      <c r="RF61" s="310"/>
      <c r="RG61" s="310"/>
      <c r="RH61" s="310"/>
      <c r="RI61" s="310"/>
      <c r="RJ61" s="310"/>
      <c r="RK61" s="310"/>
      <c r="RL61" s="310"/>
      <c r="RM61" s="310"/>
      <c r="RN61" s="310"/>
      <c r="RO61" s="310"/>
      <c r="RP61" s="310"/>
      <c r="RQ61" s="329"/>
      <c r="RR61" s="310"/>
      <c r="RS61" s="310"/>
      <c r="RT61" s="310"/>
      <c r="RU61" s="310"/>
      <c r="RV61" s="310"/>
      <c r="RW61" s="310"/>
      <c r="RX61" s="310"/>
      <c r="RY61" s="310"/>
      <c r="RZ61" s="310"/>
      <c r="SA61" s="310"/>
      <c r="SB61" s="310"/>
      <c r="SC61" s="310"/>
      <c r="SD61" s="310"/>
      <c r="SE61" s="310"/>
      <c r="SF61" s="310"/>
      <c r="SG61" s="310"/>
      <c r="SH61" s="310"/>
      <c r="SI61" s="310"/>
      <c r="SJ61" s="310"/>
      <c r="SK61" s="310"/>
      <c r="SL61" s="310"/>
      <c r="SM61" s="310"/>
      <c r="SN61" s="310"/>
      <c r="SO61" s="220"/>
      <c r="SP61" s="220"/>
      <c r="SQ61" s="220"/>
      <c r="SR61" s="220"/>
      <c r="SS61" s="220"/>
      <c r="ST61" s="220"/>
      <c r="SU61" s="220"/>
      <c r="SV61" s="220"/>
      <c r="SW61" s="220"/>
      <c r="SX61" s="220"/>
      <c r="SY61" s="220"/>
      <c r="SZ61" s="220"/>
      <c r="TA61" s="220"/>
      <c r="TB61" s="220"/>
      <c r="TC61" s="220"/>
      <c r="TD61" s="220"/>
      <c r="TE61" s="220"/>
      <c r="TF61" s="220"/>
      <c r="TG61" s="220"/>
      <c r="TH61" s="220"/>
      <c r="TI61" s="220"/>
      <c r="TJ61" s="220"/>
      <c r="TK61" s="220"/>
      <c r="TL61" s="220"/>
      <c r="TM61" s="220"/>
      <c r="TN61" s="220"/>
      <c r="TO61" s="220"/>
      <c r="TP61" s="220"/>
      <c r="TQ61" s="220"/>
      <c r="TR61" s="220"/>
      <c r="TS61" s="220"/>
      <c r="TT61" s="220"/>
      <c r="TU61" s="220"/>
      <c r="TV61" s="220"/>
      <c r="TW61" s="220"/>
      <c r="TX61" s="220"/>
      <c r="TY61" s="220"/>
      <c r="TZ61" s="220"/>
      <c r="UA61" s="220"/>
      <c r="UB61" s="220"/>
      <c r="UC61" s="220"/>
      <c r="UD61" s="220"/>
      <c r="UE61" s="220"/>
      <c r="UF61" s="220"/>
      <c r="UG61" s="220"/>
      <c r="UH61" s="220"/>
      <c r="UI61" s="220"/>
      <c r="UJ61" s="220"/>
      <c r="UK61" s="216"/>
      <c r="UL61" s="216"/>
      <c r="UM61" s="216"/>
      <c r="UN61" s="216"/>
      <c r="UO61" s="216"/>
      <c r="UP61" s="216"/>
      <c r="UQ61" s="216"/>
      <c r="UR61" s="216"/>
      <c r="US61" s="216"/>
      <c r="UT61" s="216"/>
      <c r="UU61" s="216"/>
      <c r="UV61" s="216"/>
      <c r="UW61" s="216"/>
      <c r="UX61" s="216"/>
      <c r="UY61" s="216"/>
      <c r="UZ61" s="216"/>
      <c r="VA61" s="216"/>
    </row>
    <row r="62" spans="1:573" s="4" customFormat="1" ht="21" x14ac:dyDescent="0.5">
      <c r="A62" s="179"/>
      <c r="B62" s="15"/>
      <c r="C62" s="15"/>
      <c r="D62" s="15"/>
      <c r="E62" s="15"/>
      <c r="F62" s="15"/>
      <c r="G62" s="700" t="s">
        <v>534</v>
      </c>
      <c r="H62" s="700"/>
      <c r="I62" s="700"/>
      <c r="J62" s="521" t="s">
        <v>532</v>
      </c>
      <c r="K62" s="522"/>
      <c r="L62" s="700" t="s">
        <v>533</v>
      </c>
      <c r="M62" s="700"/>
      <c r="N62" s="700" t="s">
        <v>174</v>
      </c>
      <c r="O62" s="700"/>
      <c r="P62" s="702" t="s">
        <v>546</v>
      </c>
      <c r="Q62" s="703"/>
      <c r="R62" s="703"/>
      <c r="S62" s="703"/>
      <c r="T62" s="703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5"/>
      <c r="AM62" s="45"/>
      <c r="AN62" s="45"/>
      <c r="AO62" s="45"/>
      <c r="AP62" s="310"/>
      <c r="AQ62" s="310"/>
      <c r="AR62" s="310" t="s">
        <v>175</v>
      </c>
      <c r="AS62" s="310"/>
      <c r="AT62" s="310"/>
      <c r="AU62" s="310"/>
      <c r="AV62" s="310"/>
      <c r="AW62" s="310"/>
      <c r="AX62" s="310"/>
      <c r="AY62" s="310"/>
      <c r="AZ62" s="310"/>
      <c r="BA62" s="310"/>
      <c r="BB62" s="328" t="s">
        <v>240</v>
      </c>
      <c r="BC62" s="338"/>
      <c r="BD62" s="416" t="str">
        <f>IF(AND(CP13=TRUE,CU11=TRUE,BL8=TRUE,AY15=TRUE),($M$16/($BK$6+$BA$32-$SC$34))+(($O$40*H45)/$J$52),"")</f>
        <v/>
      </c>
      <c r="BE62" s="338" t="str">
        <f>IF(AND(CP13=TRUE,CU11=TRUE,BL8=TRUE,AY16=TRUE),($M$16/($BK$6+$BA$32-$SC$34))+(($O$41*I45)/$L$52),"")</f>
        <v/>
      </c>
      <c r="BF62" s="416" t="str">
        <f>IF(AND(CP13=TRUE,CU11=TRUE,BL9=TRUE),($M$16/($BK$6+$BA$32-$SC$34))+($O$40*I45/$L$52)+($O$41*H45/$J$52),"")</f>
        <v/>
      </c>
      <c r="BG62" s="416">
        <f>IF(SC30=TRUE,0,IF(AND(CP13=TRUE,CU11=TRUE,BL10=TRUE),($M$16/($BK$6+$BA$32-$SC$34))+($O$40*I45/$L$52)+($O$41*H45/$J$52),""))</f>
        <v>0</v>
      </c>
      <c r="BH62" s="416">
        <f>IF(SC30=TRUE,0,IF(AND(CP13=TRUE,CU11=TRUE,BL11=TRUE),($M$16/($CP$16+$BA$32))+($O$40*I45/$L$52)+($O$41*H45/$J$52),""))</f>
        <v>0</v>
      </c>
      <c r="BI62" s="338">
        <v>0</v>
      </c>
      <c r="BJ62" s="310"/>
      <c r="BK62" s="310"/>
      <c r="BL62" s="310"/>
      <c r="BM62" s="310"/>
      <c r="BN62" s="310"/>
      <c r="BO62" s="310"/>
      <c r="BP62" s="310"/>
      <c r="BQ62" s="310"/>
      <c r="BR62" s="310"/>
      <c r="BS62" s="310"/>
      <c r="BT62" s="310"/>
      <c r="BU62" s="310"/>
      <c r="BV62" s="310"/>
      <c r="BW62" s="310"/>
      <c r="BX62" s="310"/>
      <c r="BY62" s="338" t="e">
        <f>BY59</f>
        <v>#N/A</v>
      </c>
      <c r="BZ62" s="338" t="e">
        <f>BZ61</f>
        <v>#N/A</v>
      </c>
      <c r="CA62" s="310"/>
      <c r="CB62" s="310"/>
      <c r="CC62" s="310"/>
      <c r="CD62" s="231" t="e">
        <f>BY48</f>
        <v>#N/A</v>
      </c>
      <c r="CE62" s="231" t="e">
        <f>CE61</f>
        <v>#N/A</v>
      </c>
      <c r="CF62" s="310"/>
      <c r="CG62" s="310"/>
      <c r="CH62" s="310"/>
      <c r="CI62" s="310"/>
      <c r="CJ62" s="242" t="e">
        <f>IF($CI$57=FALSE,CJ57,#N/A)</f>
        <v>#N/A</v>
      </c>
      <c r="CK62" s="242" t="e">
        <f>IF($CI$57=FALSE,CK57,#N/A)</f>
        <v>#N/A</v>
      </c>
      <c r="CL62" s="469" t="str">
        <f>IF($CI$57=FALSE,M45,"")</f>
        <v/>
      </c>
      <c r="CM62" s="310"/>
      <c r="CN62" s="338" t="e">
        <f>CN61</f>
        <v>#N/A</v>
      </c>
      <c r="CO62" s="338" t="e">
        <f>CO59</f>
        <v>#N/A</v>
      </c>
      <c r="CP62" s="310"/>
      <c r="CQ62" s="310"/>
      <c r="CR62" s="310"/>
      <c r="CS62" s="310"/>
      <c r="CT62" s="338" t="e">
        <f>CT59</f>
        <v>#N/A</v>
      </c>
      <c r="CU62" s="338" t="e">
        <f>CU61</f>
        <v>#N/A</v>
      </c>
      <c r="CV62" s="310"/>
      <c r="CW62" s="310"/>
      <c r="CX62" s="310"/>
      <c r="CY62" s="310"/>
      <c r="CZ62" s="310"/>
      <c r="DA62" s="310"/>
      <c r="DB62" s="310"/>
      <c r="DC62" s="280" t="e">
        <f>IF(AND($DD$50=TRUE,$D$63&gt;=DB61),$DC$53,#N/A)</f>
        <v>#N/A</v>
      </c>
      <c r="DD62" s="280" t="e">
        <f>DD61</f>
        <v>#N/A</v>
      </c>
      <c r="DE62" s="310"/>
      <c r="DF62" s="301" t="e" cm="1">
        <f t="array" ref="DF62">IF(DG60=TRUE,INDEX(_xlfn._xlws.FILTER(DL9:DL58,ISNUMBER(DL9:DL58)),ROUNDUP(COUNT(DL9:DL58)/2,0)),#N/A)</f>
        <v>#N/A</v>
      </c>
      <c r="DG62" s="280" t="e">
        <f>IF(DG60=TRUE,DM9,#N/A)</f>
        <v>#N/A</v>
      </c>
      <c r="DH62" s="303" t="e">
        <f>DF64</f>
        <v>#N/A</v>
      </c>
      <c r="DI62" s="281" t="e">
        <f>DG64</f>
        <v>#N/A</v>
      </c>
      <c r="DJ62" s="310" t="str">
        <f>IF(G56="Temp.",M56,M58)</f>
        <v>SD-40  DB20 @ 0.125m.</v>
      </c>
      <c r="DK62" s="310"/>
      <c r="DL62" s="310"/>
      <c r="DM62" s="310"/>
      <c r="DN62" s="310"/>
      <c r="DO62" s="310"/>
      <c r="DP62" s="310"/>
      <c r="DQ62" s="310"/>
      <c r="DR62" s="310"/>
      <c r="DS62" s="310"/>
      <c r="DT62" s="338"/>
      <c r="DU62" s="338" t="e">
        <v>#N/A</v>
      </c>
      <c r="DV62" s="338" t="e">
        <v>#N/A</v>
      </c>
      <c r="DW62" s="310"/>
      <c r="DX62" s="310"/>
      <c r="DY62" s="338" t="e">
        <v>#N/A</v>
      </c>
      <c r="DZ62" s="338" t="e">
        <v>#N/A</v>
      </c>
      <c r="EA62" s="310"/>
      <c r="EB62" s="310">
        <f>EB61</f>
        <v>0</v>
      </c>
      <c r="EC62" s="310"/>
      <c r="ED62" s="310"/>
      <c r="EE62" s="280">
        <f>EE61</f>
        <v>-0.95</v>
      </c>
      <c r="EF62" s="280">
        <f>EF61-F51/100</f>
        <v>0</v>
      </c>
      <c r="EG62" s="280">
        <f>EG61</f>
        <v>-0.8</v>
      </c>
      <c r="EH62" s="280">
        <f>IF(EC58=TRUE,G52/100,#N/A)</f>
        <v>0.1</v>
      </c>
      <c r="EI62" s="310"/>
      <c r="EJ62" s="280">
        <f>EJ61</f>
        <v>-0.875</v>
      </c>
      <c r="EK62" s="280">
        <f>EH62</f>
        <v>0.1</v>
      </c>
      <c r="EL62" s="310"/>
      <c r="EM62" s="424" t="s">
        <v>424</v>
      </c>
      <c r="EN62" s="310">
        <f>EF61-(EK62+0.025+EN61)</f>
        <v>0.45499999999999996</v>
      </c>
      <c r="EO62" s="310"/>
      <c r="EP62" s="310"/>
      <c r="EQ62" s="310"/>
      <c r="ER62" s="310"/>
      <c r="ES62" s="310"/>
      <c r="ET62" s="310"/>
      <c r="EU62" s="310"/>
      <c r="EV62" s="310"/>
      <c r="EW62" s="310"/>
      <c r="EX62" s="310"/>
      <c r="EY62" s="310"/>
      <c r="EZ62" s="310"/>
      <c r="FA62" s="310"/>
      <c r="FB62" s="310"/>
      <c r="FC62" s="424" t="s">
        <v>144</v>
      </c>
      <c r="FD62" s="512" t="e">
        <f t="shared" ref="FD62:FD63" si="122">IF($FE$59=TRUE,IF(BM8=TRUE,FD20,#N/A),#N/A)</f>
        <v>#N/A</v>
      </c>
      <c r="FE62" s="512" t="e">
        <f t="shared" ref="FE62:FE63" si="123">IF($FE$59=TRUE,IF(BM8=TRUE,FE20,#N/A),#N/A)</f>
        <v>#N/A</v>
      </c>
      <c r="FF62" s="310" t="str">
        <f t="shared" ref="FF62:FF63" si="124">IF($FE$59=TRUE,IF(BM8=TRUE,FC62,""),"")</f>
        <v/>
      </c>
      <c r="FG62" s="310"/>
      <c r="FH62" s="311"/>
      <c r="FI62" s="311"/>
      <c r="FJ62" s="311"/>
      <c r="FK62" s="311"/>
      <c r="FL62" s="310"/>
      <c r="FM62" s="310"/>
      <c r="FN62" s="310"/>
      <c r="FO62" s="310"/>
      <c r="FP62" s="310"/>
      <c r="FQ62" s="310"/>
      <c r="FR62" s="318" t="e">
        <v>#N/A</v>
      </c>
      <c r="FS62" s="318" t="e">
        <v>#N/A</v>
      </c>
      <c r="FT62" s="318" t="e">
        <v>#N/A</v>
      </c>
      <c r="FU62" s="318" t="e">
        <v>#N/A</v>
      </c>
      <c r="FV62" s="318" t="e">
        <v>#N/A</v>
      </c>
      <c r="FW62" s="318" t="e">
        <v>#N/A</v>
      </c>
      <c r="FX62" s="318"/>
      <c r="FY62" s="318"/>
      <c r="FZ62" s="318" t="e">
        <v>#N/A</v>
      </c>
      <c r="GA62" s="318" t="e">
        <v>#N/A</v>
      </c>
      <c r="GB62" s="318"/>
      <c r="GC62" s="318"/>
      <c r="GD62" s="310"/>
      <c r="GE62" s="310"/>
      <c r="GF62" s="310"/>
      <c r="GG62" s="310"/>
      <c r="GH62" s="310"/>
      <c r="GI62" s="310"/>
      <c r="GJ62" s="310"/>
      <c r="GK62" s="310"/>
      <c r="GL62" s="310"/>
      <c r="GM62" s="310"/>
      <c r="GN62" s="310"/>
      <c r="GO62" s="310"/>
      <c r="GP62" s="310"/>
      <c r="GQ62" s="310"/>
      <c r="GR62" s="310"/>
      <c r="GS62" s="310"/>
      <c r="GT62" s="310"/>
      <c r="GU62" s="310"/>
      <c r="GV62" s="310"/>
      <c r="GW62" s="310"/>
      <c r="GX62" s="310"/>
      <c r="GY62" s="310"/>
      <c r="GZ62" s="310"/>
      <c r="HA62" s="310"/>
      <c r="HB62" s="310"/>
      <c r="HC62" s="310"/>
      <c r="HD62" s="310"/>
      <c r="HE62" s="310"/>
      <c r="HF62" s="310"/>
      <c r="HG62" s="310"/>
      <c r="HH62" s="310"/>
      <c r="HI62" s="310"/>
      <c r="HJ62" s="310"/>
      <c r="HK62" s="342">
        <v>48</v>
      </c>
      <c r="HL62" s="235" t="e">
        <f t="shared" si="5"/>
        <v>#N/A</v>
      </c>
      <c r="HM62" s="235" t="e">
        <f t="shared" si="6"/>
        <v>#N/A</v>
      </c>
      <c r="HN62" s="310"/>
      <c r="HO62" s="310"/>
      <c r="HP62" s="235" t="e">
        <f t="shared" si="7"/>
        <v>#N/A</v>
      </c>
      <c r="HQ62" s="235" t="e">
        <f t="shared" si="8"/>
        <v>#N/A</v>
      </c>
      <c r="HR62" s="310"/>
      <c r="HS62" s="310"/>
      <c r="HT62" s="235" t="e">
        <f t="shared" si="9"/>
        <v>#N/A</v>
      </c>
      <c r="HU62" s="235" t="e">
        <f t="shared" si="10"/>
        <v>#N/A</v>
      </c>
      <c r="HV62" s="310"/>
      <c r="HW62" s="310"/>
      <c r="HX62" s="235" t="e">
        <f t="shared" si="11"/>
        <v>#N/A</v>
      </c>
      <c r="HY62" s="235" t="e">
        <f t="shared" si="12"/>
        <v>#N/A</v>
      </c>
      <c r="HZ62" s="310"/>
      <c r="IA62" s="310"/>
      <c r="IB62" s="235" t="e">
        <f t="shared" si="13"/>
        <v>#N/A</v>
      </c>
      <c r="IC62" s="235" t="e">
        <f t="shared" si="14"/>
        <v>#N/A</v>
      </c>
      <c r="ID62" s="310"/>
      <c r="IE62" s="342">
        <v>48</v>
      </c>
      <c r="IF62" s="262" t="e">
        <f t="shared" si="15"/>
        <v>#N/A</v>
      </c>
      <c r="IG62" s="262" t="e">
        <f t="shared" si="16"/>
        <v>#N/A</v>
      </c>
      <c r="IH62" s="390"/>
      <c r="II62" s="390"/>
      <c r="IJ62" s="262" t="e">
        <f t="shared" si="17"/>
        <v>#N/A</v>
      </c>
      <c r="IK62" s="262" t="e">
        <f t="shared" si="18"/>
        <v>#N/A</v>
      </c>
      <c r="IL62" s="390"/>
      <c r="IM62" s="390"/>
      <c r="IN62" s="262" t="e">
        <f t="shared" si="19"/>
        <v>#N/A</v>
      </c>
      <c r="IO62" s="262" t="e">
        <f t="shared" si="20"/>
        <v>#N/A</v>
      </c>
      <c r="IP62" s="390"/>
      <c r="IQ62" s="390"/>
      <c r="IR62" s="262" t="e">
        <f t="shared" si="21"/>
        <v>#N/A</v>
      </c>
      <c r="IS62" s="262" t="e">
        <f t="shared" si="22"/>
        <v>#N/A</v>
      </c>
      <c r="IT62" s="390"/>
      <c r="IU62" s="390"/>
      <c r="IV62" s="262" t="e">
        <f t="shared" si="23"/>
        <v>#N/A</v>
      </c>
      <c r="IW62" s="262" t="e">
        <f t="shared" si="24"/>
        <v>#N/A</v>
      </c>
      <c r="IX62" s="310"/>
      <c r="IY62" s="312" t="s">
        <v>382</v>
      </c>
      <c r="IZ62" s="312" cm="1">
        <f t="array" ref="IZ62">INDEX(HC7:HC28,GY6)/100</f>
        <v>0.9</v>
      </c>
      <c r="JA62" s="310"/>
      <c r="JB62" s="310"/>
      <c r="JC62" s="228" t="e">
        <v>#N/A</v>
      </c>
      <c r="JD62" s="228" t="e">
        <v>#N/A</v>
      </c>
      <c r="JE62" s="310"/>
      <c r="JF62" s="312"/>
      <c r="JG62" s="312"/>
      <c r="JH62" s="310"/>
      <c r="JI62" s="310"/>
      <c r="JJ62" s="264" t="e">
        <v>#N/A</v>
      </c>
      <c r="JK62" s="264" t="e">
        <v>#N/A</v>
      </c>
      <c r="JL62" s="310"/>
      <c r="JM62" s="310"/>
      <c r="JN62" s="261" t="e">
        <f t="shared" si="25"/>
        <v>#N/A</v>
      </c>
      <c r="JO62" s="261" t="e">
        <f t="shared" si="26"/>
        <v>#N/A</v>
      </c>
      <c r="JP62" s="310"/>
      <c r="JQ62" s="310"/>
      <c r="JR62" s="261" t="e">
        <f t="shared" si="31"/>
        <v>#N/A</v>
      </c>
      <c r="JS62" s="261" t="e">
        <f t="shared" si="32"/>
        <v>#N/A</v>
      </c>
      <c r="JT62" s="310"/>
      <c r="JU62" s="310"/>
      <c r="JV62" s="261" t="e">
        <f t="shared" si="27"/>
        <v>#N/A</v>
      </c>
      <c r="JW62" s="261" t="e">
        <f t="shared" si="28"/>
        <v>#N/A</v>
      </c>
      <c r="JX62" s="310"/>
      <c r="JY62" s="310"/>
      <c r="JZ62" s="310"/>
      <c r="KA62" s="310"/>
      <c r="KB62" s="310"/>
      <c r="KC62" s="264" t="e">
        <v>#N/A</v>
      </c>
      <c r="KD62" s="264" t="e">
        <v>#N/A</v>
      </c>
      <c r="KE62" s="310"/>
      <c r="KF62" s="310"/>
      <c r="KG62" s="310"/>
      <c r="KH62" s="310"/>
      <c r="KI62" s="310"/>
      <c r="KJ62" s="310"/>
      <c r="KK62" s="310"/>
      <c r="KL62" s="310"/>
      <c r="KM62" s="310"/>
      <c r="KN62" s="310"/>
      <c r="KO62" s="310"/>
      <c r="KP62" s="310"/>
      <c r="KQ62" s="310"/>
      <c r="KR62" s="310"/>
      <c r="KS62" s="310"/>
      <c r="KT62" s="310"/>
      <c r="KU62" s="310"/>
      <c r="KV62" s="310"/>
      <c r="KW62" s="310"/>
      <c r="KX62" s="310"/>
      <c r="KY62" s="310"/>
      <c r="KZ62" s="310"/>
      <c r="LA62" s="310"/>
      <c r="LB62" s="328">
        <v>0</v>
      </c>
      <c r="LC62" s="391" t="e">
        <v>#N/A</v>
      </c>
      <c r="LD62" s="391" t="e">
        <v>#N/A</v>
      </c>
      <c r="LE62" s="310"/>
      <c r="LF62" s="310"/>
      <c r="LG62" s="310"/>
      <c r="LH62" s="463" t="e">
        <f>LC64</f>
        <v>#N/A</v>
      </c>
      <c r="LI62" s="463" t="e">
        <f>LD64-LH49</f>
        <v>#N/A</v>
      </c>
      <c r="LJ62" s="463" t="e">
        <v>#N/A</v>
      </c>
      <c r="LK62" s="463" t="e">
        <v>#N/A</v>
      </c>
      <c r="LL62" s="463"/>
      <c r="LM62" s="310"/>
      <c r="LN62" s="310"/>
      <c r="LO62" s="391" t="e">
        <f>LC51</f>
        <v>#N/A</v>
      </c>
      <c r="LP62" s="391" t="e">
        <f>LD51+LO49</f>
        <v>#N/A</v>
      </c>
      <c r="LQ62" s="463" t="e">
        <v>#N/A</v>
      </c>
      <c r="LR62" s="463" t="e">
        <v>#N/A</v>
      </c>
      <c r="LS62" s="391"/>
      <c r="LT62" s="310"/>
      <c r="LU62" s="310"/>
      <c r="LV62" s="391" t="e">
        <f>LC60-LV49</f>
        <v>#N/A</v>
      </c>
      <c r="LW62" s="391" t="e">
        <f>LD60</f>
        <v>#N/A</v>
      </c>
      <c r="LX62" s="463" t="e">
        <v>#N/A</v>
      </c>
      <c r="LY62" s="463" t="e">
        <v>#N/A</v>
      </c>
      <c r="LZ62" s="391"/>
      <c r="MA62" s="310"/>
      <c r="MB62" s="310"/>
      <c r="MC62" s="391" t="e">
        <f>LC57+MC49</f>
        <v>#N/A</v>
      </c>
      <c r="MD62" s="391" t="e">
        <f>LD57</f>
        <v>#N/A</v>
      </c>
      <c r="ME62" s="463" t="e">
        <v>#N/A</v>
      </c>
      <c r="MF62" s="463" t="e">
        <v>#N/A</v>
      </c>
      <c r="MG62" s="391"/>
      <c r="MH62" s="310"/>
      <c r="MI62" s="310"/>
      <c r="MJ62" s="239" t="e">
        <v>#N/A</v>
      </c>
      <c r="MK62" s="239" t="e">
        <v>#N/A</v>
      </c>
      <c r="ML62" s="229" t="e">
        <v>#N/A</v>
      </c>
      <c r="MM62" s="228" t="e">
        <v>#N/A</v>
      </c>
      <c r="MN62" s="391"/>
      <c r="MO62" s="310"/>
      <c r="MP62" s="311" t="e">
        <v>#N/A</v>
      </c>
      <c r="MQ62" s="311" t="e">
        <v>#N/A</v>
      </c>
      <c r="MR62" s="311" t="e">
        <v>#N/A</v>
      </c>
      <c r="MS62" s="311" t="e">
        <v>#N/A</v>
      </c>
      <c r="MT62" s="310"/>
      <c r="MU62" s="292" t="e">
        <v>#N/A</v>
      </c>
      <c r="MV62" s="292" t="e">
        <v>#N/A</v>
      </c>
      <c r="MW62" s="280" t="e">
        <f>IF(MY61=TRUE,MW59,#N/A)</f>
        <v>#N/A</v>
      </c>
      <c r="MX62" s="280" t="e">
        <f>MX61</f>
        <v>#N/A</v>
      </c>
      <c r="MY62" s="338"/>
      <c r="MZ62" s="403">
        <v>29</v>
      </c>
      <c r="NA62" s="372" t="b">
        <f t="shared" si="76"/>
        <v>0</v>
      </c>
      <c r="NB62" s="280" t="e">
        <f t="shared" si="80"/>
        <v>#N/A</v>
      </c>
      <c r="NC62" s="280" t="e">
        <f t="shared" si="81"/>
        <v>#N/A</v>
      </c>
      <c r="ND62" s="280" t="e">
        <f t="shared" si="77"/>
        <v>#N/A</v>
      </c>
      <c r="NE62" s="280" t="e">
        <f t="shared" si="78"/>
        <v>#N/A</v>
      </c>
      <c r="NF62" s="310"/>
      <c r="NG62" s="310"/>
      <c r="NH62" s="310"/>
      <c r="NI62" s="310"/>
      <c r="NJ62" s="310"/>
      <c r="NK62" s="310"/>
      <c r="NL62" s="310"/>
      <c r="NM62" s="310"/>
      <c r="NN62" s="310"/>
      <c r="NO62" s="310"/>
      <c r="NP62" s="310"/>
      <c r="NQ62" s="310"/>
      <c r="NR62" s="310"/>
      <c r="NS62" s="310"/>
      <c r="NT62" s="310"/>
      <c r="NU62" s="310"/>
      <c r="NV62" s="310"/>
      <c r="NW62" s="310"/>
      <c r="NX62" s="310"/>
      <c r="NY62" s="310"/>
      <c r="NZ62" s="310"/>
      <c r="OA62" s="310"/>
      <c r="OB62" s="310"/>
      <c r="OC62" s="310"/>
      <c r="OD62" s="310"/>
      <c r="OE62" s="310"/>
      <c r="OF62" s="310"/>
      <c r="OG62" s="310"/>
      <c r="OH62" s="310"/>
      <c r="OI62" s="310"/>
      <c r="OJ62" s="310"/>
      <c r="OK62" s="310"/>
      <c r="OL62" s="310"/>
      <c r="OM62" s="310"/>
      <c r="ON62" s="310"/>
      <c r="OO62" s="310"/>
      <c r="OP62" s="310"/>
      <c r="OQ62" s="310"/>
      <c r="OR62" s="310"/>
      <c r="OS62" s="310"/>
      <c r="OT62" s="310"/>
      <c r="OU62" s="310"/>
      <c r="OV62" s="310"/>
      <c r="OW62" s="310"/>
      <c r="OX62" s="310"/>
      <c r="OY62" s="310"/>
      <c r="OZ62" s="310"/>
      <c r="PA62" s="310"/>
      <c r="PB62" s="310"/>
      <c r="PC62" s="310"/>
      <c r="PD62" s="310"/>
      <c r="PE62" s="310"/>
      <c r="PF62" s="310"/>
      <c r="PG62" s="310"/>
      <c r="PH62" s="310"/>
      <c r="PI62" s="310"/>
      <c r="PJ62" s="310"/>
      <c r="PK62" s="310"/>
      <c r="PL62" s="310"/>
      <c r="PM62" s="310"/>
      <c r="PN62" s="310"/>
      <c r="PO62" s="310"/>
      <c r="PP62" s="310"/>
      <c r="PQ62" s="310"/>
      <c r="PR62" s="310"/>
      <c r="PS62" s="342">
        <v>48</v>
      </c>
      <c r="PT62" s="261" t="e">
        <f t="shared" si="29"/>
        <v>#N/A</v>
      </c>
      <c r="PU62" s="261" t="e">
        <f t="shared" si="30"/>
        <v>#N/A</v>
      </c>
      <c r="PV62" s="310"/>
      <c r="PW62" s="310"/>
      <c r="PX62" s="310"/>
      <c r="PY62" s="310"/>
      <c r="PZ62" s="310"/>
      <c r="QA62" s="310"/>
      <c r="QB62" s="310"/>
      <c r="QC62" s="310"/>
      <c r="QD62" s="310"/>
      <c r="QE62" s="310"/>
      <c r="QF62" s="310"/>
      <c r="QG62" s="310"/>
      <c r="QH62" s="310"/>
      <c r="QI62" s="310"/>
      <c r="QJ62" s="310"/>
      <c r="QK62" s="310"/>
      <c r="QL62" s="310"/>
      <c r="QM62" s="310"/>
      <c r="QN62" s="310"/>
      <c r="QO62" s="310"/>
      <c r="QP62" s="310"/>
      <c r="QQ62" s="310"/>
      <c r="QR62" s="310"/>
      <c r="QS62" s="310"/>
      <c r="QT62" s="310"/>
      <c r="QU62" s="310"/>
      <c r="QV62" s="310"/>
      <c r="QW62" s="310"/>
      <c r="QX62" s="310"/>
      <c r="QY62" s="310"/>
      <c r="QZ62" s="310"/>
      <c r="RA62" s="310"/>
      <c r="RB62" s="310"/>
      <c r="RC62" s="310"/>
      <c r="RD62" s="310"/>
      <c r="RE62" s="310"/>
      <c r="RF62" s="310"/>
      <c r="RG62" s="310"/>
      <c r="RH62" s="310"/>
      <c r="RI62" s="310"/>
      <c r="RJ62" s="310"/>
      <c r="RK62" s="310"/>
      <c r="RL62" s="310"/>
      <c r="RM62" s="310"/>
      <c r="RN62" s="310"/>
      <c r="RO62" s="310"/>
      <c r="RP62" s="310"/>
      <c r="RQ62" s="329"/>
      <c r="RR62" s="310"/>
      <c r="RS62" s="310"/>
      <c r="RT62" s="310"/>
      <c r="RU62" s="310"/>
      <c r="RV62" s="310"/>
      <c r="RW62" s="310"/>
      <c r="RX62" s="310"/>
      <c r="RY62" s="310"/>
      <c r="RZ62" s="310"/>
      <c r="SA62" s="310"/>
      <c r="SB62" s="310"/>
      <c r="SC62" s="310"/>
      <c r="SD62" s="310"/>
      <c r="SE62" s="310"/>
      <c r="SF62" s="310"/>
      <c r="SG62" s="310"/>
      <c r="SH62" s="310"/>
      <c r="SI62" s="310"/>
      <c r="SJ62" s="310"/>
      <c r="SK62" s="310"/>
      <c r="SL62" s="310"/>
      <c r="SM62" s="310"/>
      <c r="SN62" s="310"/>
      <c r="SO62" s="220"/>
      <c r="SP62" s="220"/>
      <c r="SQ62" s="220"/>
      <c r="SR62" s="220"/>
      <c r="SS62" s="220"/>
      <c r="ST62" s="220"/>
      <c r="SU62" s="220"/>
      <c r="SV62" s="220"/>
      <c r="SW62" s="220"/>
      <c r="SX62" s="220"/>
      <c r="SY62" s="220"/>
      <c r="SZ62" s="220"/>
      <c r="TA62" s="220"/>
      <c r="TB62" s="220"/>
      <c r="TC62" s="220"/>
      <c r="TD62" s="220"/>
      <c r="TE62" s="220"/>
      <c r="TF62" s="220"/>
      <c r="TG62" s="220"/>
      <c r="TH62" s="220"/>
      <c r="TI62" s="220"/>
      <c r="TJ62" s="220"/>
      <c r="TK62" s="220"/>
      <c r="TL62" s="220"/>
      <c r="TM62" s="220"/>
      <c r="TN62" s="220"/>
      <c r="TO62" s="220"/>
      <c r="TP62" s="220"/>
      <c r="TQ62" s="220"/>
      <c r="TR62" s="220"/>
      <c r="TS62" s="220"/>
      <c r="TT62" s="220"/>
      <c r="TU62" s="220"/>
      <c r="TV62" s="220"/>
      <c r="TW62" s="220"/>
      <c r="TX62" s="220"/>
      <c r="TY62" s="220"/>
      <c r="TZ62" s="220"/>
      <c r="UA62" s="220"/>
      <c r="UB62" s="220"/>
      <c r="UC62" s="220"/>
      <c r="UD62" s="220"/>
      <c r="UE62" s="220"/>
      <c r="UF62" s="220"/>
      <c r="UG62" s="220"/>
      <c r="UH62" s="220"/>
      <c r="UI62" s="220"/>
      <c r="UJ62" s="220"/>
      <c r="UK62" s="216"/>
      <c r="UL62" s="216"/>
      <c r="UM62" s="216"/>
      <c r="UN62" s="216"/>
      <c r="UO62" s="216"/>
      <c r="UP62" s="216"/>
      <c r="UQ62" s="216"/>
      <c r="UR62" s="216"/>
      <c r="US62" s="216"/>
      <c r="UT62" s="216"/>
      <c r="UU62" s="216"/>
      <c r="UV62" s="216"/>
      <c r="UW62" s="216"/>
      <c r="UX62" s="216"/>
      <c r="UY62" s="216"/>
      <c r="UZ62" s="216"/>
      <c r="VA62" s="216"/>
    </row>
    <row r="63" spans="1:573" s="4" customFormat="1" x14ac:dyDescent="0.5">
      <c r="A63" s="636"/>
      <c r="B63" s="637"/>
      <c r="C63" s="637"/>
      <c r="D63" s="226">
        <v>1</v>
      </c>
      <c r="E63" s="180"/>
      <c r="F63" s="180"/>
      <c r="G63" s="638" t="str">
        <f>IF(CP13=TRUE,"0.53x sqrt ("&amp;TRUNC(C48,3)&amp;" )     =","")</f>
        <v>0.53x sqrt (240 )     =</v>
      </c>
      <c r="H63" s="639"/>
      <c r="I63" s="174">
        <f>IF(CP13=TRUE,0.53*SQRT(C48),"")</f>
        <v>8.2107246939597243</v>
      </c>
      <c r="J63" s="687">
        <f>IF(AND(CP13=TRUE,CU11=TRUE),RX13,"")</f>
        <v>108000</v>
      </c>
      <c r="K63" s="688"/>
      <c r="L63" s="640">
        <f>IF(CP13=TRUE,IF(N63="NOT GOVERNING","NOT GOVERNING",RX14),"")</f>
        <v>342</v>
      </c>
      <c r="M63" s="641"/>
      <c r="N63" s="181">
        <f>IF(AND(CP13=TRUE,CU11=TRUE),RX16,"")</f>
        <v>6.9404279930595729</v>
      </c>
      <c r="O63" s="176" t="str">
        <f>IF(AND(CP13=TRUE,CU11=TRUE),IF(BL7=TRUE,"",IF(I63&gt;N63,BT11,BT12)),"")</f>
        <v>ü</v>
      </c>
      <c r="P63" s="182"/>
      <c r="Q63" s="182"/>
      <c r="R63" s="182"/>
      <c r="S63" s="182"/>
      <c r="T63" s="182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5"/>
      <c r="AM63" s="45"/>
      <c r="AN63" s="45"/>
      <c r="AO63" s="45"/>
      <c r="AP63" s="310"/>
      <c r="AQ63" s="310"/>
      <c r="AR63" s="682" t="s">
        <v>176</v>
      </c>
      <c r="AS63" s="682"/>
      <c r="AT63" s="310" t="s">
        <v>177</v>
      </c>
      <c r="AU63" s="310" t="s">
        <v>178</v>
      </c>
      <c r="AV63" s="310" t="s">
        <v>179</v>
      </c>
      <c r="AW63" s="310"/>
      <c r="AX63" s="310" t="s">
        <v>205</v>
      </c>
      <c r="AY63" s="310"/>
      <c r="AZ63" s="310"/>
      <c r="BA63" s="310"/>
      <c r="BB63" s="328" t="s">
        <v>241</v>
      </c>
      <c r="BC63" s="338"/>
      <c r="BD63" s="338"/>
      <c r="BE63" s="338"/>
      <c r="BF63" s="416" t="str">
        <f>IF(AND(CP13=TRUE,CU11=TRUE,BL9=TRUE),($M$16/($BK$6+$BA$32-$SC$34))+($O$40*I46/$L$52)+($O$41*H46/$J$52),"")</f>
        <v/>
      </c>
      <c r="BG63" s="416" t="str">
        <f>IF(SC31=TRUE,0,IF(AND(CP13=TRUE,CU11=TRUE,BL10=TRUE),($M$16/($BK$6+$BA$32-$SC$34))+($O$40*I46/$L$52)+($O$41*H46/$J$52),""))</f>
        <v/>
      </c>
      <c r="BH63" s="416">
        <f>IF(SC31=TRUE,0,IF(AND(CP13=TRUE,CU11=TRUE,BL11=TRUE),($M$16/($CP$16+$BA$32))+($O$40*I46/$L$52)+($O$41*H46/$J$52),""))</f>
        <v>36</v>
      </c>
      <c r="BI63" s="338">
        <v>36</v>
      </c>
      <c r="BJ63" s="310"/>
      <c r="BK63" s="310"/>
      <c r="BL63" s="310"/>
      <c r="BM63" s="310"/>
      <c r="BN63" s="310"/>
      <c r="BO63" s="310"/>
      <c r="BP63" s="310"/>
      <c r="BQ63" s="310"/>
      <c r="BR63" s="310"/>
      <c r="BS63" s="310"/>
      <c r="BT63" s="310"/>
      <c r="BU63" s="310"/>
      <c r="BV63" s="310"/>
      <c r="BW63" s="310"/>
      <c r="BX63" s="310"/>
      <c r="BY63" s="338" t="e">
        <f>BY59</f>
        <v>#N/A</v>
      </c>
      <c r="BZ63" s="338" t="e">
        <f>BZ59</f>
        <v>#N/A</v>
      </c>
      <c r="CA63" s="310"/>
      <c r="CB63" s="310"/>
      <c r="CC63" s="310"/>
      <c r="CD63" s="231" t="e">
        <f>BY48</f>
        <v>#N/A</v>
      </c>
      <c r="CE63" s="231" t="e">
        <f>BZ48</f>
        <v>#N/A</v>
      </c>
      <c r="CF63" s="310"/>
      <c r="CG63" s="310"/>
      <c r="CH63" s="310"/>
      <c r="CI63" s="310"/>
      <c r="CJ63" s="310"/>
      <c r="CK63" s="310"/>
      <c r="CL63" s="310"/>
      <c r="CM63" s="310"/>
      <c r="CN63" s="338" t="e">
        <v>#N/A</v>
      </c>
      <c r="CO63" s="338" t="e">
        <v>#N/A</v>
      </c>
      <c r="CP63" s="310"/>
      <c r="CQ63" s="310"/>
      <c r="CR63" s="310"/>
      <c r="CS63" s="310"/>
      <c r="CT63" s="338" t="e">
        <v>#N/A</v>
      </c>
      <c r="CU63" s="338" t="e">
        <v>#N/A</v>
      </c>
      <c r="CV63" s="310"/>
      <c r="CW63" s="310"/>
      <c r="CX63" s="310"/>
      <c r="CY63" s="310"/>
      <c r="CZ63" s="310"/>
      <c r="DA63" s="310"/>
      <c r="DB63" s="310"/>
      <c r="DC63" s="280" t="e">
        <v>#N/A</v>
      </c>
      <c r="DD63" s="280" t="e">
        <v>#N/A</v>
      </c>
      <c r="DE63" s="310"/>
      <c r="DF63" s="302" t="e">
        <f>IF(DG60=TRUE,DF62+DA6/2,#N/A)</f>
        <v>#N/A</v>
      </c>
      <c r="DG63" s="280" t="e">
        <f>IF(DG60=TRUE,DA6*2,#N/A)</f>
        <v>#N/A</v>
      </c>
      <c r="DH63" s="303" t="e">
        <f>DF68</f>
        <v>#N/A</v>
      </c>
      <c r="DI63" s="281" t="e">
        <f>DG68</f>
        <v>#N/A</v>
      </c>
      <c r="DJ63" s="310" t="str">
        <f>IF(G56="Temp.",M58,M56)</f>
        <v>SD-40  DB20 @ 0.13m.</v>
      </c>
      <c r="DK63" s="310"/>
      <c r="DL63" s="310"/>
      <c r="DM63" s="310"/>
      <c r="DN63" s="310"/>
      <c r="DO63" s="310"/>
      <c r="DP63" s="310"/>
      <c r="DQ63" s="310"/>
      <c r="DR63" s="310"/>
      <c r="DS63" s="310"/>
      <c r="DT63" s="328" t="s">
        <v>149</v>
      </c>
      <c r="DU63" s="338">
        <f>DU48-$BT$7/2</f>
        <v>0.5</v>
      </c>
      <c r="DV63" s="338">
        <f>DV48+$BT$7/2</f>
        <v>-0.5</v>
      </c>
      <c r="DW63" s="310"/>
      <c r="DX63" s="310"/>
      <c r="DY63" s="338">
        <f>DY48-$BT$7/2</f>
        <v>0.5</v>
      </c>
      <c r="DZ63" s="338">
        <f>DZ48+$BT$7/2</f>
        <v>-0.5</v>
      </c>
      <c r="EA63" s="310"/>
      <c r="EB63" s="310" t="e">
        <v>#N/A</v>
      </c>
      <c r="EC63" s="310" t="e">
        <v>#N/A</v>
      </c>
      <c r="ED63" s="310"/>
      <c r="EE63" s="280">
        <f>EB61+MAX(EK9:EK10)/2</f>
        <v>0.95</v>
      </c>
      <c r="EF63" s="280">
        <f>EF62</f>
        <v>0</v>
      </c>
      <c r="EG63" s="280">
        <f>EB67+BT7/2</f>
        <v>-0.5</v>
      </c>
      <c r="EH63" s="280">
        <f>EH62</f>
        <v>0.1</v>
      </c>
      <c r="EI63" s="310"/>
      <c r="EJ63" s="280">
        <f>EE63-F50/100</f>
        <v>0.875</v>
      </c>
      <c r="EK63" s="280">
        <f>EK62</f>
        <v>0.1</v>
      </c>
      <c r="EL63" s="310"/>
      <c r="EM63" s="310" t="s">
        <v>48</v>
      </c>
      <c r="EN63" s="310" t="s">
        <v>49</v>
      </c>
      <c r="EO63" s="310"/>
      <c r="EP63" s="310"/>
      <c r="EQ63" s="310"/>
      <c r="ER63" s="310"/>
      <c r="ES63" s="310"/>
      <c r="ET63" s="310"/>
      <c r="EU63" s="310"/>
      <c r="EV63" s="310"/>
      <c r="EW63" s="310"/>
      <c r="EX63" s="310"/>
      <c r="EY63" s="310"/>
      <c r="EZ63" s="310"/>
      <c r="FA63" s="310"/>
      <c r="FB63" s="310"/>
      <c r="FC63" s="424" t="s">
        <v>149</v>
      </c>
      <c r="FD63" s="512" t="e">
        <f t="shared" si="122"/>
        <v>#N/A</v>
      </c>
      <c r="FE63" s="512" t="e">
        <f t="shared" si="123"/>
        <v>#N/A</v>
      </c>
      <c r="FF63" s="310" t="str">
        <f t="shared" si="124"/>
        <v/>
      </c>
      <c r="FG63" s="310"/>
      <c r="FH63" s="311"/>
      <c r="FI63" s="311"/>
      <c r="FJ63" s="311"/>
      <c r="FK63" s="311"/>
      <c r="FL63" s="310"/>
      <c r="FM63" s="310"/>
      <c r="FN63" s="310"/>
      <c r="FO63" s="310"/>
      <c r="FP63" s="310"/>
      <c r="FQ63" s="310"/>
      <c r="FR63" s="310"/>
      <c r="FS63" s="310"/>
      <c r="FT63" s="310"/>
      <c r="FU63" s="310"/>
      <c r="FV63" s="310"/>
      <c r="FW63" s="310"/>
      <c r="FX63" s="310"/>
      <c r="FY63" s="310"/>
      <c r="FZ63" s="310"/>
      <c r="GA63" s="310"/>
      <c r="GB63" s="310"/>
      <c r="GC63" s="310"/>
      <c r="GD63" s="310"/>
      <c r="GE63" s="310"/>
      <c r="GF63" s="310"/>
      <c r="GG63" s="310"/>
      <c r="GH63" s="310"/>
      <c r="GI63" s="310"/>
      <c r="GJ63" s="310"/>
      <c r="GK63" s="310"/>
      <c r="GL63" s="310"/>
      <c r="GM63" s="310"/>
      <c r="GN63" s="310"/>
      <c r="GO63" s="310"/>
      <c r="GP63" s="310"/>
      <c r="GQ63" s="310"/>
      <c r="GR63" s="310"/>
      <c r="GS63" s="310"/>
      <c r="GT63" s="310"/>
      <c r="GU63" s="310"/>
      <c r="GV63" s="310"/>
      <c r="GW63" s="310"/>
      <c r="GX63" s="310"/>
      <c r="GY63" s="310"/>
      <c r="GZ63" s="310"/>
      <c r="HA63" s="310"/>
      <c r="HB63" s="310"/>
      <c r="HC63" s="310"/>
      <c r="HD63" s="310"/>
      <c r="HE63" s="310"/>
      <c r="HF63" s="310"/>
      <c r="HG63" s="310"/>
      <c r="HH63" s="310"/>
      <c r="HI63" s="310"/>
      <c r="HJ63" s="310"/>
      <c r="HK63" s="342">
        <v>49</v>
      </c>
      <c r="HL63" s="235" t="e">
        <f t="shared" si="5"/>
        <v>#N/A</v>
      </c>
      <c r="HM63" s="235" t="e">
        <f t="shared" si="6"/>
        <v>#N/A</v>
      </c>
      <c r="HN63" s="310"/>
      <c r="HO63" s="310"/>
      <c r="HP63" s="235" t="e">
        <f t="shared" si="7"/>
        <v>#N/A</v>
      </c>
      <c r="HQ63" s="235" t="e">
        <f t="shared" si="8"/>
        <v>#N/A</v>
      </c>
      <c r="HR63" s="310"/>
      <c r="HS63" s="310"/>
      <c r="HT63" s="235" t="e">
        <f t="shared" si="9"/>
        <v>#N/A</v>
      </c>
      <c r="HU63" s="235" t="e">
        <f t="shared" si="10"/>
        <v>#N/A</v>
      </c>
      <c r="HV63" s="310"/>
      <c r="HW63" s="310"/>
      <c r="HX63" s="235" t="e">
        <f t="shared" si="11"/>
        <v>#N/A</v>
      </c>
      <c r="HY63" s="235" t="e">
        <f t="shared" si="12"/>
        <v>#N/A</v>
      </c>
      <c r="HZ63" s="310"/>
      <c r="IA63" s="310"/>
      <c r="IB63" s="235" t="e">
        <f t="shared" si="13"/>
        <v>#N/A</v>
      </c>
      <c r="IC63" s="235" t="e">
        <f t="shared" si="14"/>
        <v>#N/A</v>
      </c>
      <c r="ID63" s="310"/>
      <c r="IE63" s="342">
        <v>49</v>
      </c>
      <c r="IF63" s="262" t="e">
        <f t="shared" si="15"/>
        <v>#N/A</v>
      </c>
      <c r="IG63" s="262" t="e">
        <f t="shared" si="16"/>
        <v>#N/A</v>
      </c>
      <c r="IH63" s="390"/>
      <c r="II63" s="390"/>
      <c r="IJ63" s="262" t="e">
        <f t="shared" si="17"/>
        <v>#N/A</v>
      </c>
      <c r="IK63" s="262" t="e">
        <f t="shared" si="18"/>
        <v>#N/A</v>
      </c>
      <c r="IL63" s="390"/>
      <c r="IM63" s="390"/>
      <c r="IN63" s="262" t="e">
        <f t="shared" si="19"/>
        <v>#N/A</v>
      </c>
      <c r="IO63" s="262" t="e">
        <f t="shared" si="20"/>
        <v>#N/A</v>
      </c>
      <c r="IP63" s="390"/>
      <c r="IQ63" s="390"/>
      <c r="IR63" s="262" t="e">
        <f t="shared" si="21"/>
        <v>#N/A</v>
      </c>
      <c r="IS63" s="262" t="e">
        <f t="shared" si="22"/>
        <v>#N/A</v>
      </c>
      <c r="IT63" s="390"/>
      <c r="IU63" s="390"/>
      <c r="IV63" s="262" t="e">
        <f t="shared" si="23"/>
        <v>#N/A</v>
      </c>
      <c r="IW63" s="262" t="e">
        <f t="shared" si="24"/>
        <v>#N/A</v>
      </c>
      <c r="IX63" s="310"/>
      <c r="IY63" s="342" t="s">
        <v>353</v>
      </c>
      <c r="IZ63" s="328" t="s">
        <v>380</v>
      </c>
      <c r="JA63" s="338" t="b">
        <f>AND($GY$6&gt;=$GX$21,$GY$6&lt;=$GX$27,$BM$7=TRUE)</f>
        <v>0</v>
      </c>
      <c r="JB63" s="313" t="s">
        <v>106</v>
      </c>
      <c r="JC63" s="228" t="e">
        <f>IZ65-$IZ$62/2</f>
        <v>#N/A</v>
      </c>
      <c r="JD63" s="228" t="e">
        <f>JA65+$IZ$61/2</f>
        <v>#N/A</v>
      </c>
      <c r="JE63" s="310"/>
      <c r="JF63" s="342" t="s">
        <v>353</v>
      </c>
      <c r="JG63" s="328" t="s">
        <v>380</v>
      </c>
      <c r="JH63" s="338" t="b">
        <f>IF(CP13=TRUE,AND($GY$6&gt;=$GX$21,$GY$6&lt;=$GX$27,$BM$7=TRUE,$BE$7=TRUE,CU11=TRUE),FALSE)</f>
        <v>0</v>
      </c>
      <c r="JI63" s="313" t="s">
        <v>106</v>
      </c>
      <c r="JJ63" s="242" t="e">
        <f>JG65-$IZ$62/2</f>
        <v>#N/A</v>
      </c>
      <c r="JK63" s="242" t="e">
        <f>JH65+$IZ$61/2</f>
        <v>#N/A</v>
      </c>
      <c r="JL63" s="310"/>
      <c r="JM63" s="310"/>
      <c r="JN63" s="261" t="e">
        <f t="shared" si="25"/>
        <v>#N/A</v>
      </c>
      <c r="JO63" s="261" t="e">
        <f t="shared" si="26"/>
        <v>#N/A</v>
      </c>
      <c r="JP63" s="310"/>
      <c r="JQ63" s="310"/>
      <c r="JR63" s="261" t="e">
        <f t="shared" si="31"/>
        <v>#N/A</v>
      </c>
      <c r="JS63" s="261" t="e">
        <f t="shared" si="32"/>
        <v>#N/A</v>
      </c>
      <c r="JT63" s="310"/>
      <c r="JU63" s="310"/>
      <c r="JV63" s="261" t="e">
        <f t="shared" si="27"/>
        <v>#N/A</v>
      </c>
      <c r="JW63" s="261" t="e">
        <f t="shared" si="28"/>
        <v>#N/A</v>
      </c>
      <c r="JX63" s="310"/>
      <c r="JY63" s="342" t="s">
        <v>353</v>
      </c>
      <c r="JZ63" s="328" t="s">
        <v>387</v>
      </c>
      <c r="KA63" s="328" t="b">
        <f>AND(AZ32=TRUE,$GY$6&gt;=$GX$7,$GY$6&lt;=$GX$13,JM11=TRUE)</f>
        <v>1</v>
      </c>
      <c r="KB63" s="313" t="s">
        <v>106</v>
      </c>
      <c r="KC63" s="242">
        <f>JZ65-($IZ$108/2)+$IZ$114</f>
        <v>-1.135</v>
      </c>
      <c r="KD63" s="242">
        <f>KA65+$IZ$108/2</f>
        <v>0.8</v>
      </c>
      <c r="KE63" s="310"/>
      <c r="KF63" s="310"/>
      <c r="KG63" s="310"/>
      <c r="KH63" s="310"/>
      <c r="KI63" s="310"/>
      <c r="KJ63" s="310"/>
      <c r="KK63" s="310"/>
      <c r="KL63" s="310"/>
      <c r="KM63" s="310"/>
      <c r="KN63" s="310"/>
      <c r="KO63" s="310"/>
      <c r="KP63" s="310"/>
      <c r="KQ63" s="310"/>
      <c r="KR63" s="310"/>
      <c r="KS63" s="310"/>
      <c r="KT63" s="310"/>
      <c r="KU63" s="310"/>
      <c r="KV63" s="310"/>
      <c r="KW63" s="310"/>
      <c r="KX63" s="310"/>
      <c r="KY63" s="310"/>
      <c r="KZ63" s="310"/>
      <c r="LA63" s="310"/>
      <c r="LB63" s="328" t="str">
        <v>P5</v>
      </c>
      <c r="LC63" s="391" t="e">
        <v>#N/A</v>
      </c>
      <c r="LD63" s="391" t="e">
        <v>#N/A</v>
      </c>
      <c r="LE63" s="310"/>
      <c r="LF63" s="310"/>
      <c r="LG63" s="310"/>
      <c r="LH63" s="463" t="e">
        <f>LH62</f>
        <v>#N/A</v>
      </c>
      <c r="LI63" s="463" t="e">
        <f>LI62-LI49*1.115</f>
        <v>#N/A</v>
      </c>
      <c r="LJ63" s="463" t="e">
        <v>#N/A</v>
      </c>
      <c r="LK63" s="463" t="e">
        <v>#N/A</v>
      </c>
      <c r="LL63" s="463"/>
      <c r="LM63" s="310"/>
      <c r="LN63" s="310"/>
      <c r="LO63" s="391" t="e">
        <f>LO62</f>
        <v>#N/A</v>
      </c>
      <c r="LP63" s="391" t="e">
        <f>LD51+LP49*1.55</f>
        <v>#N/A</v>
      </c>
      <c r="LQ63" s="463" t="e">
        <v>#N/A</v>
      </c>
      <c r="LR63" s="463" t="e">
        <v>#N/A</v>
      </c>
      <c r="LS63" s="391"/>
      <c r="LT63" s="310"/>
      <c r="LU63" s="310"/>
      <c r="LV63" s="391" t="e">
        <f>LC60-LW49*1.45</f>
        <v>#N/A</v>
      </c>
      <c r="LW63" s="391" t="e">
        <f>LW62</f>
        <v>#N/A</v>
      </c>
      <c r="LX63" s="463" t="e">
        <v>#N/A</v>
      </c>
      <c r="LY63" s="463" t="e">
        <v>#N/A</v>
      </c>
      <c r="LZ63" s="391"/>
      <c r="MA63" s="310"/>
      <c r="MB63" s="310"/>
      <c r="MC63" s="391" t="e">
        <f>LC57+MD49*1.55</f>
        <v>#N/A</v>
      </c>
      <c r="MD63" s="391" t="e">
        <f>MD62</f>
        <v>#N/A</v>
      </c>
      <c r="ME63" s="463" t="e">
        <v>#N/A</v>
      </c>
      <c r="MF63" s="463" t="e">
        <v>#N/A</v>
      </c>
      <c r="MG63" s="391"/>
      <c r="MH63" s="310"/>
      <c r="MI63" s="310"/>
      <c r="MJ63" s="239" t="e">
        <v>#N/A</v>
      </c>
      <c r="MK63" s="239" t="e">
        <v>#N/A</v>
      </c>
      <c r="ML63" s="228" t="e">
        <v>#N/A</v>
      </c>
      <c r="MM63" s="228" t="e">
        <v>#N/A</v>
      </c>
      <c r="MN63" s="391"/>
      <c r="MO63" s="310"/>
      <c r="MP63" s="311" t="e">
        <v>#N/A</v>
      </c>
      <c r="MQ63" s="311" t="e">
        <v>#N/A</v>
      </c>
      <c r="MR63" s="311" t="e">
        <v>#N/A</v>
      </c>
      <c r="MS63" s="311" t="e">
        <v>#N/A</v>
      </c>
      <c r="MT63" s="310"/>
      <c r="MU63" s="297" t="e">
        <f>$MT$37+$NA$30</f>
        <v>#N/A</v>
      </c>
      <c r="MV63" s="297" t="e">
        <f>MV61+0.05</f>
        <v>#N/A</v>
      </c>
      <c r="MW63" s="292" t="e">
        <v>#N/A</v>
      </c>
      <c r="MX63" s="292" t="e">
        <v>#N/A</v>
      </c>
      <c r="MY63" s="338"/>
      <c r="MZ63" s="403">
        <v>30</v>
      </c>
      <c r="NA63" s="372" t="b">
        <f t="shared" si="76"/>
        <v>0</v>
      </c>
      <c r="NB63" s="280" t="e">
        <f t="shared" si="80"/>
        <v>#N/A</v>
      </c>
      <c r="NC63" s="280" t="e">
        <f t="shared" si="81"/>
        <v>#N/A</v>
      </c>
      <c r="ND63" s="280" t="e">
        <f t="shared" si="77"/>
        <v>#N/A</v>
      </c>
      <c r="NE63" s="280" t="e">
        <f t="shared" si="78"/>
        <v>#N/A</v>
      </c>
      <c r="NF63" s="310"/>
      <c r="NG63" s="310"/>
      <c r="NH63" s="310"/>
      <c r="NI63" s="310"/>
      <c r="NJ63" s="310"/>
      <c r="NK63" s="310"/>
      <c r="NL63" s="310"/>
      <c r="NM63" s="310"/>
      <c r="NN63" s="310"/>
      <c r="NO63" s="310"/>
      <c r="NP63" s="310"/>
      <c r="NQ63" s="310"/>
      <c r="NR63" s="310"/>
      <c r="NS63" s="310"/>
      <c r="NT63" s="310"/>
      <c r="NU63" s="310"/>
      <c r="NV63" s="310"/>
      <c r="NW63" s="310"/>
      <c r="NX63" s="310"/>
      <c r="NY63" s="310"/>
      <c r="NZ63" s="310"/>
      <c r="OA63" s="310"/>
      <c r="OB63" s="310"/>
      <c r="OC63" s="310"/>
      <c r="OD63" s="310"/>
      <c r="OE63" s="310"/>
      <c r="OF63" s="310"/>
      <c r="OG63" s="310"/>
      <c r="OH63" s="310"/>
      <c r="OI63" s="310"/>
      <c r="OJ63" s="310"/>
      <c r="OK63" s="310"/>
      <c r="OL63" s="310"/>
      <c r="OM63" s="310"/>
      <c r="ON63" s="310"/>
      <c r="OO63" s="310"/>
      <c r="OP63" s="310"/>
      <c r="OQ63" s="310"/>
      <c r="OR63" s="310"/>
      <c r="OS63" s="310"/>
      <c r="OT63" s="310"/>
      <c r="OU63" s="310"/>
      <c r="OV63" s="310"/>
      <c r="OW63" s="310"/>
      <c r="OX63" s="310"/>
      <c r="OY63" s="310"/>
      <c r="OZ63" s="310"/>
      <c r="PA63" s="310"/>
      <c r="PB63" s="310"/>
      <c r="PC63" s="310"/>
      <c r="PD63" s="310"/>
      <c r="PE63" s="310"/>
      <c r="PF63" s="310"/>
      <c r="PG63" s="310"/>
      <c r="PH63" s="310"/>
      <c r="PI63" s="310"/>
      <c r="PJ63" s="310"/>
      <c r="PK63" s="310"/>
      <c r="PL63" s="310"/>
      <c r="PM63" s="310"/>
      <c r="PN63" s="310"/>
      <c r="PO63" s="310"/>
      <c r="PP63" s="310"/>
      <c r="PQ63" s="310"/>
      <c r="PR63" s="310"/>
      <c r="PS63" s="342">
        <v>49</v>
      </c>
      <c r="PT63" s="261" t="e">
        <f t="shared" si="29"/>
        <v>#N/A</v>
      </c>
      <c r="PU63" s="261" t="e">
        <f t="shared" si="30"/>
        <v>#N/A</v>
      </c>
      <c r="PV63" s="310"/>
      <c r="PW63" s="310"/>
      <c r="PX63" s="310"/>
      <c r="PY63" s="310"/>
      <c r="PZ63" s="310"/>
      <c r="QA63" s="310"/>
      <c r="QB63" s="310"/>
      <c r="QC63" s="310"/>
      <c r="QD63" s="310"/>
      <c r="QE63" s="310"/>
      <c r="QF63" s="310"/>
      <c r="QG63" s="310"/>
      <c r="QH63" s="310"/>
      <c r="QI63" s="310"/>
      <c r="QJ63" s="310"/>
      <c r="QK63" s="310"/>
      <c r="QL63" s="310"/>
      <c r="QM63" s="310"/>
      <c r="QN63" s="310"/>
      <c r="QO63" s="310"/>
      <c r="QP63" s="310"/>
      <c r="QQ63" s="310"/>
      <c r="QR63" s="310"/>
      <c r="QS63" s="310"/>
      <c r="QT63" s="310"/>
      <c r="QU63" s="310"/>
      <c r="QV63" s="310"/>
      <c r="QW63" s="310"/>
      <c r="QX63" s="310"/>
      <c r="QY63" s="310"/>
      <c r="QZ63" s="310"/>
      <c r="RA63" s="310"/>
      <c r="RB63" s="310"/>
      <c r="RC63" s="310"/>
      <c r="RD63" s="310"/>
      <c r="RE63" s="310"/>
      <c r="RF63" s="310"/>
      <c r="RG63" s="310"/>
      <c r="RH63" s="310"/>
      <c r="RI63" s="310"/>
      <c r="RJ63" s="310"/>
      <c r="RK63" s="310"/>
      <c r="RL63" s="310"/>
      <c r="RM63" s="310"/>
      <c r="RN63" s="310"/>
      <c r="RO63" s="310"/>
      <c r="RP63" s="310"/>
      <c r="RQ63" s="329"/>
      <c r="RR63" s="310"/>
      <c r="RS63" s="310"/>
      <c r="RT63" s="310"/>
      <c r="RU63" s="310"/>
      <c r="RV63" s="310"/>
      <c r="RW63" s="310"/>
      <c r="RX63" s="310"/>
      <c r="RY63" s="310"/>
      <c r="RZ63" s="310"/>
      <c r="SA63" s="310"/>
      <c r="SB63" s="310"/>
      <c r="SC63" s="310"/>
      <c r="SD63" s="310"/>
      <c r="SE63" s="310"/>
      <c r="SF63" s="310"/>
      <c r="SG63" s="310"/>
      <c r="SH63" s="310"/>
      <c r="SI63" s="310"/>
      <c r="SJ63" s="310"/>
      <c r="SK63" s="310"/>
      <c r="SL63" s="310"/>
      <c r="SM63" s="310"/>
      <c r="SN63" s="310"/>
      <c r="SO63" s="220"/>
      <c r="SP63" s="220"/>
      <c r="SQ63" s="220"/>
      <c r="SR63" s="220"/>
      <c r="SS63" s="220"/>
      <c r="ST63" s="220"/>
      <c r="SU63" s="220"/>
      <c r="SV63" s="220"/>
      <c r="SW63" s="220"/>
      <c r="SX63" s="220"/>
      <c r="SY63" s="220"/>
      <c r="SZ63" s="220"/>
      <c r="TA63" s="220"/>
      <c r="TB63" s="220"/>
      <c r="TC63" s="220"/>
      <c r="TD63" s="220"/>
      <c r="TE63" s="220"/>
      <c r="TF63" s="220"/>
      <c r="TG63" s="220"/>
      <c r="TH63" s="220"/>
      <c r="TI63" s="220"/>
      <c r="TJ63" s="220"/>
      <c r="TK63" s="220"/>
      <c r="TL63" s="220"/>
      <c r="TM63" s="220"/>
      <c r="TN63" s="220"/>
      <c r="TO63" s="220"/>
      <c r="TP63" s="220"/>
      <c r="TQ63" s="220"/>
      <c r="TR63" s="220"/>
      <c r="TS63" s="220"/>
      <c r="TT63" s="220"/>
      <c r="TU63" s="220"/>
      <c r="TV63" s="220"/>
      <c r="TW63" s="220"/>
      <c r="TX63" s="220"/>
      <c r="TY63" s="220"/>
      <c r="TZ63" s="220"/>
      <c r="UA63" s="220"/>
      <c r="UB63" s="220"/>
      <c r="UC63" s="220"/>
      <c r="UD63" s="220"/>
      <c r="UE63" s="220"/>
      <c r="UF63" s="220"/>
      <c r="UG63" s="220"/>
      <c r="UH63" s="220"/>
      <c r="UI63" s="220"/>
      <c r="UJ63" s="220"/>
      <c r="UK63" s="216"/>
      <c r="UL63" s="216"/>
      <c r="UM63" s="216"/>
      <c r="UN63" s="216"/>
      <c r="UO63" s="216"/>
      <c r="UP63" s="216"/>
      <c r="UQ63" s="216"/>
      <c r="UR63" s="216"/>
      <c r="US63" s="216"/>
      <c r="UT63" s="216"/>
      <c r="UU63" s="216"/>
      <c r="UV63" s="216"/>
      <c r="UW63" s="216"/>
      <c r="UX63" s="216"/>
      <c r="UY63" s="216"/>
      <c r="UZ63" s="216"/>
      <c r="VA63" s="216"/>
    </row>
    <row r="64" spans="1:573" s="4" customFormat="1" ht="15" customHeight="1" x14ac:dyDescent="0.5">
      <c r="A64" s="183" t="s">
        <v>196</v>
      </c>
      <c r="B64" s="16"/>
      <c r="C64" s="16"/>
      <c r="D64" s="16"/>
      <c r="E64" s="16"/>
      <c r="F64" s="16"/>
      <c r="G64" s="184"/>
      <c r="H64" s="184"/>
      <c r="I64" s="184"/>
      <c r="J64" s="184"/>
      <c r="K64" s="184"/>
      <c r="L64" s="184"/>
      <c r="M64" s="184"/>
      <c r="N64" s="184"/>
      <c r="O64" s="184"/>
      <c r="P64" s="182"/>
      <c r="Q64" s="185" t="s">
        <v>547</v>
      </c>
      <c r="R64" s="182"/>
      <c r="S64" s="182"/>
      <c r="T64" s="182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5"/>
      <c r="AM64" s="45"/>
      <c r="AN64" s="45"/>
      <c r="AO64" s="45"/>
      <c r="AP64" s="310"/>
      <c r="AQ64" s="310"/>
      <c r="AR64" s="328" t="s">
        <v>13</v>
      </c>
      <c r="AS64" s="328"/>
      <c r="AT64" s="338"/>
      <c r="AU64" s="338"/>
      <c r="AV64" s="310"/>
      <c r="AW64" s="310"/>
      <c r="AX64" s="310"/>
      <c r="AY64" s="310"/>
      <c r="AZ64" s="310"/>
      <c r="BA64" s="310"/>
      <c r="BB64" s="328" t="s">
        <v>242</v>
      </c>
      <c r="BC64" s="338"/>
      <c r="BD64" s="338"/>
      <c r="BE64" s="338"/>
      <c r="BF64" s="338"/>
      <c r="BG64" s="416">
        <f>IF(SC32=TRUE,0,IF(AND(CP13=TRUE,CU11=TRUE,BL10=TRUE),($M$16/($BK$6+$BA$32-$SC$34))+($O$40*I47/$L$52)+($O$41*H47/$J$52),""))</f>
        <v>0</v>
      </c>
      <c r="BH64" s="416">
        <f>IF(SC32=TRUE,0,IF(AND(CP13=TRUE,CU11=TRUE,BL11=TRUE),($M$16/($CP$16+$BA$32))+($O$40*I47/$L$52)+($O$41*H47/$J$52),""))</f>
        <v>0</v>
      </c>
      <c r="BI64" s="338">
        <v>0</v>
      </c>
      <c r="BJ64" s="310"/>
      <c r="BK64" s="310"/>
      <c r="BL64" s="310"/>
      <c r="BM64" s="310"/>
      <c r="BN64" s="310"/>
      <c r="BO64" s="310"/>
      <c r="BP64" s="310"/>
      <c r="BQ64" s="310"/>
      <c r="BR64" s="310"/>
      <c r="BS64" s="310"/>
      <c r="BT64" s="310"/>
      <c r="BU64" s="310"/>
      <c r="BV64" s="310"/>
      <c r="BW64" s="310"/>
      <c r="BX64" s="310"/>
      <c r="BY64" s="338" t="e">
        <v>#N/A</v>
      </c>
      <c r="BZ64" s="338" t="e">
        <v>#N/A</v>
      </c>
      <c r="CA64" s="310"/>
      <c r="CB64" s="310"/>
      <c r="CC64" s="310"/>
      <c r="CD64" s="231" t="e">
        <v>#N/A</v>
      </c>
      <c r="CE64" s="231" t="e">
        <v>#N/A</v>
      </c>
      <c r="CF64" s="310"/>
      <c r="CG64" s="310"/>
      <c r="CH64" s="310"/>
      <c r="CI64" s="310"/>
      <c r="CJ64" s="310"/>
      <c r="CK64" s="310"/>
      <c r="CL64" s="310"/>
      <c r="CM64" s="310"/>
      <c r="CN64" s="336" t="e">
        <f>CN59</f>
        <v>#N/A</v>
      </c>
      <c r="CO64" s="338" t="e">
        <f>CO59+CO36/2</f>
        <v>#N/A</v>
      </c>
      <c r="CP64" s="310"/>
      <c r="CQ64" s="310"/>
      <c r="CR64" s="310"/>
      <c r="CS64" s="310"/>
      <c r="CT64" s="338" t="e">
        <f>IF(CU34=TRUE,CN28-CU36/1.75,#N/A)</f>
        <v>#N/A</v>
      </c>
      <c r="CU64" s="338" t="e">
        <f>IF(CU34=TRUE,CO30,#N/A)</f>
        <v>#N/A</v>
      </c>
      <c r="CV64" s="310"/>
      <c r="CW64" s="310"/>
      <c r="CX64" s="310"/>
      <c r="CY64" s="310"/>
      <c r="CZ64" s="310"/>
      <c r="DA64" s="310"/>
      <c r="DB64" s="310">
        <v>5</v>
      </c>
      <c r="DC64" s="280" t="e">
        <f>IF(AND($DD$50=TRUE,$D$63&gt;=DB64),$DC$52,#N/A)</f>
        <v>#N/A</v>
      </c>
      <c r="DD64" s="280" t="e">
        <f>IF(AND($DD$50=TRUE,$D$63&gt;=DB64),$DD$52-0.2,#N/A)</f>
        <v>#N/A</v>
      </c>
      <c r="DE64" s="310"/>
      <c r="DF64" s="301" t="e">
        <f>DF63+DA6/3</f>
        <v>#N/A</v>
      </c>
      <c r="DG64" s="280" t="e">
        <f>DG63</f>
        <v>#N/A</v>
      </c>
      <c r="DH64" s="294" t="e">
        <f>DF71</f>
        <v>#N/A</v>
      </c>
      <c r="DI64" s="281" t="e">
        <f>IF(DG60=TRUE,DA6/2,#N/A)</f>
        <v>#N/A</v>
      </c>
      <c r="DJ64" s="310" t="str">
        <f>"t = "&amp;TEXT(DA6,"0.00")&amp;"m"</f>
        <v>t = 0.60m</v>
      </c>
      <c r="DK64" s="310"/>
      <c r="DL64" s="310"/>
      <c r="DM64" s="310"/>
      <c r="DN64" s="310"/>
      <c r="DO64" s="310"/>
      <c r="DP64" s="310"/>
      <c r="DQ64" s="310"/>
      <c r="DR64" s="310"/>
      <c r="DS64" s="310"/>
      <c r="DT64" s="338"/>
      <c r="DU64" s="338">
        <f>DU48+$BT$7/2</f>
        <v>0.8</v>
      </c>
      <c r="DV64" s="338">
        <f>DV63</f>
        <v>-0.5</v>
      </c>
      <c r="DW64" s="310"/>
      <c r="DX64" s="310"/>
      <c r="DY64" s="338">
        <f>DY48+$BT$7/2</f>
        <v>0.8</v>
      </c>
      <c r="DZ64" s="338">
        <f>DZ63</f>
        <v>-0.5</v>
      </c>
      <c r="EA64" s="310" t="s">
        <v>180</v>
      </c>
      <c r="EB64" s="310">
        <f>MAX(DY46:DY49)</f>
        <v>0.65</v>
      </c>
      <c r="EC64" s="310"/>
      <c r="ED64" s="310"/>
      <c r="EE64" s="280">
        <f>EE63</f>
        <v>0.95</v>
      </c>
      <c r="EF64" s="280">
        <f>EF61</f>
        <v>0.6</v>
      </c>
      <c r="EG64" s="280">
        <f>EG63</f>
        <v>-0.5</v>
      </c>
      <c r="EH64" s="280">
        <f>EH61</f>
        <v>-0.5</v>
      </c>
      <c r="EI64" s="310"/>
      <c r="EJ64" s="280">
        <f>EJ63</f>
        <v>0.875</v>
      </c>
      <c r="EK64" s="280">
        <f>EK61</f>
        <v>0.52500000000000002</v>
      </c>
      <c r="EL64" s="310"/>
      <c r="EM64" s="280">
        <f>EE66+(EE67-EE66)/2</f>
        <v>-0.57499999999999996</v>
      </c>
      <c r="EN64" s="280">
        <f>EF61</f>
        <v>0.6</v>
      </c>
      <c r="EO64" s="310"/>
      <c r="EP64" s="310"/>
      <c r="EQ64" s="310"/>
      <c r="ER64" s="310"/>
      <c r="ES64" s="310"/>
      <c r="ET64" s="310"/>
      <c r="EU64" s="310"/>
      <c r="EV64" s="310"/>
      <c r="EW64" s="310"/>
      <c r="EX64" s="310"/>
      <c r="EY64" s="310"/>
      <c r="EZ64" s="310"/>
      <c r="FA64" s="310"/>
      <c r="FB64" s="310"/>
      <c r="FC64" s="310"/>
      <c r="FD64" s="310"/>
      <c r="FE64" s="310"/>
      <c r="FF64" s="310"/>
      <c r="FG64" s="310"/>
      <c r="FH64" s="311"/>
      <c r="FI64" s="311"/>
      <c r="FJ64" s="311"/>
      <c r="FK64" s="310"/>
      <c r="FL64" s="310"/>
      <c r="FM64" s="310"/>
      <c r="FN64" s="310"/>
      <c r="FO64" s="310"/>
      <c r="FP64" s="310"/>
      <c r="FQ64" s="310"/>
      <c r="FR64" s="310"/>
      <c r="FS64" s="310"/>
      <c r="FT64" s="310"/>
      <c r="FU64" s="310"/>
      <c r="FV64" s="310"/>
      <c r="FW64" s="310"/>
      <c r="FX64" s="310"/>
      <c r="FY64" s="310"/>
      <c r="FZ64" s="310"/>
      <c r="GA64" s="310"/>
      <c r="GB64" s="310"/>
      <c r="GC64" s="310"/>
      <c r="GD64" s="310"/>
      <c r="GE64" s="310"/>
      <c r="GF64" s="310"/>
      <c r="GG64" s="310"/>
      <c r="GH64" s="310"/>
      <c r="GI64" s="310"/>
      <c r="GJ64" s="310"/>
      <c r="GK64" s="310"/>
      <c r="GL64" s="310"/>
      <c r="GM64" s="310"/>
      <c r="GN64" s="310"/>
      <c r="GO64" s="310"/>
      <c r="GP64" s="310"/>
      <c r="GQ64" s="310"/>
      <c r="GR64" s="310"/>
      <c r="GS64" s="310"/>
      <c r="GT64" s="310"/>
      <c r="GU64" s="310"/>
      <c r="GV64" s="310"/>
      <c r="GW64" s="310"/>
      <c r="GX64" s="310"/>
      <c r="GY64" s="310"/>
      <c r="GZ64" s="310"/>
      <c r="HA64" s="310"/>
      <c r="HB64" s="310"/>
      <c r="HC64" s="310"/>
      <c r="HD64" s="310"/>
      <c r="HE64" s="310"/>
      <c r="HF64" s="310"/>
      <c r="HG64" s="310"/>
      <c r="HH64" s="310"/>
      <c r="HI64" s="310"/>
      <c r="HJ64" s="310"/>
      <c r="HK64" s="342">
        <v>50</v>
      </c>
      <c r="HL64" s="235" t="e">
        <f t="shared" si="5"/>
        <v>#N/A</v>
      </c>
      <c r="HM64" s="235" t="e">
        <f t="shared" si="6"/>
        <v>#N/A</v>
      </c>
      <c r="HN64" s="310"/>
      <c r="HO64" s="310"/>
      <c r="HP64" s="235" t="e">
        <f t="shared" si="7"/>
        <v>#N/A</v>
      </c>
      <c r="HQ64" s="235" t="e">
        <f t="shared" si="8"/>
        <v>#N/A</v>
      </c>
      <c r="HR64" s="310"/>
      <c r="HS64" s="310"/>
      <c r="HT64" s="235" t="e">
        <f t="shared" si="9"/>
        <v>#N/A</v>
      </c>
      <c r="HU64" s="235" t="e">
        <f t="shared" si="10"/>
        <v>#N/A</v>
      </c>
      <c r="HV64" s="310"/>
      <c r="HW64" s="310"/>
      <c r="HX64" s="235" t="e">
        <f t="shared" si="11"/>
        <v>#N/A</v>
      </c>
      <c r="HY64" s="235" t="e">
        <f t="shared" si="12"/>
        <v>#N/A</v>
      </c>
      <c r="HZ64" s="310"/>
      <c r="IA64" s="310"/>
      <c r="IB64" s="235" t="e">
        <f t="shared" si="13"/>
        <v>#N/A</v>
      </c>
      <c r="IC64" s="235" t="e">
        <f t="shared" si="14"/>
        <v>#N/A</v>
      </c>
      <c r="ID64" s="310"/>
      <c r="IE64" s="342">
        <v>50</v>
      </c>
      <c r="IF64" s="262" t="e">
        <f t="shared" si="15"/>
        <v>#N/A</v>
      </c>
      <c r="IG64" s="262" t="e">
        <f t="shared" si="16"/>
        <v>#N/A</v>
      </c>
      <c r="IH64" s="390"/>
      <c r="II64" s="390"/>
      <c r="IJ64" s="262" t="e">
        <f t="shared" si="17"/>
        <v>#N/A</v>
      </c>
      <c r="IK64" s="262" t="e">
        <f t="shared" si="18"/>
        <v>#N/A</v>
      </c>
      <c r="IL64" s="390"/>
      <c r="IM64" s="390"/>
      <c r="IN64" s="262" t="e">
        <f t="shared" si="19"/>
        <v>#N/A</v>
      </c>
      <c r="IO64" s="262" t="e">
        <f t="shared" si="20"/>
        <v>#N/A</v>
      </c>
      <c r="IP64" s="390"/>
      <c r="IQ64" s="390"/>
      <c r="IR64" s="262" t="e">
        <f t="shared" si="21"/>
        <v>#N/A</v>
      </c>
      <c r="IS64" s="262" t="e">
        <f t="shared" si="22"/>
        <v>#N/A</v>
      </c>
      <c r="IT64" s="390"/>
      <c r="IU64" s="390"/>
      <c r="IV64" s="262" t="e">
        <f t="shared" si="23"/>
        <v>#N/A</v>
      </c>
      <c r="IW64" s="262" t="e">
        <f t="shared" si="24"/>
        <v>#N/A</v>
      </c>
      <c r="IX64" s="310"/>
      <c r="IY64" s="342" t="s">
        <v>355</v>
      </c>
      <c r="IZ64" s="342" t="s">
        <v>48</v>
      </c>
      <c r="JA64" s="342" t="s">
        <v>49</v>
      </c>
      <c r="JB64" s="313" t="s">
        <v>144</v>
      </c>
      <c r="JC64" s="228" t="e">
        <f>IZ65+$IZ$62/2</f>
        <v>#N/A</v>
      </c>
      <c r="JD64" s="228" t="e">
        <f>JD63</f>
        <v>#N/A</v>
      </c>
      <c r="JE64" s="310"/>
      <c r="JF64" s="342" t="s">
        <v>355</v>
      </c>
      <c r="JG64" s="342" t="s">
        <v>48</v>
      </c>
      <c r="JH64" s="342" t="s">
        <v>49</v>
      </c>
      <c r="JI64" s="313" t="s">
        <v>144</v>
      </c>
      <c r="JJ64" s="242" t="e">
        <f>JG65+$IZ$62/2</f>
        <v>#N/A</v>
      </c>
      <c r="JK64" s="242" t="e">
        <f>JK63</f>
        <v>#N/A</v>
      </c>
      <c r="JL64" s="310"/>
      <c r="JM64" s="310"/>
      <c r="JN64" s="261" t="e">
        <f t="shared" si="25"/>
        <v>#N/A</v>
      </c>
      <c r="JO64" s="261" t="e">
        <f t="shared" si="26"/>
        <v>#N/A</v>
      </c>
      <c r="JP64" s="310"/>
      <c r="JQ64" s="310"/>
      <c r="JR64" s="261" t="e">
        <f t="shared" si="31"/>
        <v>#N/A</v>
      </c>
      <c r="JS64" s="261" t="e">
        <f t="shared" si="32"/>
        <v>#N/A</v>
      </c>
      <c r="JT64" s="310"/>
      <c r="JU64" s="310"/>
      <c r="JV64" s="261" t="e">
        <f t="shared" si="27"/>
        <v>#N/A</v>
      </c>
      <c r="JW64" s="261" t="e">
        <f t="shared" si="28"/>
        <v>#N/A</v>
      </c>
      <c r="JX64" s="310"/>
      <c r="JY64" s="342" t="s">
        <v>355</v>
      </c>
      <c r="JZ64" s="342" t="s">
        <v>48</v>
      </c>
      <c r="KA64" s="342" t="s">
        <v>49</v>
      </c>
      <c r="KB64" s="313" t="s">
        <v>144</v>
      </c>
      <c r="KC64" s="242">
        <f>JZ65+($IZ$108/2)-$IZ$114</f>
        <v>-0.86499999999999999</v>
      </c>
      <c r="KD64" s="242">
        <f>KD63</f>
        <v>0.8</v>
      </c>
      <c r="KE64" s="310"/>
      <c r="KF64" s="310"/>
      <c r="KG64" s="310"/>
      <c r="KH64" s="310"/>
      <c r="KI64" s="310"/>
      <c r="KJ64" s="310"/>
      <c r="KK64" s="310"/>
      <c r="KL64" s="310"/>
      <c r="KM64" s="310"/>
      <c r="KN64" s="310"/>
      <c r="KO64" s="310"/>
      <c r="KP64" s="310"/>
      <c r="KQ64" s="310"/>
      <c r="KR64" s="310"/>
      <c r="KS64" s="310"/>
      <c r="KT64" s="310"/>
      <c r="KU64" s="310"/>
      <c r="KV64" s="310"/>
      <c r="KW64" s="310"/>
      <c r="KX64" s="310"/>
      <c r="KY64" s="310"/>
      <c r="KZ64" s="310"/>
      <c r="LA64" s="310"/>
      <c r="LB64" s="328" t="str">
        <v>P6</v>
      </c>
      <c r="LC64" s="391" t="e">
        <v>#N/A</v>
      </c>
      <c r="LD64" s="391" t="e">
        <v>#N/A</v>
      </c>
      <c r="LE64" s="310"/>
      <c r="LF64" s="310"/>
      <c r="LG64" s="310"/>
      <c r="LH64" s="463" t="e">
        <f>LC57</f>
        <v>#N/A</v>
      </c>
      <c r="LI64" s="463" t="e">
        <f>LI63</f>
        <v>#N/A</v>
      </c>
      <c r="LJ64" s="463" t="e">
        <v>#N/A</v>
      </c>
      <c r="LK64" s="463" t="e">
        <v>#N/A</v>
      </c>
      <c r="LL64" s="463"/>
      <c r="LM64" s="310"/>
      <c r="LN64" s="310"/>
      <c r="LO64" s="391" t="e">
        <f>LC60</f>
        <v>#N/A</v>
      </c>
      <c r="LP64" s="391" t="e">
        <f>LP63</f>
        <v>#N/A</v>
      </c>
      <c r="LQ64" s="463" t="e">
        <v>#N/A</v>
      </c>
      <c r="LR64" s="463" t="e">
        <v>#N/A</v>
      </c>
      <c r="LS64" s="391"/>
      <c r="LT64" s="310"/>
      <c r="LU64" s="310"/>
      <c r="LV64" s="391" t="e">
        <f>LV63</f>
        <v>#N/A</v>
      </c>
      <c r="LW64" s="391" t="e">
        <f>LD51</f>
        <v>#N/A</v>
      </c>
      <c r="LX64" s="463" t="e">
        <v>#N/A</v>
      </c>
      <c r="LY64" s="463" t="e">
        <v>#N/A</v>
      </c>
      <c r="LZ64" s="391"/>
      <c r="MA64" s="310"/>
      <c r="MB64" s="310"/>
      <c r="MC64" s="391" t="e">
        <f>MC63</f>
        <v>#N/A</v>
      </c>
      <c r="MD64" s="391" t="e">
        <f>LD66</f>
        <v>#N/A</v>
      </c>
      <c r="ME64" s="463" t="e">
        <v>#N/A</v>
      </c>
      <c r="MF64" s="463" t="e">
        <v>#N/A</v>
      </c>
      <c r="MG64" s="391"/>
      <c r="MH64" s="310"/>
      <c r="MI64" s="310"/>
      <c r="MJ64" s="239" t="e">
        <v>#N/A</v>
      </c>
      <c r="MK64" s="239" t="e">
        <v>#N/A</v>
      </c>
      <c r="ML64" s="228" t="e">
        <v>#N/A</v>
      </c>
      <c r="MM64" s="228" t="e">
        <v>#N/A</v>
      </c>
      <c r="MN64" s="391"/>
      <c r="MO64" s="310"/>
      <c r="MP64" s="311" t="e">
        <v>#N/A</v>
      </c>
      <c r="MQ64" s="311" t="e">
        <v>#N/A</v>
      </c>
      <c r="MR64" s="311" t="e">
        <v>#N/A</v>
      </c>
      <c r="MS64" s="311" t="e">
        <v>#N/A</v>
      </c>
      <c r="MT64" s="310"/>
      <c r="MU64" s="297" t="e">
        <f>$MT$41-$NA$30</f>
        <v>#N/A</v>
      </c>
      <c r="MV64" s="297" t="e">
        <f>MV63</f>
        <v>#N/A</v>
      </c>
      <c r="MW64" s="280" t="e">
        <f>IF(MY64=TRUE,MW61,#N/A)</f>
        <v>#N/A</v>
      </c>
      <c r="MX64" s="280" t="e">
        <f>IF(MY64=TRUE,MX61-0.15,#N/A)</f>
        <v>#N/A</v>
      </c>
      <c r="MY64" s="338" t="b">
        <f>AND(MY54=TRUE,$D$63&gt;=MZ37)</f>
        <v>0</v>
      </c>
      <c r="MZ64" s="403">
        <v>31</v>
      </c>
      <c r="NA64" s="372" t="b">
        <f t="shared" si="76"/>
        <v>0</v>
      </c>
      <c r="NB64" s="280" t="e">
        <f t="shared" si="80"/>
        <v>#N/A</v>
      </c>
      <c r="NC64" s="280" t="e">
        <f t="shared" si="81"/>
        <v>#N/A</v>
      </c>
      <c r="ND64" s="280" t="e">
        <f t="shared" si="77"/>
        <v>#N/A</v>
      </c>
      <c r="NE64" s="280" t="e">
        <f t="shared" si="78"/>
        <v>#N/A</v>
      </c>
      <c r="NF64" s="310"/>
      <c r="NG64" s="310"/>
      <c r="NH64" s="310"/>
      <c r="NI64" s="310"/>
      <c r="NJ64" s="310"/>
      <c r="NK64" s="310"/>
      <c r="NL64" s="310"/>
      <c r="NM64" s="310"/>
      <c r="NN64" s="310"/>
      <c r="NO64" s="310"/>
      <c r="NP64" s="310"/>
      <c r="NQ64" s="310"/>
      <c r="NR64" s="310"/>
      <c r="NS64" s="310"/>
      <c r="NT64" s="310"/>
      <c r="NU64" s="310"/>
      <c r="NV64" s="310"/>
      <c r="NW64" s="310"/>
      <c r="NX64" s="310"/>
      <c r="NY64" s="310"/>
      <c r="NZ64" s="310"/>
      <c r="OA64" s="310"/>
      <c r="OB64" s="310"/>
      <c r="OC64" s="310"/>
      <c r="OD64" s="310"/>
      <c r="OE64" s="310"/>
      <c r="OF64" s="310"/>
      <c r="OG64" s="310"/>
      <c r="OH64" s="310"/>
      <c r="OI64" s="310"/>
      <c r="OJ64" s="310"/>
      <c r="OK64" s="310"/>
      <c r="OL64" s="310"/>
      <c r="OM64" s="310"/>
      <c r="ON64" s="310"/>
      <c r="OO64" s="310"/>
      <c r="OP64" s="310"/>
      <c r="OQ64" s="310"/>
      <c r="OR64" s="310"/>
      <c r="OS64" s="310"/>
      <c r="OT64" s="310"/>
      <c r="OU64" s="310"/>
      <c r="OV64" s="310"/>
      <c r="OW64" s="310"/>
      <c r="OX64" s="310"/>
      <c r="OY64" s="310"/>
      <c r="OZ64" s="310"/>
      <c r="PA64" s="310"/>
      <c r="PB64" s="310"/>
      <c r="PC64" s="310"/>
      <c r="PD64" s="310"/>
      <c r="PE64" s="310"/>
      <c r="PF64" s="310"/>
      <c r="PG64" s="310"/>
      <c r="PH64" s="310"/>
      <c r="PI64" s="310"/>
      <c r="PJ64" s="310"/>
      <c r="PK64" s="310"/>
      <c r="PL64" s="310"/>
      <c r="PM64" s="310"/>
      <c r="PN64" s="310"/>
      <c r="PO64" s="310"/>
      <c r="PP64" s="310"/>
      <c r="PQ64" s="310"/>
      <c r="PR64" s="310"/>
      <c r="PS64" s="342">
        <v>50</v>
      </c>
      <c r="PT64" s="261" t="e">
        <f t="shared" si="29"/>
        <v>#N/A</v>
      </c>
      <c r="PU64" s="261" t="e">
        <f t="shared" si="30"/>
        <v>#N/A</v>
      </c>
      <c r="PV64" s="310"/>
      <c r="PW64" s="310"/>
      <c r="PX64" s="310"/>
      <c r="PY64" s="310"/>
      <c r="PZ64" s="310"/>
      <c r="QA64" s="310"/>
      <c r="QB64" s="310"/>
      <c r="QC64" s="310"/>
      <c r="QD64" s="310"/>
      <c r="QE64" s="310"/>
      <c r="QF64" s="310"/>
      <c r="QG64" s="310"/>
      <c r="QH64" s="310"/>
      <c r="QI64" s="310"/>
      <c r="QJ64" s="310"/>
      <c r="QK64" s="310"/>
      <c r="QL64" s="310"/>
      <c r="QM64" s="310"/>
      <c r="QN64" s="310"/>
      <c r="QO64" s="310"/>
      <c r="QP64" s="310"/>
      <c r="QQ64" s="310"/>
      <c r="QR64" s="310"/>
      <c r="QS64" s="310"/>
      <c r="QT64" s="310"/>
      <c r="QU64" s="310"/>
      <c r="QV64" s="310"/>
      <c r="QW64" s="310"/>
      <c r="QX64" s="310"/>
      <c r="QY64" s="310"/>
      <c r="QZ64" s="310"/>
      <c r="RA64" s="310"/>
      <c r="RB64" s="310"/>
      <c r="RC64" s="310"/>
      <c r="RD64" s="310"/>
      <c r="RE64" s="310"/>
      <c r="RF64" s="310"/>
      <c r="RG64" s="310"/>
      <c r="RH64" s="310"/>
      <c r="RI64" s="310"/>
      <c r="RJ64" s="310"/>
      <c r="RK64" s="310"/>
      <c r="RL64" s="310"/>
      <c r="RM64" s="310"/>
      <c r="RN64" s="310"/>
      <c r="RO64" s="310"/>
      <c r="RP64" s="310"/>
      <c r="RQ64" s="310"/>
      <c r="RR64" s="310"/>
      <c r="RS64" s="310"/>
      <c r="RT64" s="310"/>
      <c r="RU64" s="310"/>
      <c r="RV64" s="310"/>
      <c r="RW64" s="310"/>
      <c r="RX64" s="310"/>
      <c r="RY64" s="310"/>
      <c r="RZ64" s="310"/>
      <c r="SA64" s="310"/>
      <c r="SB64" s="310"/>
      <c r="SC64" s="310"/>
      <c r="SD64" s="310"/>
      <c r="SE64" s="310"/>
      <c r="SF64" s="328">
        <v>1</v>
      </c>
      <c r="SG64" s="328" t="b">
        <v>0</v>
      </c>
      <c r="SH64" s="310" t="s">
        <v>551</v>
      </c>
      <c r="SI64" s="310"/>
      <c r="SJ64" s="310"/>
      <c r="SK64" s="310" t="s">
        <v>555</v>
      </c>
      <c r="SL64" s="310"/>
      <c r="SM64" s="310"/>
      <c r="SN64" s="310"/>
      <c r="SO64" s="220"/>
      <c r="SP64" s="220"/>
      <c r="SQ64" s="220"/>
      <c r="SR64" s="220"/>
      <c r="SS64" s="220"/>
      <c r="ST64" s="220"/>
      <c r="SU64" s="220"/>
      <c r="SV64" s="220"/>
      <c r="SW64" s="220"/>
      <c r="SX64" s="220"/>
      <c r="SY64" s="220"/>
      <c r="SZ64" s="220"/>
      <c r="TA64" s="220"/>
      <c r="TB64" s="220"/>
      <c r="TC64" s="220"/>
      <c r="TD64" s="220"/>
      <c r="TE64" s="220"/>
      <c r="TF64" s="220"/>
      <c r="TG64" s="220"/>
      <c r="TH64" s="220"/>
      <c r="TI64" s="220"/>
      <c r="TJ64" s="220"/>
      <c r="TK64" s="220"/>
      <c r="TL64" s="220"/>
      <c r="TM64" s="220"/>
      <c r="TN64" s="220"/>
      <c r="TO64" s="220"/>
      <c r="TP64" s="220"/>
      <c r="TQ64" s="220"/>
      <c r="TR64" s="220"/>
      <c r="TS64" s="220"/>
      <c r="TT64" s="220"/>
      <c r="TU64" s="220"/>
      <c r="TV64" s="220"/>
      <c r="TW64" s="220"/>
      <c r="TX64" s="220"/>
      <c r="TY64" s="220"/>
      <c r="TZ64" s="220"/>
      <c r="UA64" s="220"/>
      <c r="UB64" s="220"/>
      <c r="UC64" s="220"/>
      <c r="UD64" s="220"/>
      <c r="UE64" s="220"/>
      <c r="UF64" s="220"/>
      <c r="UG64" s="220"/>
      <c r="UH64" s="220"/>
      <c r="UI64" s="220"/>
      <c r="UJ64" s="220"/>
      <c r="UK64" s="216"/>
      <c r="UL64" s="216"/>
      <c r="UM64" s="216"/>
      <c r="UN64" s="216"/>
      <c r="UO64" s="216"/>
      <c r="UP64" s="216"/>
      <c r="UQ64" s="216"/>
      <c r="UR64" s="216"/>
      <c r="US64" s="216"/>
      <c r="UT64" s="216"/>
      <c r="UU64" s="216"/>
      <c r="UV64" s="216"/>
      <c r="UW64" s="216"/>
      <c r="UX64" s="216"/>
      <c r="UY64" s="216"/>
      <c r="UZ64" s="216"/>
      <c r="VA64" s="216"/>
    </row>
    <row r="65" spans="1:573" s="4" customFormat="1" ht="18.75" customHeight="1" x14ac:dyDescent="0.5">
      <c r="A65" s="186" t="str">
        <f>IF(CP13=TRUE,IF(BC48=TRUE,HE60,HE61),"")</f>
        <v>þ</v>
      </c>
      <c r="B65" s="187" t="str">
        <f>IF(CP13=TRUE,IF(BC48=TRUE,BE48,BE49),"")</f>
        <v>PILE CAPACITY : PASS</v>
      </c>
      <c r="C65" s="184"/>
      <c r="D65" s="184"/>
      <c r="E65" s="184"/>
      <c r="F65" s="184"/>
      <c r="G65" s="187"/>
      <c r="H65" s="187"/>
      <c r="I65" s="187"/>
      <c r="J65" s="187"/>
      <c r="K65" s="187"/>
      <c r="L65" s="187"/>
      <c r="M65" s="187"/>
      <c r="N65" s="187"/>
      <c r="O65" s="187"/>
      <c r="P65" s="182"/>
      <c r="Q65" s="185" t="s">
        <v>548</v>
      </c>
      <c r="R65" s="182"/>
      <c r="S65" s="182"/>
      <c r="T65" s="182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5"/>
      <c r="AM65" s="45"/>
      <c r="AN65" s="45"/>
      <c r="AO65" s="45"/>
      <c r="AP65" s="310"/>
      <c r="AQ65" s="310"/>
      <c r="AR65" s="328" t="s">
        <v>19</v>
      </c>
      <c r="AS65" s="317" t="e">
        <f>IF(AND(CP13=TRUE,BL8=TRUE,CU11=TRUE),ABS((C51/100)-(MAX(ABS(H44),ABS(H45),ABS(I44),ABS(I45)))),#N/A)</f>
        <v>#N/A</v>
      </c>
      <c r="AT65" s="471" t="e">
        <f>AS65</f>
        <v>#N/A</v>
      </c>
      <c r="AU65" s="471" t="e">
        <f>AS65</f>
        <v>#N/A</v>
      </c>
      <c r="AV65" s="310"/>
      <c r="AW65" s="310"/>
      <c r="AX65" s="310"/>
      <c r="AY65" s="310"/>
      <c r="AZ65" s="310"/>
      <c r="BA65" s="310"/>
      <c r="BB65" s="328" t="s">
        <v>243</v>
      </c>
      <c r="BC65" s="338"/>
      <c r="BD65" s="338"/>
      <c r="BE65" s="338"/>
      <c r="BF65" s="338"/>
      <c r="BG65" s="338"/>
      <c r="BH65" s="416">
        <f>IF(SC33=TRUE,0,IF(AND(CP13=TRUE,CU11=TRUE,BL11=TRUE),($M$16/($CP$16+$BA$32))+($O$40*I48/$L$52)+($O$41*H48/$J$52),""))</f>
        <v>36</v>
      </c>
      <c r="BI65" s="338">
        <v>36</v>
      </c>
      <c r="BJ65" s="310"/>
      <c r="BK65" s="310"/>
      <c r="BL65" s="310"/>
      <c r="BM65" s="310"/>
      <c r="BN65" s="310"/>
      <c r="BO65" s="310"/>
      <c r="BP65" s="310"/>
      <c r="BQ65" s="310"/>
      <c r="BR65" s="310"/>
      <c r="BS65" s="310"/>
      <c r="BT65" s="310"/>
      <c r="BU65" s="310"/>
      <c r="BV65" s="310"/>
      <c r="BW65" s="310"/>
      <c r="BX65" s="310"/>
      <c r="BY65" s="338" t="e">
        <f>BY50-BT7/2</f>
        <v>#N/A</v>
      </c>
      <c r="BZ65" s="338" t="e">
        <f>BZ50+BT7/2</f>
        <v>#N/A</v>
      </c>
      <c r="CA65" s="310"/>
      <c r="CB65" s="310"/>
      <c r="CC65" s="310"/>
      <c r="CD65" s="231" t="e">
        <f>CD62</f>
        <v>#N/A</v>
      </c>
      <c r="CE65" s="231" t="e">
        <f>CE62</f>
        <v>#N/A</v>
      </c>
      <c r="CF65" s="310"/>
      <c r="CG65" s="310"/>
      <c r="CH65" s="310"/>
      <c r="CI65" s="310"/>
      <c r="CJ65" s="310"/>
      <c r="CK65" s="310"/>
      <c r="CL65" s="310"/>
      <c r="CM65" s="310"/>
      <c r="CN65" s="338" t="e">
        <f>IF(CO34=TRUE,BZ22,#N/A)</f>
        <v>#N/A</v>
      </c>
      <c r="CO65" s="338" t="e">
        <f>CO64</f>
        <v>#N/A</v>
      </c>
      <c r="CP65" s="310"/>
      <c r="CQ65" s="310"/>
      <c r="CR65" s="310"/>
      <c r="CS65" s="310"/>
      <c r="CT65" s="338" t="e">
        <f>CT64</f>
        <v>#N/A</v>
      </c>
      <c r="CU65" s="338" t="e">
        <f>IF(CU34=TRUE,BY22,#N/A)</f>
        <v>#N/A</v>
      </c>
      <c r="CV65" s="310"/>
      <c r="CW65" s="310"/>
      <c r="CX65" s="310"/>
      <c r="CY65" s="310"/>
      <c r="CZ65" s="310"/>
      <c r="DA65" s="310"/>
      <c r="DB65" s="310"/>
      <c r="DC65" s="280" t="e">
        <f>IF(AND($DD$50=TRUE,$D$63&gt;=DB64),$DC$53,#N/A)</f>
        <v>#N/A</v>
      </c>
      <c r="DD65" s="280" t="e">
        <f>DD64</f>
        <v>#N/A</v>
      </c>
      <c r="DE65" s="310"/>
      <c r="DF65" s="280" t="e">
        <v>#N/A</v>
      </c>
      <c r="DG65" s="280" t="e">
        <v>#N/A</v>
      </c>
      <c r="DH65" s="294" t="e">
        <f>DF77</f>
        <v>#N/A</v>
      </c>
      <c r="DI65" s="281" t="e">
        <f>DG77</f>
        <v>#N/A</v>
      </c>
      <c r="DJ65" s="310" t="str" cm="1">
        <f t="array" ref="DJ65">IF(DG60=TRUE,INDEX(BQ7:BQ34,GY6)&amp;" SAFE LOAD = "&amp;M8&amp;" T/Pile","")</f>
        <v/>
      </c>
      <c r="DK65" s="310"/>
      <c r="DL65" s="310"/>
      <c r="DM65" s="310"/>
      <c r="DN65" s="310"/>
      <c r="DO65" s="310"/>
      <c r="DP65" s="310"/>
      <c r="DQ65" s="310"/>
      <c r="DR65" s="310"/>
      <c r="DS65" s="310"/>
      <c r="DT65" s="338"/>
      <c r="DU65" s="338">
        <f>DU64</f>
        <v>0.8</v>
      </c>
      <c r="DV65" s="338">
        <f>DV48-$BT$7/2</f>
        <v>-0.8</v>
      </c>
      <c r="DW65" s="310"/>
      <c r="DX65" s="310"/>
      <c r="DY65" s="338">
        <f>DY64</f>
        <v>0.8</v>
      </c>
      <c r="DZ65" s="338">
        <f>DZ48-$BT$7/2</f>
        <v>-0.8</v>
      </c>
      <c r="EA65" s="310"/>
      <c r="EB65" s="310">
        <f>EB64</f>
        <v>0.65</v>
      </c>
      <c r="EC65" s="310"/>
      <c r="ED65" s="310"/>
      <c r="EE65" s="280" t="e">
        <v>#N/A</v>
      </c>
      <c r="EF65" s="280" t="e">
        <v>#N/A</v>
      </c>
      <c r="EG65" s="280" t="e">
        <v>#N/A</v>
      </c>
      <c r="EH65" s="280" t="e">
        <v>#N/A</v>
      </c>
      <c r="EI65" s="310"/>
      <c r="EJ65" s="338" t="e">
        <v>#N/A</v>
      </c>
      <c r="EK65" s="338" t="e">
        <v>#N/A</v>
      </c>
      <c r="EL65" s="310"/>
      <c r="EM65" s="280">
        <f>EM64</f>
        <v>-0.57499999999999996</v>
      </c>
      <c r="EN65" s="280">
        <f>EH62</f>
        <v>0.1</v>
      </c>
      <c r="EO65" s="310"/>
      <c r="EP65" s="310"/>
      <c r="EQ65" s="310"/>
      <c r="ER65" s="310"/>
      <c r="ES65" s="310"/>
      <c r="ET65" s="310"/>
      <c r="EU65" s="310"/>
      <c r="EV65" s="310"/>
      <c r="EW65" s="310"/>
      <c r="EX65" s="310"/>
      <c r="EY65" s="310"/>
      <c r="EZ65" s="310"/>
      <c r="FA65" s="310"/>
      <c r="FB65" s="310"/>
      <c r="FC65" s="310"/>
      <c r="FD65" s="310"/>
      <c r="FE65" s="310"/>
      <c r="FF65" s="310"/>
      <c r="FG65" s="310"/>
      <c r="FH65" s="311"/>
      <c r="FI65" s="311"/>
      <c r="FJ65" s="311"/>
      <c r="FK65" s="310"/>
      <c r="FL65" s="310"/>
      <c r="FM65" s="310"/>
      <c r="FN65" s="310"/>
      <c r="FO65" s="310"/>
      <c r="FP65" s="310"/>
      <c r="FQ65" s="310"/>
      <c r="FR65" s="310"/>
      <c r="FS65" s="310"/>
      <c r="FT65" s="310"/>
      <c r="FU65" s="310"/>
      <c r="FV65" s="310"/>
      <c r="FW65" s="310"/>
      <c r="FX65" s="310"/>
      <c r="FY65" s="310"/>
      <c r="FZ65" s="310"/>
      <c r="GA65" s="310"/>
      <c r="GB65" s="310"/>
      <c r="GC65" s="310"/>
      <c r="GD65" s="310"/>
      <c r="GE65" s="310"/>
      <c r="GF65" s="310"/>
      <c r="GG65" s="310"/>
      <c r="GH65" s="310"/>
      <c r="GI65" s="310"/>
      <c r="GJ65" s="310"/>
      <c r="GK65" s="310"/>
      <c r="GL65" s="310"/>
      <c r="GM65" s="310"/>
      <c r="GN65" s="310"/>
      <c r="GO65" s="310"/>
      <c r="GP65" s="310"/>
      <c r="GQ65" s="310"/>
      <c r="GR65" s="310"/>
      <c r="GS65" s="310"/>
      <c r="GT65" s="310"/>
      <c r="GU65" s="310"/>
      <c r="GV65" s="310"/>
      <c r="GW65" s="310"/>
      <c r="GX65" s="310"/>
      <c r="GY65" s="310"/>
      <c r="GZ65" s="310"/>
      <c r="HA65" s="310"/>
      <c r="HB65" s="310"/>
      <c r="HC65" s="310"/>
      <c r="HD65" s="310"/>
      <c r="HE65" s="310"/>
      <c r="HF65" s="310"/>
      <c r="HG65" s="310"/>
      <c r="HH65" s="310"/>
      <c r="HI65" s="310"/>
      <c r="HJ65" s="310"/>
      <c r="HK65" s="342">
        <v>51</v>
      </c>
      <c r="HL65" s="235" t="e">
        <f t="shared" si="5"/>
        <v>#N/A</v>
      </c>
      <c r="HM65" s="235" t="e">
        <f t="shared" si="6"/>
        <v>#N/A</v>
      </c>
      <c r="HN65" s="310"/>
      <c r="HO65" s="310"/>
      <c r="HP65" s="235" t="e">
        <f t="shared" si="7"/>
        <v>#N/A</v>
      </c>
      <c r="HQ65" s="235" t="e">
        <f t="shared" si="8"/>
        <v>#N/A</v>
      </c>
      <c r="HR65" s="310"/>
      <c r="HS65" s="310"/>
      <c r="HT65" s="235" t="e">
        <f t="shared" si="9"/>
        <v>#N/A</v>
      </c>
      <c r="HU65" s="235" t="e">
        <f t="shared" si="10"/>
        <v>#N/A</v>
      </c>
      <c r="HV65" s="310"/>
      <c r="HW65" s="310"/>
      <c r="HX65" s="235" t="e">
        <f t="shared" si="11"/>
        <v>#N/A</v>
      </c>
      <c r="HY65" s="235" t="e">
        <f t="shared" si="12"/>
        <v>#N/A</v>
      </c>
      <c r="HZ65" s="310"/>
      <c r="IA65" s="310"/>
      <c r="IB65" s="235" t="e">
        <f t="shared" si="13"/>
        <v>#N/A</v>
      </c>
      <c r="IC65" s="235" t="e">
        <f t="shared" si="14"/>
        <v>#N/A</v>
      </c>
      <c r="ID65" s="310"/>
      <c r="IE65" s="342">
        <v>51</v>
      </c>
      <c r="IF65" s="262" t="e">
        <f t="shared" si="15"/>
        <v>#N/A</v>
      </c>
      <c r="IG65" s="262" t="e">
        <f t="shared" si="16"/>
        <v>#N/A</v>
      </c>
      <c r="IH65" s="390"/>
      <c r="II65" s="390"/>
      <c r="IJ65" s="262" t="e">
        <f t="shared" si="17"/>
        <v>#N/A</v>
      </c>
      <c r="IK65" s="262" t="e">
        <f t="shared" si="18"/>
        <v>#N/A</v>
      </c>
      <c r="IL65" s="390"/>
      <c r="IM65" s="390"/>
      <c r="IN65" s="262" t="e">
        <f t="shared" si="19"/>
        <v>#N/A</v>
      </c>
      <c r="IO65" s="262" t="e">
        <f t="shared" si="20"/>
        <v>#N/A</v>
      </c>
      <c r="IP65" s="390"/>
      <c r="IQ65" s="390"/>
      <c r="IR65" s="262" t="e">
        <f t="shared" si="21"/>
        <v>#N/A</v>
      </c>
      <c r="IS65" s="262" t="e">
        <f t="shared" si="22"/>
        <v>#N/A</v>
      </c>
      <c r="IT65" s="390"/>
      <c r="IU65" s="390"/>
      <c r="IV65" s="262" t="e">
        <f t="shared" si="23"/>
        <v>#N/A</v>
      </c>
      <c r="IW65" s="262" t="e">
        <f t="shared" si="24"/>
        <v>#N/A</v>
      </c>
      <c r="IX65" s="310"/>
      <c r="IY65" s="313" t="s">
        <v>72</v>
      </c>
      <c r="IZ65" s="362" t="e">
        <f>IF(JA63=TRUE,$M$19,#N/A)</f>
        <v>#N/A</v>
      </c>
      <c r="JA65" s="362" t="e">
        <f>IF(JA63=TRUE,$J$19,#N/A)</f>
        <v>#N/A</v>
      </c>
      <c r="JB65" s="313" t="s">
        <v>149</v>
      </c>
      <c r="JC65" s="234" t="e">
        <f>IZ65+$IZ$62</f>
        <v>#N/A</v>
      </c>
      <c r="JD65" s="234" t="e">
        <f>JA65</f>
        <v>#N/A</v>
      </c>
      <c r="JE65" s="310"/>
      <c r="JF65" s="313" t="s">
        <v>72</v>
      </c>
      <c r="JG65" s="362" t="e">
        <f>IF(JH63=TRUE,$J$26,#N/A)</f>
        <v>#N/A</v>
      </c>
      <c r="JH65" s="363" t="e">
        <f>IF(JH63=TRUE,$H$26,#N/A)</f>
        <v>#N/A</v>
      </c>
      <c r="JI65" s="313" t="s">
        <v>149</v>
      </c>
      <c r="JJ65" s="265" t="e">
        <f>JG65+$IZ$62</f>
        <v>#N/A</v>
      </c>
      <c r="JK65" s="265" t="e">
        <f>JH65</f>
        <v>#N/A</v>
      </c>
      <c r="JL65" s="310"/>
      <c r="JM65" s="310"/>
      <c r="JN65" s="261" t="e">
        <f t="shared" si="25"/>
        <v>#N/A</v>
      </c>
      <c r="JO65" s="261" t="e">
        <f t="shared" si="26"/>
        <v>#N/A</v>
      </c>
      <c r="JP65" s="310"/>
      <c r="JQ65" s="310"/>
      <c r="JR65" s="261" t="e">
        <f t="shared" si="31"/>
        <v>#N/A</v>
      </c>
      <c r="JS65" s="261" t="e">
        <f t="shared" si="32"/>
        <v>#N/A</v>
      </c>
      <c r="JT65" s="310"/>
      <c r="JU65" s="310"/>
      <c r="JV65" s="261" t="e">
        <f t="shared" si="27"/>
        <v>#N/A</v>
      </c>
      <c r="JW65" s="261" t="e">
        <f t="shared" si="28"/>
        <v>#N/A</v>
      </c>
      <c r="JX65" s="310"/>
      <c r="JY65" s="313" t="s">
        <v>72</v>
      </c>
      <c r="JZ65" s="362">
        <f>IF(KA63=TRUE,$J$31,#N/A)</f>
        <v>-1</v>
      </c>
      <c r="KA65" s="363">
        <f>IF(KA63=TRUE,$H$31,#N/A)</f>
        <v>0.65</v>
      </c>
      <c r="KB65" s="313" t="s">
        <v>149</v>
      </c>
      <c r="KC65" s="242">
        <f>JZ65+$IZ$108/2</f>
        <v>-0.85</v>
      </c>
      <c r="KD65" s="242">
        <f>KA65+$IZ$108/2-$IZ$114</f>
        <v>0.78500000000000003</v>
      </c>
      <c r="KE65" s="310"/>
      <c r="KF65" s="310"/>
      <c r="KG65" s="310"/>
      <c r="KH65" s="310"/>
      <c r="KI65" s="310"/>
      <c r="KJ65" s="310"/>
      <c r="KK65" s="310"/>
      <c r="KL65" s="310"/>
      <c r="KM65" s="310"/>
      <c r="KN65" s="310"/>
      <c r="KO65" s="310"/>
      <c r="KP65" s="310"/>
      <c r="KQ65" s="310"/>
      <c r="KR65" s="310"/>
      <c r="KS65" s="310"/>
      <c r="KT65" s="310"/>
      <c r="KU65" s="310"/>
      <c r="KV65" s="310"/>
      <c r="KW65" s="310"/>
      <c r="KX65" s="310"/>
      <c r="KY65" s="310"/>
      <c r="KZ65" s="310"/>
      <c r="LA65" s="310"/>
      <c r="LB65" s="328">
        <v>0</v>
      </c>
      <c r="LC65" s="391" t="e">
        <v>#N/A</v>
      </c>
      <c r="LD65" s="391" t="e">
        <v>#N/A</v>
      </c>
      <c r="LE65" s="310"/>
      <c r="LF65" s="310"/>
      <c r="LG65" s="310"/>
      <c r="LH65" s="463" t="e">
        <f>LH64</f>
        <v>#N/A</v>
      </c>
      <c r="LI65" s="463" t="e">
        <f>LI62</f>
        <v>#N/A</v>
      </c>
      <c r="LJ65" s="463" t="e">
        <v>#N/A</v>
      </c>
      <c r="LK65" s="463" t="e">
        <v>#N/A</v>
      </c>
      <c r="LL65" s="463"/>
      <c r="LM65" s="310"/>
      <c r="LN65" s="310"/>
      <c r="LO65" s="347" t="e">
        <f>LO64</f>
        <v>#N/A</v>
      </c>
      <c r="LP65" s="347" t="e">
        <f>LD60+LO49</f>
        <v>#N/A</v>
      </c>
      <c r="LQ65" s="463" t="e">
        <v>#N/A</v>
      </c>
      <c r="LR65" s="463" t="e">
        <v>#N/A</v>
      </c>
      <c r="LS65" s="391"/>
      <c r="LT65" s="310"/>
      <c r="LU65" s="310"/>
      <c r="LV65" s="347" t="e">
        <f>LC51-LV49</f>
        <v>#N/A</v>
      </c>
      <c r="LW65" s="347" t="e">
        <f>LW64</f>
        <v>#N/A</v>
      </c>
      <c r="LX65" s="463" t="e">
        <v>#N/A</v>
      </c>
      <c r="LY65" s="463" t="e">
        <v>#N/A</v>
      </c>
      <c r="LZ65" s="391"/>
      <c r="MA65" s="310"/>
      <c r="MB65" s="310"/>
      <c r="MC65" s="347" t="e">
        <f>LC66+MC49</f>
        <v>#N/A</v>
      </c>
      <c r="MD65" s="347" t="e">
        <f>MD64</f>
        <v>#N/A</v>
      </c>
      <c r="ME65" s="463" t="e">
        <v>#N/A</v>
      </c>
      <c r="MF65" s="463" t="e">
        <v>#N/A</v>
      </c>
      <c r="MG65" s="391"/>
      <c r="MH65" s="310"/>
      <c r="MI65" s="310"/>
      <c r="MJ65" s="238" t="e">
        <v>#N/A</v>
      </c>
      <c r="MK65" s="238" t="e">
        <v>#N/A</v>
      </c>
      <c r="ML65" s="228" t="e">
        <v>#N/A</v>
      </c>
      <c r="MM65" s="228" t="e">
        <v>#N/A</v>
      </c>
      <c r="MN65" s="391"/>
      <c r="MO65" s="310"/>
      <c r="MP65" s="311" t="e">
        <v>#N/A</v>
      </c>
      <c r="MQ65" s="311" t="e">
        <v>#N/A</v>
      </c>
      <c r="MR65" s="311" t="e">
        <v>#N/A</v>
      </c>
      <c r="MS65" s="311" t="e">
        <v>#N/A</v>
      </c>
      <c r="MT65" s="310"/>
      <c r="MU65" s="292" t="e">
        <v>#N/A</v>
      </c>
      <c r="MV65" s="292" t="e">
        <v>#N/A</v>
      </c>
      <c r="MW65" s="280" t="e">
        <f>IF(MY64=TRUE,MW62,#N/A)</f>
        <v>#N/A</v>
      </c>
      <c r="MX65" s="280" t="e">
        <f>MX64</f>
        <v>#N/A</v>
      </c>
      <c r="MY65" s="338"/>
      <c r="MZ65" s="403">
        <v>32</v>
      </c>
      <c r="NA65" s="372" t="b">
        <f t="shared" si="76"/>
        <v>0</v>
      </c>
      <c r="NB65" s="280" t="e">
        <f t="shared" si="80"/>
        <v>#N/A</v>
      </c>
      <c r="NC65" s="280" t="e">
        <f t="shared" si="81"/>
        <v>#N/A</v>
      </c>
      <c r="ND65" s="280" t="e">
        <f t="shared" si="77"/>
        <v>#N/A</v>
      </c>
      <c r="NE65" s="280" t="e">
        <f t="shared" si="78"/>
        <v>#N/A</v>
      </c>
      <c r="NF65" s="310"/>
      <c r="NG65" s="310"/>
      <c r="NH65" s="310"/>
      <c r="NI65" s="310"/>
      <c r="NJ65" s="310"/>
      <c r="NK65" s="310"/>
      <c r="NL65" s="310"/>
      <c r="NM65" s="310"/>
      <c r="NN65" s="310"/>
      <c r="NO65" s="310"/>
      <c r="NP65" s="310"/>
      <c r="NQ65" s="310"/>
      <c r="NR65" s="310"/>
      <c r="NS65" s="310"/>
      <c r="NT65" s="310"/>
      <c r="NU65" s="310"/>
      <c r="NV65" s="310"/>
      <c r="NW65" s="310"/>
      <c r="NX65" s="310"/>
      <c r="NY65" s="310"/>
      <c r="NZ65" s="310"/>
      <c r="OA65" s="310"/>
      <c r="OB65" s="310"/>
      <c r="OC65" s="310"/>
      <c r="OD65" s="310"/>
      <c r="OE65" s="310"/>
      <c r="OF65" s="310"/>
      <c r="OG65" s="310"/>
      <c r="OH65" s="310"/>
      <c r="OI65" s="310"/>
      <c r="OJ65" s="310"/>
      <c r="OK65" s="310"/>
      <c r="OL65" s="310"/>
      <c r="OM65" s="310"/>
      <c r="ON65" s="310"/>
      <c r="OO65" s="310"/>
      <c r="OP65" s="310"/>
      <c r="OQ65" s="310"/>
      <c r="OR65" s="310"/>
      <c r="OS65" s="310"/>
      <c r="OT65" s="310"/>
      <c r="OU65" s="310"/>
      <c r="OV65" s="310"/>
      <c r="OW65" s="310"/>
      <c r="OX65" s="310"/>
      <c r="OY65" s="310"/>
      <c r="OZ65" s="310"/>
      <c r="PA65" s="310"/>
      <c r="PB65" s="310"/>
      <c r="PC65" s="310"/>
      <c r="PD65" s="310"/>
      <c r="PE65" s="310"/>
      <c r="PF65" s="310"/>
      <c r="PG65" s="310"/>
      <c r="PH65" s="310"/>
      <c r="PI65" s="310"/>
      <c r="PJ65" s="310"/>
      <c r="PK65" s="310"/>
      <c r="PL65" s="310"/>
      <c r="PM65" s="310"/>
      <c r="PN65" s="310"/>
      <c r="PO65" s="310"/>
      <c r="PP65" s="310"/>
      <c r="PQ65" s="310"/>
      <c r="PR65" s="310"/>
      <c r="PS65" s="342">
        <v>51</v>
      </c>
      <c r="PT65" s="261" t="e">
        <f t="shared" si="29"/>
        <v>#N/A</v>
      </c>
      <c r="PU65" s="261" t="e">
        <f t="shared" si="30"/>
        <v>#N/A</v>
      </c>
      <c r="PV65" s="310"/>
      <c r="PW65" s="310"/>
      <c r="PX65" s="310"/>
      <c r="PY65" s="310"/>
      <c r="PZ65" s="310"/>
      <c r="QA65" s="310"/>
      <c r="QB65" s="310"/>
      <c r="QC65" s="310"/>
      <c r="QD65" s="310"/>
      <c r="QE65" s="310"/>
      <c r="QF65" s="310"/>
      <c r="QG65" s="310"/>
      <c r="QH65" s="310"/>
      <c r="QI65" s="310"/>
      <c r="QJ65" s="310"/>
      <c r="QK65" s="310"/>
      <c r="QL65" s="310"/>
      <c r="QM65" s="310"/>
      <c r="QN65" s="310"/>
      <c r="QO65" s="310"/>
      <c r="QP65" s="310"/>
      <c r="QQ65" s="310"/>
      <c r="QR65" s="310"/>
      <c r="QS65" s="310"/>
      <c r="QT65" s="310"/>
      <c r="QU65" s="310"/>
      <c r="QV65" s="310"/>
      <c r="QW65" s="310"/>
      <c r="QX65" s="310"/>
      <c r="QY65" s="310"/>
      <c r="QZ65" s="310"/>
      <c r="RA65" s="310"/>
      <c r="RB65" s="310"/>
      <c r="RC65" s="310"/>
      <c r="RD65" s="310"/>
      <c r="RE65" s="310"/>
      <c r="RF65" s="310"/>
      <c r="RG65" s="310"/>
      <c r="RH65" s="310"/>
      <c r="RI65" s="310"/>
      <c r="RJ65" s="310"/>
      <c r="RK65" s="310"/>
      <c r="RL65" s="310"/>
      <c r="RM65" s="310"/>
      <c r="RN65" s="310"/>
      <c r="RO65" s="310"/>
      <c r="RP65" s="310"/>
      <c r="RQ65" s="310"/>
      <c r="RR65" s="310"/>
      <c r="RS65" s="310"/>
      <c r="RT65" s="310"/>
      <c r="RU65" s="310"/>
      <c r="RV65" s="310"/>
      <c r="RW65" s="310"/>
      <c r="RX65" s="310"/>
      <c r="RY65" s="310"/>
      <c r="RZ65" s="310"/>
      <c r="SA65" s="310"/>
      <c r="SB65" s="310"/>
      <c r="SC65" s="310"/>
      <c r="SD65" s="310"/>
      <c r="SE65" s="310"/>
      <c r="SF65" s="328">
        <v>2</v>
      </c>
      <c r="SG65" s="328" t="b">
        <v>0</v>
      </c>
      <c r="SH65" s="310" t="s">
        <v>552</v>
      </c>
      <c r="SI65" s="310"/>
      <c r="SJ65" s="310"/>
      <c r="SK65" s="310" t="s">
        <v>556</v>
      </c>
      <c r="SL65" s="310"/>
      <c r="SM65" s="310"/>
      <c r="SN65" s="310"/>
      <c r="SO65" s="220"/>
      <c r="SP65" s="220"/>
      <c r="SQ65" s="220"/>
      <c r="SR65" s="220"/>
      <c r="SS65" s="220"/>
      <c r="ST65" s="220"/>
      <c r="SU65" s="220"/>
      <c r="SV65" s="220"/>
      <c r="SW65" s="220"/>
      <c r="SX65" s="220"/>
      <c r="SY65" s="220"/>
      <c r="SZ65" s="220"/>
      <c r="TA65" s="220"/>
      <c r="TB65" s="220"/>
      <c r="TC65" s="220"/>
      <c r="TD65" s="220"/>
      <c r="TE65" s="220"/>
      <c r="TF65" s="220"/>
      <c r="TG65" s="220"/>
      <c r="TH65" s="220"/>
      <c r="TI65" s="220"/>
      <c r="TJ65" s="220"/>
      <c r="TK65" s="220"/>
      <c r="TL65" s="220"/>
      <c r="TM65" s="220"/>
      <c r="TN65" s="220"/>
      <c r="TO65" s="220"/>
      <c r="TP65" s="220"/>
      <c r="TQ65" s="220"/>
      <c r="TR65" s="220"/>
      <c r="TS65" s="220"/>
      <c r="TT65" s="220"/>
      <c r="TU65" s="220"/>
      <c r="TV65" s="220"/>
      <c r="TW65" s="220"/>
      <c r="TX65" s="220"/>
      <c r="TY65" s="220"/>
      <c r="TZ65" s="220"/>
      <c r="UA65" s="220"/>
      <c r="UB65" s="220"/>
      <c r="UC65" s="220"/>
      <c r="UD65" s="220"/>
      <c r="UE65" s="220"/>
      <c r="UF65" s="220"/>
      <c r="UG65" s="220"/>
      <c r="UH65" s="220"/>
      <c r="UI65" s="220"/>
      <c r="UJ65" s="220"/>
      <c r="UK65" s="216"/>
      <c r="UL65" s="216"/>
      <c r="UM65" s="216"/>
      <c r="UN65" s="216"/>
      <c r="UO65" s="216"/>
      <c r="UP65" s="216"/>
      <c r="UQ65" s="216"/>
      <c r="UR65" s="216"/>
      <c r="US65" s="216"/>
      <c r="UT65" s="216"/>
      <c r="UU65" s="216"/>
      <c r="UV65" s="216"/>
      <c r="UW65" s="216"/>
      <c r="UX65" s="216"/>
      <c r="UY65" s="216"/>
      <c r="UZ65" s="216"/>
      <c r="VA65" s="216"/>
    </row>
    <row r="66" spans="1:573" s="4" customFormat="1" ht="18.75" customHeight="1" x14ac:dyDescent="0.5">
      <c r="A66" s="188" t="str">
        <f>IF(CP13=TRUE,IF(AQ38=TRUE,HE60,HE61),"")</f>
        <v>þ</v>
      </c>
      <c r="B66" s="189" t="str">
        <f>IF(CP13=TRUE,IF(HF57=TRUE,HG60,HG61),"")</f>
        <v>PILE CAP EDGE DISTANCE  : PASS</v>
      </c>
      <c r="C66" s="190"/>
      <c r="D66" s="190"/>
      <c r="E66" s="191"/>
      <c r="F66" s="187"/>
      <c r="G66" s="190"/>
      <c r="H66" s="190"/>
      <c r="I66" s="190"/>
      <c r="J66" s="190"/>
      <c r="K66" s="190"/>
      <c r="L66" s="190"/>
      <c r="M66" s="190"/>
      <c r="N66" s="190"/>
      <c r="O66" s="190"/>
      <c r="P66" s="182"/>
      <c r="Q66" s="185" t="s">
        <v>549</v>
      </c>
      <c r="R66" s="182"/>
      <c r="S66" s="182"/>
      <c r="T66" s="182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5"/>
      <c r="AM66" s="45"/>
      <c r="AN66" s="45"/>
      <c r="AO66" s="45"/>
      <c r="AP66" s="310"/>
      <c r="AQ66" s="310"/>
      <c r="AR66" s="328" t="s">
        <v>24</v>
      </c>
      <c r="AS66" s="317" t="e" cm="1">
        <f t="array" ref="AS66">IF(BL9=TRUE,(C51/100)-(MAX(ABS(MAX(H26:I28)-J36),ABS(J26:J28)-J38)),#N/A)</f>
        <v>#N/A</v>
      </c>
      <c r="AT66" s="338"/>
      <c r="AU66" s="338"/>
      <c r="AV66" s="310"/>
      <c r="AW66" s="310"/>
      <c r="AX66" s="310"/>
      <c r="AY66" s="310"/>
      <c r="AZ66" s="310"/>
      <c r="BA66" s="310"/>
      <c r="BB66" s="328" t="str" cm="1">
        <f t="array" ref="BB66:BB67">IF(BA32=0,"",_xlfn._xlws.FILTER(G31:G33,AZ32:AZ34))</f>
        <v>P6</v>
      </c>
      <c r="BC66" s="338"/>
      <c r="BD66" s="338">
        <f>IF(AZ32=TRUE,($M$16/($BK$6+$BA$32-$SC$34))+($O$40/(H49*2)),"")</f>
        <v>36</v>
      </c>
      <c r="BE66" s="338">
        <f>IF(AZ32=TRUE,($M$16/($BK$6+$BA$32-$SC$34))+($O$41/(I49*2)),"")</f>
        <v>36</v>
      </c>
      <c r="BF66" s="338">
        <f>IF(AZ32=TRUE,($M$16/($BK$6+$BA$32-$SC$34))+($O$40*I49/$L$52)+($O$41*H49/$J$52),"")</f>
        <v>36</v>
      </c>
      <c r="BG66" s="338">
        <f>IF(AZ32=TRUE,($M$16/($BK$6+$BA$32-$SC$34))+($O$40*I49/$L$52)+($O$41*H49/$J$52),"")</f>
        <v>36</v>
      </c>
      <c r="BH66" s="338">
        <f>IF(AZ32=TRUE,($M$16/($CP$16+$BA$32))+($O$40*I49/$L$52)+($O$41*H49/$J$52),"")</f>
        <v>36</v>
      </c>
      <c r="BI66" s="338" cm="1">
        <f t="array" ref="BI66:BI68">IF(AND(JM11=TRUE,COUNTA(Q33:R35)&gt;0),IF(CP13=TRUE,CHOOSE(
MATCH(BA60,{"F1","F2x","F2y","F3","F4","F5"},0),
BC66:BC68,BD66:BD68,BE66:BE68,BF66:BF68,BG66:BG68,BH66:BH68),""),"")</f>
        <v>36</v>
      </c>
      <c r="BJ66" s="310" t="b">
        <f>AND(JM11=TRUE,COUNTA(Q33:R35)&gt;0)</f>
        <v>1</v>
      </c>
      <c r="BK66" s="310"/>
      <c r="BL66" s="310"/>
      <c r="BM66" s="310"/>
      <c r="BN66" s="310"/>
      <c r="BO66" s="310"/>
      <c r="BP66" s="310"/>
      <c r="BQ66" s="310"/>
      <c r="BR66" s="310"/>
      <c r="BS66" s="310"/>
      <c r="BT66" s="310"/>
      <c r="BU66" s="310"/>
      <c r="BV66" s="310"/>
      <c r="BW66" s="310"/>
      <c r="BX66" s="310"/>
      <c r="BY66" s="338" t="e">
        <f>BY50+BT7/2</f>
        <v>#N/A</v>
      </c>
      <c r="BZ66" s="338" t="e">
        <f>BZ65</f>
        <v>#N/A</v>
      </c>
      <c r="CA66" s="310"/>
      <c r="CB66" s="310"/>
      <c r="CC66" s="310"/>
      <c r="CD66" s="233" t="e">
        <f>CB48</f>
        <v>#N/A</v>
      </c>
      <c r="CE66" s="231" t="e">
        <f>CE65</f>
        <v>#N/A</v>
      </c>
      <c r="CF66" s="310"/>
      <c r="CG66" s="310"/>
      <c r="CH66" s="310"/>
      <c r="CI66" s="310"/>
      <c r="CJ66" s="310"/>
      <c r="CK66" s="310"/>
      <c r="CL66" s="310"/>
      <c r="CM66" s="310"/>
      <c r="CN66" s="338" t="e">
        <v>#N/A</v>
      </c>
      <c r="CO66" s="338" t="e">
        <v>#N/A</v>
      </c>
      <c r="CP66" s="310"/>
      <c r="CQ66" s="310"/>
      <c r="CR66" s="310"/>
      <c r="CS66" s="310"/>
      <c r="CT66" s="338" t="e">
        <v>#N/A</v>
      </c>
      <c r="CU66" s="338" t="e">
        <v>#N/A</v>
      </c>
      <c r="CV66" s="310"/>
      <c r="CW66" s="310"/>
      <c r="CX66" s="310"/>
      <c r="CY66" s="310"/>
      <c r="CZ66" s="310"/>
      <c r="DA66" s="310"/>
      <c r="DB66" s="310"/>
      <c r="DC66" s="280" t="e">
        <v>#N/A</v>
      </c>
      <c r="DD66" s="280" t="e">
        <v>#N/A</v>
      </c>
      <c r="DE66" s="310"/>
      <c r="DF66" s="301" t="e">
        <f>DF62+$DM$7/2</f>
        <v>#N/A</v>
      </c>
      <c r="DG66" s="280" t="e">
        <f>IF($DG$60=TRUE,DG62/2,#N/A)</f>
        <v>#N/A</v>
      </c>
      <c r="DH66" s="310"/>
      <c r="DI66" s="310"/>
      <c r="DJ66" s="310"/>
      <c r="DK66" s="310"/>
      <c r="DL66" s="310"/>
      <c r="DM66" s="310"/>
      <c r="DN66" s="310"/>
      <c r="DO66" s="310"/>
      <c r="DP66" s="310"/>
      <c r="DQ66" s="310"/>
      <c r="DR66" s="310"/>
      <c r="DS66" s="310"/>
      <c r="DT66" s="338"/>
      <c r="DU66" s="338">
        <f>DU63</f>
        <v>0.5</v>
      </c>
      <c r="DV66" s="338">
        <f>DV65</f>
        <v>-0.8</v>
      </c>
      <c r="DW66" s="310"/>
      <c r="DX66" s="310"/>
      <c r="DY66" s="338">
        <f>DY63</f>
        <v>0.5</v>
      </c>
      <c r="DZ66" s="338">
        <f>DZ65</f>
        <v>-0.8</v>
      </c>
      <c r="EA66" s="310"/>
      <c r="EB66" s="310" t="e">
        <v>#N/A</v>
      </c>
      <c r="EC66" s="310" t="e">
        <v>#N/A</v>
      </c>
      <c r="ED66" s="310"/>
      <c r="EE66" s="280">
        <f>EE61</f>
        <v>-0.95</v>
      </c>
      <c r="EF66" s="280">
        <f>EF61</f>
        <v>0.6</v>
      </c>
      <c r="EG66" s="280">
        <f>EB64-BT7/2</f>
        <v>0.5</v>
      </c>
      <c r="EH66" s="280">
        <f>EH61</f>
        <v>-0.5</v>
      </c>
      <c r="EI66" s="310"/>
      <c r="EJ66" s="310" t="s">
        <v>180</v>
      </c>
      <c r="EK66" s="310">
        <f>MAX(EJ61:EJ64)</f>
        <v>0.875</v>
      </c>
      <c r="EL66" s="310"/>
      <c r="EM66" s="281">
        <f>EM65</f>
        <v>-0.57499999999999996</v>
      </c>
      <c r="EN66" s="281">
        <f>EN64-(EN64-EN65)/2</f>
        <v>0.35</v>
      </c>
      <c r="EO66" s="310" t="str">
        <f>"D="&amp;TEXT(EN62*100,"0.00")&amp;"cm."</f>
        <v>D=45.50cm.</v>
      </c>
      <c r="EP66" s="310"/>
      <c r="EQ66" s="310"/>
      <c r="ER66" s="310"/>
      <c r="ES66" s="310"/>
      <c r="ET66" s="310"/>
      <c r="EU66" s="310"/>
      <c r="EV66" s="310"/>
      <c r="EW66" s="310"/>
      <c r="EX66" s="310"/>
      <c r="EY66" s="310"/>
      <c r="EZ66" s="310"/>
      <c r="FA66" s="310"/>
      <c r="FB66" s="310"/>
      <c r="FC66" s="310"/>
      <c r="FD66" s="310"/>
      <c r="FE66" s="310"/>
      <c r="FF66" s="310"/>
      <c r="FG66" s="310"/>
      <c r="FH66" s="311"/>
      <c r="FI66" s="311"/>
      <c r="FJ66" s="311"/>
      <c r="FK66" s="310"/>
      <c r="FL66" s="310"/>
      <c r="FM66" s="310"/>
      <c r="FN66" s="310"/>
      <c r="FO66" s="310"/>
      <c r="FP66" s="310"/>
      <c r="FQ66" s="310"/>
      <c r="FR66" s="310"/>
      <c r="FS66" s="310"/>
      <c r="FT66" s="310"/>
      <c r="FU66" s="310"/>
      <c r="FV66" s="310"/>
      <c r="FW66" s="310"/>
      <c r="FX66" s="310"/>
      <c r="FY66" s="310"/>
      <c r="FZ66" s="310"/>
      <c r="GA66" s="310"/>
      <c r="GB66" s="310"/>
      <c r="GC66" s="310"/>
      <c r="GD66" s="310"/>
      <c r="GE66" s="310"/>
      <c r="GF66" s="415" t="s">
        <v>13</v>
      </c>
      <c r="GG66" s="332" t="s">
        <v>234</v>
      </c>
      <c r="GH66" s="332" t="s">
        <v>235</v>
      </c>
      <c r="GI66" s="332" t="s">
        <v>19</v>
      </c>
      <c r="GJ66" s="332" t="s">
        <v>320</v>
      </c>
      <c r="GK66" s="332" t="s">
        <v>321</v>
      </c>
      <c r="GL66" s="332" t="s">
        <v>323</v>
      </c>
      <c r="GM66" s="332" t="s">
        <v>322</v>
      </c>
      <c r="GN66" s="338" t="s">
        <v>24</v>
      </c>
      <c r="GO66" s="310"/>
      <c r="GP66" s="310"/>
      <c r="GQ66" s="310"/>
      <c r="GR66" s="310"/>
      <c r="GS66" s="310"/>
      <c r="GT66" s="310"/>
      <c r="GU66" s="310"/>
      <c r="GV66" s="310"/>
      <c r="GW66" s="310"/>
      <c r="GX66" s="310"/>
      <c r="GY66" s="310"/>
      <c r="GZ66" s="310"/>
      <c r="HA66" s="310"/>
      <c r="HB66" s="310"/>
      <c r="HC66" s="310"/>
      <c r="HD66" s="310"/>
      <c r="HE66" s="310"/>
      <c r="HF66" s="310"/>
      <c r="HG66" s="310"/>
      <c r="HH66" s="310"/>
      <c r="HI66" s="310"/>
      <c r="HJ66" s="310"/>
      <c r="HK66" s="342">
        <v>52</v>
      </c>
      <c r="HL66" s="235" t="e">
        <f t="shared" si="5"/>
        <v>#N/A</v>
      </c>
      <c r="HM66" s="235" t="e">
        <f t="shared" si="6"/>
        <v>#N/A</v>
      </c>
      <c r="HN66" s="310"/>
      <c r="HO66" s="310"/>
      <c r="HP66" s="235" t="e">
        <f t="shared" si="7"/>
        <v>#N/A</v>
      </c>
      <c r="HQ66" s="235" t="e">
        <f t="shared" si="8"/>
        <v>#N/A</v>
      </c>
      <c r="HR66" s="310"/>
      <c r="HS66" s="310"/>
      <c r="HT66" s="235" t="e">
        <f t="shared" si="9"/>
        <v>#N/A</v>
      </c>
      <c r="HU66" s="235" t="e">
        <f t="shared" si="10"/>
        <v>#N/A</v>
      </c>
      <c r="HV66" s="310"/>
      <c r="HW66" s="310"/>
      <c r="HX66" s="235" t="e">
        <f t="shared" si="11"/>
        <v>#N/A</v>
      </c>
      <c r="HY66" s="235" t="e">
        <f t="shared" si="12"/>
        <v>#N/A</v>
      </c>
      <c r="HZ66" s="310"/>
      <c r="IA66" s="310"/>
      <c r="IB66" s="235" t="e">
        <f t="shared" si="13"/>
        <v>#N/A</v>
      </c>
      <c r="IC66" s="235" t="e">
        <f t="shared" si="14"/>
        <v>#N/A</v>
      </c>
      <c r="ID66" s="310"/>
      <c r="IE66" s="342">
        <v>52</v>
      </c>
      <c r="IF66" s="262" t="e">
        <f t="shared" si="15"/>
        <v>#N/A</v>
      </c>
      <c r="IG66" s="262" t="e">
        <f t="shared" si="16"/>
        <v>#N/A</v>
      </c>
      <c r="IH66" s="390"/>
      <c r="II66" s="390"/>
      <c r="IJ66" s="262" t="e">
        <f t="shared" si="17"/>
        <v>#N/A</v>
      </c>
      <c r="IK66" s="262" t="e">
        <f t="shared" si="18"/>
        <v>#N/A</v>
      </c>
      <c r="IL66" s="390"/>
      <c r="IM66" s="390"/>
      <c r="IN66" s="262" t="e">
        <f t="shared" si="19"/>
        <v>#N/A</v>
      </c>
      <c r="IO66" s="262" t="e">
        <f t="shared" si="20"/>
        <v>#N/A</v>
      </c>
      <c r="IP66" s="390"/>
      <c r="IQ66" s="390"/>
      <c r="IR66" s="262" t="e">
        <f t="shared" si="21"/>
        <v>#N/A</v>
      </c>
      <c r="IS66" s="262" t="e">
        <f t="shared" si="22"/>
        <v>#N/A</v>
      </c>
      <c r="IT66" s="390"/>
      <c r="IU66" s="390"/>
      <c r="IV66" s="262" t="e">
        <f t="shared" si="23"/>
        <v>#N/A</v>
      </c>
      <c r="IW66" s="262" t="e">
        <f t="shared" si="24"/>
        <v>#N/A</v>
      </c>
      <c r="IX66" s="310"/>
      <c r="IY66" s="310"/>
      <c r="IZ66" s="310"/>
      <c r="JA66" s="310"/>
      <c r="JB66" s="313" t="s">
        <v>152</v>
      </c>
      <c r="JC66" s="228" t="e">
        <f>JC64</f>
        <v>#N/A</v>
      </c>
      <c r="JD66" s="228" t="e">
        <f>JA65-$IZ$61/2</f>
        <v>#N/A</v>
      </c>
      <c r="JE66" s="310"/>
      <c r="JF66" s="310"/>
      <c r="JG66" s="310"/>
      <c r="JH66" s="310"/>
      <c r="JI66" s="313" t="s">
        <v>152</v>
      </c>
      <c r="JJ66" s="242" t="e">
        <f>JJ64</f>
        <v>#N/A</v>
      </c>
      <c r="JK66" s="242" t="e">
        <f>JH65-$IZ$61/2</f>
        <v>#N/A</v>
      </c>
      <c r="JL66" s="310"/>
      <c r="JM66" s="310"/>
      <c r="JN66" s="261" t="e">
        <f t="shared" si="25"/>
        <v>#N/A</v>
      </c>
      <c r="JO66" s="261" t="e">
        <f t="shared" si="26"/>
        <v>#N/A</v>
      </c>
      <c r="JP66" s="310"/>
      <c r="JQ66" s="310"/>
      <c r="JR66" s="261" t="e">
        <f t="shared" si="31"/>
        <v>#N/A</v>
      </c>
      <c r="JS66" s="261" t="e">
        <f t="shared" si="32"/>
        <v>#N/A</v>
      </c>
      <c r="JT66" s="310"/>
      <c r="JU66" s="310"/>
      <c r="JV66" s="261" t="e">
        <f t="shared" si="27"/>
        <v>#N/A</v>
      </c>
      <c r="JW66" s="261" t="e">
        <f t="shared" si="28"/>
        <v>#N/A</v>
      </c>
      <c r="JX66" s="310"/>
      <c r="JY66" s="310"/>
      <c r="JZ66" s="310"/>
      <c r="KA66" s="310"/>
      <c r="KB66" s="313" t="s">
        <v>152</v>
      </c>
      <c r="KC66" s="242">
        <f>KC65</f>
        <v>-0.85</v>
      </c>
      <c r="KD66" s="265">
        <f>KA65+($IZ$108/2)-$IZ$109</f>
        <v>0.72500000000000009</v>
      </c>
      <c r="KE66" s="310"/>
      <c r="KF66" s="310"/>
      <c r="KG66" s="310"/>
      <c r="KH66" s="310"/>
      <c r="KI66" s="310"/>
      <c r="KJ66" s="310"/>
      <c r="KK66" s="310"/>
      <c r="KL66" s="310"/>
      <c r="KM66" s="310"/>
      <c r="KN66" s="310"/>
      <c r="KO66" s="310"/>
      <c r="KP66" s="310"/>
      <c r="KQ66" s="310"/>
      <c r="KR66" s="310"/>
      <c r="KS66" s="310"/>
      <c r="KT66" s="310"/>
      <c r="KU66" s="310"/>
      <c r="KV66" s="310"/>
      <c r="KW66" s="310"/>
      <c r="KX66" s="310"/>
      <c r="KY66" s="310"/>
      <c r="KZ66" s="310"/>
      <c r="LA66" s="310"/>
      <c r="LB66" s="328" t="str">
        <v>P6</v>
      </c>
      <c r="LC66" s="391" t="e">
        <v>#N/A</v>
      </c>
      <c r="LD66" s="391" t="e">
        <v>#N/A</v>
      </c>
      <c r="LE66" s="310"/>
      <c r="LF66" s="310"/>
      <c r="LG66" s="310"/>
      <c r="LH66" s="463" t="e">
        <v>#N/A</v>
      </c>
      <c r="LI66" s="463" t="e">
        <v>#N/A</v>
      </c>
      <c r="LJ66" s="463" t="e">
        <v>#N/A</v>
      </c>
      <c r="LK66" s="463" t="e">
        <v>#N/A</v>
      </c>
      <c r="LL66" s="463"/>
      <c r="LM66" s="310"/>
      <c r="LN66" s="310"/>
      <c r="LO66" s="463" t="e">
        <v>#N/A</v>
      </c>
      <c r="LP66" s="463" t="e">
        <v>#N/A</v>
      </c>
      <c r="LQ66" s="463" t="e">
        <v>#N/A</v>
      </c>
      <c r="LR66" s="463" t="e">
        <v>#N/A</v>
      </c>
      <c r="LS66" s="391"/>
      <c r="LT66" s="310"/>
      <c r="LU66" s="310"/>
      <c r="LV66" s="463" t="e">
        <v>#N/A</v>
      </c>
      <c r="LW66" s="463" t="e">
        <v>#N/A</v>
      </c>
      <c r="LX66" s="463" t="e">
        <v>#N/A</v>
      </c>
      <c r="LY66" s="463" t="e">
        <v>#N/A</v>
      </c>
      <c r="LZ66" s="391"/>
      <c r="MA66" s="310"/>
      <c r="MB66" s="310"/>
      <c r="MC66" s="347" t="e">
        <v>#N/A</v>
      </c>
      <c r="MD66" s="347" t="e">
        <v>#N/A</v>
      </c>
      <c r="ME66" s="463" t="e">
        <v>#N/A</v>
      </c>
      <c r="MF66" s="463" t="e">
        <v>#N/A</v>
      </c>
      <c r="MG66" s="391"/>
      <c r="MH66" s="310"/>
      <c r="MI66" s="310"/>
      <c r="MJ66" s="239" t="e">
        <v>#N/A</v>
      </c>
      <c r="MK66" s="239" t="e">
        <v>#N/A</v>
      </c>
      <c r="ML66" s="228" t="e">
        <v>#N/A</v>
      </c>
      <c r="MM66" s="228" t="e">
        <v>#N/A</v>
      </c>
      <c r="MN66" s="391"/>
      <c r="MO66" s="310"/>
      <c r="MP66" s="311" t="e">
        <v>#N/A</v>
      </c>
      <c r="MQ66" s="311" t="e">
        <v>#N/A</v>
      </c>
      <c r="MR66" s="311" t="e">
        <v>#N/A</v>
      </c>
      <c r="MS66" s="311" t="e">
        <v>#N/A</v>
      </c>
      <c r="MT66" s="310"/>
      <c r="MU66" s="297" t="e">
        <f>MU63</f>
        <v>#N/A</v>
      </c>
      <c r="MV66" s="297" t="e">
        <f>MV63+0.2</f>
        <v>#N/A</v>
      </c>
      <c r="MW66" s="292" t="e">
        <v>#N/A</v>
      </c>
      <c r="MX66" s="292" t="e">
        <v>#N/A</v>
      </c>
      <c r="MY66" s="338"/>
      <c r="MZ66" s="403">
        <v>33</v>
      </c>
      <c r="NA66" s="372" t="b">
        <f t="shared" si="76"/>
        <v>0</v>
      </c>
      <c r="NB66" s="280" t="e">
        <f t="shared" si="80"/>
        <v>#N/A</v>
      </c>
      <c r="NC66" s="280" t="e">
        <f t="shared" si="81"/>
        <v>#N/A</v>
      </c>
      <c r="ND66" s="280" t="e">
        <f t="shared" si="77"/>
        <v>#N/A</v>
      </c>
      <c r="NE66" s="280" t="e">
        <f t="shared" si="78"/>
        <v>#N/A</v>
      </c>
      <c r="NF66" s="310"/>
      <c r="NG66" s="310"/>
      <c r="NH66" s="310"/>
      <c r="NI66" s="310"/>
      <c r="NJ66" s="310"/>
      <c r="NK66" s="310"/>
      <c r="NL66" s="310"/>
      <c r="NM66" s="310"/>
      <c r="NN66" s="310"/>
      <c r="NO66" s="310"/>
      <c r="NP66" s="310"/>
      <c r="NQ66" s="310"/>
      <c r="NR66" s="310"/>
      <c r="NS66" s="310"/>
      <c r="NT66" s="310"/>
      <c r="NU66" s="310"/>
      <c r="NV66" s="310"/>
      <c r="NW66" s="310"/>
      <c r="NX66" s="310"/>
      <c r="NY66" s="310"/>
      <c r="NZ66" s="310"/>
      <c r="OA66" s="310"/>
      <c r="OB66" s="310"/>
      <c r="OC66" s="310"/>
      <c r="OD66" s="310"/>
      <c r="OE66" s="310"/>
      <c r="OF66" s="310"/>
      <c r="OG66" s="310"/>
      <c r="OH66" s="310"/>
      <c r="OI66" s="310"/>
      <c r="OJ66" s="310"/>
      <c r="OK66" s="310"/>
      <c r="OL66" s="310"/>
      <c r="OM66" s="310"/>
      <c r="ON66" s="310"/>
      <c r="OO66" s="310"/>
      <c r="OP66" s="310"/>
      <c r="OQ66" s="310"/>
      <c r="OR66" s="310"/>
      <c r="OS66" s="310"/>
      <c r="OT66" s="310"/>
      <c r="OU66" s="310"/>
      <c r="OV66" s="310"/>
      <c r="OW66" s="310"/>
      <c r="OX66" s="310"/>
      <c r="OY66" s="310"/>
      <c r="OZ66" s="310"/>
      <c r="PA66" s="310"/>
      <c r="PB66" s="310"/>
      <c r="PC66" s="310"/>
      <c r="PD66" s="310"/>
      <c r="PE66" s="310"/>
      <c r="PF66" s="310"/>
      <c r="PG66" s="310"/>
      <c r="PH66" s="310"/>
      <c r="PI66" s="310"/>
      <c r="PJ66" s="310"/>
      <c r="PK66" s="310"/>
      <c r="PL66" s="310"/>
      <c r="PM66" s="310"/>
      <c r="PN66" s="310"/>
      <c r="PO66" s="310"/>
      <c r="PP66" s="310"/>
      <c r="PQ66" s="310"/>
      <c r="PR66" s="310"/>
      <c r="PS66" s="342">
        <v>52</v>
      </c>
      <c r="PT66" s="261" t="e">
        <f t="shared" si="29"/>
        <v>#N/A</v>
      </c>
      <c r="PU66" s="261" t="e">
        <f t="shared" si="30"/>
        <v>#N/A</v>
      </c>
      <c r="PV66" s="310"/>
      <c r="PW66" s="310"/>
      <c r="PX66" s="310"/>
      <c r="PY66" s="310"/>
      <c r="PZ66" s="310"/>
      <c r="QA66" s="310"/>
      <c r="QB66" s="310"/>
      <c r="QC66" s="310"/>
      <c r="QD66" s="310"/>
      <c r="QE66" s="310"/>
      <c r="QF66" s="310"/>
      <c r="QG66" s="310"/>
      <c r="QH66" s="310"/>
      <c r="QI66" s="310"/>
      <c r="QJ66" s="310"/>
      <c r="QK66" s="310"/>
      <c r="QL66" s="310"/>
      <c r="QM66" s="310"/>
      <c r="QN66" s="310"/>
      <c r="QO66" s="310"/>
      <c r="QP66" s="310"/>
      <c r="QQ66" s="310"/>
      <c r="QR66" s="310"/>
      <c r="QS66" s="310"/>
      <c r="QT66" s="310"/>
      <c r="QU66" s="310"/>
      <c r="QV66" s="310"/>
      <c r="QW66" s="310"/>
      <c r="QX66" s="310"/>
      <c r="QY66" s="310"/>
      <c r="QZ66" s="310"/>
      <c r="RA66" s="310"/>
      <c r="RB66" s="310"/>
      <c r="RC66" s="310"/>
      <c r="RD66" s="310"/>
      <c r="RE66" s="310"/>
      <c r="RF66" s="310"/>
      <c r="RG66" s="310"/>
      <c r="RH66" s="310"/>
      <c r="RI66" s="310"/>
      <c r="RJ66" s="310"/>
      <c r="RK66" s="310"/>
      <c r="RL66" s="310"/>
      <c r="RM66" s="310"/>
      <c r="RN66" s="310"/>
      <c r="RO66" s="310"/>
      <c r="RP66" s="310"/>
      <c r="RQ66" s="310"/>
      <c r="RR66" s="310"/>
      <c r="RS66" s="310"/>
      <c r="RT66" s="310"/>
      <c r="RU66" s="310"/>
      <c r="RV66" s="310"/>
      <c r="RW66" s="310"/>
      <c r="RX66" s="310"/>
      <c r="RY66" s="310"/>
      <c r="RZ66" s="310"/>
      <c r="SA66" s="310"/>
      <c r="SB66" s="310"/>
      <c r="SC66" s="310"/>
      <c r="SD66" s="310"/>
      <c r="SE66" s="310"/>
      <c r="SF66" s="328">
        <v>3</v>
      </c>
      <c r="SG66" s="328" t="b">
        <v>0</v>
      </c>
      <c r="SH66" s="310" t="s">
        <v>553</v>
      </c>
      <c r="SI66" s="310"/>
      <c r="SJ66" s="310"/>
      <c r="SK66" s="310" t="s">
        <v>557</v>
      </c>
      <c r="SL66" s="310"/>
      <c r="SM66" s="310"/>
      <c r="SN66" s="310"/>
      <c r="SO66" s="220"/>
      <c r="SP66" s="220"/>
      <c r="SQ66" s="220"/>
      <c r="SR66" s="220"/>
      <c r="SS66" s="220"/>
      <c r="ST66" s="220"/>
      <c r="SU66" s="220"/>
      <c r="SV66" s="220"/>
      <c r="SW66" s="220"/>
      <c r="SX66" s="220"/>
      <c r="SY66" s="220"/>
      <c r="SZ66" s="220"/>
      <c r="TA66" s="220"/>
      <c r="TB66" s="220"/>
      <c r="TC66" s="220"/>
      <c r="TD66" s="220"/>
      <c r="TE66" s="220"/>
      <c r="TF66" s="220"/>
      <c r="TG66" s="220"/>
      <c r="TH66" s="220"/>
      <c r="TI66" s="220"/>
      <c r="TJ66" s="220"/>
      <c r="TK66" s="220"/>
      <c r="TL66" s="220"/>
      <c r="TM66" s="220"/>
      <c r="TN66" s="220"/>
      <c r="TO66" s="220"/>
      <c r="TP66" s="220"/>
      <c r="TQ66" s="220"/>
      <c r="TR66" s="220"/>
      <c r="TS66" s="220"/>
      <c r="TT66" s="220"/>
      <c r="TU66" s="220"/>
      <c r="TV66" s="220"/>
      <c r="TW66" s="220"/>
      <c r="TX66" s="220"/>
      <c r="TY66" s="220"/>
      <c r="TZ66" s="220"/>
      <c r="UA66" s="220"/>
      <c r="UB66" s="220"/>
      <c r="UC66" s="220"/>
      <c r="UD66" s="220"/>
      <c r="UE66" s="220"/>
      <c r="UF66" s="220"/>
      <c r="UG66" s="220"/>
      <c r="UH66" s="220"/>
      <c r="UI66" s="220"/>
      <c r="UJ66" s="220"/>
      <c r="UK66" s="216"/>
      <c r="UL66" s="216"/>
      <c r="UM66" s="216"/>
      <c r="UN66" s="216"/>
      <c r="UO66" s="216"/>
      <c r="UP66" s="216"/>
      <c r="UQ66" s="216"/>
      <c r="UR66" s="216"/>
      <c r="US66" s="216"/>
      <c r="UT66" s="216"/>
      <c r="UU66" s="216"/>
      <c r="UV66" s="216"/>
      <c r="UW66" s="216"/>
      <c r="UX66" s="216"/>
      <c r="UY66" s="216"/>
      <c r="UZ66" s="216"/>
      <c r="VA66" s="216"/>
    </row>
    <row r="67" spans="1:573" s="4" customFormat="1" ht="18.75" customHeight="1" x14ac:dyDescent="0.25">
      <c r="A67" s="186" t="str">
        <f>IF(CP13=TRUE,IF(BG46=TRUE,HE60,HE61),"")</f>
        <v>þ</v>
      </c>
      <c r="B67" s="187" t="str">
        <f>IF(CP13=TRUE,IF(BG45=TRUE,BI45,BI42),"")</f>
        <v>PILE CAP REINFORCEMENT : PASS</v>
      </c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82"/>
      <c r="Q67" s="185" t="s">
        <v>550</v>
      </c>
      <c r="R67" s="182"/>
      <c r="S67" s="182"/>
      <c r="T67" s="182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5"/>
      <c r="AM67" s="45"/>
      <c r="AN67" s="45"/>
      <c r="AO67" s="45"/>
      <c r="AP67" s="310"/>
      <c r="AQ67" s="310"/>
      <c r="AR67" s="328" t="s">
        <v>29</v>
      </c>
      <c r="AS67" s="429" t="e" cm="1">
        <f t="array" ref="AS67">IF(BL10=TRUE,(C51/100)-(MAX(ABS(MAX(H26:I29)-J36),ABS(J26:J29)-J38)),#N/A)</f>
        <v>#N/A</v>
      </c>
      <c r="AT67" s="472" t="str">
        <f>IF(BL10=TRUE,EK9,"")</f>
        <v/>
      </c>
      <c r="AU67" s="472" t="str">
        <f>IF(BL10=TRUE,EK10,"")</f>
        <v/>
      </c>
      <c r="AV67" s="473"/>
      <c r="AW67" s="473"/>
      <c r="AX67" s="473"/>
      <c r="AY67" s="473"/>
      <c r="AZ67" s="473"/>
      <c r="BA67" s="473"/>
      <c r="BB67" s="328" t="str">
        <v>P7</v>
      </c>
      <c r="BC67" s="338"/>
      <c r="BD67" s="338">
        <f>IF(AZ33=TRUE,($M$16/($BK$6+$BA$32-$SC$34))+($O$40/(H50*2)),"")</f>
        <v>36</v>
      </c>
      <c r="BE67" s="338">
        <f>IF(AZ33=TRUE,($M$16/($BK$6+$BA$32-$SC$34))+($O$41/(I50*2)),"")</f>
        <v>36</v>
      </c>
      <c r="BF67" s="338">
        <f>IF(AZ33=TRUE,($M$16/($BK$6+$BA$32-$SC$34))+($O$40*I50/$L$52)+($O$41*H50/$J$52),"")</f>
        <v>36</v>
      </c>
      <c r="BG67" s="338">
        <f>IF(AZ33=TRUE,($M$16/($BK$6+$BA$32-$SC$34))+($O$40*I50/$L$52)+($O$41*H50/$J$52),"")</f>
        <v>36</v>
      </c>
      <c r="BH67" s="338">
        <f>IF(AZ33=TRUE,($M$16/($CP$16+$BA$32))+($O$40*I50/$L$52)+($O$41*H50/$J$52),"")</f>
        <v>36</v>
      </c>
      <c r="BI67" s="338">
        <v>36</v>
      </c>
      <c r="BJ67" s="310"/>
      <c r="BK67" s="310"/>
      <c r="BL67" s="310"/>
      <c r="BM67" s="310"/>
      <c r="BN67" s="310"/>
      <c r="BO67" s="310"/>
      <c r="BP67" s="310"/>
      <c r="BQ67" s="310"/>
      <c r="BR67" s="310" t="s">
        <v>531</v>
      </c>
      <c r="BS67" s="310"/>
      <c r="BT67" s="310"/>
      <c r="BU67" s="310"/>
      <c r="BV67" s="310"/>
      <c r="BW67" s="310"/>
      <c r="BX67" s="310"/>
      <c r="BY67" s="338" t="e">
        <f>BY66</f>
        <v>#N/A</v>
      </c>
      <c r="BZ67" s="338" t="e">
        <f>BZ50-BT7/2</f>
        <v>#N/A</v>
      </c>
      <c r="CA67" s="310"/>
      <c r="CB67" s="310"/>
      <c r="CC67" s="310"/>
      <c r="CD67" s="310"/>
      <c r="CE67" s="310"/>
      <c r="CF67" s="310"/>
      <c r="CG67" s="310"/>
      <c r="CH67" s="310"/>
      <c r="CI67" s="310"/>
      <c r="CJ67" s="310"/>
      <c r="CK67" s="310"/>
      <c r="CL67" s="310"/>
      <c r="CM67" s="310"/>
      <c r="CN67" s="338" t="e">
        <f>IF(CO34=TRUE,BZ22,#N/A)</f>
        <v>#N/A</v>
      </c>
      <c r="CO67" s="338" t="e">
        <f>CO65</f>
        <v>#N/A</v>
      </c>
      <c r="CP67" s="310"/>
      <c r="CQ67" s="310"/>
      <c r="CR67" s="310"/>
      <c r="CS67" s="310"/>
      <c r="CT67" s="338" t="e">
        <f>CT65</f>
        <v>#N/A</v>
      </c>
      <c r="CU67" s="338" t="e">
        <f>CU65</f>
        <v>#N/A</v>
      </c>
      <c r="CV67" s="310"/>
      <c r="CW67" s="310"/>
      <c r="CX67" s="310"/>
      <c r="CY67" s="310"/>
      <c r="CZ67" s="310"/>
      <c r="DA67" s="310"/>
      <c r="DB67" s="310">
        <v>6</v>
      </c>
      <c r="DC67" s="280" t="e">
        <f>IF(AND($DD$50=TRUE,$D$63&gt;=DB67),$DC$52,#N/A)</f>
        <v>#N/A</v>
      </c>
      <c r="DD67" s="280" t="e">
        <f>IF(AND($DD$50=TRUE,$D$63&gt;=DB67),$DD$52-0.2,#N/A)</f>
        <v>#N/A</v>
      </c>
      <c r="DE67" s="310"/>
      <c r="DF67" s="301" t="e">
        <f>DF63+$DM$7/6</f>
        <v>#N/A</v>
      </c>
      <c r="DG67" s="280" t="e">
        <f>IF($DG$60=TRUE,DG63-0.3,#N/A)</f>
        <v>#N/A</v>
      </c>
      <c r="DH67" s="310"/>
      <c r="DI67" s="310"/>
      <c r="DJ67" s="310"/>
      <c r="DK67" s="310"/>
      <c r="DL67" s="310"/>
      <c r="DM67" s="310"/>
      <c r="DN67" s="310"/>
      <c r="DO67" s="310"/>
      <c r="DP67" s="310"/>
      <c r="DQ67" s="310"/>
      <c r="DR67" s="310"/>
      <c r="DS67" s="310"/>
      <c r="DT67" s="338"/>
      <c r="DU67" s="338">
        <f>DU63</f>
        <v>0.5</v>
      </c>
      <c r="DV67" s="338">
        <f>DV63</f>
        <v>-0.5</v>
      </c>
      <c r="DW67" s="310"/>
      <c r="DX67" s="310"/>
      <c r="DY67" s="338">
        <f>DY63</f>
        <v>0.5</v>
      </c>
      <c r="DZ67" s="338">
        <f>DZ63</f>
        <v>-0.5</v>
      </c>
      <c r="EA67" s="310" t="s">
        <v>181</v>
      </c>
      <c r="EB67" s="310">
        <f>MIN(DY46:DY49)</f>
        <v>-0.65</v>
      </c>
      <c r="EC67" s="310"/>
      <c r="ED67" s="310"/>
      <c r="EE67" s="280">
        <f>EB61-O12/2</f>
        <v>-0.2</v>
      </c>
      <c r="EF67" s="280">
        <f>EF66</f>
        <v>0.6</v>
      </c>
      <c r="EG67" s="280">
        <f>EG66</f>
        <v>0.5</v>
      </c>
      <c r="EH67" s="280">
        <f>EH62</f>
        <v>0.1</v>
      </c>
      <c r="EI67" s="310"/>
      <c r="EJ67" s="310" t="s">
        <v>182</v>
      </c>
      <c r="EK67" s="310">
        <f>MIN(EJ61:EJ64)</f>
        <v>-0.875</v>
      </c>
      <c r="EL67" s="310"/>
      <c r="EM67" s="310"/>
      <c r="EN67" s="310"/>
      <c r="EO67" s="310"/>
      <c r="EP67" s="310"/>
      <c r="EQ67" s="310"/>
      <c r="ER67" s="310"/>
      <c r="ES67" s="310"/>
      <c r="ET67" s="310"/>
      <c r="EU67" s="310"/>
      <c r="EV67" s="310"/>
      <c r="EW67" s="310"/>
      <c r="EX67" s="310"/>
      <c r="EY67" s="310"/>
      <c r="EZ67" s="310"/>
      <c r="FA67" s="310"/>
      <c r="FB67" s="310"/>
      <c r="FC67" s="310"/>
      <c r="FD67" s="310"/>
      <c r="FE67" s="310"/>
      <c r="FF67" s="310"/>
      <c r="FG67" s="310"/>
      <c r="FH67" s="311"/>
      <c r="FI67" s="311"/>
      <c r="FJ67" s="311"/>
      <c r="FK67" s="310"/>
      <c r="FL67" s="310"/>
      <c r="FM67" s="310"/>
      <c r="FN67" s="310"/>
      <c r="FO67" s="310"/>
      <c r="FP67" s="310"/>
      <c r="FQ67" s="310"/>
      <c r="FR67" s="310"/>
      <c r="FS67" s="310"/>
      <c r="FT67" s="310"/>
      <c r="FU67" s="310"/>
      <c r="FV67" s="310"/>
      <c r="FW67" s="310"/>
      <c r="FX67" s="310"/>
      <c r="FY67" s="310"/>
      <c r="FZ67" s="310"/>
      <c r="GA67" s="310"/>
      <c r="GB67" s="310"/>
      <c r="GC67" s="310"/>
      <c r="GD67" s="310"/>
      <c r="GE67" s="328" t="s">
        <v>117</v>
      </c>
      <c r="GF67" s="387">
        <f>H26</f>
        <v>-0.65</v>
      </c>
      <c r="GG67" s="387">
        <f>MAX(H26:I27)</f>
        <v>0.65</v>
      </c>
      <c r="GH67" s="387">
        <f>J20</f>
        <v>0.65</v>
      </c>
      <c r="GI67" s="338">
        <f>IF($AX$14=1,GG67,GH67)</f>
        <v>0.65</v>
      </c>
      <c r="GJ67" s="338"/>
      <c r="GK67" s="338"/>
      <c r="GL67" s="338"/>
      <c r="GM67" s="338"/>
      <c r="GN67" s="338"/>
      <c r="GO67" s="310"/>
      <c r="GP67" s="310"/>
      <c r="GQ67" s="310"/>
      <c r="GR67" s="310"/>
      <c r="GS67" s="310"/>
      <c r="GT67" s="310"/>
      <c r="GU67" s="310"/>
      <c r="GV67" s="310"/>
      <c r="GW67" s="310"/>
      <c r="GX67" s="310"/>
      <c r="GY67" s="310"/>
      <c r="GZ67" s="310"/>
      <c r="HA67" s="310"/>
      <c r="HB67" s="310"/>
      <c r="HC67" s="310"/>
      <c r="HD67" s="310"/>
      <c r="HE67" s="310"/>
      <c r="HF67" s="310"/>
      <c r="HG67" s="310"/>
      <c r="HH67" s="310"/>
      <c r="HI67" s="310"/>
      <c r="HJ67" s="310"/>
      <c r="HK67" s="342">
        <v>53</v>
      </c>
      <c r="HL67" s="235" t="e">
        <f t="shared" si="5"/>
        <v>#N/A</v>
      </c>
      <c r="HM67" s="235" t="e">
        <f t="shared" si="6"/>
        <v>#N/A</v>
      </c>
      <c r="HN67" s="310"/>
      <c r="HO67" s="310"/>
      <c r="HP67" s="235" t="e">
        <f t="shared" si="7"/>
        <v>#N/A</v>
      </c>
      <c r="HQ67" s="235" t="e">
        <f t="shared" si="8"/>
        <v>#N/A</v>
      </c>
      <c r="HR67" s="310"/>
      <c r="HS67" s="310"/>
      <c r="HT67" s="235" t="e">
        <f t="shared" si="9"/>
        <v>#N/A</v>
      </c>
      <c r="HU67" s="235" t="e">
        <f t="shared" si="10"/>
        <v>#N/A</v>
      </c>
      <c r="HV67" s="310"/>
      <c r="HW67" s="310"/>
      <c r="HX67" s="235" t="e">
        <f t="shared" si="11"/>
        <v>#N/A</v>
      </c>
      <c r="HY67" s="235" t="e">
        <f t="shared" si="12"/>
        <v>#N/A</v>
      </c>
      <c r="HZ67" s="310"/>
      <c r="IA67" s="310"/>
      <c r="IB67" s="235" t="e">
        <f t="shared" si="13"/>
        <v>#N/A</v>
      </c>
      <c r="IC67" s="235" t="e">
        <f t="shared" si="14"/>
        <v>#N/A</v>
      </c>
      <c r="ID67" s="310"/>
      <c r="IE67" s="342">
        <v>53</v>
      </c>
      <c r="IF67" s="262" t="e">
        <f t="shared" si="15"/>
        <v>#N/A</v>
      </c>
      <c r="IG67" s="262" t="e">
        <f t="shared" si="16"/>
        <v>#N/A</v>
      </c>
      <c r="IH67" s="390"/>
      <c r="II67" s="390"/>
      <c r="IJ67" s="262" t="e">
        <f t="shared" si="17"/>
        <v>#N/A</v>
      </c>
      <c r="IK67" s="262" t="e">
        <f t="shared" si="18"/>
        <v>#N/A</v>
      </c>
      <c r="IL67" s="390"/>
      <c r="IM67" s="390"/>
      <c r="IN67" s="262" t="e">
        <f t="shared" si="19"/>
        <v>#N/A</v>
      </c>
      <c r="IO67" s="262" t="e">
        <f t="shared" si="20"/>
        <v>#N/A</v>
      </c>
      <c r="IP67" s="390"/>
      <c r="IQ67" s="390"/>
      <c r="IR67" s="262" t="e">
        <f t="shared" si="21"/>
        <v>#N/A</v>
      </c>
      <c r="IS67" s="262" t="e">
        <f t="shared" si="22"/>
        <v>#N/A</v>
      </c>
      <c r="IT67" s="390"/>
      <c r="IU67" s="390"/>
      <c r="IV67" s="262" t="e">
        <f t="shared" si="23"/>
        <v>#N/A</v>
      </c>
      <c r="IW67" s="262" t="e">
        <f t="shared" si="24"/>
        <v>#N/A</v>
      </c>
      <c r="IX67" s="310"/>
      <c r="IY67" s="310"/>
      <c r="IZ67" s="310"/>
      <c r="JA67" s="310"/>
      <c r="JB67" s="313" t="s">
        <v>167</v>
      </c>
      <c r="JC67" s="228" t="e">
        <f>JC63</f>
        <v>#N/A</v>
      </c>
      <c r="JD67" s="228" t="e">
        <f>JD66</f>
        <v>#N/A</v>
      </c>
      <c r="JE67" s="310"/>
      <c r="JF67" s="310"/>
      <c r="JG67" s="310"/>
      <c r="JH67" s="310"/>
      <c r="JI67" s="313" t="s">
        <v>167</v>
      </c>
      <c r="JJ67" s="242" t="e">
        <f>JJ63</f>
        <v>#N/A</v>
      </c>
      <c r="JK67" s="242" t="e">
        <f>JK66</f>
        <v>#N/A</v>
      </c>
      <c r="JL67" s="310"/>
      <c r="JM67" s="310"/>
      <c r="JN67" s="261" t="e">
        <f t="shared" si="25"/>
        <v>#N/A</v>
      </c>
      <c r="JO67" s="261" t="e">
        <f t="shared" si="26"/>
        <v>#N/A</v>
      </c>
      <c r="JP67" s="310"/>
      <c r="JQ67" s="310"/>
      <c r="JR67" s="261" t="e">
        <f t="shared" si="31"/>
        <v>#N/A</v>
      </c>
      <c r="JS67" s="261" t="e">
        <f t="shared" si="32"/>
        <v>#N/A</v>
      </c>
      <c r="JT67" s="310"/>
      <c r="JU67" s="310"/>
      <c r="JV67" s="261" t="e">
        <f t="shared" si="27"/>
        <v>#N/A</v>
      </c>
      <c r="JW67" s="261" t="e">
        <f t="shared" si="28"/>
        <v>#N/A</v>
      </c>
      <c r="JX67" s="310"/>
      <c r="JY67" s="310"/>
      <c r="JZ67" s="310"/>
      <c r="KA67" s="310"/>
      <c r="KB67" s="313" t="s">
        <v>167</v>
      </c>
      <c r="KC67" s="242">
        <f>JZ65+$IZ$112/2</f>
        <v>-0.95</v>
      </c>
      <c r="KD67" s="266">
        <f>KA65+($IZ$108/2)-($IZ$108-$IZ$111-$IZ$110)</f>
        <v>0.69500000000000006</v>
      </c>
      <c r="KE67" s="310"/>
      <c r="KF67" s="310"/>
      <c r="KG67" s="310"/>
      <c r="KH67" s="310"/>
      <c r="KI67" s="310"/>
      <c r="KJ67" s="310"/>
      <c r="KK67" s="310"/>
      <c r="KL67" s="310"/>
      <c r="KM67" s="310"/>
      <c r="KN67" s="310"/>
      <c r="KO67" s="310"/>
      <c r="KP67" s="310"/>
      <c r="KQ67" s="310"/>
      <c r="KR67" s="310"/>
      <c r="KS67" s="310"/>
      <c r="KT67" s="310"/>
      <c r="KU67" s="310"/>
      <c r="KV67" s="310"/>
      <c r="KW67" s="310"/>
      <c r="KX67" s="310"/>
      <c r="KY67" s="310"/>
      <c r="KZ67" s="310"/>
      <c r="LA67" s="310"/>
      <c r="LB67" s="328" t="str">
        <v>P7</v>
      </c>
      <c r="LC67" s="391" t="e">
        <v>#N/A</v>
      </c>
      <c r="LD67" s="391" t="e">
        <v>#N/A</v>
      </c>
      <c r="LE67" s="310"/>
      <c r="LF67" s="310"/>
      <c r="LG67" s="310"/>
      <c r="LH67" s="463" t="e">
        <f>LH63</f>
        <v>#N/A</v>
      </c>
      <c r="LI67" s="463" t="e">
        <f>LI62-LI49/1.25</f>
        <v>#N/A</v>
      </c>
      <c r="LJ67" s="463" t="e">
        <v>#N/A</v>
      </c>
      <c r="LK67" s="463" t="e">
        <v>#N/A</v>
      </c>
      <c r="LL67" s="463"/>
      <c r="LM67" s="310"/>
      <c r="LN67" s="310"/>
      <c r="LO67" s="391" t="e">
        <f>LO62</f>
        <v>#N/A</v>
      </c>
      <c r="LP67" s="391" t="e">
        <f>LD51+LP49</f>
        <v>#N/A</v>
      </c>
      <c r="LQ67" s="463" t="e">
        <v>#N/A</v>
      </c>
      <c r="LR67" s="463" t="e">
        <v>#N/A</v>
      </c>
      <c r="LS67" s="391"/>
      <c r="LT67" s="310"/>
      <c r="LU67" s="310"/>
      <c r="LV67" s="391" t="e">
        <f>LC60-LW49/1.05</f>
        <v>#N/A</v>
      </c>
      <c r="LW67" s="391" t="e">
        <f>LD58</f>
        <v>#N/A</v>
      </c>
      <c r="LX67" s="463" t="e">
        <v>#N/A</v>
      </c>
      <c r="LY67" s="463" t="e">
        <v>#N/A</v>
      </c>
      <c r="LZ67" s="391"/>
      <c r="MA67" s="310"/>
      <c r="MB67" s="310"/>
      <c r="MC67" s="391" t="e">
        <f>LC57+MD49*1.05</f>
        <v>#N/A</v>
      </c>
      <c r="MD67" s="391" t="e">
        <f>MD62</f>
        <v>#N/A</v>
      </c>
      <c r="ME67" s="463" t="e">
        <v>#N/A</v>
      </c>
      <c r="MF67" s="463" t="e">
        <v>#N/A</v>
      </c>
      <c r="MG67" s="391"/>
      <c r="MH67" s="310"/>
      <c r="MI67" s="310"/>
      <c r="MJ67" s="239" t="e">
        <v>#N/A</v>
      </c>
      <c r="MK67" s="239" t="e">
        <v>#N/A</v>
      </c>
      <c r="ML67" s="228" t="e">
        <v>#N/A</v>
      </c>
      <c r="MM67" s="228" t="e">
        <v>#N/A</v>
      </c>
      <c r="MN67" s="391"/>
      <c r="MO67" s="310"/>
      <c r="MP67" s="311" t="e">
        <v>#N/A</v>
      </c>
      <c r="MQ67" s="311" t="e">
        <v>#N/A</v>
      </c>
      <c r="MR67" s="311" t="e">
        <v>#N/A</v>
      </c>
      <c r="MS67" s="311" t="e">
        <v>#N/A</v>
      </c>
      <c r="MT67" s="310"/>
      <c r="MU67" s="297" t="e">
        <f>MU64</f>
        <v>#N/A</v>
      </c>
      <c r="MV67" s="297" t="e">
        <f>MV66</f>
        <v>#N/A</v>
      </c>
      <c r="MW67" s="280" t="e">
        <f>IF(MY67=TRUE,MW64,#N/A)</f>
        <v>#N/A</v>
      </c>
      <c r="MX67" s="280" t="e">
        <f>IF(MY67=TRUE,MX64-0.15,#N/A)</f>
        <v>#N/A</v>
      </c>
      <c r="MY67" s="338" t="b">
        <f>AND(MY54=TRUE,$D$63&gt;=MZ38)</f>
        <v>0</v>
      </c>
      <c r="MZ67" s="403">
        <v>34</v>
      </c>
      <c r="NA67" s="372" t="b">
        <f t="shared" si="76"/>
        <v>0</v>
      </c>
      <c r="NB67" s="280" t="e">
        <f t="shared" si="80"/>
        <v>#N/A</v>
      </c>
      <c r="NC67" s="280" t="e">
        <f t="shared" si="81"/>
        <v>#N/A</v>
      </c>
      <c r="ND67" s="280" t="e">
        <f t="shared" si="77"/>
        <v>#N/A</v>
      </c>
      <c r="NE67" s="280" t="e">
        <f t="shared" si="78"/>
        <v>#N/A</v>
      </c>
      <c r="NF67" s="310"/>
      <c r="NG67" s="310"/>
      <c r="NH67" s="310"/>
      <c r="NI67" s="310"/>
      <c r="NJ67" s="310"/>
      <c r="NK67" s="310"/>
      <c r="NL67" s="310"/>
      <c r="NM67" s="310"/>
      <c r="NN67" s="310"/>
      <c r="NO67" s="310"/>
      <c r="NP67" s="310"/>
      <c r="NQ67" s="310"/>
      <c r="NR67" s="310"/>
      <c r="NS67" s="310"/>
      <c r="NT67" s="310"/>
      <c r="NU67" s="310"/>
      <c r="NV67" s="310"/>
      <c r="NW67" s="310"/>
      <c r="NX67" s="310"/>
      <c r="NY67" s="310"/>
      <c r="NZ67" s="310"/>
      <c r="OA67" s="310"/>
      <c r="OB67" s="310"/>
      <c r="OC67" s="310"/>
      <c r="OD67" s="310"/>
      <c r="OE67" s="310"/>
      <c r="OF67" s="310"/>
      <c r="OG67" s="310"/>
      <c r="OH67" s="310"/>
      <c r="OI67" s="310"/>
      <c r="OJ67" s="310"/>
      <c r="OK67" s="310"/>
      <c r="OL67" s="310"/>
      <c r="OM67" s="310"/>
      <c r="ON67" s="310"/>
      <c r="OO67" s="310"/>
      <c r="OP67" s="310"/>
      <c r="OQ67" s="310"/>
      <c r="OR67" s="310"/>
      <c r="OS67" s="310"/>
      <c r="OT67" s="310"/>
      <c r="OU67" s="310"/>
      <c r="OV67" s="310"/>
      <c r="OW67" s="310"/>
      <c r="OX67" s="310"/>
      <c r="OY67" s="310"/>
      <c r="OZ67" s="310"/>
      <c r="PA67" s="310"/>
      <c r="PB67" s="310"/>
      <c r="PC67" s="310"/>
      <c r="PD67" s="310"/>
      <c r="PE67" s="310"/>
      <c r="PF67" s="310"/>
      <c r="PG67" s="310"/>
      <c r="PH67" s="310"/>
      <c r="PI67" s="310"/>
      <c r="PJ67" s="310"/>
      <c r="PK67" s="310"/>
      <c r="PL67" s="310"/>
      <c r="PM67" s="310"/>
      <c r="PN67" s="310"/>
      <c r="PO67" s="310"/>
      <c r="PP67" s="310"/>
      <c r="PQ67" s="310"/>
      <c r="PR67" s="310"/>
      <c r="PS67" s="342">
        <v>53</v>
      </c>
      <c r="PT67" s="261" t="e">
        <f t="shared" si="29"/>
        <v>#N/A</v>
      </c>
      <c r="PU67" s="261" t="e">
        <f t="shared" si="30"/>
        <v>#N/A</v>
      </c>
      <c r="PV67" s="310"/>
      <c r="PW67" s="310"/>
      <c r="PX67" s="310"/>
      <c r="PY67" s="310"/>
      <c r="PZ67" s="310"/>
      <c r="QA67" s="310"/>
      <c r="QB67" s="310"/>
      <c r="QC67" s="310"/>
      <c r="QD67" s="310"/>
      <c r="QE67" s="310"/>
      <c r="QF67" s="310"/>
      <c r="QG67" s="310"/>
      <c r="QH67" s="310"/>
      <c r="QI67" s="310"/>
      <c r="QJ67" s="310"/>
      <c r="QK67" s="310"/>
      <c r="QL67" s="310"/>
      <c r="QM67" s="310"/>
      <c r="QN67" s="310"/>
      <c r="QO67" s="310"/>
      <c r="QP67" s="310"/>
      <c r="QQ67" s="310"/>
      <c r="QR67" s="310"/>
      <c r="QS67" s="310"/>
      <c r="QT67" s="310"/>
      <c r="QU67" s="310"/>
      <c r="QV67" s="310"/>
      <c r="QW67" s="310"/>
      <c r="QX67" s="310"/>
      <c r="QY67" s="310"/>
      <c r="QZ67" s="310"/>
      <c r="RA67" s="310"/>
      <c r="RB67" s="310"/>
      <c r="RC67" s="310"/>
      <c r="RD67" s="310"/>
      <c r="RE67" s="310"/>
      <c r="RF67" s="310"/>
      <c r="RG67" s="310"/>
      <c r="RH67" s="310"/>
      <c r="RI67" s="310"/>
      <c r="RJ67" s="310"/>
      <c r="RK67" s="310"/>
      <c r="RL67" s="310"/>
      <c r="RM67" s="310"/>
      <c r="RN67" s="310"/>
      <c r="RO67" s="310"/>
      <c r="RP67" s="310"/>
      <c r="RQ67" s="310"/>
      <c r="RR67" s="310"/>
      <c r="RS67" s="310"/>
      <c r="RT67" s="310"/>
      <c r="RU67" s="310"/>
      <c r="RV67" s="310"/>
      <c r="RW67" s="310"/>
      <c r="RX67" s="310"/>
      <c r="RY67" s="310"/>
      <c r="RZ67" s="310"/>
      <c r="SA67" s="310"/>
      <c r="SB67" s="310"/>
      <c r="SC67" s="310"/>
      <c r="SD67" s="310"/>
      <c r="SE67" s="310"/>
      <c r="SF67" s="328">
        <v>4</v>
      </c>
      <c r="SG67" s="328" t="b">
        <v>0</v>
      </c>
      <c r="SH67" s="310" t="s">
        <v>554</v>
      </c>
      <c r="SI67" s="310"/>
      <c r="SJ67" s="310"/>
      <c r="SK67" s="310" t="s">
        <v>558</v>
      </c>
      <c r="SL67" s="310"/>
      <c r="SM67" s="310"/>
      <c r="SN67" s="310"/>
      <c r="SO67" s="220"/>
      <c r="SP67" s="220"/>
      <c r="SQ67" s="220"/>
      <c r="SR67" s="220"/>
      <c r="SS67" s="220"/>
      <c r="ST67" s="220"/>
      <c r="SU67" s="220"/>
      <c r="SV67" s="220"/>
      <c r="SW67" s="220"/>
      <c r="SX67" s="220"/>
      <c r="SY67" s="220"/>
      <c r="SZ67" s="220"/>
      <c r="TA67" s="220"/>
      <c r="TB67" s="220"/>
      <c r="TC67" s="220"/>
      <c r="TD67" s="220"/>
      <c r="TE67" s="220"/>
      <c r="TF67" s="220"/>
      <c r="TG67" s="220"/>
      <c r="TH67" s="220"/>
      <c r="TI67" s="220"/>
      <c r="TJ67" s="220"/>
      <c r="TK67" s="220"/>
      <c r="TL67" s="220"/>
      <c r="TM67" s="220"/>
      <c r="TN67" s="220"/>
      <c r="TO67" s="220"/>
      <c r="TP67" s="220"/>
      <c r="TQ67" s="220"/>
      <c r="TR67" s="220"/>
      <c r="TS67" s="220"/>
      <c r="TT67" s="220"/>
      <c r="TU67" s="220"/>
      <c r="TV67" s="220"/>
      <c r="TW67" s="220"/>
      <c r="TX67" s="220"/>
      <c r="TY67" s="220"/>
      <c r="TZ67" s="220"/>
      <c r="UA67" s="220"/>
      <c r="UB67" s="220"/>
      <c r="UC67" s="220"/>
      <c r="UD67" s="220"/>
      <c r="UE67" s="220"/>
      <c r="UF67" s="220"/>
      <c r="UG67" s="220"/>
      <c r="UH67" s="220"/>
      <c r="UI67" s="220"/>
      <c r="UJ67" s="220"/>
      <c r="UK67" s="216"/>
      <c r="UL67" s="216"/>
      <c r="UM67" s="216"/>
      <c r="UN67" s="216"/>
      <c r="UO67" s="216"/>
      <c r="UP67" s="216"/>
      <c r="UQ67" s="216"/>
      <c r="UR67" s="216"/>
      <c r="US67" s="216"/>
      <c r="UT67" s="216"/>
      <c r="UU67" s="216"/>
      <c r="UV67" s="216"/>
      <c r="UW67" s="216"/>
      <c r="UX67" s="216"/>
      <c r="UY67" s="216"/>
      <c r="UZ67" s="216"/>
      <c r="VA67" s="216"/>
    </row>
    <row r="68" spans="1:573" s="4" customFormat="1" ht="18.75" customHeight="1" x14ac:dyDescent="0.25">
      <c r="A68" s="186" t="str">
        <f>IF(CP13=TRUE,IF(BL7=TRUE,"",IF(BM44=TRUE,HE60,HE61)),"")</f>
        <v>þ</v>
      </c>
      <c r="B68" s="187" t="str">
        <f>IF(CP13=TRUE,IF(BL7=TRUE,"",IF(AND(BM43=TRUE,BN43=TRUE),BO43,BO44)),"")</f>
        <v>BEAM SHEAR : PASS</v>
      </c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82"/>
      <c r="Q68" s="182"/>
      <c r="R68" s="182"/>
      <c r="S68" s="182"/>
      <c r="T68" s="182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5"/>
      <c r="AM68" s="45"/>
      <c r="AN68" s="45"/>
      <c r="AO68" s="45"/>
      <c r="AP68" s="310"/>
      <c r="AQ68" s="310"/>
      <c r="AR68" s="328" t="s">
        <v>34</v>
      </c>
      <c r="AS68" s="317" cm="1">
        <f t="array" ref="AS68">IF(BL11=TRUE,(C51/100)-(MAX(ABS(MAX(H26:I30)-J36),ABS(J26:J30)-J38)),#N/A)</f>
        <v>-0.19500000000000012</v>
      </c>
      <c r="AT68" s="474">
        <f>IF(BL11=TRUE,EK9,"")</f>
        <v>1.9</v>
      </c>
      <c r="AU68" s="475">
        <f>IF(BL11=TRUE,EK10,"")</f>
        <v>1.9</v>
      </c>
      <c r="AV68" s="476"/>
      <c r="AW68" s="476"/>
      <c r="AX68" s="476"/>
      <c r="AY68" s="476"/>
      <c r="AZ68" s="476"/>
      <c r="BA68" s="476"/>
      <c r="BB68" s="328"/>
      <c r="BC68" s="338"/>
      <c r="BD68" s="338" t="str">
        <f>IF(AZ34=TRUE,($M$16/($BK$6+$BA$32-$SC$34))+($O$40/(H51*2)),"")</f>
        <v/>
      </c>
      <c r="BE68" s="338" t="str">
        <f>IF(AZ34=TRUE,($M$16/($BK$6+$BA$32-$SC$34))+($O$41/(I51*2)),"")</f>
        <v/>
      </c>
      <c r="BF68" s="338" t="str">
        <f>IF(AZ34=TRUE,($M$16/($BK$6+$BA$32-$SC$34))+($O$40*I51/$L$52)+($O$41*H51/$J$52),"")</f>
        <v/>
      </c>
      <c r="BG68" s="338" t="str">
        <f>IF(AZ34=TRUE,($M$16/($BK$6+$BA$32-$SC$34))+($O$40*I51/$L$52)+($O$41*H51/$J$52),"")</f>
        <v/>
      </c>
      <c r="BH68" s="338" t="str">
        <f>IF(AZ34=TRUE,($M$16/($CP$16+$BA$32))+($O$40*I51/$L$52)+($O$41*H51/$J$52),"")</f>
        <v/>
      </c>
      <c r="BI68" s="338" t="str">
        <v/>
      </c>
      <c r="BJ68" s="310"/>
      <c r="BK68" s="310"/>
      <c r="BL68" s="458"/>
      <c r="BM68" s="310"/>
      <c r="BN68" s="310"/>
      <c r="BO68" s="310"/>
      <c r="BP68" s="310"/>
      <c r="BQ68" s="310"/>
      <c r="BR68" s="424" t="s">
        <v>541</v>
      </c>
      <c r="BS68" s="304" t="b">
        <f>IF(L61=BR67,TRUE,FALSE)</f>
        <v>0</v>
      </c>
      <c r="BT68" s="310"/>
      <c r="BU68" s="310"/>
      <c r="BV68" s="310"/>
      <c r="BW68" s="310"/>
      <c r="BX68" s="310"/>
      <c r="BY68" s="338" t="e">
        <f>BY65</f>
        <v>#N/A</v>
      </c>
      <c r="BZ68" s="338" t="e">
        <f>BZ67</f>
        <v>#N/A</v>
      </c>
      <c r="CA68" s="310"/>
      <c r="CB68" s="310"/>
      <c r="CC68" s="310"/>
      <c r="CD68" s="310"/>
      <c r="CE68" s="310"/>
      <c r="CF68" s="310"/>
      <c r="CG68" s="310"/>
      <c r="CH68" s="310"/>
      <c r="CI68" s="310"/>
      <c r="CJ68" s="310"/>
      <c r="CK68" s="310"/>
      <c r="CL68" s="310"/>
      <c r="CM68" s="310"/>
      <c r="CN68" s="338" t="e">
        <f>CN29</f>
        <v>#N/A</v>
      </c>
      <c r="CO68" s="338" t="e">
        <f>CO67</f>
        <v>#N/A</v>
      </c>
      <c r="CP68" s="310"/>
      <c r="CQ68" s="310"/>
      <c r="CR68" s="310"/>
      <c r="CS68" s="310"/>
      <c r="CT68" s="338" t="e">
        <f>CT67</f>
        <v>#N/A</v>
      </c>
      <c r="CU68" s="338" t="e">
        <f>CO28</f>
        <v>#N/A</v>
      </c>
      <c r="CV68" s="310"/>
      <c r="CW68" s="310"/>
      <c r="CX68" s="310"/>
      <c r="CY68" s="310"/>
      <c r="CZ68" s="310"/>
      <c r="DA68" s="310"/>
      <c r="DB68" s="310"/>
      <c r="DC68" s="280" t="e">
        <f>IF(AND($DD$50=TRUE,$D$63&gt;=DB67),$DC$53,#N/A)</f>
        <v>#N/A</v>
      </c>
      <c r="DD68" s="280" t="e">
        <f>DD67</f>
        <v>#N/A</v>
      </c>
      <c r="DE68" s="310"/>
      <c r="DF68" s="303" t="e">
        <f>DF67+0.2</f>
        <v>#N/A</v>
      </c>
      <c r="DG68" s="281" t="e">
        <f>DG67</f>
        <v>#N/A</v>
      </c>
      <c r="DH68" s="310"/>
      <c r="DI68" s="310"/>
      <c r="DJ68" s="310"/>
      <c r="DK68" s="310"/>
      <c r="DL68" s="310"/>
      <c r="DM68" s="310"/>
      <c r="DN68" s="310"/>
      <c r="DO68" s="310"/>
      <c r="DP68" s="310"/>
      <c r="DQ68" s="310"/>
      <c r="DR68" s="310"/>
      <c r="DS68" s="310"/>
      <c r="DT68" s="338"/>
      <c r="DU68" s="338" t="e">
        <v>#N/A</v>
      </c>
      <c r="DV68" s="338" t="e">
        <v>#N/A</v>
      </c>
      <c r="DW68" s="310"/>
      <c r="DX68" s="310"/>
      <c r="DY68" s="338" t="e">
        <v>#N/A</v>
      </c>
      <c r="DZ68" s="338" t="e">
        <v>#N/A</v>
      </c>
      <c r="EA68" s="310"/>
      <c r="EB68" s="310">
        <f>EB67</f>
        <v>-0.65</v>
      </c>
      <c r="EC68" s="310"/>
      <c r="ED68" s="310"/>
      <c r="EE68" s="280">
        <f>EE67</f>
        <v>-0.2</v>
      </c>
      <c r="EF68" s="280">
        <f>EF67+0.5</f>
        <v>1.1000000000000001</v>
      </c>
      <c r="EG68" s="280">
        <f>EB64+BT7/2</f>
        <v>0.8</v>
      </c>
      <c r="EH68" s="280">
        <f>EH63</f>
        <v>0.1</v>
      </c>
      <c r="EI68" s="310"/>
      <c r="EJ68" s="310"/>
      <c r="EK68" s="310"/>
      <c r="EL68" s="310"/>
      <c r="EM68" s="310"/>
      <c r="EN68" s="310"/>
      <c r="EO68" s="310"/>
      <c r="EP68" s="310"/>
      <c r="EQ68" s="310"/>
      <c r="ER68" s="310"/>
      <c r="ES68" s="310"/>
      <c r="ET68" s="310"/>
      <c r="EU68" s="310"/>
      <c r="EV68" s="310"/>
      <c r="EW68" s="310"/>
      <c r="EX68" s="310"/>
      <c r="EY68" s="310"/>
      <c r="EZ68" s="310"/>
      <c r="FA68" s="310"/>
      <c r="FB68" s="310"/>
      <c r="FC68" s="310"/>
      <c r="FD68" s="310"/>
      <c r="FE68" s="310"/>
      <c r="FF68" s="310"/>
      <c r="FG68" s="310"/>
      <c r="FH68" s="311"/>
      <c r="FI68" s="311"/>
      <c r="FJ68" s="311"/>
      <c r="FK68" s="310"/>
      <c r="FL68" s="310"/>
      <c r="FM68" s="310"/>
      <c r="FN68" s="310"/>
      <c r="FO68" s="310"/>
      <c r="FP68" s="310"/>
      <c r="FQ68" s="310"/>
      <c r="FR68" s="310"/>
      <c r="FS68" s="310"/>
      <c r="FT68" s="310"/>
      <c r="FU68" s="310"/>
      <c r="FV68" s="310"/>
      <c r="FW68" s="310"/>
      <c r="FX68" s="310"/>
      <c r="FY68" s="310"/>
      <c r="FZ68" s="310"/>
      <c r="GA68" s="310"/>
      <c r="GB68" s="310"/>
      <c r="GC68" s="310"/>
      <c r="GD68" s="310"/>
      <c r="GE68" s="328" t="s">
        <v>119</v>
      </c>
      <c r="GF68" s="387">
        <f>H26</f>
        <v>-0.65</v>
      </c>
      <c r="GG68" s="387">
        <f>MIN(H26:I27)</f>
        <v>-0.65</v>
      </c>
      <c r="GH68" s="387">
        <f>J19</f>
        <v>-0.65</v>
      </c>
      <c r="GI68" s="338">
        <f t="shared" ref="GI68:GI70" si="125">IF($AX$14=1,GG68,GH68)</f>
        <v>-0.65</v>
      </c>
      <c r="GJ68" s="338"/>
      <c r="GK68" s="338"/>
      <c r="GL68" s="338"/>
      <c r="GM68" s="338"/>
      <c r="GN68" s="338"/>
      <c r="GO68" s="310"/>
      <c r="GP68" s="310"/>
      <c r="GQ68" s="310"/>
      <c r="GR68" s="310"/>
      <c r="GS68" s="310"/>
      <c r="GT68" s="310"/>
      <c r="GU68" s="310"/>
      <c r="GV68" s="310"/>
      <c r="GW68" s="310"/>
      <c r="GX68" s="310"/>
      <c r="GY68" s="310"/>
      <c r="GZ68" s="310"/>
      <c r="HA68" s="310"/>
      <c r="HB68" s="310"/>
      <c r="HC68" s="310"/>
      <c r="HD68" s="310"/>
      <c r="HE68" s="310"/>
      <c r="HF68" s="310"/>
      <c r="HG68" s="310"/>
      <c r="HH68" s="310"/>
      <c r="HI68" s="310"/>
      <c r="HJ68" s="310"/>
      <c r="HK68" s="342">
        <v>54</v>
      </c>
      <c r="HL68" s="235" t="e">
        <f t="shared" si="5"/>
        <v>#N/A</v>
      </c>
      <c r="HM68" s="235" t="e">
        <f t="shared" si="6"/>
        <v>#N/A</v>
      </c>
      <c r="HN68" s="310"/>
      <c r="HO68" s="310"/>
      <c r="HP68" s="235" t="e">
        <f t="shared" si="7"/>
        <v>#N/A</v>
      </c>
      <c r="HQ68" s="235" t="e">
        <f t="shared" si="8"/>
        <v>#N/A</v>
      </c>
      <c r="HR68" s="310"/>
      <c r="HS68" s="310"/>
      <c r="HT68" s="235" t="e">
        <f t="shared" si="9"/>
        <v>#N/A</v>
      </c>
      <c r="HU68" s="235" t="e">
        <f t="shared" si="10"/>
        <v>#N/A</v>
      </c>
      <c r="HV68" s="310"/>
      <c r="HW68" s="310"/>
      <c r="HX68" s="235" t="e">
        <f t="shared" si="11"/>
        <v>#N/A</v>
      </c>
      <c r="HY68" s="235" t="e">
        <f t="shared" si="12"/>
        <v>#N/A</v>
      </c>
      <c r="HZ68" s="310"/>
      <c r="IA68" s="310"/>
      <c r="IB68" s="235" t="e">
        <f t="shared" si="13"/>
        <v>#N/A</v>
      </c>
      <c r="IC68" s="235" t="e">
        <f t="shared" si="14"/>
        <v>#N/A</v>
      </c>
      <c r="ID68" s="310"/>
      <c r="IE68" s="342">
        <v>54</v>
      </c>
      <c r="IF68" s="262" t="e">
        <f t="shared" si="15"/>
        <v>#N/A</v>
      </c>
      <c r="IG68" s="262" t="e">
        <f t="shared" si="16"/>
        <v>#N/A</v>
      </c>
      <c r="IH68" s="390"/>
      <c r="II68" s="390"/>
      <c r="IJ68" s="262" t="e">
        <f t="shared" si="17"/>
        <v>#N/A</v>
      </c>
      <c r="IK68" s="262" t="e">
        <f t="shared" si="18"/>
        <v>#N/A</v>
      </c>
      <c r="IL68" s="390"/>
      <c r="IM68" s="390"/>
      <c r="IN68" s="262" t="e">
        <f t="shared" si="19"/>
        <v>#N/A</v>
      </c>
      <c r="IO68" s="262" t="e">
        <f t="shared" si="20"/>
        <v>#N/A</v>
      </c>
      <c r="IP68" s="390"/>
      <c r="IQ68" s="390"/>
      <c r="IR68" s="262" t="e">
        <f t="shared" si="21"/>
        <v>#N/A</v>
      </c>
      <c r="IS68" s="262" t="e">
        <f t="shared" si="22"/>
        <v>#N/A</v>
      </c>
      <c r="IT68" s="390"/>
      <c r="IU68" s="390"/>
      <c r="IV68" s="262" t="e">
        <f t="shared" si="23"/>
        <v>#N/A</v>
      </c>
      <c r="IW68" s="262" t="e">
        <f t="shared" si="24"/>
        <v>#N/A</v>
      </c>
      <c r="IX68" s="310"/>
      <c r="IY68" s="310"/>
      <c r="IZ68" s="310"/>
      <c r="JA68" s="310"/>
      <c r="JB68" s="313" t="s">
        <v>325</v>
      </c>
      <c r="JC68" s="234" t="e">
        <f>IZ65-$IZ$62</f>
        <v>#N/A</v>
      </c>
      <c r="JD68" s="234" t="e">
        <f>JA65</f>
        <v>#N/A</v>
      </c>
      <c r="JE68" s="310"/>
      <c r="JF68" s="310"/>
      <c r="JG68" s="310"/>
      <c r="JH68" s="310"/>
      <c r="JI68" s="313" t="s">
        <v>325</v>
      </c>
      <c r="JJ68" s="265" t="e">
        <f>JG65-$IZ$62</f>
        <v>#N/A</v>
      </c>
      <c r="JK68" s="265" t="e">
        <f>JH65</f>
        <v>#N/A</v>
      </c>
      <c r="JL68" s="310"/>
      <c r="JM68" s="310"/>
      <c r="JN68" s="261" t="e">
        <f t="shared" si="25"/>
        <v>#N/A</v>
      </c>
      <c r="JO68" s="261" t="e">
        <f t="shared" si="26"/>
        <v>#N/A</v>
      </c>
      <c r="JP68" s="310"/>
      <c r="JQ68" s="310"/>
      <c r="JR68" s="261" t="e">
        <f t="shared" si="31"/>
        <v>#N/A</v>
      </c>
      <c r="JS68" s="261" t="e">
        <f t="shared" si="32"/>
        <v>#N/A</v>
      </c>
      <c r="JT68" s="310"/>
      <c r="JU68" s="310"/>
      <c r="JV68" s="261" t="e">
        <f t="shared" si="27"/>
        <v>#N/A</v>
      </c>
      <c r="JW68" s="261" t="e">
        <f t="shared" si="28"/>
        <v>#N/A</v>
      </c>
      <c r="JX68" s="310"/>
      <c r="JY68" s="310"/>
      <c r="JZ68" s="310"/>
      <c r="KA68" s="310"/>
      <c r="KB68" s="313" t="s">
        <v>325</v>
      </c>
      <c r="KC68" s="242">
        <f>KC67</f>
        <v>-0.95</v>
      </c>
      <c r="KD68" s="266">
        <f>KA65-($IZ$108/2-$IZ$110)</f>
        <v>0.60499999999999998</v>
      </c>
      <c r="KE68" s="310"/>
      <c r="KF68" s="310"/>
      <c r="KG68" s="310"/>
      <c r="KH68" s="310"/>
      <c r="KI68" s="310"/>
      <c r="KJ68" s="310"/>
      <c r="KK68" s="310"/>
      <c r="KL68" s="310"/>
      <c r="KM68" s="310"/>
      <c r="KN68" s="310"/>
      <c r="KO68" s="310"/>
      <c r="KP68" s="310"/>
      <c r="KQ68" s="310"/>
      <c r="KR68" s="310"/>
      <c r="KS68" s="310"/>
      <c r="KT68" s="310"/>
      <c r="KU68" s="310"/>
      <c r="KV68" s="310"/>
      <c r="KW68" s="310"/>
      <c r="KX68" s="310"/>
      <c r="KY68" s="310"/>
      <c r="KZ68" s="310"/>
      <c r="LA68" s="310"/>
      <c r="LB68" s="310"/>
      <c r="LC68" s="310"/>
      <c r="LD68" s="310"/>
      <c r="LE68" s="310"/>
      <c r="LF68" s="310"/>
      <c r="LG68" s="310"/>
      <c r="LH68" s="463">
        <f>LE51</f>
        <v>0</v>
      </c>
      <c r="LI68" s="463" t="e">
        <f>LI67</f>
        <v>#N/A</v>
      </c>
      <c r="LJ68" s="463" t="e">
        <v>#N/A</v>
      </c>
      <c r="LK68" s="463" t="e">
        <v>#N/A</v>
      </c>
      <c r="LL68" s="463"/>
      <c r="LM68" s="310"/>
      <c r="LN68" s="310"/>
      <c r="LO68" s="347">
        <f>LE51</f>
        <v>0</v>
      </c>
      <c r="LP68" s="347" t="e">
        <f>LP67</f>
        <v>#N/A</v>
      </c>
      <c r="LQ68" s="463" t="e">
        <v>#N/A</v>
      </c>
      <c r="LR68" s="463" t="e">
        <v>#N/A</v>
      </c>
      <c r="LS68" s="391"/>
      <c r="LT68" s="310"/>
      <c r="LU68" s="310"/>
      <c r="LV68" s="347" t="e">
        <f>LV67</f>
        <v>#N/A</v>
      </c>
      <c r="LW68" s="347">
        <f>LF51</f>
        <v>0</v>
      </c>
      <c r="LX68" s="463" t="e">
        <v>#N/A</v>
      </c>
      <c r="LY68" s="463" t="e">
        <v>#N/A</v>
      </c>
      <c r="LZ68" s="391"/>
      <c r="MA68" s="310"/>
      <c r="MB68" s="310"/>
      <c r="MC68" s="347" t="e">
        <f>MC67</f>
        <v>#N/A</v>
      </c>
      <c r="MD68" s="347">
        <f>LF51</f>
        <v>0</v>
      </c>
      <c r="ME68" s="463" t="e">
        <v>#N/A</v>
      </c>
      <c r="MF68" s="463" t="e">
        <v>#N/A</v>
      </c>
      <c r="MG68" s="391"/>
      <c r="MH68" s="310"/>
      <c r="MI68" s="310"/>
      <c r="MJ68" s="238" t="e">
        <v>#N/A</v>
      </c>
      <c r="MK68" s="238" t="e">
        <v>#N/A</v>
      </c>
      <c r="ML68" s="228" t="e">
        <v>#N/A</v>
      </c>
      <c r="MM68" s="228" t="e">
        <v>#N/A</v>
      </c>
      <c r="MN68" s="391"/>
      <c r="MO68" s="310"/>
      <c r="MP68" s="311" t="e">
        <v>#N/A</v>
      </c>
      <c r="MQ68" s="311" t="e">
        <v>#N/A</v>
      </c>
      <c r="MR68" s="311" t="e">
        <v>#N/A</v>
      </c>
      <c r="MS68" s="311" t="e">
        <v>#N/A</v>
      </c>
      <c r="MT68" s="310"/>
      <c r="MU68" s="292" t="e">
        <v>#N/A</v>
      </c>
      <c r="MV68" s="292" t="e">
        <v>#N/A</v>
      </c>
      <c r="MW68" s="280" t="e">
        <f>IF(MY67=TRUE,MW65,#N/A)</f>
        <v>#N/A</v>
      </c>
      <c r="MX68" s="280" t="e">
        <f>MX67</f>
        <v>#N/A</v>
      </c>
      <c r="MY68" s="338"/>
      <c r="MZ68" s="403">
        <v>35</v>
      </c>
      <c r="NA68" s="372" t="b">
        <f t="shared" si="76"/>
        <v>0</v>
      </c>
      <c r="NB68" s="280" t="e">
        <f t="shared" si="80"/>
        <v>#N/A</v>
      </c>
      <c r="NC68" s="280" t="e">
        <f t="shared" si="81"/>
        <v>#N/A</v>
      </c>
      <c r="ND68" s="280" t="e">
        <f t="shared" si="77"/>
        <v>#N/A</v>
      </c>
      <c r="NE68" s="280" t="e">
        <f t="shared" si="78"/>
        <v>#N/A</v>
      </c>
      <c r="NF68" s="310"/>
      <c r="NG68" s="310"/>
      <c r="NH68" s="310"/>
      <c r="NI68" s="310"/>
      <c r="NJ68" s="310"/>
      <c r="NK68" s="310"/>
      <c r="NL68" s="310"/>
      <c r="NM68" s="310"/>
      <c r="NN68" s="310"/>
      <c r="NO68" s="310"/>
      <c r="NP68" s="310"/>
      <c r="NQ68" s="310"/>
      <c r="NR68" s="310"/>
      <c r="NS68" s="310"/>
      <c r="NT68" s="310"/>
      <c r="NU68" s="310"/>
      <c r="NV68" s="310"/>
      <c r="NW68" s="310"/>
      <c r="NX68" s="310"/>
      <c r="NY68" s="310"/>
      <c r="NZ68" s="310"/>
      <c r="OA68" s="310"/>
      <c r="OB68" s="310"/>
      <c r="OC68" s="310"/>
      <c r="OD68" s="310"/>
      <c r="OE68" s="310"/>
      <c r="OF68" s="310"/>
      <c r="OG68" s="310"/>
      <c r="OH68" s="310"/>
      <c r="OI68" s="310"/>
      <c r="OJ68" s="310"/>
      <c r="OK68" s="310"/>
      <c r="OL68" s="310"/>
      <c r="OM68" s="310"/>
      <c r="ON68" s="310"/>
      <c r="OO68" s="310"/>
      <c r="OP68" s="310"/>
      <c r="OQ68" s="310"/>
      <c r="OR68" s="310"/>
      <c r="OS68" s="310"/>
      <c r="OT68" s="310"/>
      <c r="OU68" s="310"/>
      <c r="OV68" s="310"/>
      <c r="OW68" s="310"/>
      <c r="OX68" s="310"/>
      <c r="OY68" s="310"/>
      <c r="OZ68" s="310"/>
      <c r="PA68" s="310"/>
      <c r="PB68" s="310"/>
      <c r="PC68" s="310"/>
      <c r="PD68" s="310"/>
      <c r="PE68" s="310"/>
      <c r="PF68" s="310"/>
      <c r="PG68" s="310"/>
      <c r="PH68" s="310"/>
      <c r="PI68" s="310"/>
      <c r="PJ68" s="310"/>
      <c r="PK68" s="310"/>
      <c r="PL68" s="310"/>
      <c r="PM68" s="310"/>
      <c r="PN68" s="310"/>
      <c r="PO68" s="310"/>
      <c r="PP68" s="310"/>
      <c r="PQ68" s="310"/>
      <c r="PR68" s="310"/>
      <c r="PS68" s="342">
        <v>54</v>
      </c>
      <c r="PT68" s="261" t="e">
        <f t="shared" si="29"/>
        <v>#N/A</v>
      </c>
      <c r="PU68" s="261" t="e">
        <f t="shared" si="30"/>
        <v>#N/A</v>
      </c>
      <c r="PV68" s="310"/>
      <c r="PW68" s="310"/>
      <c r="PX68" s="310"/>
      <c r="PY68" s="310"/>
      <c r="PZ68" s="310"/>
      <c r="QA68" s="310"/>
      <c r="QB68" s="310"/>
      <c r="QC68" s="310"/>
      <c r="QD68" s="310"/>
      <c r="QE68" s="310"/>
      <c r="QF68" s="310"/>
      <c r="QG68" s="310"/>
      <c r="QH68" s="310"/>
      <c r="QI68" s="310"/>
      <c r="QJ68" s="310"/>
      <c r="QK68" s="310"/>
      <c r="QL68" s="310"/>
      <c r="QM68" s="310"/>
      <c r="QN68" s="310"/>
      <c r="QO68" s="310"/>
      <c r="QP68" s="310"/>
      <c r="QQ68" s="310"/>
      <c r="QR68" s="310"/>
      <c r="QS68" s="310"/>
      <c r="QT68" s="310"/>
      <c r="QU68" s="310"/>
      <c r="QV68" s="310"/>
      <c r="QW68" s="310"/>
      <c r="QX68" s="310"/>
      <c r="QY68" s="310"/>
      <c r="QZ68" s="310"/>
      <c r="RA68" s="310"/>
      <c r="RB68" s="310"/>
      <c r="RC68" s="310"/>
      <c r="RD68" s="310"/>
      <c r="RE68" s="310"/>
      <c r="RF68" s="310"/>
      <c r="RG68" s="310"/>
      <c r="RH68" s="310"/>
      <c r="RI68" s="310"/>
      <c r="RJ68" s="310"/>
      <c r="RK68" s="310"/>
      <c r="RL68" s="310"/>
      <c r="RM68" s="310"/>
      <c r="RN68" s="310"/>
      <c r="RO68" s="310"/>
      <c r="RP68" s="310"/>
      <c r="RQ68" s="310"/>
      <c r="RR68" s="310"/>
      <c r="RS68" s="310"/>
      <c r="RT68" s="310"/>
      <c r="RU68" s="310"/>
      <c r="RV68" s="310"/>
      <c r="RW68" s="310"/>
      <c r="RX68" s="310"/>
      <c r="RY68" s="310"/>
      <c r="RZ68" s="310"/>
      <c r="SA68" s="310"/>
      <c r="SB68" s="310"/>
      <c r="SC68" s="310"/>
      <c r="SD68" s="310"/>
      <c r="SE68" s="310"/>
      <c r="SF68" s="310"/>
      <c r="SG68" s="310"/>
      <c r="SH68" s="310"/>
      <c r="SI68" s="310"/>
      <c r="SJ68" s="310"/>
      <c r="SK68" s="310"/>
      <c r="SL68" s="310"/>
      <c r="SM68" s="310"/>
      <c r="SN68" s="310"/>
      <c r="SO68" s="220"/>
      <c r="SP68" s="220"/>
      <c r="SQ68" s="220"/>
      <c r="SR68" s="220"/>
      <c r="SS68" s="220"/>
      <c r="ST68" s="220"/>
      <c r="SU68" s="220"/>
      <c r="SV68" s="220"/>
      <c r="SW68" s="220"/>
      <c r="SX68" s="220"/>
      <c r="SY68" s="220"/>
      <c r="SZ68" s="220"/>
      <c r="TA68" s="220"/>
      <c r="TB68" s="220"/>
      <c r="TC68" s="220"/>
      <c r="TD68" s="220"/>
      <c r="TE68" s="220"/>
      <c r="TF68" s="220"/>
      <c r="TG68" s="220"/>
      <c r="TH68" s="220"/>
      <c r="TI68" s="220"/>
      <c r="TJ68" s="220"/>
      <c r="TK68" s="220"/>
      <c r="TL68" s="220"/>
      <c r="TM68" s="220"/>
      <c r="TN68" s="220"/>
      <c r="TO68" s="220"/>
      <c r="TP68" s="220"/>
      <c r="TQ68" s="220"/>
      <c r="TR68" s="220"/>
      <c r="TS68" s="220"/>
      <c r="TT68" s="220"/>
      <c r="TU68" s="220"/>
      <c r="TV68" s="220"/>
      <c r="TW68" s="220"/>
      <c r="TX68" s="220"/>
      <c r="TY68" s="220"/>
      <c r="TZ68" s="220"/>
      <c r="UA68" s="220"/>
      <c r="UB68" s="220"/>
      <c r="UC68" s="220"/>
      <c r="UD68" s="220"/>
      <c r="UE68" s="220"/>
      <c r="UF68" s="220"/>
      <c r="UG68" s="220"/>
      <c r="UH68" s="220"/>
      <c r="UI68" s="220"/>
      <c r="UJ68" s="220"/>
      <c r="UK68" s="216"/>
      <c r="UL68" s="216"/>
      <c r="UM68" s="216"/>
      <c r="UN68" s="216"/>
      <c r="UO68" s="216"/>
      <c r="UP68" s="216"/>
      <c r="UQ68" s="216"/>
      <c r="UR68" s="216"/>
      <c r="US68" s="216"/>
      <c r="UT68" s="216"/>
      <c r="UU68" s="216"/>
      <c r="UV68" s="216"/>
      <c r="UW68" s="216"/>
      <c r="UX68" s="216"/>
      <c r="UY68" s="216"/>
      <c r="UZ68" s="216"/>
      <c r="VA68" s="216"/>
    </row>
    <row r="69" spans="1:573" s="4" customFormat="1" ht="18.75" customHeight="1" x14ac:dyDescent="0.5">
      <c r="A69" s="186" t="str">
        <f>IF(CP13=TRUE,IF(BL7=TRUE,"",IF(BM48=TRUE,HE60,HE61)),"")</f>
        <v>þ</v>
      </c>
      <c r="B69" s="187" t="str">
        <f>IF(CP13=TRUE,IF(BL7=TRUE,"",IF(BM48=TRUE,BN48,BN49)),"")</f>
        <v>PUNCHING SHEAR : PASS</v>
      </c>
      <c r="C69" s="190"/>
      <c r="D69" s="190"/>
      <c r="E69" s="190"/>
      <c r="F69" s="190"/>
      <c r="G69" s="190"/>
      <c r="H69" s="190"/>
      <c r="I69" s="190"/>
      <c r="J69" s="190"/>
      <c r="K69" s="190"/>
      <c r="L69" s="192" t="s">
        <v>183</v>
      </c>
      <c r="M69" s="680"/>
      <c r="N69" s="680"/>
      <c r="O69" s="680"/>
      <c r="P69" s="182"/>
      <c r="Q69" s="182"/>
      <c r="R69" s="182"/>
      <c r="S69" s="182"/>
      <c r="T69" s="182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5"/>
      <c r="AM69" s="45"/>
      <c r="AN69" s="45"/>
      <c r="AO69" s="45"/>
      <c r="AP69" s="310"/>
      <c r="AQ69" s="310" t="s">
        <v>185</v>
      </c>
      <c r="AR69" s="338" t="str" cm="1">
        <f t="array" ref="AR69">INDEX(AR64:AR68,BK6)</f>
        <v>F5</v>
      </c>
      <c r="AS69" s="317" cm="1">
        <f t="array" ref="AS69">INDEX(AS64:AS68,BK6)*100</f>
        <v>-19.500000000000011</v>
      </c>
      <c r="AT69" s="475" cm="1">
        <f t="array" ref="AT69">INDEX(AT64:AT68,BK6)*100</f>
        <v>190</v>
      </c>
      <c r="AU69" s="475" cm="1">
        <f t="array" ref="AU69">INDEX(AU64:AU68,BK6)*100</f>
        <v>190</v>
      </c>
      <c r="AV69" s="477"/>
      <c r="AW69" s="478"/>
      <c r="AX69" s="479"/>
      <c r="AY69" s="479"/>
      <c r="AZ69" s="479"/>
      <c r="BA69" s="479"/>
      <c r="BB69" s="310"/>
      <c r="BC69" s="310"/>
      <c r="BD69" s="310"/>
      <c r="BE69" s="310"/>
      <c r="BF69" s="310"/>
      <c r="BG69" s="310"/>
      <c r="BH69" s="310"/>
      <c r="BI69" s="310"/>
      <c r="BJ69" s="310"/>
      <c r="BK69" s="310"/>
      <c r="BL69" s="458"/>
      <c r="BM69" s="310"/>
      <c r="BN69" s="310"/>
      <c r="BO69" s="310"/>
      <c r="BP69" s="310"/>
      <c r="BQ69" s="310"/>
      <c r="BR69" s="424" t="s">
        <v>542</v>
      </c>
      <c r="BS69" s="304" t="b">
        <f>IF(N61=BR67,TRUE,FALSE)</f>
        <v>0</v>
      </c>
      <c r="BT69" s="310"/>
      <c r="BU69" s="310"/>
      <c r="BV69" s="310"/>
      <c r="BW69" s="310"/>
      <c r="BX69" s="310"/>
      <c r="BY69" s="338" t="e">
        <f>BY65</f>
        <v>#N/A</v>
      </c>
      <c r="BZ69" s="338" t="e">
        <f>BZ65</f>
        <v>#N/A</v>
      </c>
      <c r="CA69" s="310"/>
      <c r="CB69" s="310"/>
      <c r="CC69" s="310"/>
      <c r="CD69" s="310" t="s">
        <v>186</v>
      </c>
      <c r="CE69" s="310" t="b">
        <f>AND($BY$20=TRUE,$BE$8=TRUE,$AY$16=TRUE)</f>
        <v>0</v>
      </c>
      <c r="CF69" s="310"/>
      <c r="CG69" s="310"/>
      <c r="CH69" s="310"/>
      <c r="CI69" s="310"/>
      <c r="CJ69" s="310"/>
      <c r="CK69" s="310"/>
      <c r="CL69" s="310"/>
      <c r="CM69" s="424" t="str">
        <f>BF9</f>
        <v>NEW CG. PILE GROUP</v>
      </c>
      <c r="CN69" s="338" t="e">
        <v>#N/A</v>
      </c>
      <c r="CO69" s="338" t="e">
        <v>#N/A</v>
      </c>
      <c r="CP69" s="310"/>
      <c r="CQ69" s="310"/>
      <c r="CR69" s="310"/>
      <c r="CS69" s="424" t="str">
        <f>BF9</f>
        <v>NEW CG. PILE GROUP</v>
      </c>
      <c r="CT69" s="338" t="e">
        <v>#N/A</v>
      </c>
      <c r="CU69" s="338" t="e">
        <v>#N/A</v>
      </c>
      <c r="CV69" s="310"/>
      <c r="CW69" s="310"/>
      <c r="CX69" s="310"/>
      <c r="CY69" s="310"/>
      <c r="CZ69" s="310"/>
      <c r="DA69" s="310"/>
      <c r="DB69" s="310"/>
      <c r="DC69" s="280" t="e">
        <v>#N/A</v>
      </c>
      <c r="DD69" s="280" t="e">
        <v>#N/A</v>
      </c>
      <c r="DE69" s="310"/>
      <c r="DF69" s="280" t="e">
        <v>#N/A</v>
      </c>
      <c r="DG69" s="280" t="e">
        <v>#N/A</v>
      </c>
      <c r="DH69" s="310"/>
      <c r="DI69" s="310"/>
      <c r="DJ69" s="310"/>
      <c r="DK69" s="310"/>
      <c r="DL69" s="310"/>
      <c r="DM69" s="310"/>
      <c r="DN69" s="310"/>
      <c r="DO69" s="310"/>
      <c r="DP69" s="310"/>
      <c r="DQ69" s="310"/>
      <c r="DR69" s="310"/>
      <c r="DS69" s="310"/>
      <c r="DT69" s="328" t="s">
        <v>152</v>
      </c>
      <c r="DU69" s="338">
        <f>DU49-$BT$7/2</f>
        <v>0.5</v>
      </c>
      <c r="DV69" s="338">
        <f>DV49+$BT$7/2</f>
        <v>0.8</v>
      </c>
      <c r="DW69" s="310"/>
      <c r="DX69" s="310"/>
      <c r="DY69" s="338">
        <f>DY49-$BT$7/2</f>
        <v>0.5</v>
      </c>
      <c r="DZ69" s="338">
        <f>DZ49+$BT$7/2</f>
        <v>0.8</v>
      </c>
      <c r="EA69" s="310"/>
      <c r="EB69" s="310"/>
      <c r="EC69" s="310"/>
      <c r="ED69" s="310"/>
      <c r="EE69" s="280" t="e">
        <v>#N/A</v>
      </c>
      <c r="EF69" s="280" t="e">
        <v>#N/A</v>
      </c>
      <c r="EG69" s="280">
        <f>EG68</f>
        <v>0.8</v>
      </c>
      <c r="EH69" s="280">
        <f>EH64</f>
        <v>-0.5</v>
      </c>
      <c r="EI69" s="310"/>
      <c r="EJ69" s="310" t="s">
        <v>187</v>
      </c>
      <c r="EK69" s="310">
        <f>(EK66-EK67)/(N55-0.8)</f>
        <v>0.24305555555555555</v>
      </c>
      <c r="EL69" s="310"/>
      <c r="EM69" s="310"/>
      <c r="EN69" s="310"/>
      <c r="EO69" s="310"/>
      <c r="EP69" s="310"/>
      <c r="EQ69" s="310"/>
      <c r="ER69" s="310"/>
      <c r="ES69" s="310"/>
      <c r="ET69" s="310"/>
      <c r="EU69" s="310"/>
      <c r="EV69" s="310"/>
      <c r="EW69" s="310"/>
      <c r="EX69" s="310"/>
      <c r="EY69" s="310"/>
      <c r="EZ69" s="310"/>
      <c r="FA69" s="310"/>
      <c r="FB69" s="310"/>
      <c r="FC69" s="310"/>
      <c r="FD69" s="310"/>
      <c r="FE69" s="310"/>
      <c r="FF69" s="310"/>
      <c r="FG69" s="310"/>
      <c r="FH69" s="311"/>
      <c r="FI69" s="311"/>
      <c r="FJ69" s="311"/>
      <c r="FK69" s="310"/>
      <c r="FL69" s="310"/>
      <c r="FM69" s="310"/>
      <c r="FN69" s="310"/>
      <c r="FO69" s="310"/>
      <c r="FP69" s="310"/>
      <c r="FQ69" s="310"/>
      <c r="FR69" s="310"/>
      <c r="FS69" s="310"/>
      <c r="FT69" s="310"/>
      <c r="FU69" s="310"/>
      <c r="FV69" s="310"/>
      <c r="FW69" s="310"/>
      <c r="FX69" s="310"/>
      <c r="FY69" s="310"/>
      <c r="FZ69" s="310"/>
      <c r="GA69" s="310"/>
      <c r="GB69" s="310"/>
      <c r="GC69" s="310"/>
      <c r="GD69" s="310"/>
      <c r="GE69" s="328" t="s">
        <v>116</v>
      </c>
      <c r="GF69" s="462">
        <f>J26</f>
        <v>-0.65</v>
      </c>
      <c r="GG69" s="462">
        <f>J27</f>
        <v>-0.65</v>
      </c>
      <c r="GH69" s="462">
        <f>MAX(M19:O20)</f>
        <v>-0.65</v>
      </c>
      <c r="GI69" s="338">
        <f t="shared" si="125"/>
        <v>-0.65</v>
      </c>
      <c r="GJ69" s="338"/>
      <c r="GK69" s="338"/>
      <c r="GL69" s="338"/>
      <c r="GM69" s="338"/>
      <c r="GN69" s="338"/>
      <c r="GO69" s="310"/>
      <c r="GP69" s="310"/>
      <c r="GQ69" s="310"/>
      <c r="GR69" s="310"/>
      <c r="GS69" s="310"/>
      <c r="GT69" s="310"/>
      <c r="GU69" s="310"/>
      <c r="GV69" s="310"/>
      <c r="GW69" s="310"/>
      <c r="GX69" s="310"/>
      <c r="GY69" s="310"/>
      <c r="GZ69" s="310"/>
      <c r="HA69" s="310"/>
      <c r="HB69" s="310"/>
      <c r="HC69" s="310"/>
      <c r="HD69" s="310"/>
      <c r="HE69" s="310"/>
      <c r="HF69" s="310"/>
      <c r="HG69" s="310"/>
      <c r="HH69" s="310"/>
      <c r="HI69" s="310"/>
      <c r="HJ69" s="310"/>
      <c r="HK69" s="342">
        <v>55</v>
      </c>
      <c r="HL69" s="235" t="e">
        <f t="shared" si="5"/>
        <v>#N/A</v>
      </c>
      <c r="HM69" s="235" t="e">
        <f t="shared" si="6"/>
        <v>#N/A</v>
      </c>
      <c r="HN69" s="310"/>
      <c r="HO69" s="310"/>
      <c r="HP69" s="235" t="e">
        <f t="shared" si="7"/>
        <v>#N/A</v>
      </c>
      <c r="HQ69" s="235" t="e">
        <f t="shared" si="8"/>
        <v>#N/A</v>
      </c>
      <c r="HR69" s="310"/>
      <c r="HS69" s="310"/>
      <c r="HT69" s="235" t="e">
        <f t="shared" si="9"/>
        <v>#N/A</v>
      </c>
      <c r="HU69" s="235" t="e">
        <f t="shared" si="10"/>
        <v>#N/A</v>
      </c>
      <c r="HV69" s="310"/>
      <c r="HW69" s="310"/>
      <c r="HX69" s="235" t="e">
        <f t="shared" si="11"/>
        <v>#N/A</v>
      </c>
      <c r="HY69" s="235" t="e">
        <f t="shared" si="12"/>
        <v>#N/A</v>
      </c>
      <c r="HZ69" s="310"/>
      <c r="IA69" s="310"/>
      <c r="IB69" s="235" t="e">
        <f t="shared" si="13"/>
        <v>#N/A</v>
      </c>
      <c r="IC69" s="235" t="e">
        <f t="shared" si="14"/>
        <v>#N/A</v>
      </c>
      <c r="ID69" s="310"/>
      <c r="IE69" s="342">
        <v>55</v>
      </c>
      <c r="IF69" s="262" t="e">
        <f t="shared" si="15"/>
        <v>#N/A</v>
      </c>
      <c r="IG69" s="262" t="e">
        <f t="shared" si="16"/>
        <v>#N/A</v>
      </c>
      <c r="IH69" s="390"/>
      <c r="II69" s="390"/>
      <c r="IJ69" s="262" t="e">
        <f t="shared" si="17"/>
        <v>#N/A</v>
      </c>
      <c r="IK69" s="262" t="e">
        <f t="shared" si="18"/>
        <v>#N/A</v>
      </c>
      <c r="IL69" s="390"/>
      <c r="IM69" s="390"/>
      <c r="IN69" s="262" t="e">
        <f t="shared" si="19"/>
        <v>#N/A</v>
      </c>
      <c r="IO69" s="262" t="e">
        <f t="shared" si="20"/>
        <v>#N/A</v>
      </c>
      <c r="IP69" s="390"/>
      <c r="IQ69" s="390"/>
      <c r="IR69" s="262" t="e">
        <f t="shared" si="21"/>
        <v>#N/A</v>
      </c>
      <c r="IS69" s="262" t="e">
        <f t="shared" si="22"/>
        <v>#N/A</v>
      </c>
      <c r="IT69" s="390"/>
      <c r="IU69" s="390"/>
      <c r="IV69" s="262" t="e">
        <f t="shared" si="23"/>
        <v>#N/A</v>
      </c>
      <c r="IW69" s="262" t="e">
        <f t="shared" si="24"/>
        <v>#N/A</v>
      </c>
      <c r="IX69" s="310"/>
      <c r="IY69" s="310"/>
      <c r="IZ69" s="310"/>
      <c r="JA69" s="310"/>
      <c r="JB69" s="313" t="s">
        <v>326</v>
      </c>
      <c r="JC69" s="228" t="e">
        <f>JC63</f>
        <v>#N/A</v>
      </c>
      <c r="JD69" s="228" t="e">
        <f>JD63</f>
        <v>#N/A</v>
      </c>
      <c r="JE69" s="310"/>
      <c r="JF69" s="310"/>
      <c r="JG69" s="310"/>
      <c r="JH69" s="310"/>
      <c r="JI69" s="313" t="s">
        <v>326</v>
      </c>
      <c r="JJ69" s="242" t="e">
        <f>JJ63</f>
        <v>#N/A</v>
      </c>
      <c r="JK69" s="242" t="e">
        <f>JK63</f>
        <v>#N/A</v>
      </c>
      <c r="JL69" s="310"/>
      <c r="JM69" s="310"/>
      <c r="JN69" s="261" t="e">
        <f t="shared" si="25"/>
        <v>#N/A</v>
      </c>
      <c r="JO69" s="261" t="e">
        <f t="shared" si="26"/>
        <v>#N/A</v>
      </c>
      <c r="JP69" s="310"/>
      <c r="JQ69" s="310"/>
      <c r="JR69" s="261" t="e">
        <f t="shared" si="31"/>
        <v>#N/A</v>
      </c>
      <c r="JS69" s="261" t="e">
        <f t="shared" si="32"/>
        <v>#N/A</v>
      </c>
      <c r="JT69" s="310"/>
      <c r="JU69" s="310"/>
      <c r="JV69" s="261" t="e">
        <f t="shared" si="27"/>
        <v>#N/A</v>
      </c>
      <c r="JW69" s="261" t="e">
        <f t="shared" si="28"/>
        <v>#N/A</v>
      </c>
      <c r="JX69" s="310"/>
      <c r="JY69" s="310"/>
      <c r="JZ69" s="310"/>
      <c r="KA69" s="310"/>
      <c r="KB69" s="313" t="s">
        <v>326</v>
      </c>
      <c r="KC69" s="242">
        <f>KC66</f>
        <v>-0.85</v>
      </c>
      <c r="KD69" s="242">
        <f>KA65-($IZ$108/2)+$IZ$109</f>
        <v>0.57499999999999996</v>
      </c>
      <c r="KE69" s="310"/>
      <c r="KF69" s="310"/>
      <c r="KG69" s="310"/>
      <c r="KH69" s="310"/>
      <c r="KI69" s="310"/>
      <c r="KJ69" s="310"/>
      <c r="KK69" s="310"/>
      <c r="KL69" s="310"/>
      <c r="KM69" s="310"/>
      <c r="KN69" s="310"/>
      <c r="KO69" s="310"/>
      <c r="KP69" s="310"/>
      <c r="KQ69" s="310"/>
      <c r="KR69" s="310"/>
      <c r="KS69" s="310"/>
      <c r="KT69" s="310"/>
      <c r="KU69" s="310"/>
      <c r="KV69" s="310"/>
      <c r="KW69" s="310"/>
      <c r="KX69" s="310"/>
      <c r="KY69" s="310"/>
      <c r="KZ69" s="310"/>
      <c r="LA69" s="310"/>
      <c r="LB69" s="310"/>
      <c r="LC69" s="310"/>
      <c r="LD69" s="310"/>
      <c r="LE69" s="310"/>
      <c r="LF69" s="310"/>
      <c r="LG69" s="310"/>
      <c r="LH69" s="463" t="e">
        <v>#N/A</v>
      </c>
      <c r="LI69" s="463" t="e">
        <v>#N/A</v>
      </c>
      <c r="LJ69" s="463" t="e">
        <v>#N/A</v>
      </c>
      <c r="LK69" s="463" t="e">
        <v>#N/A</v>
      </c>
      <c r="LL69" s="463"/>
      <c r="LM69" s="310"/>
      <c r="LN69" s="310"/>
      <c r="LO69" s="463" t="e">
        <v>#N/A</v>
      </c>
      <c r="LP69" s="463" t="e">
        <v>#N/A</v>
      </c>
      <c r="LQ69" s="463" t="e">
        <v>#N/A</v>
      </c>
      <c r="LR69" s="463" t="e">
        <v>#N/A</v>
      </c>
      <c r="LS69" s="391"/>
      <c r="LT69" s="310"/>
      <c r="LU69" s="310"/>
      <c r="LV69" s="463" t="e">
        <v>#N/A</v>
      </c>
      <c r="LW69" s="463" t="e">
        <v>#N/A</v>
      </c>
      <c r="LX69" s="463" t="e">
        <v>#N/A</v>
      </c>
      <c r="LY69" s="463" t="e">
        <v>#N/A</v>
      </c>
      <c r="LZ69" s="391"/>
      <c r="MA69" s="310"/>
      <c r="MB69" s="310"/>
      <c r="MC69" s="347" t="e">
        <v>#N/A</v>
      </c>
      <c r="MD69" s="347" t="e">
        <v>#N/A</v>
      </c>
      <c r="ME69" s="463" t="e">
        <v>#N/A</v>
      </c>
      <c r="MF69" s="463" t="e">
        <v>#N/A</v>
      </c>
      <c r="MG69" s="391"/>
      <c r="MH69" s="310"/>
      <c r="MI69" s="310"/>
      <c r="MJ69" s="239" t="e">
        <v>#N/A</v>
      </c>
      <c r="MK69" s="239" t="e">
        <v>#N/A</v>
      </c>
      <c r="ML69" s="228" t="e">
        <v>#N/A</v>
      </c>
      <c r="MM69" s="228" t="e">
        <v>#N/A</v>
      </c>
      <c r="MN69" s="391"/>
      <c r="MO69" s="310"/>
      <c r="MP69" s="311" t="e">
        <v>#N/A</v>
      </c>
      <c r="MQ69" s="311" t="e">
        <v>#N/A</v>
      </c>
      <c r="MR69" s="311" t="e">
        <v>#N/A</v>
      </c>
      <c r="MS69" s="311" t="e">
        <v>#N/A</v>
      </c>
      <c r="MT69" s="310"/>
      <c r="MU69" s="297" t="e">
        <f>MU66</f>
        <v>#N/A</v>
      </c>
      <c r="MV69" s="297" t="e">
        <f>MV66+0.2</f>
        <v>#N/A</v>
      </c>
      <c r="MW69" s="292" t="e">
        <v>#N/A</v>
      </c>
      <c r="MX69" s="292" t="e">
        <v>#N/A</v>
      </c>
      <c r="MY69" s="338"/>
      <c r="MZ69" s="310"/>
      <c r="NA69" s="310"/>
      <c r="NB69" s="310"/>
      <c r="NC69" s="310"/>
      <c r="ND69" s="310"/>
      <c r="NE69" s="310"/>
      <c r="NF69" s="310"/>
      <c r="NG69" s="310"/>
      <c r="NH69" s="310"/>
      <c r="NI69" s="310"/>
      <c r="NJ69" s="310"/>
      <c r="NK69" s="310"/>
      <c r="NL69" s="310"/>
      <c r="NM69" s="310"/>
      <c r="NN69" s="310"/>
      <c r="NO69" s="310"/>
      <c r="NP69" s="310"/>
      <c r="NQ69" s="310"/>
      <c r="NR69" s="310"/>
      <c r="NS69" s="310"/>
      <c r="NT69" s="310"/>
      <c r="NU69" s="310"/>
      <c r="NV69" s="310"/>
      <c r="NW69" s="310"/>
      <c r="NX69" s="310"/>
      <c r="NY69" s="310"/>
      <c r="NZ69" s="310"/>
      <c r="OA69" s="310"/>
      <c r="OB69" s="310"/>
      <c r="OC69" s="310"/>
      <c r="OD69" s="310"/>
      <c r="OE69" s="310"/>
      <c r="OF69" s="310"/>
      <c r="OG69" s="310"/>
      <c r="OH69" s="310"/>
      <c r="OI69" s="310"/>
      <c r="OJ69" s="310"/>
      <c r="OK69" s="310"/>
      <c r="OL69" s="310"/>
      <c r="OM69" s="310"/>
      <c r="ON69" s="310"/>
      <c r="OO69" s="310"/>
      <c r="OP69" s="310"/>
      <c r="OQ69" s="310"/>
      <c r="OR69" s="310"/>
      <c r="OS69" s="310"/>
      <c r="OT69" s="310"/>
      <c r="OU69" s="310"/>
      <c r="OV69" s="310"/>
      <c r="OW69" s="310"/>
      <c r="OX69" s="310"/>
      <c r="OY69" s="310"/>
      <c r="OZ69" s="310"/>
      <c r="PA69" s="310"/>
      <c r="PB69" s="310"/>
      <c r="PC69" s="310"/>
      <c r="PD69" s="310"/>
      <c r="PE69" s="310"/>
      <c r="PF69" s="310"/>
      <c r="PG69" s="310"/>
      <c r="PH69" s="310"/>
      <c r="PI69" s="310"/>
      <c r="PJ69" s="310"/>
      <c r="PK69" s="310"/>
      <c r="PL69" s="310"/>
      <c r="PM69" s="310"/>
      <c r="PN69" s="310"/>
      <c r="PO69" s="310"/>
      <c r="PP69" s="310"/>
      <c r="PQ69" s="310"/>
      <c r="PR69" s="310"/>
      <c r="PS69" s="342">
        <v>55</v>
      </c>
      <c r="PT69" s="261" t="e">
        <f t="shared" si="29"/>
        <v>#N/A</v>
      </c>
      <c r="PU69" s="261" t="e">
        <f t="shared" si="30"/>
        <v>#N/A</v>
      </c>
      <c r="PV69" s="310"/>
      <c r="PW69" s="310"/>
      <c r="PX69" s="310"/>
      <c r="PY69" s="310"/>
      <c r="PZ69" s="310"/>
      <c r="QA69" s="310"/>
      <c r="QB69" s="310"/>
      <c r="QC69" s="310"/>
      <c r="QD69" s="310"/>
      <c r="QE69" s="310"/>
      <c r="QF69" s="310"/>
      <c r="QG69" s="310"/>
      <c r="QH69" s="310"/>
      <c r="QI69" s="310"/>
      <c r="QJ69" s="310"/>
      <c r="QK69" s="310"/>
      <c r="QL69" s="310"/>
      <c r="QM69" s="310"/>
      <c r="QN69" s="310"/>
      <c r="QO69" s="310"/>
      <c r="QP69" s="310"/>
      <c r="QQ69" s="310"/>
      <c r="QR69" s="310"/>
      <c r="QS69" s="310"/>
      <c r="QT69" s="310"/>
      <c r="QU69" s="310"/>
      <c r="QV69" s="310"/>
      <c r="QW69" s="310"/>
      <c r="QX69" s="310"/>
      <c r="QY69" s="310"/>
      <c r="QZ69" s="310"/>
      <c r="RA69" s="310"/>
      <c r="RB69" s="310"/>
      <c r="RC69" s="310"/>
      <c r="RD69" s="310"/>
      <c r="RE69" s="310"/>
      <c r="RF69" s="310"/>
      <c r="RG69" s="310"/>
      <c r="RH69" s="310"/>
      <c r="RI69" s="310"/>
      <c r="RJ69" s="310"/>
      <c r="RK69" s="310"/>
      <c r="RL69" s="310"/>
      <c r="RM69" s="310"/>
      <c r="RN69" s="310"/>
      <c r="RO69" s="310"/>
      <c r="RP69" s="310"/>
      <c r="RQ69" s="310"/>
      <c r="RR69" s="310"/>
      <c r="RS69" s="310"/>
      <c r="RT69" s="310"/>
      <c r="RU69" s="310"/>
      <c r="RV69" s="310"/>
      <c r="RW69" s="310"/>
      <c r="RX69" s="310"/>
      <c r="RY69" s="310"/>
      <c r="RZ69" s="310"/>
      <c r="SA69" s="310"/>
      <c r="SB69" s="310"/>
      <c r="SC69" s="317" t="s">
        <v>559</v>
      </c>
      <c r="SD69" s="317" t="b">
        <f>IF(BK6&gt;=3,TRUE,FALSE)</f>
        <v>1</v>
      </c>
      <c r="SE69" s="310"/>
      <c r="SF69" s="310"/>
      <c r="SG69" s="310"/>
      <c r="SH69" s="310"/>
      <c r="SI69" s="310"/>
      <c r="SJ69" s="310"/>
      <c r="SK69" s="310"/>
      <c r="SL69" s="310"/>
      <c r="SM69" s="310"/>
      <c r="SN69" s="310"/>
      <c r="SO69" s="220"/>
      <c r="SP69" s="220"/>
      <c r="SQ69" s="220"/>
      <c r="SR69" s="220"/>
      <c r="SS69" s="220"/>
      <c r="ST69" s="220"/>
      <c r="SU69" s="220"/>
      <c r="SV69" s="220"/>
      <c r="SW69" s="220"/>
      <c r="SX69" s="220"/>
      <c r="SY69" s="220"/>
      <c r="SZ69" s="220"/>
      <c r="TA69" s="220"/>
      <c r="TB69" s="220"/>
      <c r="TC69" s="220"/>
      <c r="TD69" s="220"/>
      <c r="TE69" s="220"/>
      <c r="TF69" s="220"/>
      <c r="TG69" s="220"/>
      <c r="TH69" s="220"/>
      <c r="TI69" s="220"/>
      <c r="TJ69" s="220"/>
      <c r="TK69" s="220"/>
      <c r="TL69" s="220"/>
      <c r="TM69" s="220"/>
      <c r="TN69" s="220"/>
      <c r="TO69" s="220"/>
      <c r="TP69" s="220"/>
      <c r="TQ69" s="220"/>
      <c r="TR69" s="220"/>
      <c r="TS69" s="220"/>
      <c r="TT69" s="220"/>
      <c r="TU69" s="220"/>
      <c r="TV69" s="220"/>
      <c r="TW69" s="220"/>
      <c r="TX69" s="220"/>
      <c r="TY69" s="220"/>
      <c r="TZ69" s="220"/>
      <c r="UA69" s="220"/>
      <c r="UB69" s="220"/>
      <c r="UC69" s="220"/>
      <c r="UD69" s="220"/>
      <c r="UE69" s="220"/>
      <c r="UF69" s="220"/>
      <c r="UG69" s="220"/>
      <c r="UH69" s="220"/>
      <c r="UI69" s="220"/>
      <c r="UJ69" s="220"/>
      <c r="UK69" s="216"/>
      <c r="UL69" s="216"/>
      <c r="UM69" s="216"/>
      <c r="UN69" s="216"/>
      <c r="UO69" s="216"/>
      <c r="UP69" s="216"/>
      <c r="UQ69" s="216"/>
      <c r="UR69" s="216"/>
      <c r="US69" s="216"/>
      <c r="UT69" s="216"/>
      <c r="UU69" s="216"/>
      <c r="UV69" s="216"/>
      <c r="UW69" s="216"/>
      <c r="UX69" s="216"/>
      <c r="UY69" s="216"/>
      <c r="UZ69" s="216"/>
      <c r="VA69" s="216"/>
    </row>
    <row r="70" spans="1:573" s="4" customFormat="1" ht="15" customHeight="1" x14ac:dyDescent="0.5">
      <c r="A70" s="193" t="s">
        <v>202</v>
      </c>
      <c r="B70" s="16"/>
      <c r="C70" s="190"/>
      <c r="D70" s="701"/>
      <c r="E70" s="701"/>
      <c r="F70" s="701"/>
      <c r="G70" s="701"/>
      <c r="H70" s="701"/>
      <c r="I70" s="701"/>
      <c r="J70" s="701"/>
      <c r="K70" s="701"/>
      <c r="L70" s="194" t="s">
        <v>184</v>
      </c>
      <c r="M70" s="681"/>
      <c r="N70" s="681"/>
      <c r="O70" s="681"/>
      <c r="P70" s="182"/>
      <c r="Q70" s="182"/>
      <c r="R70" s="182"/>
      <c r="S70" s="182"/>
      <c r="T70" s="182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5"/>
      <c r="AM70" s="45"/>
      <c r="AN70" s="45"/>
      <c r="AO70" s="45"/>
      <c r="AP70" s="310"/>
      <c r="AQ70" s="310"/>
      <c r="AR70" s="310"/>
      <c r="AS70" s="310"/>
      <c r="AT70" s="476"/>
      <c r="AU70" s="477"/>
      <c r="AV70" s="477"/>
      <c r="AW70" s="478"/>
      <c r="AX70" s="479"/>
      <c r="AY70" s="479"/>
      <c r="AZ70" s="479"/>
      <c r="BA70" s="479"/>
      <c r="BB70" s="310"/>
      <c r="BC70" s="310"/>
      <c r="BD70" s="310"/>
      <c r="BE70" s="310"/>
      <c r="BF70" s="310"/>
      <c r="BG70" s="310"/>
      <c r="BH70" s="310">
        <f>M16/4</f>
        <v>45</v>
      </c>
      <c r="BI70" s="310"/>
      <c r="BJ70" s="310"/>
      <c r="BK70" s="310"/>
      <c r="BL70" s="310"/>
      <c r="BM70" s="310"/>
      <c r="BN70" s="310"/>
      <c r="BO70" s="310"/>
      <c r="BP70" s="310"/>
      <c r="BQ70" s="310"/>
      <c r="BR70" s="424" t="s">
        <v>174</v>
      </c>
      <c r="BS70" s="310" t="b">
        <f>IF(N63=BR67,TRUE,FALSE)</f>
        <v>0</v>
      </c>
      <c r="BT70" s="310"/>
      <c r="BU70" s="310"/>
      <c r="BV70" s="310"/>
      <c r="BW70" s="310"/>
      <c r="BX70" s="310"/>
      <c r="BY70" s="338" t="e">
        <v>#N/A</v>
      </c>
      <c r="BZ70" s="338" t="e">
        <v>#N/A</v>
      </c>
      <c r="CA70" s="310"/>
      <c r="CB70" s="310"/>
      <c r="CC70" s="310"/>
      <c r="CD70" s="328" t="s">
        <v>48</v>
      </c>
      <c r="CE70" s="328" t="s">
        <v>49</v>
      </c>
      <c r="CF70" s="328" t="s">
        <v>48</v>
      </c>
      <c r="CG70" s="328" t="s">
        <v>49</v>
      </c>
      <c r="CH70" s="328" t="s">
        <v>139</v>
      </c>
      <c r="CI70" s="329"/>
      <c r="CJ70" s="310"/>
      <c r="CK70" s="310"/>
      <c r="CL70" s="310"/>
      <c r="CM70" s="310" t="b">
        <f>AND(BE9=TRUE,CO34=TRUE)</f>
        <v>0</v>
      </c>
      <c r="CN70" s="338" t="e">
        <f>IF(CM70=TRUE,DV31,#N/A)</f>
        <v>#N/A</v>
      </c>
      <c r="CO70" s="338" t="e">
        <f>IF(CM70=TRUE,DU31,#N/A)</f>
        <v>#N/A</v>
      </c>
      <c r="CP70" s="310"/>
      <c r="CQ70" s="310"/>
      <c r="CR70" s="310"/>
      <c r="CS70" s="310" t="b">
        <f>AND(BE9=TRUE,CU34=TRUE)</f>
        <v>0</v>
      </c>
      <c r="CT70" s="338" t="e">
        <f>IF(CS70=TRUE,DV31,#N/A)</f>
        <v>#N/A</v>
      </c>
      <c r="CU70" s="338" t="e">
        <f>IF(CS70=TRUE,DU31,#N/A)</f>
        <v>#N/A</v>
      </c>
      <c r="CV70" s="310"/>
      <c r="CW70" s="310"/>
      <c r="CX70" s="310"/>
      <c r="CY70" s="310"/>
      <c r="CZ70" s="310"/>
      <c r="DA70" s="310"/>
      <c r="DB70" s="310">
        <v>7</v>
      </c>
      <c r="DC70" s="280" t="e">
        <f>IF(AND($DD$50=TRUE,$D$63&gt;=DB70),$DC$52,#N/A)</f>
        <v>#N/A</v>
      </c>
      <c r="DD70" s="280" t="e">
        <f>IF(AND($DD$50=TRUE,$D$63&gt;=DB70),$DD$52-0.2,#N/A)</f>
        <v>#N/A</v>
      </c>
      <c r="DE70" s="310"/>
      <c r="DF70" s="292" t="e">
        <f>IF(DG6=TRUE,DF10+0.05,DC10+0.05)</f>
        <v>#N/A</v>
      </c>
      <c r="DG70" s="292" t="e">
        <f>IF(DG60=TRUE,DA6,#N/A)</f>
        <v>#N/A</v>
      </c>
      <c r="DH70" s="310"/>
      <c r="DI70" s="310"/>
      <c r="DJ70" s="310"/>
      <c r="DK70" s="310"/>
      <c r="DL70" s="310"/>
      <c r="DM70" s="310"/>
      <c r="DN70" s="310"/>
      <c r="DO70" s="310"/>
      <c r="DP70" s="310"/>
      <c r="DQ70" s="310"/>
      <c r="DR70" s="310"/>
      <c r="DS70" s="310"/>
      <c r="DT70" s="338"/>
      <c r="DU70" s="338">
        <f>DU49+$BT$7/2</f>
        <v>0.8</v>
      </c>
      <c r="DV70" s="338">
        <f>DV69</f>
        <v>0.8</v>
      </c>
      <c r="DW70" s="310"/>
      <c r="DX70" s="310"/>
      <c r="DY70" s="338">
        <f>DY49+$BT$7/2</f>
        <v>0.8</v>
      </c>
      <c r="DZ70" s="338">
        <f>DZ69</f>
        <v>0.8</v>
      </c>
      <c r="EA70" s="310"/>
      <c r="EB70" s="310"/>
      <c r="EC70" s="310"/>
      <c r="ED70" s="310"/>
      <c r="EE70" s="280">
        <f>EE64</f>
        <v>0.95</v>
      </c>
      <c r="EF70" s="280">
        <f>EF66</f>
        <v>0.6</v>
      </c>
      <c r="EG70" s="310"/>
      <c r="EH70" s="310"/>
      <c r="EI70" s="310"/>
      <c r="EJ70" s="310" t="s">
        <v>188</v>
      </c>
      <c r="EK70" s="433">
        <f>N55</f>
        <v>8</v>
      </c>
      <c r="EL70" s="310"/>
      <c r="EM70" s="310"/>
      <c r="EN70" s="310" t="s">
        <v>189</v>
      </c>
      <c r="EO70" s="310"/>
      <c r="EP70" s="310"/>
      <c r="EQ70" s="310"/>
      <c r="ER70" s="310"/>
      <c r="ES70" s="310"/>
      <c r="ET70" s="310"/>
      <c r="EU70" s="310"/>
      <c r="EV70" s="310"/>
      <c r="EW70" s="310"/>
      <c r="EX70" s="310"/>
      <c r="EY70" s="310"/>
      <c r="EZ70" s="310"/>
      <c r="FA70" s="310"/>
      <c r="FB70" s="310"/>
      <c r="FC70" s="310"/>
      <c r="FD70" s="310"/>
      <c r="FE70" s="310"/>
      <c r="FF70" s="310"/>
      <c r="FG70" s="310"/>
      <c r="FH70" s="311"/>
      <c r="FI70" s="311"/>
      <c r="FJ70" s="311"/>
      <c r="FK70" s="310"/>
      <c r="FL70" s="310"/>
      <c r="FM70" s="310"/>
      <c r="FN70" s="310"/>
      <c r="FO70" s="310"/>
      <c r="FP70" s="310"/>
      <c r="FQ70" s="310"/>
      <c r="FR70" s="310"/>
      <c r="FS70" s="310"/>
      <c r="FT70" s="310"/>
      <c r="FU70" s="310"/>
      <c r="FV70" s="310"/>
      <c r="FW70" s="310"/>
      <c r="FX70" s="310"/>
      <c r="FY70" s="310"/>
      <c r="FZ70" s="310"/>
      <c r="GA70" s="310"/>
      <c r="GB70" s="310"/>
      <c r="GC70" s="310"/>
      <c r="GD70" s="310"/>
      <c r="GE70" s="328" t="s">
        <v>110</v>
      </c>
      <c r="GF70" s="462">
        <f>J26</f>
        <v>-0.65</v>
      </c>
      <c r="GG70" s="462">
        <f>J26</f>
        <v>-0.65</v>
      </c>
      <c r="GH70" s="462">
        <f>MIN(M19:O20)</f>
        <v>-0.65</v>
      </c>
      <c r="GI70" s="338">
        <f t="shared" si="125"/>
        <v>-0.65</v>
      </c>
      <c r="GJ70" s="338"/>
      <c r="GK70" s="338"/>
      <c r="GL70" s="338"/>
      <c r="GM70" s="338"/>
      <c r="GN70" s="338"/>
      <c r="GO70" s="310"/>
      <c r="GP70" s="310"/>
      <c r="GQ70" s="310"/>
      <c r="GR70" s="310"/>
      <c r="GS70" s="310"/>
      <c r="GT70" s="310"/>
      <c r="GU70" s="310"/>
      <c r="GV70" s="310"/>
      <c r="GW70" s="310"/>
      <c r="GX70" s="310"/>
      <c r="GY70" s="310"/>
      <c r="GZ70" s="310"/>
      <c r="HA70" s="310"/>
      <c r="HB70" s="310"/>
      <c r="HC70" s="310"/>
      <c r="HD70" s="310"/>
      <c r="HE70" s="310"/>
      <c r="HF70" s="310"/>
      <c r="HG70" s="310"/>
      <c r="HH70" s="310"/>
      <c r="HI70" s="310"/>
      <c r="HJ70" s="310"/>
      <c r="HK70" s="342">
        <v>56</v>
      </c>
      <c r="HL70" s="235" t="e">
        <f t="shared" si="5"/>
        <v>#N/A</v>
      </c>
      <c r="HM70" s="235" t="e">
        <f t="shared" si="6"/>
        <v>#N/A</v>
      </c>
      <c r="HN70" s="310"/>
      <c r="HO70" s="310"/>
      <c r="HP70" s="235" t="e">
        <f t="shared" si="7"/>
        <v>#N/A</v>
      </c>
      <c r="HQ70" s="235" t="e">
        <f t="shared" si="8"/>
        <v>#N/A</v>
      </c>
      <c r="HR70" s="310"/>
      <c r="HS70" s="310"/>
      <c r="HT70" s="235" t="e">
        <f t="shared" si="9"/>
        <v>#N/A</v>
      </c>
      <c r="HU70" s="235" t="e">
        <f t="shared" si="10"/>
        <v>#N/A</v>
      </c>
      <c r="HV70" s="310"/>
      <c r="HW70" s="310"/>
      <c r="HX70" s="235" t="e">
        <f t="shared" si="11"/>
        <v>#N/A</v>
      </c>
      <c r="HY70" s="235" t="e">
        <f t="shared" si="12"/>
        <v>#N/A</v>
      </c>
      <c r="HZ70" s="310"/>
      <c r="IA70" s="310"/>
      <c r="IB70" s="235" t="e">
        <f t="shared" si="13"/>
        <v>#N/A</v>
      </c>
      <c r="IC70" s="235" t="e">
        <f t="shared" si="14"/>
        <v>#N/A</v>
      </c>
      <c r="ID70" s="310"/>
      <c r="IE70" s="342">
        <v>56</v>
      </c>
      <c r="IF70" s="262" t="e">
        <f t="shared" si="15"/>
        <v>#N/A</v>
      </c>
      <c r="IG70" s="262" t="e">
        <f t="shared" si="16"/>
        <v>#N/A</v>
      </c>
      <c r="IH70" s="390"/>
      <c r="II70" s="390"/>
      <c r="IJ70" s="262" t="e">
        <f t="shared" si="17"/>
        <v>#N/A</v>
      </c>
      <c r="IK70" s="262" t="e">
        <f t="shared" si="18"/>
        <v>#N/A</v>
      </c>
      <c r="IL70" s="390"/>
      <c r="IM70" s="390"/>
      <c r="IN70" s="262" t="e">
        <f t="shared" si="19"/>
        <v>#N/A</v>
      </c>
      <c r="IO70" s="262" t="e">
        <f t="shared" si="20"/>
        <v>#N/A</v>
      </c>
      <c r="IP70" s="390"/>
      <c r="IQ70" s="390"/>
      <c r="IR70" s="262" t="e">
        <f t="shared" si="21"/>
        <v>#N/A</v>
      </c>
      <c r="IS70" s="262" t="e">
        <f t="shared" si="22"/>
        <v>#N/A</v>
      </c>
      <c r="IT70" s="390"/>
      <c r="IU70" s="390"/>
      <c r="IV70" s="262" t="e">
        <f t="shared" si="23"/>
        <v>#N/A</v>
      </c>
      <c r="IW70" s="262" t="e">
        <f t="shared" si="24"/>
        <v>#N/A</v>
      </c>
      <c r="IX70" s="310"/>
      <c r="IY70" s="310"/>
      <c r="IZ70" s="310"/>
      <c r="JA70" s="310"/>
      <c r="JB70" s="310"/>
      <c r="JC70" s="230" t="e">
        <v>#N/A</v>
      </c>
      <c r="JD70" s="230" t="e">
        <v>#N/A</v>
      </c>
      <c r="JE70" s="310"/>
      <c r="JF70" s="310"/>
      <c r="JG70" s="310"/>
      <c r="JH70" s="310"/>
      <c r="JI70" s="310"/>
      <c r="JJ70" s="264" t="e">
        <v>#N/A</v>
      </c>
      <c r="JK70" s="264" t="e">
        <v>#N/A</v>
      </c>
      <c r="JL70" s="310"/>
      <c r="JM70" s="310"/>
      <c r="JN70" s="261" t="e">
        <f t="shared" si="25"/>
        <v>#N/A</v>
      </c>
      <c r="JO70" s="261" t="e">
        <f t="shared" si="26"/>
        <v>#N/A</v>
      </c>
      <c r="JP70" s="310"/>
      <c r="JQ70" s="310"/>
      <c r="JR70" s="261" t="e">
        <f t="shared" si="31"/>
        <v>#N/A</v>
      </c>
      <c r="JS70" s="261" t="e">
        <f t="shared" si="32"/>
        <v>#N/A</v>
      </c>
      <c r="JT70" s="310"/>
      <c r="JU70" s="310"/>
      <c r="JV70" s="261" t="e">
        <f t="shared" si="27"/>
        <v>#N/A</v>
      </c>
      <c r="JW70" s="261" t="e">
        <f t="shared" si="28"/>
        <v>#N/A</v>
      </c>
      <c r="JX70" s="310"/>
      <c r="JY70" s="310"/>
      <c r="JZ70" s="310"/>
      <c r="KA70" s="310"/>
      <c r="KB70" s="313" t="s">
        <v>372</v>
      </c>
      <c r="KC70" s="242">
        <f>KC69</f>
        <v>-0.85</v>
      </c>
      <c r="KD70" s="242">
        <f>KA65-($IZ$108/2)+$IZ$114</f>
        <v>0.51500000000000001</v>
      </c>
      <c r="KE70" s="310"/>
      <c r="KF70" s="310"/>
      <c r="KG70" s="310"/>
      <c r="KH70" s="310"/>
      <c r="KI70" s="310"/>
      <c r="KJ70" s="310"/>
      <c r="KK70" s="310"/>
      <c r="KL70" s="310"/>
      <c r="KM70" s="310"/>
      <c r="KN70" s="310"/>
      <c r="KO70" s="310"/>
      <c r="KP70" s="310"/>
      <c r="KQ70" s="310"/>
      <c r="KR70" s="310"/>
      <c r="KS70" s="310"/>
      <c r="KT70" s="310"/>
      <c r="KU70" s="310"/>
      <c r="KV70" s="310"/>
      <c r="KW70" s="310"/>
      <c r="KX70" s="310"/>
      <c r="KY70" s="310"/>
      <c r="KZ70" s="310"/>
      <c r="LA70" s="310"/>
      <c r="LB70" s="310"/>
      <c r="LC70" s="310"/>
      <c r="LD70" s="310"/>
      <c r="LE70" s="310"/>
      <c r="LF70" s="310"/>
      <c r="LG70" s="310"/>
      <c r="LH70" s="463">
        <f>LH68</f>
        <v>0</v>
      </c>
      <c r="LI70" s="463" t="e">
        <f>LI68</f>
        <v>#N/A</v>
      </c>
      <c r="LJ70" s="463" t="e">
        <v>#N/A</v>
      </c>
      <c r="LK70" s="463" t="e">
        <v>#N/A</v>
      </c>
      <c r="LL70" s="463"/>
      <c r="LM70" s="310"/>
      <c r="LN70" s="310"/>
      <c r="LO70" s="391">
        <f>LO68</f>
        <v>0</v>
      </c>
      <c r="LP70" s="391" t="e">
        <f>LP68</f>
        <v>#N/A</v>
      </c>
      <c r="LQ70" s="463" t="e">
        <v>#N/A</v>
      </c>
      <c r="LR70" s="463" t="e">
        <v>#N/A</v>
      </c>
      <c r="LS70" s="391"/>
      <c r="LT70" s="310"/>
      <c r="LU70" s="310"/>
      <c r="LV70" s="391" t="e">
        <f>LV68</f>
        <v>#N/A</v>
      </c>
      <c r="LW70" s="391">
        <f>LW68</f>
        <v>0</v>
      </c>
      <c r="LX70" s="463" t="e">
        <v>#N/A</v>
      </c>
      <c r="LY70" s="463" t="e">
        <v>#N/A</v>
      </c>
      <c r="LZ70" s="391"/>
      <c r="MA70" s="310"/>
      <c r="MB70" s="310"/>
      <c r="MC70" s="391" t="e">
        <f>MC68</f>
        <v>#N/A</v>
      </c>
      <c r="MD70" s="391">
        <f>MD68</f>
        <v>0</v>
      </c>
      <c r="ME70" s="463" t="e">
        <v>#N/A</v>
      </c>
      <c r="MF70" s="463" t="e">
        <v>#N/A</v>
      </c>
      <c r="MG70" s="391"/>
      <c r="MH70" s="310"/>
      <c r="MI70" s="310"/>
      <c r="MJ70" s="239" t="e">
        <v>#N/A</v>
      </c>
      <c r="MK70" s="239" t="e">
        <v>#N/A</v>
      </c>
      <c r="ML70" s="228" t="e">
        <v>#N/A</v>
      </c>
      <c r="MM70" s="228" t="e">
        <v>#N/A</v>
      </c>
      <c r="MN70" s="391"/>
      <c r="MO70" s="310"/>
      <c r="MP70" s="311" t="e">
        <v>#N/A</v>
      </c>
      <c r="MQ70" s="311" t="e">
        <v>#N/A</v>
      </c>
      <c r="MR70" s="311" t="e">
        <v>#N/A</v>
      </c>
      <c r="MS70" s="311" t="e">
        <v>#N/A</v>
      </c>
      <c r="MT70" s="310"/>
      <c r="MU70" s="297" t="e">
        <f>MU67</f>
        <v>#N/A</v>
      </c>
      <c r="MV70" s="297" t="e">
        <f>MV69</f>
        <v>#N/A</v>
      </c>
      <c r="MW70" s="280" t="e">
        <f>IF(MY70=TRUE,MW67,#N/A)</f>
        <v>#N/A</v>
      </c>
      <c r="MX70" s="280" t="e">
        <f>IF(MY70=TRUE,MX67-0.15,#N/A)</f>
        <v>#N/A</v>
      </c>
      <c r="MY70" s="338" t="b">
        <f>AND(MY54=TRUE,$D$63&gt;=MZ39)</f>
        <v>0</v>
      </c>
      <c r="MZ70" s="310"/>
      <c r="NA70" s="310"/>
      <c r="NB70" s="310"/>
      <c r="NC70" s="310"/>
      <c r="ND70" s="310"/>
      <c r="NE70" s="310"/>
      <c r="NF70" s="310"/>
      <c r="NG70" s="310"/>
      <c r="NH70" s="310"/>
      <c r="NI70" s="310"/>
      <c r="NJ70" s="310"/>
      <c r="NK70" s="310"/>
      <c r="NL70" s="310"/>
      <c r="NM70" s="310"/>
      <c r="NN70" s="310"/>
      <c r="NO70" s="310"/>
      <c r="NP70" s="310"/>
      <c r="NQ70" s="310"/>
      <c r="NR70" s="310"/>
      <c r="NS70" s="310"/>
      <c r="NT70" s="310"/>
      <c r="NU70" s="310"/>
      <c r="NV70" s="310"/>
      <c r="NW70" s="310"/>
      <c r="NX70" s="310"/>
      <c r="NY70" s="310"/>
      <c r="NZ70" s="310"/>
      <c r="OA70" s="310"/>
      <c r="OB70" s="310"/>
      <c r="OC70" s="310"/>
      <c r="OD70" s="310"/>
      <c r="OE70" s="310"/>
      <c r="OF70" s="310"/>
      <c r="OG70" s="310"/>
      <c r="OH70" s="310"/>
      <c r="OI70" s="310"/>
      <c r="OJ70" s="310"/>
      <c r="OK70" s="310"/>
      <c r="OL70" s="310"/>
      <c r="OM70" s="310"/>
      <c r="ON70" s="310"/>
      <c r="OO70" s="310"/>
      <c r="OP70" s="310"/>
      <c r="OQ70" s="310"/>
      <c r="OR70" s="310"/>
      <c r="OS70" s="310"/>
      <c r="OT70" s="310"/>
      <c r="OU70" s="310"/>
      <c r="OV70" s="310"/>
      <c r="OW70" s="310"/>
      <c r="OX70" s="310"/>
      <c r="OY70" s="310"/>
      <c r="OZ70" s="310"/>
      <c r="PA70" s="310"/>
      <c r="PB70" s="310"/>
      <c r="PC70" s="310"/>
      <c r="PD70" s="310"/>
      <c r="PE70" s="310"/>
      <c r="PF70" s="310"/>
      <c r="PG70" s="310"/>
      <c r="PH70" s="310"/>
      <c r="PI70" s="310"/>
      <c r="PJ70" s="310"/>
      <c r="PK70" s="310"/>
      <c r="PL70" s="310"/>
      <c r="PM70" s="310"/>
      <c r="PN70" s="310"/>
      <c r="PO70" s="310"/>
      <c r="PP70" s="310"/>
      <c r="PQ70" s="310"/>
      <c r="PR70" s="310"/>
      <c r="PS70" s="342">
        <v>56</v>
      </c>
      <c r="PT70" s="261" t="e">
        <f t="shared" si="29"/>
        <v>#N/A</v>
      </c>
      <c r="PU70" s="261" t="e">
        <f t="shared" si="30"/>
        <v>#N/A</v>
      </c>
      <c r="PV70" s="310"/>
      <c r="PW70" s="310"/>
      <c r="PX70" s="310"/>
      <c r="PY70" s="310"/>
      <c r="PZ70" s="310"/>
      <c r="QA70" s="310"/>
      <c r="QB70" s="310"/>
      <c r="QC70" s="310"/>
      <c r="QD70" s="310"/>
      <c r="QE70" s="310"/>
      <c r="QF70" s="310"/>
      <c r="QG70" s="310"/>
      <c r="QH70" s="310"/>
      <c r="QI70" s="310"/>
      <c r="QJ70" s="310"/>
      <c r="QK70" s="310"/>
      <c r="QL70" s="310"/>
      <c r="QM70" s="310"/>
      <c r="QN70" s="310"/>
      <c r="QO70" s="310"/>
      <c r="QP70" s="310"/>
      <c r="QQ70" s="310"/>
      <c r="QR70" s="310"/>
      <c r="QS70" s="310"/>
      <c r="QT70" s="310"/>
      <c r="QU70" s="310"/>
      <c r="QV70" s="310"/>
      <c r="QW70" s="310"/>
      <c r="QX70" s="310"/>
      <c r="QY70" s="310"/>
      <c r="QZ70" s="310"/>
      <c r="RA70" s="310"/>
      <c r="RB70" s="310"/>
      <c r="RC70" s="310"/>
      <c r="RD70" s="310"/>
      <c r="RE70" s="310"/>
      <c r="RF70" s="310"/>
      <c r="RG70" s="310"/>
      <c r="RH70" s="310"/>
      <c r="RI70" s="310"/>
      <c r="RJ70" s="310"/>
      <c r="RK70" s="310"/>
      <c r="RL70" s="310"/>
      <c r="RM70" s="310"/>
      <c r="RN70" s="310"/>
      <c r="RO70" s="310"/>
      <c r="RP70" s="310"/>
      <c r="RQ70" s="310"/>
      <c r="RR70" s="310"/>
      <c r="RS70" s="310"/>
      <c r="RT70" s="310"/>
      <c r="RU70" s="310"/>
      <c r="RV70" s="310"/>
      <c r="RW70" s="310"/>
      <c r="RX70" s="310"/>
      <c r="RY70" s="310"/>
      <c r="RZ70" s="310"/>
      <c r="SA70" s="310"/>
      <c r="SB70" s="310"/>
      <c r="SC70" s="338" t="s">
        <v>560</v>
      </c>
      <c r="SD70" s="338" t="b">
        <f>CP13</f>
        <v>1</v>
      </c>
      <c r="SE70" s="310"/>
      <c r="SF70" s="310"/>
      <c r="SG70" s="338"/>
      <c r="SH70" s="310"/>
      <c r="SI70" s="310"/>
      <c r="SJ70" s="310"/>
      <c r="SK70" s="310"/>
      <c r="SL70" s="310"/>
      <c r="SM70" s="310"/>
      <c r="SN70" s="310"/>
      <c r="SO70" s="220"/>
      <c r="SP70" s="220"/>
      <c r="SQ70" s="220"/>
      <c r="SR70" s="220"/>
      <c r="SS70" s="220"/>
      <c r="ST70" s="220"/>
      <c r="SU70" s="220"/>
      <c r="SV70" s="220"/>
      <c r="SW70" s="220"/>
      <c r="SX70" s="220"/>
      <c r="SY70" s="220"/>
      <c r="SZ70" s="220"/>
      <c r="TA70" s="220"/>
      <c r="TB70" s="220"/>
      <c r="TC70" s="220"/>
      <c r="TD70" s="220"/>
      <c r="TE70" s="220"/>
      <c r="TF70" s="220"/>
      <c r="TG70" s="220"/>
      <c r="TH70" s="220"/>
      <c r="TI70" s="220"/>
      <c r="TJ70" s="220"/>
      <c r="TK70" s="220"/>
      <c r="TL70" s="220"/>
      <c r="TM70" s="220"/>
      <c r="TN70" s="220"/>
      <c r="TO70" s="220"/>
      <c r="TP70" s="220"/>
      <c r="TQ70" s="220"/>
      <c r="TR70" s="220"/>
      <c r="TS70" s="220"/>
      <c r="TT70" s="220"/>
      <c r="TU70" s="220"/>
      <c r="TV70" s="220"/>
      <c r="TW70" s="220"/>
      <c r="TX70" s="220"/>
      <c r="TY70" s="220"/>
      <c r="TZ70" s="220"/>
      <c r="UA70" s="220"/>
      <c r="UB70" s="220"/>
      <c r="UC70" s="220"/>
      <c r="UD70" s="220"/>
      <c r="UE70" s="220"/>
      <c r="UF70" s="220"/>
      <c r="UG70" s="220"/>
      <c r="UH70" s="220"/>
      <c r="UI70" s="220"/>
      <c r="UJ70" s="220"/>
      <c r="UK70" s="216"/>
      <c r="UL70" s="216"/>
      <c r="UM70" s="216"/>
      <c r="UN70" s="216"/>
      <c r="UO70" s="216"/>
      <c r="UP70" s="216"/>
      <c r="UQ70" s="216"/>
      <c r="UR70" s="216"/>
      <c r="US70" s="216"/>
      <c r="UT70" s="216"/>
      <c r="UU70" s="216"/>
      <c r="UV70" s="216"/>
      <c r="UW70" s="216"/>
      <c r="UX70" s="216"/>
      <c r="UY70" s="216"/>
      <c r="UZ70" s="216"/>
      <c r="VA70" s="216"/>
    </row>
    <row r="71" spans="1:573" s="4" customFormat="1" ht="15" customHeight="1" x14ac:dyDescent="0.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5"/>
      <c r="AM71" s="45"/>
      <c r="AN71" s="45"/>
      <c r="AO71" s="45"/>
      <c r="AP71" s="310"/>
      <c r="AQ71" s="310"/>
      <c r="AR71" s="310" t="s">
        <v>249</v>
      </c>
      <c r="AS71" s="310"/>
      <c r="AT71" s="476"/>
      <c r="AU71" s="477"/>
      <c r="AV71" s="477"/>
      <c r="AW71" s="478"/>
      <c r="AX71" s="479"/>
      <c r="AY71" s="479"/>
      <c r="AZ71" s="479"/>
      <c r="BA71" s="479"/>
      <c r="BB71" s="310"/>
      <c r="BC71" s="310"/>
      <c r="BD71" s="310"/>
      <c r="BE71" s="310"/>
      <c r="BF71" s="310"/>
      <c r="BG71" s="310"/>
      <c r="BH71" s="310"/>
      <c r="BI71" s="310"/>
      <c r="BJ71" s="310"/>
      <c r="BK71" s="310"/>
      <c r="BL71" s="310"/>
      <c r="BM71" s="310"/>
      <c r="BN71" s="310"/>
      <c r="BO71" s="310"/>
      <c r="BP71" s="310"/>
      <c r="BQ71" s="310"/>
      <c r="BR71" s="310"/>
      <c r="BS71" s="310"/>
      <c r="BT71" s="310"/>
      <c r="BU71" s="310"/>
      <c r="BV71" s="310"/>
      <c r="BW71" s="310"/>
      <c r="BX71" s="310"/>
      <c r="BY71" s="338" t="e">
        <f>BY51-BT7/2</f>
        <v>#N/A</v>
      </c>
      <c r="BZ71" s="338" t="e">
        <f>BZ51+BT7/2</f>
        <v>#N/A</v>
      </c>
      <c r="CA71" s="310"/>
      <c r="CB71" s="310" t="e">
        <f>IF($CE$69=TRUE,BY31,#N/A)</f>
        <v>#N/A</v>
      </c>
      <c r="CC71" s="310" t="e">
        <f>IF($CE$69=TRUE,BZ31,#N/A)</f>
        <v>#N/A</v>
      </c>
      <c r="CD71" s="228" t="e">
        <f>CB71-CD44</f>
        <v>#N/A</v>
      </c>
      <c r="CE71" s="228" t="e">
        <f>CC73</f>
        <v>#N/A</v>
      </c>
      <c r="CF71" s="247" t="e">
        <f>CD72</f>
        <v>#N/A</v>
      </c>
      <c r="CG71" s="247" t="e">
        <f>CE73-(CE73-CE71)/2</f>
        <v>#N/A</v>
      </c>
      <c r="CH71" s="454" t="e">
        <f>CE73-CE72</f>
        <v>#N/A</v>
      </c>
      <c r="CI71" s="454"/>
      <c r="CJ71" s="310"/>
      <c r="CK71" s="310"/>
      <c r="CL71" s="310"/>
      <c r="CM71" s="310"/>
      <c r="CN71" s="336" t="e">
        <f>CN70+(CN29-CN28)/1.5</f>
        <v>#N/A</v>
      </c>
      <c r="CO71" s="338" t="e">
        <f>IF(CM70=TRUE,CL22,#N/A)</f>
        <v>#N/A</v>
      </c>
      <c r="CP71" s="310"/>
      <c r="CQ71" s="310"/>
      <c r="CR71" s="310"/>
      <c r="CS71" s="310"/>
      <c r="CT71" s="338" t="e">
        <f>IF(CS70=TRUE,CK25,#N/A)</f>
        <v>#N/A</v>
      </c>
      <c r="CU71" s="338" t="e">
        <f>CU70-(CO29-CO30)</f>
        <v>#N/A</v>
      </c>
      <c r="CV71" s="310"/>
      <c r="CW71" s="310"/>
      <c r="CX71" s="310"/>
      <c r="CY71" s="310"/>
      <c r="CZ71" s="310"/>
      <c r="DA71" s="310"/>
      <c r="DB71" s="310"/>
      <c r="DC71" s="280" t="e">
        <f>IF(AND($DD$50=TRUE,$D$63&gt;=DB70),$DC$53,#N/A)</f>
        <v>#N/A</v>
      </c>
      <c r="DD71" s="280" t="e">
        <f>DD70</f>
        <v>#N/A</v>
      </c>
      <c r="DE71" s="310"/>
      <c r="DF71" s="293" t="e">
        <f>DF70+DA6/2</f>
        <v>#N/A</v>
      </c>
      <c r="DG71" s="292" t="e">
        <f>DG70</f>
        <v>#N/A</v>
      </c>
      <c r="DH71" s="310"/>
      <c r="DI71" s="310"/>
      <c r="DJ71" s="310"/>
      <c r="DK71" s="310"/>
      <c r="DL71" s="310"/>
      <c r="DM71" s="310"/>
      <c r="DN71" s="310"/>
      <c r="DO71" s="310"/>
      <c r="DP71" s="310"/>
      <c r="DQ71" s="310"/>
      <c r="DR71" s="310"/>
      <c r="DS71" s="310"/>
      <c r="DT71" s="338"/>
      <c r="DU71" s="338">
        <f>DU70</f>
        <v>0.8</v>
      </c>
      <c r="DV71" s="338">
        <f>DV49-$BT$7/2</f>
        <v>0.5</v>
      </c>
      <c r="DW71" s="310"/>
      <c r="DX71" s="310"/>
      <c r="DY71" s="338">
        <f>DY70</f>
        <v>0.8</v>
      </c>
      <c r="DZ71" s="338">
        <f>DZ49-$BT$7/2</f>
        <v>0.5</v>
      </c>
      <c r="EA71" s="310"/>
      <c r="EB71" s="310"/>
      <c r="EC71" s="310"/>
      <c r="ED71" s="310"/>
      <c r="EE71" s="280">
        <f>EB61+O12/2</f>
        <v>0.2</v>
      </c>
      <c r="EF71" s="280">
        <f>EF67</f>
        <v>0.6</v>
      </c>
      <c r="EG71" s="310"/>
      <c r="EH71" s="310"/>
      <c r="EI71" s="310"/>
      <c r="EJ71" s="310"/>
      <c r="EK71" s="310" t="s">
        <v>48</v>
      </c>
      <c r="EL71" s="310" t="s">
        <v>49</v>
      </c>
      <c r="EM71" s="310"/>
      <c r="EN71" s="310" t="s">
        <v>48</v>
      </c>
      <c r="EO71" s="310" t="s">
        <v>49</v>
      </c>
      <c r="EP71" s="310"/>
      <c r="EQ71" s="338" t="s">
        <v>48</v>
      </c>
      <c r="ER71" s="338" t="s">
        <v>49</v>
      </c>
      <c r="ES71" s="338" t="s">
        <v>50</v>
      </c>
      <c r="ET71" s="310"/>
      <c r="EU71" s="310"/>
      <c r="EV71" s="310"/>
      <c r="EW71" s="310"/>
      <c r="EX71" s="310"/>
      <c r="EY71" s="310"/>
      <c r="EZ71" s="310"/>
      <c r="FA71" s="310"/>
      <c r="FB71" s="310"/>
      <c r="FC71" s="310"/>
      <c r="FD71" s="310"/>
      <c r="FE71" s="310"/>
      <c r="FF71" s="310"/>
      <c r="FG71" s="310"/>
      <c r="FH71" s="311"/>
      <c r="FI71" s="311"/>
      <c r="FJ71" s="311"/>
      <c r="FK71" s="310"/>
      <c r="FL71" s="310"/>
      <c r="FM71" s="310"/>
      <c r="FN71" s="310"/>
      <c r="FO71" s="310"/>
      <c r="FP71" s="310"/>
      <c r="FQ71" s="310"/>
      <c r="FR71" s="310"/>
      <c r="FS71" s="310"/>
      <c r="FT71" s="310"/>
      <c r="FU71" s="310"/>
      <c r="FV71" s="310"/>
      <c r="FW71" s="310"/>
      <c r="FX71" s="310"/>
      <c r="FY71" s="310"/>
      <c r="FZ71" s="310"/>
      <c r="GA71" s="310"/>
      <c r="GB71" s="310"/>
      <c r="GC71" s="310"/>
      <c r="GD71" s="310"/>
      <c r="GE71" s="310"/>
      <c r="GF71" s="310"/>
      <c r="GG71" s="310"/>
      <c r="GH71" s="310"/>
      <c r="GI71" s="310"/>
      <c r="GJ71" s="310"/>
      <c r="GK71" s="310"/>
      <c r="GL71" s="310"/>
      <c r="GM71" s="310"/>
      <c r="GN71" s="310"/>
      <c r="GO71" s="310"/>
      <c r="GP71" s="310"/>
      <c r="GQ71" s="310"/>
      <c r="GR71" s="310"/>
      <c r="GS71" s="310"/>
      <c r="GT71" s="310"/>
      <c r="GU71" s="310"/>
      <c r="GV71" s="310"/>
      <c r="GW71" s="310"/>
      <c r="GX71" s="310"/>
      <c r="GY71" s="310"/>
      <c r="GZ71" s="310"/>
      <c r="HA71" s="310"/>
      <c r="HB71" s="310"/>
      <c r="HC71" s="310"/>
      <c r="HD71" s="310"/>
      <c r="HE71" s="310"/>
      <c r="HF71" s="310"/>
      <c r="HG71" s="310"/>
      <c r="HH71" s="310"/>
      <c r="HI71" s="310"/>
      <c r="HJ71" s="310"/>
      <c r="HK71" s="342">
        <v>57</v>
      </c>
      <c r="HL71" s="235" t="e">
        <f t="shared" si="5"/>
        <v>#N/A</v>
      </c>
      <c r="HM71" s="235" t="e">
        <f t="shared" si="6"/>
        <v>#N/A</v>
      </c>
      <c r="HN71" s="310"/>
      <c r="HO71" s="310"/>
      <c r="HP71" s="235" t="e">
        <f t="shared" si="7"/>
        <v>#N/A</v>
      </c>
      <c r="HQ71" s="235" t="e">
        <f t="shared" si="8"/>
        <v>#N/A</v>
      </c>
      <c r="HR71" s="310"/>
      <c r="HS71" s="310"/>
      <c r="HT71" s="235" t="e">
        <f t="shared" si="9"/>
        <v>#N/A</v>
      </c>
      <c r="HU71" s="235" t="e">
        <f t="shared" si="10"/>
        <v>#N/A</v>
      </c>
      <c r="HV71" s="310"/>
      <c r="HW71" s="310"/>
      <c r="HX71" s="235" t="e">
        <f t="shared" si="11"/>
        <v>#N/A</v>
      </c>
      <c r="HY71" s="235" t="e">
        <f t="shared" si="12"/>
        <v>#N/A</v>
      </c>
      <c r="HZ71" s="310"/>
      <c r="IA71" s="310"/>
      <c r="IB71" s="235" t="e">
        <f t="shared" si="13"/>
        <v>#N/A</v>
      </c>
      <c r="IC71" s="235" t="e">
        <f t="shared" si="14"/>
        <v>#N/A</v>
      </c>
      <c r="ID71" s="310"/>
      <c r="IE71" s="342">
        <v>57</v>
      </c>
      <c r="IF71" s="262" t="e">
        <f t="shared" si="15"/>
        <v>#N/A</v>
      </c>
      <c r="IG71" s="262" t="e">
        <f t="shared" si="16"/>
        <v>#N/A</v>
      </c>
      <c r="IH71" s="390"/>
      <c r="II71" s="390"/>
      <c r="IJ71" s="262" t="e">
        <f t="shared" si="17"/>
        <v>#N/A</v>
      </c>
      <c r="IK71" s="262" t="e">
        <f t="shared" si="18"/>
        <v>#N/A</v>
      </c>
      <c r="IL71" s="390"/>
      <c r="IM71" s="390"/>
      <c r="IN71" s="262" t="e">
        <f t="shared" si="19"/>
        <v>#N/A</v>
      </c>
      <c r="IO71" s="262" t="e">
        <f t="shared" si="20"/>
        <v>#N/A</v>
      </c>
      <c r="IP71" s="390"/>
      <c r="IQ71" s="390"/>
      <c r="IR71" s="262" t="e">
        <f t="shared" si="21"/>
        <v>#N/A</v>
      </c>
      <c r="IS71" s="262" t="e">
        <f t="shared" si="22"/>
        <v>#N/A</v>
      </c>
      <c r="IT71" s="390"/>
      <c r="IU71" s="390"/>
      <c r="IV71" s="262" t="e">
        <f t="shared" si="23"/>
        <v>#N/A</v>
      </c>
      <c r="IW71" s="262" t="e">
        <f t="shared" si="24"/>
        <v>#N/A</v>
      </c>
      <c r="IX71" s="310"/>
      <c r="IY71" s="342" t="s">
        <v>353</v>
      </c>
      <c r="IZ71" s="328" t="s">
        <v>383</v>
      </c>
      <c r="JA71" s="338" t="b">
        <f>AND($GY$6&gt;=$GX$21,$GY$6&lt;=$GX$27,$BM$8=TRUE)</f>
        <v>0</v>
      </c>
      <c r="JB71" s="313" t="s">
        <v>106</v>
      </c>
      <c r="JC71" s="228" t="e">
        <f>IZ73-$IZ$62/2</f>
        <v>#N/A</v>
      </c>
      <c r="JD71" s="228" t="e">
        <f>JA73+$IZ$61/2</f>
        <v>#N/A</v>
      </c>
      <c r="JE71" s="310"/>
      <c r="JF71" s="342" t="s">
        <v>353</v>
      </c>
      <c r="JG71" s="328" t="s">
        <v>383</v>
      </c>
      <c r="JH71" s="338" t="b">
        <f>IF(CP13=TRUE,AND($GY$6&gt;=$GX$21,$GY$6&lt;=$GX$27,$BM$8=TRUE,$BE$7=TRUE,CU11=TRUE),FALSE)</f>
        <v>0</v>
      </c>
      <c r="JI71" s="313" t="s">
        <v>106</v>
      </c>
      <c r="JJ71" s="242" t="e">
        <f>JG73-$IZ$62/2</f>
        <v>#N/A</v>
      </c>
      <c r="JK71" s="242" t="e">
        <f>JH73+$IZ$61/2</f>
        <v>#N/A</v>
      </c>
      <c r="JL71" s="310"/>
      <c r="JM71" s="310"/>
      <c r="JN71" s="261" t="e">
        <f t="shared" si="25"/>
        <v>#N/A</v>
      </c>
      <c r="JO71" s="261" t="e">
        <f t="shared" si="26"/>
        <v>#N/A</v>
      </c>
      <c r="JP71" s="310"/>
      <c r="JQ71" s="310"/>
      <c r="JR71" s="261" t="e">
        <f t="shared" si="31"/>
        <v>#N/A</v>
      </c>
      <c r="JS71" s="261" t="e">
        <f t="shared" si="32"/>
        <v>#N/A</v>
      </c>
      <c r="JT71" s="310"/>
      <c r="JU71" s="310"/>
      <c r="JV71" s="261" t="e">
        <f t="shared" si="27"/>
        <v>#N/A</v>
      </c>
      <c r="JW71" s="261" t="e">
        <f t="shared" si="28"/>
        <v>#N/A</v>
      </c>
      <c r="JX71" s="310"/>
      <c r="JY71" s="310"/>
      <c r="JZ71" s="310"/>
      <c r="KA71" s="310"/>
      <c r="KB71" s="313" t="s">
        <v>373</v>
      </c>
      <c r="KC71" s="242">
        <f>KC64</f>
        <v>-0.86499999999999999</v>
      </c>
      <c r="KD71" s="242">
        <f>KA65-$IZ$108/2</f>
        <v>0.5</v>
      </c>
      <c r="KE71" s="310"/>
      <c r="KF71" s="310"/>
      <c r="KG71" s="310"/>
      <c r="KH71" s="310"/>
      <c r="KI71" s="310"/>
      <c r="KJ71" s="310"/>
      <c r="KK71" s="310"/>
      <c r="KL71" s="310"/>
      <c r="KM71" s="310"/>
      <c r="KN71" s="310"/>
      <c r="KO71" s="310"/>
      <c r="KP71" s="310"/>
      <c r="KQ71" s="310"/>
      <c r="KR71" s="310"/>
      <c r="KS71" s="310"/>
      <c r="KT71" s="310"/>
      <c r="KU71" s="310"/>
      <c r="KV71" s="310"/>
      <c r="KW71" s="310"/>
      <c r="KX71" s="310"/>
      <c r="KY71" s="310"/>
      <c r="KZ71" s="310"/>
      <c r="LA71" s="310"/>
      <c r="LB71" s="310"/>
      <c r="LC71" s="310"/>
      <c r="LD71" s="310"/>
      <c r="LE71" s="310"/>
      <c r="LF71" s="310"/>
      <c r="LG71" s="310"/>
      <c r="LH71" s="463" t="e">
        <f>LC57</f>
        <v>#N/A</v>
      </c>
      <c r="LI71" s="463" t="e">
        <f>LI70</f>
        <v>#N/A</v>
      </c>
      <c r="LJ71" s="463" t="e">
        <v>#N/A</v>
      </c>
      <c r="LK71" s="463" t="e">
        <v>#N/A</v>
      </c>
      <c r="LL71" s="463"/>
      <c r="LM71" s="310"/>
      <c r="LN71" s="310"/>
      <c r="LO71" s="391" t="e">
        <f>LC60</f>
        <v>#N/A</v>
      </c>
      <c r="LP71" s="391" t="e">
        <f>LP70</f>
        <v>#N/A</v>
      </c>
      <c r="LQ71" s="463" t="e">
        <v>#N/A</v>
      </c>
      <c r="LR71" s="463" t="e">
        <v>#N/A</v>
      </c>
      <c r="LS71" s="391"/>
      <c r="LT71" s="310"/>
      <c r="LU71" s="310"/>
      <c r="LV71" s="391" t="e">
        <f>LV70</f>
        <v>#N/A</v>
      </c>
      <c r="LW71" s="391" t="e">
        <f>LD51</f>
        <v>#N/A</v>
      </c>
      <c r="LX71" s="463" t="e">
        <v>#N/A</v>
      </c>
      <c r="LY71" s="463" t="e">
        <v>#N/A</v>
      </c>
      <c r="LZ71" s="391"/>
      <c r="MA71" s="310"/>
      <c r="MB71" s="310"/>
      <c r="MC71" s="391" t="e">
        <f>MC70</f>
        <v>#N/A</v>
      </c>
      <c r="MD71" s="391" t="e">
        <f>LD66</f>
        <v>#N/A</v>
      </c>
      <c r="ME71" s="463" t="e">
        <v>#N/A</v>
      </c>
      <c r="MF71" s="463" t="e">
        <v>#N/A</v>
      </c>
      <c r="MG71" s="391"/>
      <c r="MH71" s="310"/>
      <c r="MI71" s="310"/>
      <c r="MJ71" s="239" t="e">
        <v>#N/A</v>
      </c>
      <c r="MK71" s="239" t="e">
        <v>#N/A</v>
      </c>
      <c r="ML71" s="228" t="e">
        <v>#N/A</v>
      </c>
      <c r="MM71" s="228" t="e">
        <v>#N/A</v>
      </c>
      <c r="MN71" s="391"/>
      <c r="MO71" s="310"/>
      <c r="MP71" s="311" t="e">
        <v>#N/A</v>
      </c>
      <c r="MQ71" s="311" t="e">
        <v>#N/A</v>
      </c>
      <c r="MR71" s="311" t="e">
        <v>#N/A</v>
      </c>
      <c r="MS71" s="311" t="e">
        <v>#N/A</v>
      </c>
      <c r="MT71" s="310"/>
      <c r="MU71" s="292" t="e">
        <v>#N/A</v>
      </c>
      <c r="MV71" s="292" t="e">
        <v>#N/A</v>
      </c>
      <c r="MW71" s="280" t="e">
        <f>IF(MY70=TRUE,MW68,#N/A)</f>
        <v>#N/A</v>
      </c>
      <c r="MX71" s="280" t="e">
        <f>MX70</f>
        <v>#N/A</v>
      </c>
      <c r="MY71" s="338"/>
      <c r="MZ71" s="310"/>
      <c r="NA71" s="310"/>
      <c r="NB71" s="310"/>
      <c r="NC71" s="310"/>
      <c r="ND71" s="310"/>
      <c r="NE71" s="310"/>
      <c r="NF71" s="310"/>
      <c r="NG71" s="310"/>
      <c r="NH71" s="310"/>
      <c r="NI71" s="310"/>
      <c r="NJ71" s="310"/>
      <c r="NK71" s="310"/>
      <c r="NL71" s="310"/>
      <c r="NM71" s="310"/>
      <c r="NN71" s="310"/>
      <c r="NO71" s="310"/>
      <c r="NP71" s="310"/>
      <c r="NQ71" s="310"/>
      <c r="NR71" s="310"/>
      <c r="NS71" s="310"/>
      <c r="NT71" s="310"/>
      <c r="NU71" s="310"/>
      <c r="NV71" s="310"/>
      <c r="NW71" s="310"/>
      <c r="NX71" s="310"/>
      <c r="NY71" s="310"/>
      <c r="NZ71" s="310"/>
      <c r="OA71" s="310"/>
      <c r="OB71" s="310"/>
      <c r="OC71" s="310"/>
      <c r="OD71" s="310"/>
      <c r="OE71" s="310"/>
      <c r="OF71" s="310"/>
      <c r="OG71" s="310"/>
      <c r="OH71" s="310"/>
      <c r="OI71" s="310"/>
      <c r="OJ71" s="310"/>
      <c r="OK71" s="310"/>
      <c r="OL71" s="310"/>
      <c r="OM71" s="310"/>
      <c r="ON71" s="310"/>
      <c r="OO71" s="310"/>
      <c r="OP71" s="310"/>
      <c r="OQ71" s="310"/>
      <c r="OR71" s="310"/>
      <c r="OS71" s="310"/>
      <c r="OT71" s="310"/>
      <c r="OU71" s="310"/>
      <c r="OV71" s="310"/>
      <c r="OW71" s="310"/>
      <c r="OX71" s="310"/>
      <c r="OY71" s="310"/>
      <c r="OZ71" s="310"/>
      <c r="PA71" s="310"/>
      <c r="PB71" s="310"/>
      <c r="PC71" s="310"/>
      <c r="PD71" s="310"/>
      <c r="PE71" s="310"/>
      <c r="PF71" s="310"/>
      <c r="PG71" s="310"/>
      <c r="PH71" s="310"/>
      <c r="PI71" s="310"/>
      <c r="PJ71" s="310"/>
      <c r="PK71" s="310"/>
      <c r="PL71" s="310"/>
      <c r="PM71" s="310"/>
      <c r="PN71" s="310"/>
      <c r="PO71" s="310"/>
      <c r="PP71" s="310"/>
      <c r="PQ71" s="310"/>
      <c r="PR71" s="310"/>
      <c r="PS71" s="342">
        <v>57</v>
      </c>
      <c r="PT71" s="261" t="e">
        <f t="shared" si="29"/>
        <v>#N/A</v>
      </c>
      <c r="PU71" s="261" t="e">
        <f t="shared" si="30"/>
        <v>#N/A</v>
      </c>
      <c r="PV71" s="310"/>
      <c r="PW71" s="310"/>
      <c r="PX71" s="310"/>
      <c r="PY71" s="310"/>
      <c r="PZ71" s="310"/>
      <c r="QA71" s="310"/>
      <c r="QB71" s="310"/>
      <c r="QC71" s="310"/>
      <c r="QD71" s="310"/>
      <c r="QE71" s="310"/>
      <c r="QF71" s="310"/>
      <c r="QG71" s="310"/>
      <c r="QH71" s="310"/>
      <c r="QI71" s="310"/>
      <c r="QJ71" s="310"/>
      <c r="QK71" s="310"/>
      <c r="QL71" s="310"/>
      <c r="QM71" s="310"/>
      <c r="QN71" s="310"/>
      <c r="QO71" s="310"/>
      <c r="QP71" s="310"/>
      <c r="QQ71" s="310"/>
      <c r="QR71" s="310"/>
      <c r="QS71" s="310"/>
      <c r="QT71" s="310"/>
      <c r="QU71" s="310"/>
      <c r="QV71" s="310"/>
      <c r="QW71" s="310"/>
      <c r="QX71" s="310"/>
      <c r="QY71" s="310"/>
      <c r="QZ71" s="310"/>
      <c r="RA71" s="310"/>
      <c r="RB71" s="310"/>
      <c r="RC71" s="310"/>
      <c r="RD71" s="310"/>
      <c r="RE71" s="310"/>
      <c r="RF71" s="310"/>
      <c r="RG71" s="310"/>
      <c r="RH71" s="310"/>
      <c r="RI71" s="310"/>
      <c r="RJ71" s="310"/>
      <c r="RK71" s="310"/>
      <c r="RL71" s="310"/>
      <c r="RM71" s="310"/>
      <c r="RN71" s="310"/>
      <c r="RO71" s="310"/>
      <c r="RP71" s="310"/>
      <c r="RQ71" s="310"/>
      <c r="RR71" s="310"/>
      <c r="RS71" s="310"/>
      <c r="RT71" s="310"/>
      <c r="RU71" s="310"/>
      <c r="RV71" s="310"/>
      <c r="RW71" s="310"/>
      <c r="RX71" s="310"/>
      <c r="RY71" s="310"/>
      <c r="RZ71" s="310"/>
      <c r="SA71" s="310"/>
      <c r="SB71" s="310"/>
      <c r="SC71" s="310"/>
      <c r="SD71" s="310"/>
      <c r="SE71" s="310"/>
      <c r="SF71" s="310"/>
      <c r="SG71" s="310"/>
      <c r="SH71" s="310"/>
      <c r="SI71" s="310"/>
      <c r="SJ71" s="310"/>
      <c r="SK71" s="310"/>
      <c r="SL71" s="310"/>
      <c r="SM71" s="310"/>
      <c r="SN71" s="310"/>
      <c r="SO71" s="220"/>
      <c r="SP71" s="220"/>
      <c r="SQ71" s="220"/>
      <c r="SR71" s="220"/>
      <c r="SS71" s="220"/>
      <c r="ST71" s="220"/>
      <c r="SU71" s="220"/>
      <c r="SV71" s="220"/>
      <c r="SW71" s="220"/>
      <c r="SX71" s="220"/>
      <c r="SY71" s="220"/>
      <c r="SZ71" s="220"/>
      <c r="TA71" s="220"/>
      <c r="TB71" s="220"/>
      <c r="TC71" s="220"/>
      <c r="TD71" s="220"/>
      <c r="TE71" s="220"/>
      <c r="TF71" s="220"/>
      <c r="TG71" s="220"/>
      <c r="TH71" s="220"/>
      <c r="TI71" s="220"/>
      <c r="TJ71" s="220"/>
      <c r="TK71" s="220"/>
      <c r="TL71" s="220"/>
      <c r="TM71" s="220"/>
      <c r="TN71" s="220"/>
      <c r="TO71" s="220"/>
      <c r="TP71" s="220"/>
      <c r="TQ71" s="220"/>
      <c r="TR71" s="220"/>
      <c r="TS71" s="220"/>
      <c r="TT71" s="220"/>
      <c r="TU71" s="220"/>
      <c r="TV71" s="220"/>
      <c r="TW71" s="220"/>
      <c r="TX71" s="220"/>
      <c r="TY71" s="220"/>
      <c r="TZ71" s="220"/>
      <c r="UA71" s="220"/>
      <c r="UB71" s="220"/>
      <c r="UC71" s="220"/>
      <c r="UD71" s="220"/>
      <c r="UE71" s="220"/>
      <c r="UF71" s="220"/>
      <c r="UG71" s="220"/>
      <c r="UH71" s="220"/>
      <c r="UI71" s="220"/>
      <c r="UJ71" s="220"/>
      <c r="UK71" s="216"/>
      <c r="UL71" s="216"/>
      <c r="UM71" s="216"/>
      <c r="UN71" s="216"/>
      <c r="UO71" s="216"/>
      <c r="UP71" s="216"/>
      <c r="UQ71" s="216"/>
      <c r="UR71" s="216"/>
      <c r="US71" s="216"/>
      <c r="UT71" s="216"/>
      <c r="UU71" s="216"/>
      <c r="UV71" s="216"/>
      <c r="UW71" s="216"/>
      <c r="UX71" s="216"/>
      <c r="UY71" s="216"/>
      <c r="UZ71" s="216"/>
      <c r="VA71" s="216"/>
    </row>
    <row r="72" spans="1:573" s="4" customFormat="1" ht="15" customHeight="1" x14ac:dyDescent="0.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5"/>
      <c r="AM72" s="45"/>
      <c r="AN72" s="45"/>
      <c r="AO72" s="45"/>
      <c r="AP72" s="310"/>
      <c r="AQ72" s="310"/>
      <c r="AR72" s="683" t="s">
        <v>176</v>
      </c>
      <c r="AS72" s="683"/>
      <c r="AT72" s="476" t="s">
        <v>250</v>
      </c>
      <c r="AU72" s="477"/>
      <c r="AV72" s="476" t="s">
        <v>292</v>
      </c>
      <c r="AW72" s="478"/>
      <c r="AX72" s="479"/>
      <c r="AY72" s="479"/>
      <c r="AZ72" s="479"/>
      <c r="BA72" s="479"/>
      <c r="BB72" s="310"/>
      <c r="BC72" s="310"/>
      <c r="BD72" s="310"/>
      <c r="BE72" s="310"/>
      <c r="BF72" s="310"/>
      <c r="BG72" s="310"/>
      <c r="BH72" s="310"/>
      <c r="BI72" s="310"/>
      <c r="BJ72" s="310"/>
      <c r="BK72" s="310"/>
      <c r="BL72" s="310"/>
      <c r="BM72" s="310"/>
      <c r="BN72" s="310"/>
      <c r="BO72" s="310"/>
      <c r="BP72" s="310"/>
      <c r="BQ72" s="310"/>
      <c r="BR72" s="310"/>
      <c r="BS72" s="310"/>
      <c r="BT72" s="310"/>
      <c r="BU72" s="310"/>
      <c r="BV72" s="310"/>
      <c r="BW72" s="310"/>
      <c r="BX72" s="310"/>
      <c r="BY72" s="338" t="e">
        <f>BY51+BT7/2</f>
        <v>#N/A</v>
      </c>
      <c r="BZ72" s="338" t="e">
        <f>BZ71</f>
        <v>#N/A</v>
      </c>
      <c r="CA72" s="310"/>
      <c r="CB72" s="310" t="e">
        <f t="shared" ref="CB72:CC75" si="126">IF($CE$69=TRUE,BY32,#N/A)</f>
        <v>#N/A</v>
      </c>
      <c r="CC72" s="310" t="e">
        <f t="shared" si="126"/>
        <v>#N/A</v>
      </c>
      <c r="CD72" s="228" t="e">
        <f>CD71-CE44</f>
        <v>#N/A</v>
      </c>
      <c r="CE72" s="228" t="e">
        <f>CE71</f>
        <v>#N/A</v>
      </c>
      <c r="CF72" s="247" t="e">
        <f>CD86</f>
        <v>#N/A</v>
      </c>
      <c r="CG72" s="247" t="e">
        <f>CG71</f>
        <v>#N/A</v>
      </c>
      <c r="CH72" s="454" t="e">
        <f>CE86-CE85</f>
        <v>#N/A</v>
      </c>
      <c r="CI72" s="454"/>
      <c r="CJ72" s="310"/>
      <c r="CK72" s="310"/>
      <c r="CL72" s="310"/>
      <c r="CM72" s="310"/>
      <c r="CN72" s="338" t="e">
        <f>CN71+(CN29-CN28)/2</f>
        <v>#N/A</v>
      </c>
      <c r="CO72" s="338" t="e">
        <f>CO71</f>
        <v>#N/A</v>
      </c>
      <c r="CP72" s="310"/>
      <c r="CQ72" s="310"/>
      <c r="CR72" s="310"/>
      <c r="CS72" s="310"/>
      <c r="CT72" s="416" t="e">
        <f>CT71+(CO29-CO30)/4</f>
        <v>#N/A</v>
      </c>
      <c r="CU72" s="338" t="e">
        <f>CU71</f>
        <v>#N/A</v>
      </c>
      <c r="CV72" s="310"/>
      <c r="CW72" s="310"/>
      <c r="CX72" s="310"/>
      <c r="CY72" s="310"/>
      <c r="CZ72" s="310"/>
      <c r="DA72" s="310"/>
      <c r="DB72" s="310"/>
      <c r="DC72" s="280" t="e">
        <v>#N/A</v>
      </c>
      <c r="DD72" s="280" t="e">
        <v>#N/A</v>
      </c>
      <c r="DE72" s="310"/>
      <c r="DF72" s="293" t="e">
        <f>DF71</f>
        <v>#N/A</v>
      </c>
      <c r="DG72" s="292" t="e">
        <f>IF(DG60=TRUE,DA6-DA6,#N/A)</f>
        <v>#N/A</v>
      </c>
      <c r="DH72" s="310"/>
      <c r="DI72" s="310"/>
      <c r="DJ72" s="310"/>
      <c r="DK72" s="310"/>
      <c r="DL72" s="424" t="s">
        <v>438</v>
      </c>
      <c r="DM72" s="310" t="b">
        <f>BY20</f>
        <v>0</v>
      </c>
      <c r="DN72" s="310"/>
      <c r="DO72" s="310"/>
      <c r="DP72" s="310"/>
      <c r="DQ72" s="310"/>
      <c r="DR72" s="310"/>
      <c r="DS72" s="310"/>
      <c r="DT72" s="338"/>
      <c r="DU72" s="338">
        <f>DU69</f>
        <v>0.5</v>
      </c>
      <c r="DV72" s="338">
        <f>DV71</f>
        <v>0.5</v>
      </c>
      <c r="DW72" s="310"/>
      <c r="DX72" s="310"/>
      <c r="DY72" s="338">
        <f>DY69</f>
        <v>0.5</v>
      </c>
      <c r="DZ72" s="338">
        <f>DZ71</f>
        <v>0.5</v>
      </c>
      <c r="EA72" s="310"/>
      <c r="EB72" s="310"/>
      <c r="EC72" s="310"/>
      <c r="ED72" s="310"/>
      <c r="EE72" s="280">
        <f>EE71</f>
        <v>0.2</v>
      </c>
      <c r="EF72" s="280">
        <f>EF68</f>
        <v>1.1000000000000001</v>
      </c>
      <c r="EG72" s="310"/>
      <c r="EH72" s="310"/>
      <c r="EI72" s="338">
        <v>1</v>
      </c>
      <c r="EJ72" s="338" t="b">
        <f>IF(EI72&lt;=$EK$70,TRUE,FALSE)</f>
        <v>1</v>
      </c>
      <c r="EK72" s="281">
        <f>IF(EJ72=TRUE,EK67+AU57,#N/A)</f>
        <v>-0.85499999999999998</v>
      </c>
      <c r="EL72" s="281">
        <f>IF(EJ72=TRUE,EK62+AU57,#N/A)</f>
        <v>0.12000000000000001</v>
      </c>
      <c r="EM72" s="310"/>
      <c r="EN72" s="280">
        <f>EE67+F50/100-0.25</f>
        <v>-0.375</v>
      </c>
      <c r="EO72" s="280">
        <f>EL72+AU57*2</f>
        <v>0.16</v>
      </c>
      <c r="EP72" s="310"/>
      <c r="EQ72" s="280">
        <f>EN101</f>
        <v>1.25</v>
      </c>
      <c r="ER72" s="280">
        <f>MAX(EO100:EO103)/2</f>
        <v>0.3</v>
      </c>
      <c r="ES72" s="338" t="str">
        <f>"t="&amp;F51&amp;"cm."</f>
        <v>t=60cm.</v>
      </c>
      <c r="ET72" s="310"/>
      <c r="EU72" s="310"/>
      <c r="EV72" s="310"/>
      <c r="EW72" s="310"/>
      <c r="EX72" s="310"/>
      <c r="EY72" s="310"/>
      <c r="EZ72" s="310"/>
      <c r="FA72" s="310"/>
      <c r="FB72" s="310"/>
      <c r="FC72" s="310"/>
      <c r="FD72" s="310"/>
      <c r="FE72" s="310"/>
      <c r="FF72" s="310"/>
      <c r="FG72" s="310"/>
      <c r="FH72" s="310"/>
      <c r="FI72" s="310"/>
      <c r="FJ72" s="310"/>
      <c r="FK72" s="310"/>
      <c r="FL72" s="310"/>
      <c r="FM72" s="310"/>
      <c r="FN72" s="310"/>
      <c r="FO72" s="310"/>
      <c r="FP72" s="310"/>
      <c r="FQ72" s="310"/>
      <c r="FR72" s="310"/>
      <c r="FS72" s="310"/>
      <c r="FT72" s="310"/>
      <c r="FU72" s="310"/>
      <c r="FV72" s="310"/>
      <c r="FW72" s="310"/>
      <c r="FX72" s="310"/>
      <c r="FY72" s="310"/>
      <c r="FZ72" s="310"/>
      <c r="GA72" s="310"/>
      <c r="GB72" s="310"/>
      <c r="GC72" s="310"/>
      <c r="GD72" s="310"/>
      <c r="GE72" s="310"/>
      <c r="GF72" s="310"/>
      <c r="GG72" s="310"/>
      <c r="GH72" s="310"/>
      <c r="GI72" s="310"/>
      <c r="GJ72" s="310"/>
      <c r="GK72" s="310"/>
      <c r="GL72" s="310"/>
      <c r="GM72" s="310"/>
      <c r="GN72" s="310"/>
      <c r="GO72" s="310"/>
      <c r="GP72" s="310"/>
      <c r="GQ72" s="310"/>
      <c r="GR72" s="310"/>
      <c r="GS72" s="310"/>
      <c r="GT72" s="310"/>
      <c r="GU72" s="310"/>
      <c r="GV72" s="310"/>
      <c r="GW72" s="310"/>
      <c r="GX72" s="310"/>
      <c r="GY72" s="310"/>
      <c r="GZ72" s="310"/>
      <c r="HA72" s="310"/>
      <c r="HB72" s="310"/>
      <c r="HC72" s="310"/>
      <c r="HD72" s="310"/>
      <c r="HE72" s="310"/>
      <c r="HF72" s="310"/>
      <c r="HG72" s="310"/>
      <c r="HH72" s="310"/>
      <c r="HI72" s="310"/>
      <c r="HJ72" s="310"/>
      <c r="HK72" s="342">
        <v>58</v>
      </c>
      <c r="HL72" s="235" t="e">
        <f t="shared" si="5"/>
        <v>#N/A</v>
      </c>
      <c r="HM72" s="235" t="e">
        <f t="shared" si="6"/>
        <v>#N/A</v>
      </c>
      <c r="HN72" s="310"/>
      <c r="HO72" s="310"/>
      <c r="HP72" s="235" t="e">
        <f t="shared" si="7"/>
        <v>#N/A</v>
      </c>
      <c r="HQ72" s="235" t="e">
        <f t="shared" si="8"/>
        <v>#N/A</v>
      </c>
      <c r="HR72" s="310"/>
      <c r="HS72" s="310"/>
      <c r="HT72" s="235" t="e">
        <f t="shared" si="9"/>
        <v>#N/A</v>
      </c>
      <c r="HU72" s="235" t="e">
        <f t="shared" si="10"/>
        <v>#N/A</v>
      </c>
      <c r="HV72" s="310"/>
      <c r="HW72" s="310"/>
      <c r="HX72" s="235" t="e">
        <f t="shared" si="11"/>
        <v>#N/A</v>
      </c>
      <c r="HY72" s="235" t="e">
        <f t="shared" si="12"/>
        <v>#N/A</v>
      </c>
      <c r="HZ72" s="310"/>
      <c r="IA72" s="310"/>
      <c r="IB72" s="235" t="e">
        <f t="shared" si="13"/>
        <v>#N/A</v>
      </c>
      <c r="IC72" s="235" t="e">
        <f t="shared" si="14"/>
        <v>#N/A</v>
      </c>
      <c r="ID72" s="310"/>
      <c r="IE72" s="342">
        <v>58</v>
      </c>
      <c r="IF72" s="262" t="e">
        <f t="shared" si="15"/>
        <v>#N/A</v>
      </c>
      <c r="IG72" s="262" t="e">
        <f t="shared" si="16"/>
        <v>#N/A</v>
      </c>
      <c r="IH72" s="390"/>
      <c r="II72" s="390"/>
      <c r="IJ72" s="262" t="e">
        <f t="shared" si="17"/>
        <v>#N/A</v>
      </c>
      <c r="IK72" s="262" t="e">
        <f t="shared" si="18"/>
        <v>#N/A</v>
      </c>
      <c r="IL72" s="390"/>
      <c r="IM72" s="390"/>
      <c r="IN72" s="262" t="e">
        <f t="shared" si="19"/>
        <v>#N/A</v>
      </c>
      <c r="IO72" s="262" t="e">
        <f t="shared" si="20"/>
        <v>#N/A</v>
      </c>
      <c r="IP72" s="390"/>
      <c r="IQ72" s="390"/>
      <c r="IR72" s="262" t="e">
        <f t="shared" si="21"/>
        <v>#N/A</v>
      </c>
      <c r="IS72" s="262" t="e">
        <f t="shared" si="22"/>
        <v>#N/A</v>
      </c>
      <c r="IT72" s="390"/>
      <c r="IU72" s="390"/>
      <c r="IV72" s="262" t="e">
        <f t="shared" si="23"/>
        <v>#N/A</v>
      </c>
      <c r="IW72" s="262" t="e">
        <f t="shared" si="24"/>
        <v>#N/A</v>
      </c>
      <c r="IX72" s="310"/>
      <c r="IY72" s="342" t="s">
        <v>355</v>
      </c>
      <c r="IZ72" s="342" t="s">
        <v>48</v>
      </c>
      <c r="JA72" s="342" t="s">
        <v>49</v>
      </c>
      <c r="JB72" s="313" t="s">
        <v>144</v>
      </c>
      <c r="JC72" s="228" t="e">
        <f>IZ73+$IZ$62/2</f>
        <v>#N/A</v>
      </c>
      <c r="JD72" s="228" t="e">
        <f>JD71</f>
        <v>#N/A</v>
      </c>
      <c r="JE72" s="310"/>
      <c r="JF72" s="342" t="s">
        <v>355</v>
      </c>
      <c r="JG72" s="342" t="s">
        <v>48</v>
      </c>
      <c r="JH72" s="342" t="s">
        <v>49</v>
      </c>
      <c r="JI72" s="313" t="s">
        <v>144</v>
      </c>
      <c r="JJ72" s="242" t="e">
        <f>JG73+$IZ$62/2</f>
        <v>#N/A</v>
      </c>
      <c r="JK72" s="242" t="e">
        <f>JK71</f>
        <v>#N/A</v>
      </c>
      <c r="JL72" s="310"/>
      <c r="JM72" s="310"/>
      <c r="JN72" s="261" t="e">
        <f t="shared" si="25"/>
        <v>#N/A</v>
      </c>
      <c r="JO72" s="261" t="e">
        <f t="shared" si="26"/>
        <v>#N/A</v>
      </c>
      <c r="JP72" s="310"/>
      <c r="JQ72" s="310"/>
      <c r="JR72" s="261" t="e">
        <f t="shared" si="31"/>
        <v>#N/A</v>
      </c>
      <c r="JS72" s="261" t="e">
        <f t="shared" si="32"/>
        <v>#N/A</v>
      </c>
      <c r="JT72" s="310"/>
      <c r="JU72" s="310"/>
      <c r="JV72" s="261" t="e">
        <f t="shared" si="27"/>
        <v>#N/A</v>
      </c>
      <c r="JW72" s="261" t="e">
        <f t="shared" si="28"/>
        <v>#N/A</v>
      </c>
      <c r="JX72" s="310"/>
      <c r="JY72" s="310"/>
      <c r="JZ72" s="310"/>
      <c r="KA72" s="310"/>
      <c r="KB72" s="313" t="s">
        <v>393</v>
      </c>
      <c r="KC72" s="242">
        <f>KC63</f>
        <v>-1.135</v>
      </c>
      <c r="KD72" s="242">
        <f>KD71</f>
        <v>0.5</v>
      </c>
      <c r="KE72" s="310"/>
      <c r="KF72" s="310"/>
      <c r="KG72" s="310"/>
      <c r="KH72" s="310"/>
      <c r="KI72" s="310"/>
      <c r="KJ72" s="310"/>
      <c r="KK72" s="310"/>
      <c r="KL72" s="310"/>
      <c r="KM72" s="310"/>
      <c r="KN72" s="310"/>
      <c r="KO72" s="310"/>
      <c r="KP72" s="310"/>
      <c r="KQ72" s="310"/>
      <c r="KR72" s="310"/>
      <c r="KS72" s="310"/>
      <c r="KT72" s="310"/>
      <c r="KU72" s="310"/>
      <c r="KV72" s="310"/>
      <c r="KW72" s="310"/>
      <c r="KX72" s="310"/>
      <c r="KY72" s="310"/>
      <c r="KZ72" s="310"/>
      <c r="LA72" s="310"/>
      <c r="LB72" s="310"/>
      <c r="LC72" s="310"/>
      <c r="LD72" s="310"/>
      <c r="LE72" s="310"/>
      <c r="LF72" s="310"/>
      <c r="LG72" s="310"/>
      <c r="LH72" s="463" t="e">
        <v>#N/A</v>
      </c>
      <c r="LI72" s="463" t="e">
        <v>#N/A</v>
      </c>
      <c r="LJ72" s="463" t="e">
        <v>#N/A</v>
      </c>
      <c r="LK72" s="463" t="e">
        <v>#N/A</v>
      </c>
      <c r="LL72" s="463"/>
      <c r="LM72" s="310"/>
      <c r="LN72" s="310"/>
      <c r="LO72" s="463" t="e">
        <v>#N/A</v>
      </c>
      <c r="LP72" s="463" t="e">
        <v>#N/A</v>
      </c>
      <c r="LQ72" s="463" t="e">
        <v>#N/A</v>
      </c>
      <c r="LR72" s="463" t="e">
        <v>#N/A</v>
      </c>
      <c r="LS72" s="391"/>
      <c r="LT72" s="310"/>
      <c r="LU72" s="310"/>
      <c r="LV72" s="463" t="e">
        <v>#N/A</v>
      </c>
      <c r="LW72" s="463" t="e">
        <v>#N/A</v>
      </c>
      <c r="LX72" s="463" t="e">
        <v>#N/A</v>
      </c>
      <c r="LY72" s="463" t="e">
        <v>#N/A</v>
      </c>
      <c r="LZ72" s="391"/>
      <c r="MA72" s="310"/>
      <c r="MB72" s="310"/>
      <c r="MC72" s="347" t="e">
        <v>#N/A</v>
      </c>
      <c r="MD72" s="347" t="e">
        <v>#N/A</v>
      </c>
      <c r="ME72" s="463" t="e">
        <v>#N/A</v>
      </c>
      <c r="MF72" s="463" t="e">
        <v>#N/A</v>
      </c>
      <c r="MG72" s="391"/>
      <c r="MH72" s="310"/>
      <c r="MI72" s="310"/>
      <c r="MJ72" s="239" t="e">
        <v>#N/A</v>
      </c>
      <c r="MK72" s="239" t="e">
        <v>#N/A</v>
      </c>
      <c r="ML72" s="228" t="e">
        <v>#N/A</v>
      </c>
      <c r="MM72" s="228" t="e">
        <v>#N/A</v>
      </c>
      <c r="MN72" s="391"/>
      <c r="MO72" s="310"/>
      <c r="MP72" s="311" t="e">
        <v>#N/A</v>
      </c>
      <c r="MQ72" s="311" t="e">
        <v>#N/A</v>
      </c>
      <c r="MR72" s="311" t="e">
        <v>#N/A</v>
      </c>
      <c r="MS72" s="311" t="e">
        <v>#N/A</v>
      </c>
      <c r="MT72" s="310"/>
      <c r="MU72" s="297" t="e">
        <f>MU69</f>
        <v>#N/A</v>
      </c>
      <c r="MV72" s="297" t="e">
        <f>MV69+0.2</f>
        <v>#N/A</v>
      </c>
      <c r="MW72" s="292" t="e">
        <v>#N/A</v>
      </c>
      <c r="MX72" s="292" t="e">
        <v>#N/A</v>
      </c>
      <c r="MY72" s="338"/>
      <c r="MZ72" s="310"/>
      <c r="NA72" s="310"/>
      <c r="NB72" s="310"/>
      <c r="NC72" s="310"/>
      <c r="ND72" s="310"/>
      <c r="NE72" s="310"/>
      <c r="NF72" s="310"/>
      <c r="NG72" s="310"/>
      <c r="NH72" s="310"/>
      <c r="NI72" s="310"/>
      <c r="NJ72" s="310"/>
      <c r="NK72" s="310"/>
      <c r="NL72" s="310"/>
      <c r="NM72" s="310"/>
      <c r="NN72" s="310"/>
      <c r="NO72" s="310"/>
      <c r="NP72" s="310"/>
      <c r="NQ72" s="310"/>
      <c r="NR72" s="310"/>
      <c r="NS72" s="310"/>
      <c r="NT72" s="310"/>
      <c r="NU72" s="310"/>
      <c r="NV72" s="310"/>
      <c r="NW72" s="310"/>
      <c r="NX72" s="310"/>
      <c r="NY72" s="310"/>
      <c r="NZ72" s="310"/>
      <c r="OA72" s="310"/>
      <c r="OB72" s="310"/>
      <c r="OC72" s="310"/>
      <c r="OD72" s="310"/>
      <c r="OE72" s="310"/>
      <c r="OF72" s="310"/>
      <c r="OG72" s="310"/>
      <c r="OH72" s="310"/>
      <c r="OI72" s="310"/>
      <c r="OJ72" s="310"/>
      <c r="OK72" s="310"/>
      <c r="OL72" s="310"/>
      <c r="OM72" s="310"/>
      <c r="ON72" s="310"/>
      <c r="OO72" s="310"/>
      <c r="OP72" s="310"/>
      <c r="OQ72" s="310"/>
      <c r="OR72" s="310"/>
      <c r="OS72" s="310"/>
      <c r="OT72" s="310"/>
      <c r="OU72" s="310"/>
      <c r="OV72" s="310"/>
      <c r="OW72" s="310"/>
      <c r="OX72" s="310"/>
      <c r="OY72" s="310"/>
      <c r="OZ72" s="310"/>
      <c r="PA72" s="310"/>
      <c r="PB72" s="310"/>
      <c r="PC72" s="310"/>
      <c r="PD72" s="310"/>
      <c r="PE72" s="310"/>
      <c r="PF72" s="310"/>
      <c r="PG72" s="310"/>
      <c r="PH72" s="310"/>
      <c r="PI72" s="310"/>
      <c r="PJ72" s="310"/>
      <c r="PK72" s="310"/>
      <c r="PL72" s="310"/>
      <c r="PM72" s="310"/>
      <c r="PN72" s="310"/>
      <c r="PO72" s="310"/>
      <c r="PP72" s="310"/>
      <c r="PQ72" s="310"/>
      <c r="PR72" s="310"/>
      <c r="PS72" s="342">
        <v>58</v>
      </c>
      <c r="PT72" s="261" t="e">
        <f t="shared" si="29"/>
        <v>#N/A</v>
      </c>
      <c r="PU72" s="261" t="e">
        <f t="shared" si="30"/>
        <v>#N/A</v>
      </c>
      <c r="PV72" s="310"/>
      <c r="PW72" s="310"/>
      <c r="PX72" s="310"/>
      <c r="PY72" s="310"/>
      <c r="PZ72" s="310"/>
      <c r="QA72" s="310"/>
      <c r="QB72" s="310"/>
      <c r="QC72" s="310"/>
      <c r="QD72" s="310"/>
      <c r="QE72" s="310"/>
      <c r="QF72" s="310"/>
      <c r="QG72" s="310"/>
      <c r="QH72" s="310"/>
      <c r="QI72" s="310"/>
      <c r="QJ72" s="310"/>
      <c r="QK72" s="310"/>
      <c r="QL72" s="310"/>
      <c r="QM72" s="310"/>
      <c r="QN72" s="310"/>
      <c r="QO72" s="310"/>
      <c r="QP72" s="310"/>
      <c r="QQ72" s="310"/>
      <c r="QR72" s="310"/>
      <c r="QS72" s="310"/>
      <c r="QT72" s="310"/>
      <c r="QU72" s="310"/>
      <c r="QV72" s="310"/>
      <c r="QW72" s="310"/>
      <c r="QX72" s="310"/>
      <c r="QY72" s="310"/>
      <c r="QZ72" s="310"/>
      <c r="RA72" s="310"/>
      <c r="RB72" s="310"/>
      <c r="RC72" s="310"/>
      <c r="RD72" s="310"/>
      <c r="RE72" s="310"/>
      <c r="RF72" s="310"/>
      <c r="RG72" s="310"/>
      <c r="RH72" s="310"/>
      <c r="RI72" s="310"/>
      <c r="RJ72" s="310"/>
      <c r="RK72" s="310"/>
      <c r="RL72" s="310"/>
      <c r="RM72" s="310"/>
      <c r="RN72" s="310"/>
      <c r="RO72" s="310"/>
      <c r="RP72" s="310"/>
      <c r="RQ72" s="310"/>
      <c r="RR72" s="310"/>
      <c r="RS72" s="310"/>
      <c r="RT72" s="310"/>
      <c r="RU72" s="310"/>
      <c r="RV72" s="310"/>
      <c r="RW72" s="310"/>
      <c r="RX72" s="310"/>
      <c r="RY72" s="310"/>
      <c r="RZ72" s="310"/>
      <c r="SA72" s="310"/>
      <c r="SB72" s="310"/>
      <c r="SC72" s="310"/>
      <c r="SD72" s="310"/>
      <c r="SE72" s="310"/>
      <c r="SF72" s="310"/>
      <c r="SG72" s="310"/>
      <c r="SH72" s="310"/>
      <c r="SI72" s="310"/>
      <c r="SJ72" s="310"/>
      <c r="SK72" s="310"/>
      <c r="SL72" s="310"/>
      <c r="SM72" s="310"/>
      <c r="SN72" s="310"/>
      <c r="SO72" s="220"/>
      <c r="SP72" s="220"/>
      <c r="SQ72" s="220"/>
      <c r="SR72" s="220"/>
      <c r="SS72" s="220"/>
      <c r="ST72" s="220"/>
      <c r="SU72" s="220"/>
      <c r="SV72" s="220"/>
      <c r="SW72" s="220"/>
      <c r="SX72" s="220"/>
      <c r="SY72" s="220"/>
      <c r="SZ72" s="220"/>
      <c r="TA72" s="220"/>
      <c r="TB72" s="220"/>
      <c r="TC72" s="220"/>
      <c r="TD72" s="220"/>
      <c r="TE72" s="220"/>
      <c r="TF72" s="220"/>
      <c r="TG72" s="220"/>
      <c r="TH72" s="220"/>
      <c r="TI72" s="220"/>
      <c r="TJ72" s="220"/>
      <c r="TK72" s="220"/>
      <c r="TL72" s="220"/>
      <c r="TM72" s="220"/>
      <c r="TN72" s="220"/>
      <c r="TO72" s="220"/>
      <c r="TP72" s="220"/>
      <c r="TQ72" s="220"/>
      <c r="TR72" s="220"/>
      <c r="TS72" s="220"/>
      <c r="TT72" s="220"/>
      <c r="TU72" s="220"/>
      <c r="TV72" s="220"/>
      <c r="TW72" s="220"/>
      <c r="TX72" s="220"/>
      <c r="TY72" s="220"/>
      <c r="TZ72" s="220"/>
      <c r="UA72" s="220"/>
      <c r="UB72" s="220"/>
      <c r="UC72" s="220"/>
      <c r="UD72" s="220"/>
      <c r="UE72" s="220"/>
      <c r="UF72" s="220"/>
      <c r="UG72" s="220"/>
      <c r="UH72" s="220"/>
      <c r="UI72" s="220"/>
      <c r="UJ72" s="220"/>
      <c r="UK72" s="216"/>
      <c r="UL72" s="216"/>
      <c r="UM72" s="216"/>
      <c r="UN72" s="216"/>
      <c r="UO72" s="216"/>
      <c r="UP72" s="216"/>
      <c r="UQ72" s="216"/>
      <c r="UR72" s="216"/>
      <c r="US72" s="216"/>
      <c r="UT72" s="216"/>
      <c r="UU72" s="216"/>
      <c r="UV72" s="216"/>
      <c r="UW72" s="216"/>
      <c r="UX72" s="216"/>
      <c r="UY72" s="216"/>
      <c r="UZ72" s="216"/>
      <c r="VA72" s="216"/>
    </row>
    <row r="73" spans="1:573" s="4" customFormat="1" ht="15" customHeight="1" x14ac:dyDescent="0.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5"/>
      <c r="AM73" s="45"/>
      <c r="AN73" s="45"/>
      <c r="AO73" s="45"/>
      <c r="AP73" s="310"/>
      <c r="AQ73" s="310"/>
      <c r="AR73" s="328" t="s">
        <v>13</v>
      </c>
      <c r="AS73" s="480"/>
      <c r="AT73" s="304" t="b">
        <f>IF(I61&gt;L61,TRUE,FALSE)</f>
        <v>1</v>
      </c>
      <c r="AU73" s="304" t="b">
        <f>IF(AT73=FALSE,TRUE,FALSE)</f>
        <v>0</v>
      </c>
      <c r="AV73" s="317" t="s">
        <v>293</v>
      </c>
      <c r="AW73" s="317" t="s">
        <v>294</v>
      </c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38" t="e">
        <f>BY72</f>
        <v>#N/A</v>
      </c>
      <c r="BZ73" s="338" t="e">
        <f>BZ51-BT7/2</f>
        <v>#N/A</v>
      </c>
      <c r="CA73" s="310"/>
      <c r="CB73" s="310" t="e">
        <f t="shared" si="126"/>
        <v>#N/A</v>
      </c>
      <c r="CC73" s="310" t="e">
        <f t="shared" si="126"/>
        <v>#N/A</v>
      </c>
      <c r="CD73" s="228" t="e">
        <f>CD72</f>
        <v>#N/A</v>
      </c>
      <c r="CE73" s="228" t="e">
        <f>CC71</f>
        <v>#N/A</v>
      </c>
      <c r="CF73" s="247" t="e">
        <f>CB71+(CB72-CB71)/2</f>
        <v>#N/A</v>
      </c>
      <c r="CG73" s="247" t="e">
        <f>CE77</f>
        <v>#N/A</v>
      </c>
      <c r="CH73" s="454" t="e">
        <f>CB72-CB71</f>
        <v>#N/A</v>
      </c>
      <c r="CI73" s="454"/>
      <c r="CJ73" s="310"/>
      <c r="CK73" s="310"/>
      <c r="CL73" s="310"/>
      <c r="CM73" s="310"/>
      <c r="CN73" s="310"/>
      <c r="CO73" s="310"/>
      <c r="CP73" s="310"/>
      <c r="CQ73" s="310"/>
      <c r="CR73" s="310"/>
      <c r="CS73" s="310"/>
      <c r="CT73" s="310"/>
      <c r="CU73" s="310"/>
      <c r="CV73" s="310"/>
      <c r="CW73" s="310"/>
      <c r="CX73" s="310"/>
      <c r="CY73" s="310"/>
      <c r="CZ73" s="310"/>
      <c r="DA73" s="310"/>
      <c r="DB73" s="310">
        <v>8</v>
      </c>
      <c r="DC73" s="280" t="e">
        <f>IF(AND($DD$50=TRUE,$D$63&gt;=DB73),$DC$52,#N/A)</f>
        <v>#N/A</v>
      </c>
      <c r="DD73" s="280" t="e">
        <f>IF(AND($DD$50=TRUE,$D$63&gt;=DB73),$DD$52-0.2,#N/A)</f>
        <v>#N/A</v>
      </c>
      <c r="DE73" s="310"/>
      <c r="DF73" s="293" t="e">
        <f>DF70</f>
        <v>#N/A</v>
      </c>
      <c r="DG73" s="292" t="e">
        <f>DG72</f>
        <v>#N/A</v>
      </c>
      <c r="DH73" s="310"/>
      <c r="DI73" s="310"/>
      <c r="DJ73" s="310"/>
      <c r="DK73" s="310"/>
      <c r="DL73" s="424" t="s">
        <v>439</v>
      </c>
      <c r="DM73" s="310" t="e">
        <f>IF(DM72=TRUE,DG8,#N/A)</f>
        <v>#N/A</v>
      </c>
      <c r="DN73" s="310" t="e">
        <f>IF(DM72=TRUE,DD8,#N/A)</f>
        <v>#N/A</v>
      </c>
      <c r="DO73" s="310"/>
      <c r="DP73" s="310"/>
      <c r="DQ73" s="310"/>
      <c r="DR73" s="310"/>
      <c r="DS73" s="310"/>
      <c r="DT73" s="338"/>
      <c r="DU73" s="338">
        <f>DU69</f>
        <v>0.5</v>
      </c>
      <c r="DV73" s="338">
        <f>DV69</f>
        <v>0.8</v>
      </c>
      <c r="DW73" s="310"/>
      <c r="DX73" s="310"/>
      <c r="DY73" s="338">
        <f>DY69</f>
        <v>0.5</v>
      </c>
      <c r="DZ73" s="338">
        <f>DZ69</f>
        <v>0.8</v>
      </c>
      <c r="EA73" s="310"/>
      <c r="EB73" s="310"/>
      <c r="EC73" s="310"/>
      <c r="ED73" s="310"/>
      <c r="EE73" s="310"/>
      <c r="EF73" s="310"/>
      <c r="EG73" s="310"/>
      <c r="EH73" s="310"/>
      <c r="EI73" s="338">
        <v>2</v>
      </c>
      <c r="EJ73" s="338" t="b">
        <f t="shared" ref="EJ73:EJ121" si="127">IF(EI73&lt;=$EK$70,TRUE,FALSE)</f>
        <v>1</v>
      </c>
      <c r="EK73" s="281">
        <f>IF(EJ73=TRUE,EK72+$EK$69,#N/A)</f>
        <v>-0.6119444444444444</v>
      </c>
      <c r="EL73" s="281">
        <f>IF(EJ73=TRUE,$EL$72,#N/A)</f>
        <v>0.12000000000000001</v>
      </c>
      <c r="EM73" s="310"/>
      <c r="EN73" s="280">
        <f>EE67+F50/100</f>
        <v>-0.125</v>
      </c>
      <c r="EO73" s="280">
        <f>EO72</f>
        <v>0.16</v>
      </c>
      <c r="EP73" s="310"/>
      <c r="EQ73" s="280">
        <f>EN107</f>
        <v>0.95000000000000007</v>
      </c>
      <c r="ER73" s="280">
        <f>EO107</f>
        <v>-0.4</v>
      </c>
      <c r="ES73" s="338" t="str" cm="1">
        <f t="array" ref="ES73">IF(DU20=TRUE,INDEX(BQ7:BQ34,GY6)&amp;" SAFE LOAD = "&amp;M8&amp;" T/Pile","")</f>
        <v xml:space="preserve"> SAFE LOAD = 40 T/Pile</v>
      </c>
      <c r="ET73" s="310"/>
      <c r="EU73" s="310"/>
      <c r="EV73" s="310"/>
      <c r="EW73" s="310"/>
      <c r="EX73" s="310"/>
      <c r="EY73" s="310"/>
      <c r="EZ73" s="310"/>
      <c r="FA73" s="310"/>
      <c r="FB73" s="310"/>
      <c r="FC73" s="310"/>
      <c r="FD73" s="310"/>
      <c r="FE73" s="310"/>
      <c r="FF73" s="310"/>
      <c r="FG73" s="310"/>
      <c r="FH73" s="310"/>
      <c r="FI73" s="310"/>
      <c r="FJ73" s="310"/>
      <c r="FK73" s="310"/>
      <c r="FL73" s="310"/>
      <c r="FM73" s="310"/>
      <c r="FN73" s="310"/>
      <c r="FO73" s="310"/>
      <c r="FP73" s="310"/>
      <c r="FQ73" s="310"/>
      <c r="FR73" s="310"/>
      <c r="FS73" s="310"/>
      <c r="FT73" s="310"/>
      <c r="FU73" s="310"/>
      <c r="FV73" s="310"/>
      <c r="FW73" s="310"/>
      <c r="FX73" s="310"/>
      <c r="FY73" s="310"/>
      <c r="FZ73" s="310"/>
      <c r="GA73" s="310"/>
      <c r="GB73" s="310"/>
      <c r="GC73" s="310"/>
      <c r="GD73" s="310"/>
      <c r="GE73" s="310"/>
      <c r="GF73" s="310"/>
      <c r="GG73" s="310"/>
      <c r="GH73" s="310"/>
      <c r="GI73" s="310"/>
      <c r="GJ73" s="310"/>
      <c r="GK73" s="310"/>
      <c r="GL73" s="310"/>
      <c r="GM73" s="310"/>
      <c r="GN73" s="310"/>
      <c r="GO73" s="310"/>
      <c r="GP73" s="310"/>
      <c r="GQ73" s="310"/>
      <c r="GR73" s="310"/>
      <c r="GS73" s="310"/>
      <c r="GT73" s="310"/>
      <c r="GU73" s="310"/>
      <c r="GV73" s="310"/>
      <c r="GW73" s="310"/>
      <c r="GX73" s="310"/>
      <c r="GY73" s="310"/>
      <c r="GZ73" s="310"/>
      <c r="HA73" s="310"/>
      <c r="HB73" s="310"/>
      <c r="HC73" s="310"/>
      <c r="HD73" s="310"/>
      <c r="HE73" s="310"/>
      <c r="HF73" s="310"/>
      <c r="HG73" s="310"/>
      <c r="HH73" s="310"/>
      <c r="HI73" s="310"/>
      <c r="HJ73" s="310"/>
      <c r="HK73" s="342">
        <v>59</v>
      </c>
      <c r="HL73" s="235" t="e">
        <f t="shared" si="5"/>
        <v>#N/A</v>
      </c>
      <c r="HM73" s="235" t="e">
        <f t="shared" si="6"/>
        <v>#N/A</v>
      </c>
      <c r="HN73" s="310"/>
      <c r="HO73" s="310"/>
      <c r="HP73" s="235" t="e">
        <f t="shared" si="7"/>
        <v>#N/A</v>
      </c>
      <c r="HQ73" s="235" t="e">
        <f t="shared" si="8"/>
        <v>#N/A</v>
      </c>
      <c r="HR73" s="310"/>
      <c r="HS73" s="310"/>
      <c r="HT73" s="235" t="e">
        <f t="shared" si="9"/>
        <v>#N/A</v>
      </c>
      <c r="HU73" s="235" t="e">
        <f t="shared" si="10"/>
        <v>#N/A</v>
      </c>
      <c r="HV73" s="310"/>
      <c r="HW73" s="310"/>
      <c r="HX73" s="235" t="e">
        <f t="shared" si="11"/>
        <v>#N/A</v>
      </c>
      <c r="HY73" s="235" t="e">
        <f t="shared" si="12"/>
        <v>#N/A</v>
      </c>
      <c r="HZ73" s="310"/>
      <c r="IA73" s="310"/>
      <c r="IB73" s="235" t="e">
        <f t="shared" si="13"/>
        <v>#N/A</v>
      </c>
      <c r="IC73" s="235" t="e">
        <f t="shared" si="14"/>
        <v>#N/A</v>
      </c>
      <c r="ID73" s="310"/>
      <c r="IE73" s="342">
        <v>59</v>
      </c>
      <c r="IF73" s="262" t="e">
        <f t="shared" si="15"/>
        <v>#N/A</v>
      </c>
      <c r="IG73" s="262" t="e">
        <f t="shared" si="16"/>
        <v>#N/A</v>
      </c>
      <c r="IH73" s="390"/>
      <c r="II73" s="390"/>
      <c r="IJ73" s="262" t="e">
        <f t="shared" si="17"/>
        <v>#N/A</v>
      </c>
      <c r="IK73" s="262" t="e">
        <f t="shared" si="18"/>
        <v>#N/A</v>
      </c>
      <c r="IL73" s="390"/>
      <c r="IM73" s="390"/>
      <c r="IN73" s="262" t="e">
        <f t="shared" si="19"/>
        <v>#N/A</v>
      </c>
      <c r="IO73" s="262" t="e">
        <f t="shared" si="20"/>
        <v>#N/A</v>
      </c>
      <c r="IP73" s="390"/>
      <c r="IQ73" s="390"/>
      <c r="IR73" s="262" t="e">
        <f t="shared" si="21"/>
        <v>#N/A</v>
      </c>
      <c r="IS73" s="262" t="e">
        <f t="shared" si="22"/>
        <v>#N/A</v>
      </c>
      <c r="IT73" s="390"/>
      <c r="IU73" s="390"/>
      <c r="IV73" s="262" t="e">
        <f t="shared" si="23"/>
        <v>#N/A</v>
      </c>
      <c r="IW73" s="262" t="e">
        <f t="shared" si="24"/>
        <v>#N/A</v>
      </c>
      <c r="IX73" s="310"/>
      <c r="IY73" s="313" t="s">
        <v>72</v>
      </c>
      <c r="IZ73" s="362" t="e">
        <f>IF(JA71=TRUE,$M$20,#N/A)</f>
        <v>#N/A</v>
      </c>
      <c r="JA73" s="362" t="e">
        <f>IF(JA71=TRUE,$J$20,#N/A)</f>
        <v>#N/A</v>
      </c>
      <c r="JB73" s="313" t="s">
        <v>149</v>
      </c>
      <c r="JC73" s="234" t="e">
        <f>IZ73+$IZ$62</f>
        <v>#N/A</v>
      </c>
      <c r="JD73" s="234" t="e">
        <f>JA73</f>
        <v>#N/A</v>
      </c>
      <c r="JE73" s="310"/>
      <c r="JF73" s="313" t="s">
        <v>72</v>
      </c>
      <c r="JG73" s="362" t="e">
        <f>IF(JH71=TRUE,$J$27,#N/A)</f>
        <v>#N/A</v>
      </c>
      <c r="JH73" s="363" t="e">
        <f>IF(JH71=TRUE,$H$27,#N/A)</f>
        <v>#N/A</v>
      </c>
      <c r="JI73" s="313" t="s">
        <v>149</v>
      </c>
      <c r="JJ73" s="265" t="e">
        <f>JG73+$IZ$62</f>
        <v>#N/A</v>
      </c>
      <c r="JK73" s="265" t="e">
        <f>JH73</f>
        <v>#N/A</v>
      </c>
      <c r="JL73" s="310"/>
      <c r="JM73" s="310"/>
      <c r="JN73" s="261" t="e">
        <f t="shared" si="25"/>
        <v>#N/A</v>
      </c>
      <c r="JO73" s="261" t="e">
        <f t="shared" si="26"/>
        <v>#N/A</v>
      </c>
      <c r="JP73" s="310"/>
      <c r="JQ73" s="310"/>
      <c r="JR73" s="261" t="e">
        <f t="shared" si="31"/>
        <v>#N/A</v>
      </c>
      <c r="JS73" s="261" t="e">
        <f t="shared" si="32"/>
        <v>#N/A</v>
      </c>
      <c r="JT73" s="310"/>
      <c r="JU73" s="310"/>
      <c r="JV73" s="261" t="e">
        <f t="shared" si="27"/>
        <v>#N/A</v>
      </c>
      <c r="JW73" s="261" t="e">
        <f t="shared" si="28"/>
        <v>#N/A</v>
      </c>
      <c r="JX73" s="310"/>
      <c r="JY73" s="310"/>
      <c r="JZ73" s="310"/>
      <c r="KA73" s="310"/>
      <c r="KB73" s="313" t="s">
        <v>394</v>
      </c>
      <c r="KC73" s="242">
        <f>KC72-$IZ$114</f>
        <v>-1.1499999999999999</v>
      </c>
      <c r="KD73" s="242">
        <f>KD72+$IZ$114</f>
        <v>0.51500000000000001</v>
      </c>
      <c r="KE73" s="310"/>
      <c r="KF73" s="310"/>
      <c r="KG73" s="310"/>
      <c r="KH73" s="310"/>
      <c r="KI73" s="310"/>
      <c r="KJ73" s="310"/>
      <c r="KK73" s="310"/>
      <c r="KL73" s="310"/>
      <c r="KM73" s="310"/>
      <c r="KN73" s="310"/>
      <c r="KO73" s="310"/>
      <c r="KP73" s="310"/>
      <c r="KQ73" s="310"/>
      <c r="KR73" s="310"/>
      <c r="KS73" s="310"/>
      <c r="KT73" s="310"/>
      <c r="KU73" s="310"/>
      <c r="KV73" s="310"/>
      <c r="KW73" s="310"/>
      <c r="KX73" s="310"/>
      <c r="KY73" s="310"/>
      <c r="KZ73" s="310"/>
      <c r="LA73" s="310"/>
      <c r="LB73" s="310"/>
      <c r="LC73" s="310"/>
      <c r="LD73" s="310"/>
      <c r="LE73" s="310"/>
      <c r="LF73" s="310"/>
      <c r="LG73" s="310"/>
      <c r="LH73" s="463" t="e">
        <f>LC52+LH49</f>
        <v>#N/A</v>
      </c>
      <c r="LI73" s="463" t="e">
        <f>LD52</f>
        <v>#N/A</v>
      </c>
      <c r="LJ73" s="463" t="e">
        <v>#N/A</v>
      </c>
      <c r="LK73" s="463" t="e">
        <v>#N/A</v>
      </c>
      <c r="LL73" s="463"/>
      <c r="LM73" s="310"/>
      <c r="LN73" s="310"/>
      <c r="LO73" s="347" t="e">
        <f>LC55+LO49</f>
        <v>#N/A</v>
      </c>
      <c r="LP73" s="347" t="e">
        <f>LD55</f>
        <v>#N/A</v>
      </c>
      <c r="LQ73" s="463" t="e">
        <v>#N/A</v>
      </c>
      <c r="LR73" s="463" t="e">
        <v>#N/A</v>
      </c>
      <c r="LS73" s="391"/>
      <c r="LT73" s="310"/>
      <c r="LU73" s="310"/>
      <c r="LV73" s="347" t="e">
        <f>LC52</f>
        <v>#N/A</v>
      </c>
      <c r="LW73" s="347" t="e">
        <f>LD51-LV49</f>
        <v>#N/A</v>
      </c>
      <c r="LX73" s="463" t="e">
        <v>#N/A</v>
      </c>
      <c r="LY73" s="463" t="e">
        <v>#N/A</v>
      </c>
      <c r="LZ73" s="391"/>
      <c r="MA73" s="310"/>
      <c r="MB73" s="310"/>
      <c r="MC73" s="347" t="e">
        <f>LC51</f>
        <v>#N/A</v>
      </c>
      <c r="MD73" s="347" t="e">
        <f>LD51</f>
        <v>#N/A</v>
      </c>
      <c r="ME73" s="463" t="e">
        <v>#N/A</v>
      </c>
      <c r="MF73" s="463" t="e">
        <v>#N/A</v>
      </c>
      <c r="MG73" s="391"/>
      <c r="MH73" s="310"/>
      <c r="MI73" s="310"/>
      <c r="MJ73" s="238" t="e">
        <v>#N/A</v>
      </c>
      <c r="MK73" s="238" t="e">
        <v>#N/A</v>
      </c>
      <c r="ML73" s="228" t="e">
        <v>#N/A</v>
      </c>
      <c r="MM73" s="228" t="e">
        <v>#N/A</v>
      </c>
      <c r="MN73" s="391"/>
      <c r="MO73" s="310"/>
      <c r="MP73" s="311" t="e">
        <v>#N/A</v>
      </c>
      <c r="MQ73" s="311" t="e">
        <v>#N/A</v>
      </c>
      <c r="MR73" s="311" t="e">
        <v>#N/A</v>
      </c>
      <c r="MS73" s="311" t="e">
        <v>#N/A</v>
      </c>
      <c r="MT73" s="310"/>
      <c r="MU73" s="297" t="e">
        <f>MU70</f>
        <v>#N/A</v>
      </c>
      <c r="MV73" s="297" t="e">
        <f>MV72</f>
        <v>#N/A</v>
      </c>
      <c r="MW73" s="280" t="e">
        <f>IF(MY73=TRUE,MW70,#N/A)</f>
        <v>#N/A</v>
      </c>
      <c r="MX73" s="280" t="e">
        <f>IF(MY73=TRUE,MX70-0.15,#N/A)</f>
        <v>#N/A</v>
      </c>
      <c r="MY73" s="338" t="b">
        <f>AND(MY54=TRUE,$D$63&gt;=MZ40)</f>
        <v>0</v>
      </c>
      <c r="MZ73" s="310"/>
      <c r="NA73" s="310"/>
      <c r="NB73" s="310"/>
      <c r="NC73" s="310"/>
      <c r="ND73" s="310"/>
      <c r="NE73" s="310"/>
      <c r="NF73" s="310"/>
      <c r="NG73" s="310"/>
      <c r="NH73" s="310"/>
      <c r="NI73" s="310"/>
      <c r="NJ73" s="310"/>
      <c r="NK73" s="310"/>
      <c r="NL73" s="310"/>
      <c r="NM73" s="310"/>
      <c r="NN73" s="310"/>
      <c r="NO73" s="310"/>
      <c r="NP73" s="310"/>
      <c r="NQ73" s="310"/>
      <c r="NR73" s="310"/>
      <c r="NS73" s="310"/>
      <c r="NT73" s="310"/>
      <c r="NU73" s="310"/>
      <c r="NV73" s="310"/>
      <c r="NW73" s="310"/>
      <c r="NX73" s="310"/>
      <c r="NY73" s="310"/>
      <c r="NZ73" s="310"/>
      <c r="OA73" s="310"/>
      <c r="OB73" s="310"/>
      <c r="OC73" s="310"/>
      <c r="OD73" s="310"/>
      <c r="OE73" s="310"/>
      <c r="OF73" s="310"/>
      <c r="OG73" s="310"/>
      <c r="OH73" s="310"/>
      <c r="OI73" s="310"/>
      <c r="OJ73" s="310"/>
      <c r="OK73" s="310"/>
      <c r="OL73" s="310"/>
      <c r="OM73" s="310"/>
      <c r="ON73" s="310"/>
      <c r="OO73" s="310"/>
      <c r="OP73" s="310"/>
      <c r="OQ73" s="310"/>
      <c r="OR73" s="310"/>
      <c r="OS73" s="310"/>
      <c r="OT73" s="310"/>
      <c r="OU73" s="310"/>
      <c r="OV73" s="310"/>
      <c r="OW73" s="310"/>
      <c r="OX73" s="310"/>
      <c r="OY73" s="310"/>
      <c r="OZ73" s="310"/>
      <c r="PA73" s="310"/>
      <c r="PB73" s="310"/>
      <c r="PC73" s="310"/>
      <c r="PD73" s="310"/>
      <c r="PE73" s="310"/>
      <c r="PF73" s="310"/>
      <c r="PG73" s="310"/>
      <c r="PH73" s="310"/>
      <c r="PI73" s="310"/>
      <c r="PJ73" s="310"/>
      <c r="PK73" s="310"/>
      <c r="PL73" s="310"/>
      <c r="PM73" s="310"/>
      <c r="PN73" s="310"/>
      <c r="PO73" s="310"/>
      <c r="PP73" s="310"/>
      <c r="PQ73" s="310"/>
      <c r="PR73" s="310"/>
      <c r="PS73" s="342">
        <v>59</v>
      </c>
      <c r="PT73" s="261" t="e">
        <f t="shared" si="29"/>
        <v>#N/A</v>
      </c>
      <c r="PU73" s="261" t="e">
        <f t="shared" si="30"/>
        <v>#N/A</v>
      </c>
      <c r="PV73" s="310"/>
      <c r="PW73" s="310"/>
      <c r="PX73" s="310"/>
      <c r="PY73" s="310"/>
      <c r="PZ73" s="310"/>
      <c r="QA73" s="310"/>
      <c r="QB73" s="310"/>
      <c r="QC73" s="310"/>
      <c r="QD73" s="310"/>
      <c r="QE73" s="310"/>
      <c r="QF73" s="310"/>
      <c r="QG73" s="310"/>
      <c r="QH73" s="310"/>
      <c r="QI73" s="310"/>
      <c r="QJ73" s="310"/>
      <c r="QK73" s="310"/>
      <c r="QL73" s="310"/>
      <c r="QM73" s="310"/>
      <c r="QN73" s="310"/>
      <c r="QO73" s="310"/>
      <c r="QP73" s="310"/>
      <c r="QQ73" s="310"/>
      <c r="QR73" s="310"/>
      <c r="QS73" s="310"/>
      <c r="QT73" s="310"/>
      <c r="QU73" s="310"/>
      <c r="QV73" s="310"/>
      <c r="QW73" s="310"/>
      <c r="QX73" s="310"/>
      <c r="QY73" s="310"/>
      <c r="QZ73" s="310"/>
      <c r="RA73" s="310"/>
      <c r="RB73" s="310"/>
      <c r="RC73" s="310"/>
      <c r="RD73" s="310"/>
      <c r="RE73" s="310"/>
      <c r="RF73" s="310"/>
      <c r="RG73" s="310"/>
      <c r="RH73" s="310"/>
      <c r="RI73" s="310"/>
      <c r="RJ73" s="310"/>
      <c r="RK73" s="310"/>
      <c r="RL73" s="310"/>
      <c r="RM73" s="310"/>
      <c r="RN73" s="310"/>
      <c r="RO73" s="310"/>
      <c r="RP73" s="310"/>
      <c r="RQ73" s="310"/>
      <c r="RR73" s="310"/>
      <c r="RS73" s="310"/>
      <c r="RT73" s="310"/>
      <c r="RU73" s="310"/>
      <c r="RV73" s="310"/>
      <c r="RW73" s="310"/>
      <c r="RX73" s="310"/>
      <c r="RY73" s="310"/>
      <c r="RZ73" s="310"/>
      <c r="SA73" s="310"/>
      <c r="SB73" s="310"/>
      <c r="SC73" s="310"/>
      <c r="SD73" s="310"/>
      <c r="SE73" s="310"/>
      <c r="SF73" s="310"/>
      <c r="SG73" s="310"/>
      <c r="SH73" s="310"/>
      <c r="SI73" s="310"/>
      <c r="SJ73" s="310"/>
      <c r="SK73" s="310"/>
      <c r="SL73" s="310"/>
      <c r="SM73" s="310"/>
      <c r="SN73" s="310"/>
      <c r="SO73" s="220"/>
      <c r="SP73" s="220"/>
      <c r="SQ73" s="220"/>
      <c r="SR73" s="220"/>
      <c r="SS73" s="220"/>
      <c r="ST73" s="220"/>
      <c r="SU73" s="220"/>
      <c r="SV73" s="220"/>
      <c r="SW73" s="220"/>
      <c r="SX73" s="220"/>
      <c r="SY73" s="220"/>
      <c r="SZ73" s="220"/>
      <c r="TA73" s="220"/>
      <c r="TB73" s="220"/>
      <c r="TC73" s="220"/>
      <c r="TD73" s="220"/>
      <c r="TE73" s="220"/>
      <c r="TF73" s="220"/>
      <c r="TG73" s="220"/>
      <c r="TH73" s="220"/>
      <c r="TI73" s="220"/>
      <c r="TJ73" s="220"/>
      <c r="TK73" s="220"/>
      <c r="TL73" s="220"/>
      <c r="TM73" s="220"/>
      <c r="TN73" s="220"/>
      <c r="TO73" s="220"/>
      <c r="TP73" s="220"/>
      <c r="TQ73" s="220"/>
      <c r="TR73" s="220"/>
      <c r="TS73" s="220"/>
      <c r="TT73" s="220"/>
      <c r="TU73" s="220"/>
      <c r="TV73" s="220"/>
      <c r="TW73" s="220"/>
      <c r="TX73" s="220"/>
      <c r="TY73" s="220"/>
      <c r="TZ73" s="220"/>
      <c r="UA73" s="220"/>
      <c r="UB73" s="220"/>
      <c r="UC73" s="220"/>
      <c r="UD73" s="220"/>
      <c r="UE73" s="220"/>
      <c r="UF73" s="220"/>
      <c r="UG73" s="220"/>
      <c r="UH73" s="220"/>
      <c r="UI73" s="220"/>
      <c r="UJ73" s="220"/>
      <c r="UK73" s="216"/>
      <c r="UL73" s="216"/>
      <c r="UM73" s="216"/>
      <c r="UN73" s="216"/>
      <c r="UO73" s="216"/>
      <c r="UP73" s="216"/>
      <c r="UQ73" s="216"/>
      <c r="UR73" s="216"/>
      <c r="US73" s="216"/>
      <c r="UT73" s="216"/>
      <c r="UU73" s="216"/>
      <c r="UV73" s="216"/>
      <c r="UW73" s="216"/>
      <c r="UX73" s="216"/>
      <c r="UY73" s="216"/>
      <c r="UZ73" s="216"/>
      <c r="VA73" s="216"/>
    </row>
    <row r="74" spans="1:573" s="4" customFormat="1" x14ac:dyDescent="0.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5"/>
      <c r="AM74" s="45"/>
      <c r="AN74" s="45"/>
      <c r="AO74" s="45"/>
      <c r="AP74" s="310"/>
      <c r="AQ74" s="310">
        <f>(F51/100)*SIN(RADIANS(45))</f>
        <v>0.42426406871192845</v>
      </c>
      <c r="AR74" s="328" t="s">
        <v>19</v>
      </c>
      <c r="AS74" s="481">
        <f>IF(AND(CP13=TRUE,CU11=TRUE),IF(AY16=TRUE,MAX(ABS(I44),ABS(I45)),MAX(ABS(H44),ABS(H45)))-AQ74,#N/A)</f>
        <v>0.41073593128807151</v>
      </c>
      <c r="AT74" s="304" t="b">
        <f>IF(I61&gt;N61,TRUE,FALSE)</f>
        <v>1</v>
      </c>
      <c r="AU74" s="304" t="b">
        <f>IF(AT74=FALSE,TRUE,FALSE)</f>
        <v>0</v>
      </c>
      <c r="AV74" s="336" t="e">
        <f>CN29-CN28</f>
        <v>#N/A</v>
      </c>
      <c r="AW74" s="336" t="e">
        <f>CO29-CO30</f>
        <v>#N/A</v>
      </c>
      <c r="AX74" s="310"/>
      <c r="AY74" s="310"/>
      <c r="AZ74" s="310"/>
      <c r="BA74" s="310"/>
      <c r="BB74" s="328" t="s">
        <v>49</v>
      </c>
      <c r="BC74" s="328" t="s">
        <v>48</v>
      </c>
      <c r="BD74" s="338"/>
      <c r="BE74" s="328" t="s">
        <v>49</v>
      </c>
      <c r="BF74" s="328" t="s">
        <v>48</v>
      </c>
      <c r="BG74" s="338" t="s">
        <v>413</v>
      </c>
      <c r="BH74" s="328" t="s">
        <v>49</v>
      </c>
      <c r="BI74" s="328" t="s">
        <v>48</v>
      </c>
      <c r="BJ74" s="338" t="s">
        <v>414</v>
      </c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38" t="e">
        <f>BY71</f>
        <v>#N/A</v>
      </c>
      <c r="BZ74" s="338" t="e">
        <f>BZ73</f>
        <v>#N/A</v>
      </c>
      <c r="CA74" s="310"/>
      <c r="CB74" s="310" t="e">
        <f t="shared" si="126"/>
        <v>#N/A</v>
      </c>
      <c r="CC74" s="310" t="e">
        <f t="shared" si="126"/>
        <v>#N/A</v>
      </c>
      <c r="CD74" s="228" t="e">
        <f>CD71</f>
        <v>#N/A</v>
      </c>
      <c r="CE74" s="228" t="e">
        <f>CE73</f>
        <v>#N/A</v>
      </c>
      <c r="CF74" s="310"/>
      <c r="CG74" s="310"/>
      <c r="CH74" s="310"/>
      <c r="CI74" s="310"/>
      <c r="CJ74" s="310"/>
      <c r="CK74" s="310"/>
      <c r="CL74" s="310"/>
      <c r="CM74" s="310"/>
      <c r="CN74" s="310"/>
      <c r="CO74" s="310"/>
      <c r="CP74" s="310"/>
      <c r="CQ74" s="310"/>
      <c r="CR74" s="310"/>
      <c r="CS74" s="310"/>
      <c r="CT74" s="310"/>
      <c r="CU74" s="310"/>
      <c r="CV74" s="310"/>
      <c r="CW74" s="310"/>
      <c r="CX74" s="310"/>
      <c r="CY74" s="310"/>
      <c r="CZ74" s="310"/>
      <c r="DA74" s="310"/>
      <c r="DB74" s="310"/>
      <c r="DC74" s="280" t="e">
        <f>IF(AND($DD$50=TRUE,$D$63&gt;=DB73),$DC$53,#N/A)</f>
        <v>#N/A</v>
      </c>
      <c r="DD74" s="280" t="e">
        <f>DD73</f>
        <v>#N/A</v>
      </c>
      <c r="DE74" s="310"/>
      <c r="DF74" s="280" t="e">
        <v>#N/A</v>
      </c>
      <c r="DG74" s="280" t="e">
        <v>#N/A</v>
      </c>
      <c r="DH74" s="310"/>
      <c r="DI74" s="310"/>
      <c r="DJ74" s="310"/>
      <c r="DK74" s="310"/>
      <c r="DL74" s="310" t="s">
        <v>440</v>
      </c>
      <c r="DM74" s="310">
        <f>G52/100</f>
        <v>0.1</v>
      </c>
      <c r="DN74" s="310"/>
      <c r="DO74" s="310"/>
      <c r="DP74" s="310"/>
      <c r="DQ74" s="310"/>
      <c r="DR74" s="310"/>
      <c r="DS74" s="310"/>
      <c r="DT74" s="310"/>
      <c r="DU74" s="310"/>
      <c r="DV74" s="310"/>
      <c r="DW74" s="310"/>
      <c r="DX74" s="310"/>
      <c r="DY74" s="310"/>
      <c r="DZ74" s="310"/>
      <c r="EA74" s="310"/>
      <c r="EB74" s="310"/>
      <c r="EC74" s="310"/>
      <c r="ED74" s="310"/>
      <c r="EE74" s="310"/>
      <c r="EF74" s="310"/>
      <c r="EG74" s="310"/>
      <c r="EH74" s="310"/>
      <c r="EI74" s="338">
        <v>3</v>
      </c>
      <c r="EJ74" s="338" t="b">
        <f t="shared" si="127"/>
        <v>1</v>
      </c>
      <c r="EK74" s="281">
        <f t="shared" ref="EK74:EK121" si="128">IF(EJ74=TRUE,EK73+$EK$69,#N/A)</f>
        <v>-0.36888888888888882</v>
      </c>
      <c r="EL74" s="281">
        <f t="shared" ref="EL74:EL121" si="129">IF(EJ74=TRUE,$EL$72,#N/A)</f>
        <v>0.12000000000000001</v>
      </c>
      <c r="EM74" s="310"/>
      <c r="EN74" s="280">
        <f>EN73</f>
        <v>-0.125</v>
      </c>
      <c r="EO74" s="280">
        <f>EF68</f>
        <v>1.1000000000000001</v>
      </c>
      <c r="EP74" s="310"/>
      <c r="EQ74" s="280">
        <f>EN116</f>
        <v>0.32416666666666671</v>
      </c>
      <c r="ER74" s="280">
        <f>EO116</f>
        <v>1.1000000000000001</v>
      </c>
      <c r="ES74" s="338" t="str" cm="1">
        <f t="array" ref="ES74">N55&amp;"-"&amp;INDEX(AT49:AT55,AS58)&amp;"#"</f>
        <v>8-DB20#</v>
      </c>
      <c r="ET74" s="310"/>
      <c r="EU74" s="310"/>
      <c r="EV74" s="310"/>
      <c r="EW74" s="310"/>
      <c r="EX74" s="310"/>
      <c r="EY74" s="310"/>
      <c r="EZ74" s="310"/>
      <c r="FA74" s="310"/>
      <c r="FB74" s="310"/>
      <c r="FC74" s="310"/>
      <c r="FD74" s="310"/>
      <c r="FE74" s="310"/>
      <c r="FF74" s="310"/>
      <c r="FG74" s="310"/>
      <c r="FH74" s="310"/>
      <c r="FI74" s="310"/>
      <c r="FJ74" s="310"/>
      <c r="FK74" s="310"/>
      <c r="FL74" s="310"/>
      <c r="FM74" s="310"/>
      <c r="FN74" s="310"/>
      <c r="FO74" s="310"/>
      <c r="FP74" s="310"/>
      <c r="FQ74" s="310"/>
      <c r="FR74" s="310"/>
      <c r="FS74" s="310"/>
      <c r="FT74" s="310"/>
      <c r="FU74" s="310"/>
      <c r="FV74" s="310"/>
      <c r="FW74" s="310"/>
      <c r="FX74" s="310"/>
      <c r="FY74" s="310"/>
      <c r="FZ74" s="310"/>
      <c r="GA74" s="310"/>
      <c r="GB74" s="310"/>
      <c r="GC74" s="310"/>
      <c r="GD74" s="310"/>
      <c r="GE74" s="310"/>
      <c r="GF74" s="310"/>
      <c r="GG74" s="310"/>
      <c r="GH74" s="310"/>
      <c r="GI74" s="310"/>
      <c r="GJ74" s="310"/>
      <c r="GK74" s="310"/>
      <c r="GL74" s="310"/>
      <c r="GM74" s="310"/>
      <c r="GN74" s="310"/>
      <c r="GO74" s="310"/>
      <c r="GP74" s="310"/>
      <c r="GQ74" s="310"/>
      <c r="GR74" s="310"/>
      <c r="GS74" s="310"/>
      <c r="GT74" s="310"/>
      <c r="GU74" s="310"/>
      <c r="GV74" s="310"/>
      <c r="GW74" s="310"/>
      <c r="GX74" s="310"/>
      <c r="GY74" s="310"/>
      <c r="GZ74" s="310"/>
      <c r="HA74" s="310"/>
      <c r="HB74" s="310"/>
      <c r="HC74" s="310"/>
      <c r="HD74" s="310"/>
      <c r="HE74" s="310"/>
      <c r="HF74" s="310"/>
      <c r="HG74" s="310"/>
      <c r="HH74" s="310"/>
      <c r="HI74" s="310"/>
      <c r="HJ74" s="310"/>
      <c r="HK74" s="342">
        <v>60</v>
      </c>
      <c r="HL74" s="235" t="e">
        <f t="shared" si="5"/>
        <v>#N/A</v>
      </c>
      <c r="HM74" s="235" t="e">
        <f t="shared" si="6"/>
        <v>#N/A</v>
      </c>
      <c r="HN74" s="310"/>
      <c r="HO74" s="310"/>
      <c r="HP74" s="235" t="e">
        <f t="shared" si="7"/>
        <v>#N/A</v>
      </c>
      <c r="HQ74" s="235" t="e">
        <f t="shared" si="8"/>
        <v>#N/A</v>
      </c>
      <c r="HR74" s="310"/>
      <c r="HS74" s="310"/>
      <c r="HT74" s="235" t="e">
        <f t="shared" si="9"/>
        <v>#N/A</v>
      </c>
      <c r="HU74" s="235" t="e">
        <f t="shared" si="10"/>
        <v>#N/A</v>
      </c>
      <c r="HV74" s="310"/>
      <c r="HW74" s="310"/>
      <c r="HX74" s="235" t="e">
        <f t="shared" si="11"/>
        <v>#N/A</v>
      </c>
      <c r="HY74" s="235" t="e">
        <f t="shared" si="12"/>
        <v>#N/A</v>
      </c>
      <c r="HZ74" s="310"/>
      <c r="IA74" s="310"/>
      <c r="IB74" s="235" t="e">
        <f t="shared" si="13"/>
        <v>#N/A</v>
      </c>
      <c r="IC74" s="235" t="e">
        <f t="shared" si="14"/>
        <v>#N/A</v>
      </c>
      <c r="ID74" s="310"/>
      <c r="IE74" s="342">
        <v>60</v>
      </c>
      <c r="IF74" s="262" t="e">
        <f t="shared" si="15"/>
        <v>#N/A</v>
      </c>
      <c r="IG74" s="262" t="e">
        <f t="shared" si="16"/>
        <v>#N/A</v>
      </c>
      <c r="IH74" s="390"/>
      <c r="II74" s="390"/>
      <c r="IJ74" s="262" t="e">
        <f t="shared" si="17"/>
        <v>#N/A</v>
      </c>
      <c r="IK74" s="262" t="e">
        <f t="shared" si="18"/>
        <v>#N/A</v>
      </c>
      <c r="IL74" s="390"/>
      <c r="IM74" s="390"/>
      <c r="IN74" s="262" t="e">
        <f t="shared" si="19"/>
        <v>#N/A</v>
      </c>
      <c r="IO74" s="262" t="e">
        <f t="shared" si="20"/>
        <v>#N/A</v>
      </c>
      <c r="IP74" s="390"/>
      <c r="IQ74" s="390"/>
      <c r="IR74" s="262" t="e">
        <f t="shared" si="21"/>
        <v>#N/A</v>
      </c>
      <c r="IS74" s="262" t="e">
        <f t="shared" si="22"/>
        <v>#N/A</v>
      </c>
      <c r="IT74" s="390"/>
      <c r="IU74" s="390"/>
      <c r="IV74" s="262" t="e">
        <f t="shared" si="23"/>
        <v>#N/A</v>
      </c>
      <c r="IW74" s="262" t="e">
        <f t="shared" si="24"/>
        <v>#N/A</v>
      </c>
      <c r="IX74" s="310"/>
      <c r="IY74" s="310"/>
      <c r="IZ74" s="310"/>
      <c r="JA74" s="310"/>
      <c r="JB74" s="313" t="s">
        <v>152</v>
      </c>
      <c r="JC74" s="228" t="e">
        <f>JC72</f>
        <v>#N/A</v>
      </c>
      <c r="JD74" s="228" t="e">
        <f>JA73-$IZ$61/2</f>
        <v>#N/A</v>
      </c>
      <c r="JE74" s="310"/>
      <c r="JF74" s="310"/>
      <c r="JG74" s="310"/>
      <c r="JH74" s="310"/>
      <c r="JI74" s="313" t="s">
        <v>152</v>
      </c>
      <c r="JJ74" s="242" t="e">
        <f>JJ72</f>
        <v>#N/A</v>
      </c>
      <c r="JK74" s="242" t="e">
        <f>JH73-$IZ$61/2</f>
        <v>#N/A</v>
      </c>
      <c r="JL74" s="310"/>
      <c r="JM74" s="310"/>
      <c r="JN74" s="261" t="e">
        <f t="shared" si="25"/>
        <v>#N/A</v>
      </c>
      <c r="JO74" s="261" t="e">
        <f t="shared" si="26"/>
        <v>#N/A</v>
      </c>
      <c r="JP74" s="310"/>
      <c r="JQ74" s="310"/>
      <c r="JR74" s="261" t="e">
        <f t="shared" si="31"/>
        <v>#N/A</v>
      </c>
      <c r="JS74" s="261" t="e">
        <f t="shared" si="32"/>
        <v>#N/A</v>
      </c>
      <c r="JT74" s="310"/>
      <c r="JU74" s="310"/>
      <c r="JV74" s="261" t="e">
        <f t="shared" si="27"/>
        <v>#N/A</v>
      </c>
      <c r="JW74" s="261" t="e">
        <f t="shared" si="28"/>
        <v>#N/A</v>
      </c>
      <c r="JX74" s="310"/>
      <c r="JY74" s="310"/>
      <c r="JZ74" s="310"/>
      <c r="KA74" s="310"/>
      <c r="KB74" s="313" t="s">
        <v>395</v>
      </c>
      <c r="KC74" s="242">
        <f>KC73</f>
        <v>-1.1499999999999999</v>
      </c>
      <c r="KD74" s="242">
        <f>KD69</f>
        <v>0.57499999999999996</v>
      </c>
      <c r="KE74" s="310"/>
      <c r="KF74" s="310"/>
      <c r="KG74" s="310"/>
      <c r="KH74" s="310"/>
      <c r="KI74" s="310"/>
      <c r="KJ74" s="310"/>
      <c r="KK74" s="310"/>
      <c r="KL74" s="310"/>
      <c r="KM74" s="310"/>
      <c r="KN74" s="310"/>
      <c r="KO74" s="310"/>
      <c r="KP74" s="310"/>
      <c r="KQ74" s="310"/>
      <c r="KR74" s="310"/>
      <c r="KS74" s="310"/>
      <c r="KT74" s="310"/>
      <c r="KU74" s="310"/>
      <c r="KV74" s="310"/>
      <c r="KW74" s="310"/>
      <c r="KX74" s="310"/>
      <c r="KY74" s="310"/>
      <c r="KZ74" s="310"/>
      <c r="LA74" s="310"/>
      <c r="LB74" s="310"/>
      <c r="LC74" s="310"/>
      <c r="LD74" s="310"/>
      <c r="LE74" s="310"/>
      <c r="LF74" s="310"/>
      <c r="LG74" s="310"/>
      <c r="LH74" s="463" t="e">
        <f>LC52+LI49*1.65</f>
        <v>#N/A</v>
      </c>
      <c r="LI74" s="463" t="e">
        <f>LI73</f>
        <v>#N/A</v>
      </c>
      <c r="LJ74" s="463" t="e">
        <v>#N/A</v>
      </c>
      <c r="LK74" s="463" t="e">
        <v>#N/A</v>
      </c>
      <c r="LL74" s="463"/>
      <c r="LM74" s="310"/>
      <c r="LN74" s="310"/>
      <c r="LO74" s="391" t="e">
        <f>LC55+LP49</f>
        <v>#N/A</v>
      </c>
      <c r="LP74" s="391" t="e">
        <f>LP73</f>
        <v>#N/A</v>
      </c>
      <c r="LQ74" s="463" t="e">
        <v>#N/A</v>
      </c>
      <c r="LR74" s="463" t="e">
        <v>#N/A</v>
      </c>
      <c r="LS74" s="391"/>
      <c r="LT74" s="310"/>
      <c r="LU74" s="310"/>
      <c r="LV74" s="391" t="e">
        <f>LV73</f>
        <v>#N/A</v>
      </c>
      <c r="LW74" s="391" t="e">
        <f>LD51-LW49/2</f>
        <v>#N/A</v>
      </c>
      <c r="LX74" s="463" t="e">
        <v>#N/A</v>
      </c>
      <c r="LY74" s="463" t="e">
        <v>#N/A</v>
      </c>
      <c r="LZ74" s="391"/>
      <c r="MA74" s="310"/>
      <c r="MB74" s="310"/>
      <c r="MC74" s="391" t="e">
        <f>MC73</f>
        <v>#N/A</v>
      </c>
      <c r="MD74" s="391" t="e">
        <f>LD66-MD49/2</f>
        <v>#N/A</v>
      </c>
      <c r="ME74" s="463" t="e">
        <v>#N/A</v>
      </c>
      <c r="MF74" s="463" t="e">
        <v>#N/A</v>
      </c>
      <c r="MG74" s="391"/>
      <c r="MH74" s="310"/>
      <c r="MI74" s="310"/>
      <c r="MJ74" s="239" t="e">
        <v>#N/A</v>
      </c>
      <c r="MK74" s="239" t="e">
        <v>#N/A</v>
      </c>
      <c r="ML74" s="228" t="e">
        <v>#N/A</v>
      </c>
      <c r="MM74" s="228" t="e">
        <v>#N/A</v>
      </c>
      <c r="MN74" s="391"/>
      <c r="MO74" s="310"/>
      <c r="MP74" s="311" t="e">
        <v>#N/A</v>
      </c>
      <c r="MQ74" s="311" t="e">
        <v>#N/A</v>
      </c>
      <c r="MR74" s="311" t="e">
        <v>#N/A</v>
      </c>
      <c r="MS74" s="311" t="e">
        <v>#N/A</v>
      </c>
      <c r="MT74" s="310"/>
      <c r="MU74" s="292" t="e">
        <v>#N/A</v>
      </c>
      <c r="MV74" s="292" t="e">
        <v>#N/A</v>
      </c>
      <c r="MW74" s="280" t="e">
        <f>IF(MY73=TRUE,MW71,#N/A)</f>
        <v>#N/A</v>
      </c>
      <c r="MX74" s="280" t="e">
        <f>MX73</f>
        <v>#N/A</v>
      </c>
      <c r="MY74" s="338"/>
      <c r="MZ74" s="310"/>
      <c r="NA74" s="310"/>
      <c r="NB74" s="310"/>
      <c r="NC74" s="310"/>
      <c r="ND74" s="310"/>
      <c r="NE74" s="310"/>
      <c r="NF74" s="310"/>
      <c r="NG74" s="310"/>
      <c r="NH74" s="310"/>
      <c r="NI74" s="310"/>
      <c r="NJ74" s="310"/>
      <c r="NK74" s="310"/>
      <c r="NL74" s="310"/>
      <c r="NM74" s="310"/>
      <c r="NN74" s="310"/>
      <c r="NO74" s="310"/>
      <c r="NP74" s="310"/>
      <c r="NQ74" s="310"/>
      <c r="NR74" s="310"/>
      <c r="NS74" s="310"/>
      <c r="NT74" s="310"/>
      <c r="NU74" s="310"/>
      <c r="NV74" s="310"/>
      <c r="NW74" s="310"/>
      <c r="NX74" s="310"/>
      <c r="NY74" s="310"/>
      <c r="NZ74" s="310"/>
      <c r="OA74" s="310"/>
      <c r="OB74" s="310"/>
      <c r="OC74" s="310"/>
      <c r="OD74" s="310"/>
      <c r="OE74" s="310"/>
      <c r="OF74" s="310"/>
      <c r="OG74" s="310"/>
      <c r="OH74" s="310"/>
      <c r="OI74" s="310"/>
      <c r="OJ74" s="310"/>
      <c r="OK74" s="310"/>
      <c r="OL74" s="310"/>
      <c r="OM74" s="310"/>
      <c r="ON74" s="310"/>
      <c r="OO74" s="310"/>
      <c r="OP74" s="310"/>
      <c r="OQ74" s="310"/>
      <c r="OR74" s="310"/>
      <c r="OS74" s="310"/>
      <c r="OT74" s="310"/>
      <c r="OU74" s="310"/>
      <c r="OV74" s="310"/>
      <c r="OW74" s="310"/>
      <c r="OX74" s="310"/>
      <c r="OY74" s="310"/>
      <c r="OZ74" s="310"/>
      <c r="PA74" s="310"/>
      <c r="PB74" s="310"/>
      <c r="PC74" s="310"/>
      <c r="PD74" s="310"/>
      <c r="PE74" s="310"/>
      <c r="PF74" s="310"/>
      <c r="PG74" s="310"/>
      <c r="PH74" s="310"/>
      <c r="PI74" s="310"/>
      <c r="PJ74" s="310"/>
      <c r="PK74" s="310"/>
      <c r="PL74" s="310"/>
      <c r="PM74" s="310"/>
      <c r="PN74" s="310"/>
      <c r="PO74" s="310"/>
      <c r="PP74" s="310"/>
      <c r="PQ74" s="310"/>
      <c r="PR74" s="310"/>
      <c r="PS74" s="342">
        <v>60</v>
      </c>
      <c r="PT74" s="261" t="e">
        <f t="shared" si="29"/>
        <v>#N/A</v>
      </c>
      <c r="PU74" s="261" t="e">
        <f t="shared" si="30"/>
        <v>#N/A</v>
      </c>
      <c r="PV74" s="310"/>
      <c r="PW74" s="310"/>
      <c r="PX74" s="310"/>
      <c r="PY74" s="310"/>
      <c r="PZ74" s="310"/>
      <c r="QA74" s="310"/>
      <c r="QB74" s="310"/>
      <c r="QC74" s="310"/>
      <c r="QD74" s="310"/>
      <c r="QE74" s="310"/>
      <c r="QF74" s="310"/>
      <c r="QG74" s="310"/>
      <c r="QH74" s="310"/>
      <c r="QI74" s="310"/>
      <c r="QJ74" s="310"/>
      <c r="QK74" s="310"/>
      <c r="QL74" s="310"/>
      <c r="QM74" s="310"/>
      <c r="QN74" s="310"/>
      <c r="QO74" s="310"/>
      <c r="QP74" s="310"/>
      <c r="QQ74" s="310"/>
      <c r="QR74" s="310"/>
      <c r="QS74" s="310"/>
      <c r="QT74" s="310"/>
      <c r="QU74" s="310"/>
      <c r="QV74" s="310"/>
      <c r="QW74" s="310"/>
      <c r="QX74" s="310"/>
      <c r="QY74" s="310"/>
      <c r="QZ74" s="310"/>
      <c r="RA74" s="310"/>
      <c r="RB74" s="310"/>
      <c r="RC74" s="310"/>
      <c r="RD74" s="310"/>
      <c r="RE74" s="310"/>
      <c r="RF74" s="310"/>
      <c r="RG74" s="310"/>
      <c r="RH74" s="310"/>
      <c r="RI74" s="310"/>
      <c r="RJ74" s="310"/>
      <c r="RK74" s="310"/>
      <c r="RL74" s="310"/>
      <c r="RM74" s="310"/>
      <c r="RN74" s="310"/>
      <c r="RO74" s="310"/>
      <c r="RP74" s="310"/>
      <c r="RQ74" s="310"/>
      <c r="RR74" s="310"/>
      <c r="RS74" s="310"/>
      <c r="RT74" s="310"/>
      <c r="RU74" s="310"/>
      <c r="RV74" s="310"/>
      <c r="RW74" s="310"/>
      <c r="RX74" s="310"/>
      <c r="RY74" s="310"/>
      <c r="RZ74" s="310"/>
      <c r="SA74" s="310"/>
      <c r="SB74" s="310"/>
      <c r="SC74" s="310"/>
      <c r="SD74" s="310"/>
      <c r="SE74" s="310"/>
      <c r="SF74" s="310"/>
      <c r="SG74" s="310"/>
      <c r="SH74" s="310"/>
      <c r="SI74" s="310"/>
      <c r="SJ74" s="310"/>
      <c r="SK74" s="310"/>
      <c r="SL74" s="310"/>
      <c r="SM74" s="310"/>
      <c r="SN74" s="310"/>
      <c r="SO74" s="220"/>
      <c r="SP74" s="220"/>
      <c r="SQ74" s="220"/>
      <c r="SR74" s="220"/>
      <c r="SS74" s="220"/>
      <c r="ST74" s="220"/>
      <c r="SU74" s="220"/>
      <c r="SV74" s="220"/>
      <c r="SW74" s="220"/>
      <c r="SX74" s="220"/>
      <c r="SY74" s="220"/>
      <c r="SZ74" s="220"/>
      <c r="TA74" s="220"/>
      <c r="TB74" s="220"/>
      <c r="TC74" s="220"/>
      <c r="TD74" s="220"/>
      <c r="TE74" s="220"/>
      <c r="TF74" s="220"/>
      <c r="TG74" s="220"/>
      <c r="TH74" s="220"/>
      <c r="TI74" s="220"/>
      <c r="TJ74" s="220"/>
      <c r="TK74" s="220"/>
      <c r="TL74" s="220"/>
      <c r="TM74" s="220"/>
      <c r="TN74" s="220"/>
      <c r="TO74" s="220"/>
      <c r="TP74" s="220"/>
      <c r="TQ74" s="220"/>
      <c r="TR74" s="220"/>
      <c r="TS74" s="220"/>
      <c r="TT74" s="220"/>
      <c r="TU74" s="220"/>
      <c r="TV74" s="220"/>
      <c r="TW74" s="220"/>
      <c r="TX74" s="220"/>
      <c r="TY74" s="220"/>
      <c r="TZ74" s="220"/>
      <c r="UA74" s="220"/>
      <c r="UB74" s="220"/>
      <c r="UC74" s="220"/>
      <c r="UD74" s="220"/>
      <c r="UE74" s="220"/>
      <c r="UF74" s="220"/>
      <c r="UG74" s="220"/>
      <c r="UH74" s="220"/>
      <c r="UI74" s="220"/>
      <c r="UJ74" s="220"/>
      <c r="UK74" s="216"/>
      <c r="UL74" s="216"/>
      <c r="UM74" s="216"/>
      <c r="UN74" s="216"/>
      <c r="UO74" s="216"/>
      <c r="UP74" s="216"/>
      <c r="UQ74" s="216"/>
      <c r="UR74" s="216"/>
      <c r="US74" s="216"/>
      <c r="UT74" s="216"/>
      <c r="UU74" s="216"/>
      <c r="UV74" s="216"/>
      <c r="UW74" s="216"/>
      <c r="UX74" s="216"/>
      <c r="UY74" s="216"/>
      <c r="UZ74" s="216"/>
      <c r="VA74" s="216"/>
    </row>
    <row r="75" spans="1:573" s="4" customFormat="1" x14ac:dyDescent="0.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5"/>
      <c r="AM75" s="45"/>
      <c r="AN75" s="45"/>
      <c r="AO75" s="45"/>
      <c r="AP75" s="310"/>
      <c r="AQ75" s="310"/>
      <c r="AR75" s="328" t="s">
        <v>24</v>
      </c>
      <c r="AS75" s="480"/>
      <c r="AT75" s="310" t="b">
        <f>IF(I63&gt;N63,TRUE,FALSE)</f>
        <v>1</v>
      </c>
      <c r="AU75" s="310" t="b">
        <f>IF(AT75=FALSE,TRUE,FALSE)</f>
        <v>0</v>
      </c>
      <c r="AV75" s="310"/>
      <c r="AW75" s="310"/>
      <c r="AX75" s="310"/>
      <c r="AY75" s="310"/>
      <c r="AZ75" s="310"/>
      <c r="BA75" s="310"/>
      <c r="BB75" s="231">
        <f t="shared" ref="BB75:BB82" si="130">IF($BE$7=TRUE,IF(H26&lt;&gt;"",H26,#N/A),#N/A)</f>
        <v>-0.65</v>
      </c>
      <c r="BC75" s="231">
        <f t="shared" ref="BC75:BC82" si="131">IF($BE$7=TRUE,IF(J26&lt;&gt;"",J26,#N/A),#N/A)</f>
        <v>-0.65</v>
      </c>
      <c r="BD75" s="416" t="b">
        <f>IF(AND(CP13=TRUE,CU11=TRUE),IF(M44&lt;=$M$8,TRUE,FALSE),FALSE)</f>
        <v>1</v>
      </c>
      <c r="BE75" s="493">
        <f>IF(BD75=TRUE,BB75,#N/A)</f>
        <v>-0.65</v>
      </c>
      <c r="BF75" s="493">
        <f>IF(BD75=TRUE,BC75,#N/A)</f>
        <v>-0.65</v>
      </c>
      <c r="BG75" s="416" t="b">
        <f>IF(CP13=TRUE,IF(BD75=FALSE,TRUE,FALSE),FALSE)</f>
        <v>0</v>
      </c>
      <c r="BH75" s="493" t="e">
        <f>IF(BG75=TRUE,BB75,#N/A)</f>
        <v>#N/A</v>
      </c>
      <c r="BI75" s="493" t="e">
        <f>IF(BG75=TRUE,BC75,#N/A)</f>
        <v>#N/A</v>
      </c>
      <c r="BJ75" s="482" cm="1">
        <f t="array" ref="BJ75:BJ82">IF(CP13=TRUE,M44:M51,"")</f>
        <v>36</v>
      </c>
      <c r="BK75" s="310"/>
      <c r="BL75" s="310"/>
      <c r="BM75" s="310"/>
      <c r="BN75" s="310"/>
      <c r="BO75" s="310"/>
      <c r="BP75" s="310"/>
      <c r="BQ75" s="310"/>
      <c r="BR75" s="310"/>
      <c r="BS75" s="310"/>
      <c r="BT75" s="310"/>
      <c r="BU75" s="310"/>
      <c r="BV75" s="310"/>
      <c r="BW75" s="310"/>
      <c r="BX75" s="310"/>
      <c r="BY75" s="338" t="e">
        <f>BY71</f>
        <v>#N/A</v>
      </c>
      <c r="BZ75" s="338" t="e">
        <f>BZ71</f>
        <v>#N/A</v>
      </c>
      <c r="CA75" s="310"/>
      <c r="CB75" s="310" t="e">
        <f t="shared" si="126"/>
        <v>#N/A</v>
      </c>
      <c r="CC75" s="310" t="e">
        <f t="shared" si="126"/>
        <v>#N/A</v>
      </c>
      <c r="CD75" s="228" t="e">
        <v>#N/A</v>
      </c>
      <c r="CE75" s="228" t="e">
        <v>#N/A</v>
      </c>
      <c r="CF75" s="310"/>
      <c r="CG75" s="310"/>
      <c r="CH75" s="310"/>
      <c r="CI75" s="310"/>
      <c r="CJ75" s="310"/>
      <c r="CK75" s="310"/>
      <c r="CL75" s="310"/>
      <c r="CM75" s="310"/>
      <c r="CN75" s="310"/>
      <c r="CO75" s="310"/>
      <c r="CP75" s="310"/>
      <c r="CQ75" s="310"/>
      <c r="CR75" s="310"/>
      <c r="CS75" s="310"/>
      <c r="CT75" s="310"/>
      <c r="CU75" s="310"/>
      <c r="CV75" s="310"/>
      <c r="CW75" s="310"/>
      <c r="CX75" s="310"/>
      <c r="CY75" s="310"/>
      <c r="CZ75" s="310"/>
      <c r="DA75" s="310"/>
      <c r="DB75" s="310"/>
      <c r="DC75" s="280" t="e">
        <v>#N/A</v>
      </c>
      <c r="DD75" s="280" t="e">
        <v>#N/A</v>
      </c>
      <c r="DE75" s="310"/>
      <c r="DF75" s="292" t="e">
        <f>IF(DG6=TRUE,DF22+(DF23-DF22)/2,DC22+(DC23-DC22)/2)</f>
        <v>#N/A</v>
      </c>
      <c r="DG75" s="292" t="e">
        <f>IF(DG6=TRUE,DG22-(DG22-DG21)/2,DD22-(DD22-DD21)/2)</f>
        <v>#N/A</v>
      </c>
      <c r="DH75" s="310"/>
      <c r="DI75" s="310"/>
      <c r="DJ75" s="310"/>
      <c r="DK75" s="310"/>
      <c r="DL75" s="310" t="s">
        <v>441</v>
      </c>
      <c r="DM75" s="310">
        <v>2.5000000000000001E-2</v>
      </c>
      <c r="DN75" s="310"/>
      <c r="DO75" s="310"/>
      <c r="DP75" s="310"/>
      <c r="DQ75" s="310"/>
      <c r="DR75" s="310"/>
      <c r="DS75" s="310"/>
      <c r="DT75" s="310"/>
      <c r="DU75" s="677" t="s">
        <v>18</v>
      </c>
      <c r="DV75" s="677"/>
      <c r="DW75" s="310" t="s">
        <v>50</v>
      </c>
      <c r="DX75" s="310"/>
      <c r="DY75" s="310"/>
      <c r="DZ75" s="310"/>
      <c r="EA75" s="310"/>
      <c r="EB75" s="310"/>
      <c r="EC75" s="310"/>
      <c r="ED75" s="310"/>
      <c r="EE75" s="310"/>
      <c r="EF75" s="310"/>
      <c r="EG75" s="310"/>
      <c r="EH75" s="310"/>
      <c r="EI75" s="338">
        <v>4</v>
      </c>
      <c r="EJ75" s="338" t="b">
        <f t="shared" si="127"/>
        <v>1</v>
      </c>
      <c r="EK75" s="281">
        <f t="shared" si="128"/>
        <v>-0.12583333333333327</v>
      </c>
      <c r="EL75" s="281">
        <f t="shared" si="129"/>
        <v>0.12000000000000001</v>
      </c>
      <c r="EM75" s="310"/>
      <c r="EN75" s="280" t="e">
        <v>#N/A</v>
      </c>
      <c r="EO75" s="280" t="e">
        <v>#N/A</v>
      </c>
      <c r="EP75" s="310"/>
      <c r="EQ75" s="338"/>
      <c r="ER75" s="338"/>
      <c r="ES75" s="338"/>
      <c r="ET75" s="310"/>
      <c r="EU75" s="310"/>
      <c r="EV75" s="310"/>
      <c r="EW75" s="310"/>
      <c r="EX75" s="310"/>
      <c r="EY75" s="310"/>
      <c r="EZ75" s="310"/>
      <c r="FA75" s="310"/>
      <c r="FB75" s="310"/>
      <c r="FC75" s="310"/>
      <c r="FD75" s="310"/>
      <c r="FE75" s="310"/>
      <c r="FF75" s="310"/>
      <c r="FG75" s="310"/>
      <c r="FH75" s="310"/>
      <c r="FI75" s="310"/>
      <c r="FJ75" s="310"/>
      <c r="FK75" s="310"/>
      <c r="FL75" s="310"/>
      <c r="FM75" s="310"/>
      <c r="FN75" s="310"/>
      <c r="FO75" s="310"/>
      <c r="FP75" s="310"/>
      <c r="FQ75" s="310"/>
      <c r="FR75" s="310"/>
      <c r="FS75" s="310"/>
      <c r="FT75" s="310"/>
      <c r="FU75" s="310"/>
      <c r="FV75" s="310"/>
      <c r="FW75" s="310"/>
      <c r="FX75" s="310"/>
      <c r="FY75" s="310"/>
      <c r="FZ75" s="310"/>
      <c r="GA75" s="310"/>
      <c r="GB75" s="310"/>
      <c r="GC75" s="310"/>
      <c r="GD75" s="310"/>
      <c r="GE75" s="310"/>
      <c r="GF75" s="310"/>
      <c r="GG75" s="310"/>
      <c r="GH75" s="310"/>
      <c r="GI75" s="310"/>
      <c r="GJ75" s="310"/>
      <c r="GK75" s="310"/>
      <c r="GL75" s="310"/>
      <c r="GM75" s="310"/>
      <c r="GN75" s="310"/>
      <c r="GO75" s="310"/>
      <c r="GP75" s="310"/>
      <c r="GQ75" s="310"/>
      <c r="GR75" s="310"/>
      <c r="GS75" s="310"/>
      <c r="GT75" s="310"/>
      <c r="GU75" s="310"/>
      <c r="GV75" s="310"/>
      <c r="GW75" s="310"/>
      <c r="GX75" s="310"/>
      <c r="GY75" s="310"/>
      <c r="GZ75" s="310"/>
      <c r="HA75" s="310"/>
      <c r="HB75" s="310"/>
      <c r="HC75" s="310"/>
      <c r="HD75" s="310"/>
      <c r="HE75" s="310"/>
      <c r="HF75" s="310"/>
      <c r="HG75" s="310"/>
      <c r="HH75" s="310"/>
      <c r="HI75" s="310"/>
      <c r="HJ75" s="310"/>
      <c r="HK75" s="342">
        <v>61</v>
      </c>
      <c r="HL75" s="235" t="e">
        <f t="shared" si="5"/>
        <v>#N/A</v>
      </c>
      <c r="HM75" s="235" t="e">
        <f t="shared" si="6"/>
        <v>#N/A</v>
      </c>
      <c r="HN75" s="310"/>
      <c r="HO75" s="310"/>
      <c r="HP75" s="235" t="e">
        <f t="shared" si="7"/>
        <v>#N/A</v>
      </c>
      <c r="HQ75" s="235" t="e">
        <f t="shared" si="8"/>
        <v>#N/A</v>
      </c>
      <c r="HR75" s="310"/>
      <c r="HS75" s="310"/>
      <c r="HT75" s="235" t="e">
        <f t="shared" si="9"/>
        <v>#N/A</v>
      </c>
      <c r="HU75" s="235" t="e">
        <f t="shared" si="10"/>
        <v>#N/A</v>
      </c>
      <c r="HV75" s="310"/>
      <c r="HW75" s="310"/>
      <c r="HX75" s="235" t="e">
        <f t="shared" si="11"/>
        <v>#N/A</v>
      </c>
      <c r="HY75" s="235" t="e">
        <f t="shared" si="12"/>
        <v>#N/A</v>
      </c>
      <c r="HZ75" s="310"/>
      <c r="IA75" s="310"/>
      <c r="IB75" s="235" t="e">
        <f t="shared" si="13"/>
        <v>#N/A</v>
      </c>
      <c r="IC75" s="235" t="e">
        <f t="shared" si="14"/>
        <v>#N/A</v>
      </c>
      <c r="ID75" s="310"/>
      <c r="IE75" s="342">
        <v>61</v>
      </c>
      <c r="IF75" s="262" t="e">
        <f t="shared" si="15"/>
        <v>#N/A</v>
      </c>
      <c r="IG75" s="262" t="e">
        <f t="shared" si="16"/>
        <v>#N/A</v>
      </c>
      <c r="IH75" s="390"/>
      <c r="II75" s="390"/>
      <c r="IJ75" s="262" t="e">
        <f t="shared" si="17"/>
        <v>#N/A</v>
      </c>
      <c r="IK75" s="262" t="e">
        <f t="shared" si="18"/>
        <v>#N/A</v>
      </c>
      <c r="IL75" s="390"/>
      <c r="IM75" s="390"/>
      <c r="IN75" s="262" t="e">
        <f t="shared" si="19"/>
        <v>#N/A</v>
      </c>
      <c r="IO75" s="262" t="e">
        <f t="shared" si="20"/>
        <v>#N/A</v>
      </c>
      <c r="IP75" s="390"/>
      <c r="IQ75" s="390"/>
      <c r="IR75" s="262" t="e">
        <f t="shared" si="21"/>
        <v>#N/A</v>
      </c>
      <c r="IS75" s="262" t="e">
        <f t="shared" si="22"/>
        <v>#N/A</v>
      </c>
      <c r="IT75" s="390"/>
      <c r="IU75" s="390"/>
      <c r="IV75" s="262" t="e">
        <f t="shared" si="23"/>
        <v>#N/A</v>
      </c>
      <c r="IW75" s="262" t="e">
        <f t="shared" si="24"/>
        <v>#N/A</v>
      </c>
      <c r="IX75" s="310"/>
      <c r="IY75" s="310"/>
      <c r="IZ75" s="310"/>
      <c r="JA75" s="310"/>
      <c r="JB75" s="313" t="s">
        <v>167</v>
      </c>
      <c r="JC75" s="228" t="e">
        <f>JC71</f>
        <v>#N/A</v>
      </c>
      <c r="JD75" s="228" t="e">
        <f>JD74</f>
        <v>#N/A</v>
      </c>
      <c r="JE75" s="310"/>
      <c r="JF75" s="310"/>
      <c r="JG75" s="310"/>
      <c r="JH75" s="310"/>
      <c r="JI75" s="313" t="s">
        <v>167</v>
      </c>
      <c r="JJ75" s="242" t="e">
        <f>JJ71</f>
        <v>#N/A</v>
      </c>
      <c r="JK75" s="242" t="e">
        <f>JK74</f>
        <v>#N/A</v>
      </c>
      <c r="JL75" s="310"/>
      <c r="JM75" s="310"/>
      <c r="JN75" s="261" t="e">
        <f t="shared" si="25"/>
        <v>#N/A</v>
      </c>
      <c r="JO75" s="261" t="e">
        <f t="shared" si="26"/>
        <v>#N/A</v>
      </c>
      <c r="JP75" s="310"/>
      <c r="JQ75" s="310"/>
      <c r="JR75" s="261" t="e">
        <f t="shared" si="31"/>
        <v>#N/A</v>
      </c>
      <c r="JS75" s="261" t="e">
        <f t="shared" si="32"/>
        <v>#N/A</v>
      </c>
      <c r="JT75" s="310"/>
      <c r="JU75" s="310"/>
      <c r="JV75" s="261" t="e">
        <f t="shared" si="27"/>
        <v>#N/A</v>
      </c>
      <c r="JW75" s="261" t="e">
        <f t="shared" si="28"/>
        <v>#N/A</v>
      </c>
      <c r="JX75" s="310"/>
      <c r="JY75" s="310"/>
      <c r="JZ75" s="310"/>
      <c r="KA75" s="310"/>
      <c r="KB75" s="313" t="s">
        <v>396</v>
      </c>
      <c r="KC75" s="242">
        <f>JZ65-$IZ$112/2</f>
        <v>-1.05</v>
      </c>
      <c r="KD75" s="266">
        <f>KD68</f>
        <v>0.60499999999999998</v>
      </c>
      <c r="KE75" s="310"/>
      <c r="KF75" s="310"/>
      <c r="KG75" s="310"/>
      <c r="KH75" s="310"/>
      <c r="KI75" s="310"/>
      <c r="KJ75" s="310"/>
      <c r="KK75" s="310"/>
      <c r="KL75" s="310"/>
      <c r="KM75" s="310"/>
      <c r="KN75" s="310"/>
      <c r="KO75" s="310"/>
      <c r="KP75" s="310"/>
      <c r="KQ75" s="310"/>
      <c r="KR75" s="310"/>
      <c r="KS75" s="310"/>
      <c r="KT75" s="310"/>
      <c r="KU75" s="310"/>
      <c r="KV75" s="310"/>
      <c r="KW75" s="310"/>
      <c r="KX75" s="310"/>
      <c r="KY75" s="310"/>
      <c r="KZ75" s="310"/>
      <c r="LA75" s="310"/>
      <c r="LB75" s="310"/>
      <c r="LC75" s="310"/>
      <c r="LD75" s="310"/>
      <c r="LE75" s="310"/>
      <c r="LF75" s="310"/>
      <c r="LG75" s="310"/>
      <c r="LH75" s="463" t="e">
        <f>LH74</f>
        <v>#N/A</v>
      </c>
      <c r="LI75" s="463" t="e">
        <f>LD55</f>
        <v>#N/A</v>
      </c>
      <c r="LJ75" s="463" t="e">
        <v>#N/A</v>
      </c>
      <c r="LK75" s="463" t="e">
        <v>#N/A</v>
      </c>
      <c r="LL75" s="463"/>
      <c r="LM75" s="310"/>
      <c r="LN75" s="310"/>
      <c r="LO75" s="391" t="e">
        <f>LO74</f>
        <v>#N/A</v>
      </c>
      <c r="LP75" s="391" t="e">
        <f>LD58</f>
        <v>#N/A</v>
      </c>
      <c r="LQ75" s="463" t="e">
        <v>#N/A</v>
      </c>
      <c r="LR75" s="463" t="e">
        <v>#N/A</v>
      </c>
      <c r="LS75" s="391"/>
      <c r="LT75" s="310"/>
      <c r="LU75" s="310"/>
      <c r="LV75" s="391" t="e">
        <f>LC51</f>
        <v>#N/A</v>
      </c>
      <c r="LW75" s="391" t="e">
        <f>LW74</f>
        <v>#N/A</v>
      </c>
      <c r="LX75" s="463" t="e">
        <v>#N/A</v>
      </c>
      <c r="LY75" s="463" t="e">
        <v>#N/A</v>
      </c>
      <c r="LZ75" s="391"/>
      <c r="MA75" s="310"/>
      <c r="MB75" s="310"/>
      <c r="MC75" s="391" t="e">
        <f>LC66</f>
        <v>#N/A</v>
      </c>
      <c r="MD75" s="391" t="e">
        <f>MD74</f>
        <v>#N/A</v>
      </c>
      <c r="ME75" s="463" t="e">
        <v>#N/A</v>
      </c>
      <c r="MF75" s="463" t="e">
        <v>#N/A</v>
      </c>
      <c r="MG75" s="391"/>
      <c r="MH75" s="310"/>
      <c r="MI75" s="310"/>
      <c r="MJ75" s="239" t="e">
        <v>#N/A</v>
      </c>
      <c r="MK75" s="239" t="e">
        <v>#N/A</v>
      </c>
      <c r="ML75" s="228" t="e">
        <v>#N/A</v>
      </c>
      <c r="MM75" s="228" t="e">
        <v>#N/A</v>
      </c>
      <c r="MN75" s="391"/>
      <c r="MO75" s="310"/>
      <c r="MP75" s="311" t="e">
        <v>#N/A</v>
      </c>
      <c r="MQ75" s="311" t="e">
        <v>#N/A</v>
      </c>
      <c r="MR75" s="311" t="e">
        <v>#N/A</v>
      </c>
      <c r="MS75" s="311" t="e">
        <v>#N/A</v>
      </c>
      <c r="MT75" s="310"/>
      <c r="MU75" s="297" t="e">
        <f>MU72</f>
        <v>#N/A</v>
      </c>
      <c r="MV75" s="297" t="e">
        <f>MV72+0.2</f>
        <v>#N/A</v>
      </c>
      <c r="MW75" s="292" t="e">
        <v>#N/A</v>
      </c>
      <c r="MX75" s="292" t="e">
        <v>#N/A</v>
      </c>
      <c r="MY75" s="338"/>
      <c r="MZ75" s="310"/>
      <c r="NA75" s="310"/>
      <c r="NB75" s="310"/>
      <c r="NC75" s="310"/>
      <c r="ND75" s="310"/>
      <c r="NE75" s="310"/>
      <c r="NF75" s="310"/>
      <c r="NG75" s="310"/>
      <c r="NH75" s="310"/>
      <c r="NI75" s="310"/>
      <c r="NJ75" s="310"/>
      <c r="NK75" s="310"/>
      <c r="NL75" s="310"/>
      <c r="NM75" s="310"/>
      <c r="NN75" s="310"/>
      <c r="NO75" s="310"/>
      <c r="NP75" s="310"/>
      <c r="NQ75" s="310"/>
      <c r="NR75" s="310"/>
      <c r="NS75" s="310"/>
      <c r="NT75" s="310"/>
      <c r="NU75" s="310"/>
      <c r="NV75" s="310"/>
      <c r="NW75" s="310"/>
      <c r="NX75" s="310"/>
      <c r="NY75" s="310"/>
      <c r="NZ75" s="310"/>
      <c r="OA75" s="310"/>
      <c r="OB75" s="310"/>
      <c r="OC75" s="310"/>
      <c r="OD75" s="310"/>
      <c r="OE75" s="310"/>
      <c r="OF75" s="310"/>
      <c r="OG75" s="310"/>
      <c r="OH75" s="310"/>
      <c r="OI75" s="310"/>
      <c r="OJ75" s="310"/>
      <c r="OK75" s="310"/>
      <c r="OL75" s="310"/>
      <c r="OM75" s="310"/>
      <c r="ON75" s="310"/>
      <c r="OO75" s="310"/>
      <c r="OP75" s="310"/>
      <c r="OQ75" s="310"/>
      <c r="OR75" s="310"/>
      <c r="OS75" s="310"/>
      <c r="OT75" s="310"/>
      <c r="OU75" s="310"/>
      <c r="OV75" s="310"/>
      <c r="OW75" s="310"/>
      <c r="OX75" s="310"/>
      <c r="OY75" s="310"/>
      <c r="OZ75" s="310"/>
      <c r="PA75" s="310"/>
      <c r="PB75" s="310"/>
      <c r="PC75" s="310"/>
      <c r="PD75" s="310"/>
      <c r="PE75" s="310"/>
      <c r="PF75" s="310"/>
      <c r="PG75" s="310"/>
      <c r="PH75" s="310"/>
      <c r="PI75" s="310"/>
      <c r="PJ75" s="310"/>
      <c r="PK75" s="310"/>
      <c r="PL75" s="310"/>
      <c r="PM75" s="310"/>
      <c r="PN75" s="310"/>
      <c r="PO75" s="310"/>
      <c r="PP75" s="310"/>
      <c r="PQ75" s="310"/>
      <c r="PR75" s="310"/>
      <c r="PS75" s="342">
        <v>61</v>
      </c>
      <c r="PT75" s="261" t="e">
        <f t="shared" si="29"/>
        <v>#N/A</v>
      </c>
      <c r="PU75" s="261" t="e">
        <f t="shared" si="30"/>
        <v>#N/A</v>
      </c>
      <c r="PV75" s="310"/>
      <c r="PW75" s="310"/>
      <c r="PX75" s="310"/>
      <c r="PY75" s="310"/>
      <c r="PZ75" s="310"/>
      <c r="QA75" s="310"/>
      <c r="QB75" s="310"/>
      <c r="QC75" s="310"/>
      <c r="QD75" s="310"/>
      <c r="QE75" s="310"/>
      <c r="QF75" s="310"/>
      <c r="QG75" s="310"/>
      <c r="QH75" s="310"/>
      <c r="QI75" s="310"/>
      <c r="QJ75" s="310"/>
      <c r="QK75" s="310"/>
      <c r="QL75" s="310"/>
      <c r="QM75" s="310"/>
      <c r="QN75" s="310"/>
      <c r="QO75" s="310"/>
      <c r="QP75" s="310"/>
      <c r="QQ75" s="310"/>
      <c r="QR75" s="310"/>
      <c r="QS75" s="310"/>
      <c r="QT75" s="310"/>
      <c r="QU75" s="310"/>
      <c r="QV75" s="310"/>
      <c r="QW75" s="310"/>
      <c r="QX75" s="310"/>
      <c r="QY75" s="310"/>
      <c r="QZ75" s="310"/>
      <c r="RA75" s="310"/>
      <c r="RB75" s="310"/>
      <c r="RC75" s="310"/>
      <c r="RD75" s="310"/>
      <c r="RE75" s="310"/>
      <c r="RF75" s="310"/>
      <c r="RG75" s="310"/>
      <c r="RH75" s="310"/>
      <c r="RI75" s="310"/>
      <c r="RJ75" s="310"/>
      <c r="RK75" s="310"/>
      <c r="RL75" s="310"/>
      <c r="RM75" s="310"/>
      <c r="RN75" s="310"/>
      <c r="RO75" s="310"/>
      <c r="RP75" s="310"/>
      <c r="RQ75" s="310"/>
      <c r="RR75" s="310"/>
      <c r="RS75" s="310"/>
      <c r="RT75" s="310"/>
      <c r="RU75" s="310"/>
      <c r="RV75" s="310"/>
      <c r="RW75" s="310"/>
      <c r="RX75" s="310"/>
      <c r="RY75" s="310"/>
      <c r="RZ75" s="310"/>
      <c r="SA75" s="310"/>
      <c r="SB75" s="310"/>
      <c r="SC75" s="310"/>
      <c r="SD75" s="310"/>
      <c r="SE75" s="310"/>
      <c r="SF75" s="310"/>
      <c r="SG75" s="310"/>
      <c r="SH75" s="310"/>
      <c r="SI75" s="310"/>
      <c r="SJ75" s="310"/>
      <c r="SK75" s="310"/>
      <c r="SL75" s="310"/>
      <c r="SM75" s="310"/>
      <c r="SN75" s="310"/>
      <c r="SO75" s="220"/>
      <c r="SP75" s="220"/>
      <c r="SQ75" s="220"/>
      <c r="SR75" s="220"/>
      <c r="SS75" s="220"/>
      <c r="ST75" s="220"/>
      <c r="SU75" s="220"/>
      <c r="SV75" s="220"/>
      <c r="SW75" s="220"/>
      <c r="SX75" s="220"/>
      <c r="SY75" s="220"/>
      <c r="SZ75" s="220"/>
      <c r="TA75" s="220"/>
      <c r="TB75" s="220"/>
      <c r="TC75" s="220"/>
      <c r="TD75" s="220"/>
      <c r="TE75" s="220"/>
      <c r="TF75" s="220"/>
      <c r="TG75" s="220"/>
      <c r="TH75" s="220"/>
      <c r="TI75" s="220"/>
      <c r="TJ75" s="220"/>
      <c r="TK75" s="220"/>
      <c r="TL75" s="220"/>
      <c r="TM75" s="220"/>
      <c r="TN75" s="220"/>
      <c r="TO75" s="220"/>
      <c r="TP75" s="220"/>
      <c r="TQ75" s="220"/>
      <c r="TR75" s="220"/>
      <c r="TS75" s="220"/>
      <c r="TT75" s="220"/>
      <c r="TU75" s="220"/>
      <c r="TV75" s="220"/>
      <c r="TW75" s="220"/>
      <c r="TX75" s="220"/>
      <c r="TY75" s="220"/>
      <c r="TZ75" s="220"/>
      <c r="UA75" s="220"/>
      <c r="UB75" s="220"/>
      <c r="UC75" s="220"/>
      <c r="UD75" s="220"/>
      <c r="UE75" s="220"/>
      <c r="UF75" s="220"/>
      <c r="UG75" s="220"/>
      <c r="UH75" s="220"/>
      <c r="UI75" s="220"/>
      <c r="UJ75" s="220"/>
      <c r="UK75" s="216"/>
      <c r="UL75" s="216"/>
      <c r="UM75" s="216"/>
      <c r="UN75" s="216"/>
      <c r="UO75" s="216"/>
      <c r="UP75" s="216"/>
      <c r="UQ75" s="216"/>
      <c r="UR75" s="216"/>
      <c r="US75" s="216"/>
      <c r="UT75" s="216"/>
      <c r="UU75" s="216"/>
      <c r="UV75" s="216"/>
      <c r="UW75" s="216"/>
      <c r="UX75" s="216"/>
      <c r="UY75" s="216"/>
      <c r="UZ75" s="216"/>
      <c r="VA75" s="216"/>
    </row>
    <row r="76" spans="1:573" s="4" customFormat="1" x14ac:dyDescent="0.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5"/>
      <c r="AM76" s="45"/>
      <c r="AN76" s="45"/>
      <c r="AO76" s="45"/>
      <c r="AP76" s="310"/>
      <c r="AQ76" s="310"/>
      <c r="AR76" s="328" t="s">
        <v>29</v>
      </c>
      <c r="AS76" s="481" t="e">
        <f>IF(AND(CP13=TRUE,CU11=TRUE,BL10=TRUE),MAX(ABS(H44),ABS(H45),ABS(H46),ABS(H47),ABS(I44),ABS(I45),ABS(I46),ABS(I47))-(F51/100)*SIN(RADIANS(45)),#N/A)</f>
        <v>#N/A</v>
      </c>
      <c r="AT76" s="310"/>
      <c r="AU76" s="310"/>
      <c r="AV76" s="310"/>
      <c r="AW76" s="310"/>
      <c r="AX76" s="310"/>
      <c r="AY76" s="310"/>
      <c r="AZ76" s="310"/>
      <c r="BA76" s="310"/>
      <c r="BB76" s="231">
        <f t="shared" si="130"/>
        <v>0.65</v>
      </c>
      <c r="BC76" s="231">
        <f t="shared" si="131"/>
        <v>-0.65</v>
      </c>
      <c r="BD76" s="338" t="b">
        <f t="shared" ref="BD76:BD82" si="132">IF(M45&lt;&gt;"",IF(M45&lt;=$M$8,TRUE,FALSE),FALSE)</f>
        <v>1</v>
      </c>
      <c r="BE76" s="242">
        <f t="shared" ref="BE76:BE82" si="133">IF(BD76=TRUE,BB76,#N/A)</f>
        <v>0.65</v>
      </c>
      <c r="BF76" s="242">
        <f t="shared" ref="BF76:BF82" si="134">IF(BD76=TRUE,BC76,#N/A)</f>
        <v>-0.65</v>
      </c>
      <c r="BG76" s="338" t="b">
        <f t="shared" ref="BG76:BG82" si="135">IF(M45&lt;&gt;"",IF(BD76=FALSE,TRUE,FALSE),FALSE)</f>
        <v>0</v>
      </c>
      <c r="BH76" s="242" t="e">
        <f t="shared" ref="BH76:BH82" si="136">IF(BG76=TRUE,BB76,#N/A)</f>
        <v>#N/A</v>
      </c>
      <c r="BI76" s="242" t="e">
        <f t="shared" ref="BI76:BI82" si="137">IF(BG76=TRUE,BC76,#N/A)</f>
        <v>#N/A</v>
      </c>
      <c r="BJ76" s="483">
        <v>0</v>
      </c>
      <c r="BK76" s="310"/>
      <c r="BL76" s="310"/>
      <c r="BM76" s="310"/>
      <c r="BN76" s="310"/>
      <c r="BO76" s="310"/>
      <c r="BP76" s="310"/>
      <c r="BQ76" s="310"/>
      <c r="BR76" s="310"/>
      <c r="BS76" s="310"/>
      <c r="BT76" s="310"/>
      <c r="BU76" s="310"/>
      <c r="BV76" s="310"/>
      <c r="BW76" s="310"/>
      <c r="BX76" s="310"/>
      <c r="BY76" s="310"/>
      <c r="BZ76" s="310"/>
      <c r="CA76" s="310"/>
      <c r="CB76" s="310"/>
      <c r="CC76" s="310"/>
      <c r="CD76" s="228" t="e">
        <f>CB71</f>
        <v>#N/A</v>
      </c>
      <c r="CE76" s="228" t="e">
        <f>CC71+CD44</f>
        <v>#N/A</v>
      </c>
      <c r="CF76" s="310"/>
      <c r="CG76" s="310"/>
      <c r="CH76" s="310"/>
      <c r="CI76" s="310"/>
      <c r="CJ76" s="310"/>
      <c r="CK76" s="310"/>
      <c r="CL76" s="310"/>
      <c r="CM76" s="310"/>
      <c r="CN76" s="310"/>
      <c r="CO76" s="310"/>
      <c r="CP76" s="310"/>
      <c r="CQ76" s="310"/>
      <c r="CR76" s="310"/>
      <c r="CS76" s="310"/>
      <c r="CT76" s="310"/>
      <c r="CU76" s="310"/>
      <c r="CV76" s="310"/>
      <c r="CW76" s="310"/>
      <c r="CX76" s="310"/>
      <c r="CY76" s="310"/>
      <c r="CZ76" s="310"/>
      <c r="DA76" s="310"/>
      <c r="DB76" s="310">
        <v>9</v>
      </c>
      <c r="DC76" s="280" t="e">
        <f>IF(AND($DD$50=TRUE,$D$63&gt;=DB76),$DC$52,#N/A)</f>
        <v>#N/A</v>
      </c>
      <c r="DD76" s="280" t="e">
        <f>IF(AND($DD$50=TRUE,$D$63&gt;=DB76),$DD$52-0.2,#N/A)</f>
        <v>#N/A</v>
      </c>
      <c r="DE76" s="310"/>
      <c r="DF76" s="281" t="e">
        <f>DF75+DA6/3</f>
        <v>#N/A</v>
      </c>
      <c r="DG76" s="281" t="e">
        <f>DG75*2</f>
        <v>#N/A</v>
      </c>
      <c r="DH76" s="310"/>
      <c r="DI76" s="310"/>
      <c r="DJ76" s="310"/>
      <c r="DK76" s="310"/>
      <c r="DL76" s="310" t="s">
        <v>443</v>
      </c>
      <c r="DM76" s="310">
        <f>AU57</f>
        <v>0.02</v>
      </c>
      <c r="DN76" s="310">
        <f>AU58</f>
        <v>0.02</v>
      </c>
      <c r="DO76" s="310"/>
      <c r="DP76" s="310"/>
      <c r="DQ76" s="310"/>
      <c r="DR76" s="310">
        <v>0.05</v>
      </c>
      <c r="DS76" s="310">
        <v>0.4</v>
      </c>
      <c r="DT76" s="310" t="b">
        <f>AND(DU20=TRUE,BE8=TRUE)</f>
        <v>1</v>
      </c>
      <c r="DU76" s="328" t="s">
        <v>48</v>
      </c>
      <c r="DV76" s="328" t="s">
        <v>49</v>
      </c>
      <c r="DW76" s="328" t="s">
        <v>48</v>
      </c>
      <c r="DX76" s="328" t="s">
        <v>49</v>
      </c>
      <c r="DY76" s="310"/>
      <c r="DZ76" s="310"/>
      <c r="EA76" s="310"/>
      <c r="EB76" s="310"/>
      <c r="EC76" s="310"/>
      <c r="ED76" s="310"/>
      <c r="EE76" s="310"/>
      <c r="EF76" s="310"/>
      <c r="EG76" s="310"/>
      <c r="EH76" s="310"/>
      <c r="EI76" s="338">
        <v>5</v>
      </c>
      <c r="EJ76" s="338" t="b">
        <f t="shared" si="127"/>
        <v>1</v>
      </c>
      <c r="EK76" s="281">
        <f t="shared" si="128"/>
        <v>0.11722222222222228</v>
      </c>
      <c r="EL76" s="281">
        <f t="shared" si="129"/>
        <v>0.12000000000000001</v>
      </c>
      <c r="EM76" s="310"/>
      <c r="EN76" s="280">
        <f>EE71-F50/100+0.25</f>
        <v>0.375</v>
      </c>
      <c r="EO76" s="280">
        <f>EO72</f>
        <v>0.16</v>
      </c>
      <c r="EP76" s="310"/>
      <c r="EQ76" s="338"/>
      <c r="ER76" s="338"/>
      <c r="ES76" s="338"/>
      <c r="ET76" s="310"/>
      <c r="EU76" s="310"/>
      <c r="EV76" s="310"/>
      <c r="EW76" s="310"/>
      <c r="EX76" s="310"/>
      <c r="EY76" s="310"/>
      <c r="EZ76" s="310"/>
      <c r="FA76" s="310"/>
      <c r="FB76" s="310"/>
      <c r="FC76" s="310"/>
      <c r="FD76" s="310"/>
      <c r="FE76" s="310"/>
      <c r="FF76" s="310"/>
      <c r="FG76" s="310"/>
      <c r="FH76" s="310"/>
      <c r="FI76" s="310"/>
      <c r="FJ76" s="310"/>
      <c r="FK76" s="310"/>
      <c r="FL76" s="310"/>
      <c r="FM76" s="310"/>
      <c r="FN76" s="310"/>
      <c r="FO76" s="310"/>
      <c r="FP76" s="310"/>
      <c r="FQ76" s="310"/>
      <c r="FR76" s="310"/>
      <c r="FS76" s="310"/>
      <c r="FT76" s="310"/>
      <c r="FU76" s="310"/>
      <c r="FV76" s="310"/>
      <c r="FW76" s="310"/>
      <c r="FX76" s="310"/>
      <c r="FY76" s="310"/>
      <c r="FZ76" s="310"/>
      <c r="GA76" s="310"/>
      <c r="GB76" s="310"/>
      <c r="GC76" s="310"/>
      <c r="GD76" s="310"/>
      <c r="GE76" s="310"/>
      <c r="GF76" s="310"/>
      <c r="GG76" s="310"/>
      <c r="GH76" s="310"/>
      <c r="GI76" s="310"/>
      <c r="GJ76" s="310"/>
      <c r="GK76" s="310"/>
      <c r="GL76" s="310"/>
      <c r="GM76" s="310"/>
      <c r="GN76" s="310"/>
      <c r="GO76" s="310"/>
      <c r="GP76" s="310"/>
      <c r="GQ76" s="310"/>
      <c r="GR76" s="310"/>
      <c r="GS76" s="310"/>
      <c r="GT76" s="310"/>
      <c r="GU76" s="310"/>
      <c r="GV76" s="310"/>
      <c r="GW76" s="310"/>
      <c r="GX76" s="310"/>
      <c r="GY76" s="310"/>
      <c r="GZ76" s="310"/>
      <c r="HA76" s="310"/>
      <c r="HB76" s="310"/>
      <c r="HC76" s="310"/>
      <c r="HD76" s="310"/>
      <c r="HE76" s="310"/>
      <c r="HF76" s="310"/>
      <c r="HG76" s="310"/>
      <c r="HH76" s="310"/>
      <c r="HI76" s="310"/>
      <c r="HJ76" s="310"/>
      <c r="HK76" s="342">
        <v>62</v>
      </c>
      <c r="HL76" s="235" t="e">
        <f t="shared" si="5"/>
        <v>#N/A</v>
      </c>
      <c r="HM76" s="235" t="e">
        <f t="shared" si="6"/>
        <v>#N/A</v>
      </c>
      <c r="HN76" s="310"/>
      <c r="HO76" s="310"/>
      <c r="HP76" s="235" t="e">
        <f t="shared" si="7"/>
        <v>#N/A</v>
      </c>
      <c r="HQ76" s="235" t="e">
        <f t="shared" si="8"/>
        <v>#N/A</v>
      </c>
      <c r="HR76" s="310"/>
      <c r="HS76" s="310"/>
      <c r="HT76" s="235" t="e">
        <f t="shared" si="9"/>
        <v>#N/A</v>
      </c>
      <c r="HU76" s="235" t="e">
        <f t="shared" si="10"/>
        <v>#N/A</v>
      </c>
      <c r="HV76" s="310"/>
      <c r="HW76" s="310"/>
      <c r="HX76" s="235" t="e">
        <f t="shared" si="11"/>
        <v>#N/A</v>
      </c>
      <c r="HY76" s="235" t="e">
        <f t="shared" si="12"/>
        <v>#N/A</v>
      </c>
      <c r="HZ76" s="310"/>
      <c r="IA76" s="310"/>
      <c r="IB76" s="235" t="e">
        <f t="shared" si="13"/>
        <v>#N/A</v>
      </c>
      <c r="IC76" s="235" t="e">
        <f t="shared" si="14"/>
        <v>#N/A</v>
      </c>
      <c r="ID76" s="310"/>
      <c r="IE76" s="342">
        <v>62</v>
      </c>
      <c r="IF76" s="262" t="e">
        <f t="shared" si="15"/>
        <v>#N/A</v>
      </c>
      <c r="IG76" s="262" t="e">
        <f t="shared" si="16"/>
        <v>#N/A</v>
      </c>
      <c r="IH76" s="390"/>
      <c r="II76" s="390"/>
      <c r="IJ76" s="262" t="e">
        <f t="shared" si="17"/>
        <v>#N/A</v>
      </c>
      <c r="IK76" s="262" t="e">
        <f t="shared" si="18"/>
        <v>#N/A</v>
      </c>
      <c r="IL76" s="390"/>
      <c r="IM76" s="390"/>
      <c r="IN76" s="262" t="e">
        <f t="shared" si="19"/>
        <v>#N/A</v>
      </c>
      <c r="IO76" s="262" t="e">
        <f t="shared" si="20"/>
        <v>#N/A</v>
      </c>
      <c r="IP76" s="390"/>
      <c r="IQ76" s="390"/>
      <c r="IR76" s="262" t="e">
        <f t="shared" si="21"/>
        <v>#N/A</v>
      </c>
      <c r="IS76" s="262" t="e">
        <f t="shared" si="22"/>
        <v>#N/A</v>
      </c>
      <c r="IT76" s="390"/>
      <c r="IU76" s="390"/>
      <c r="IV76" s="262" t="e">
        <f t="shared" si="23"/>
        <v>#N/A</v>
      </c>
      <c r="IW76" s="262" t="e">
        <f t="shared" si="24"/>
        <v>#N/A</v>
      </c>
      <c r="IX76" s="310"/>
      <c r="IY76" s="310"/>
      <c r="IZ76" s="310"/>
      <c r="JA76" s="310"/>
      <c r="JB76" s="313" t="s">
        <v>325</v>
      </c>
      <c r="JC76" s="234" t="e">
        <f>IZ73-$IZ$62</f>
        <v>#N/A</v>
      </c>
      <c r="JD76" s="234" t="e">
        <f>JA73</f>
        <v>#N/A</v>
      </c>
      <c r="JE76" s="310"/>
      <c r="JF76" s="310"/>
      <c r="JG76" s="310"/>
      <c r="JH76" s="310"/>
      <c r="JI76" s="313" t="s">
        <v>325</v>
      </c>
      <c r="JJ76" s="265" t="e">
        <f>JG73-$IZ$62</f>
        <v>#N/A</v>
      </c>
      <c r="JK76" s="265" t="e">
        <f>JH73</f>
        <v>#N/A</v>
      </c>
      <c r="JL76" s="310"/>
      <c r="JM76" s="310"/>
      <c r="JN76" s="261" t="e">
        <f t="shared" si="25"/>
        <v>#N/A</v>
      </c>
      <c r="JO76" s="261" t="e">
        <f t="shared" si="26"/>
        <v>#N/A</v>
      </c>
      <c r="JP76" s="310"/>
      <c r="JQ76" s="310"/>
      <c r="JR76" s="261" t="e">
        <f t="shared" si="31"/>
        <v>#N/A</v>
      </c>
      <c r="JS76" s="261" t="e">
        <f t="shared" si="32"/>
        <v>#N/A</v>
      </c>
      <c r="JT76" s="310"/>
      <c r="JU76" s="310"/>
      <c r="JV76" s="261" t="e">
        <f t="shared" si="27"/>
        <v>#N/A</v>
      </c>
      <c r="JW76" s="261" t="e">
        <f t="shared" si="28"/>
        <v>#N/A</v>
      </c>
      <c r="JX76" s="310"/>
      <c r="JY76" s="310"/>
      <c r="JZ76" s="310"/>
      <c r="KA76" s="310"/>
      <c r="KB76" s="313" t="s">
        <v>397</v>
      </c>
      <c r="KC76" s="242">
        <f>KC75</f>
        <v>-1.05</v>
      </c>
      <c r="KD76" s="265">
        <f>KD67</f>
        <v>0.69500000000000006</v>
      </c>
      <c r="KE76" s="310"/>
      <c r="KF76" s="310"/>
      <c r="KG76" s="310"/>
      <c r="KH76" s="310"/>
      <c r="KI76" s="310"/>
      <c r="KJ76" s="310"/>
      <c r="KK76" s="310"/>
      <c r="KL76" s="310"/>
      <c r="KM76" s="310"/>
      <c r="KN76" s="310"/>
      <c r="KO76" s="310"/>
      <c r="KP76" s="310"/>
      <c r="KQ76" s="310"/>
      <c r="KR76" s="310"/>
      <c r="KS76" s="310"/>
      <c r="KT76" s="310"/>
      <c r="KU76" s="310"/>
      <c r="KV76" s="310"/>
      <c r="KW76" s="310"/>
      <c r="KX76" s="310"/>
      <c r="KY76" s="310"/>
      <c r="KZ76" s="310"/>
      <c r="LA76" s="310"/>
      <c r="LB76" s="310"/>
      <c r="LC76" s="310"/>
      <c r="LD76" s="310"/>
      <c r="LE76" s="310"/>
      <c r="LF76" s="310"/>
      <c r="LG76" s="310"/>
      <c r="LH76" s="463" t="e">
        <f>LC55+LH49</f>
        <v>#N/A</v>
      </c>
      <c r="LI76" s="463" t="e">
        <f>LI75</f>
        <v>#N/A</v>
      </c>
      <c r="LJ76" s="463" t="e">
        <v>#N/A</v>
      </c>
      <c r="LK76" s="463" t="e">
        <v>#N/A</v>
      </c>
      <c r="LL76" s="463"/>
      <c r="LM76" s="310"/>
      <c r="LN76" s="310"/>
      <c r="LO76" s="347" t="e">
        <f>LC60+LO49</f>
        <v>#N/A</v>
      </c>
      <c r="LP76" s="347" t="e">
        <f>LP75</f>
        <v>#N/A</v>
      </c>
      <c r="LQ76" s="463" t="e">
        <v>#N/A</v>
      </c>
      <c r="LR76" s="463" t="e">
        <v>#N/A</v>
      </c>
      <c r="LS76" s="391"/>
      <c r="LT76" s="310"/>
      <c r="LU76" s="310"/>
      <c r="LV76" s="347" t="e">
        <f>LV75</f>
        <v>#N/A</v>
      </c>
      <c r="LW76" s="347" t="e">
        <f>LD51-LV49</f>
        <v>#N/A</v>
      </c>
      <c r="LX76" s="463" t="e">
        <v>#N/A</v>
      </c>
      <c r="LY76" s="463" t="e">
        <v>#N/A</v>
      </c>
      <c r="LZ76" s="391"/>
      <c r="MA76" s="310"/>
      <c r="MB76" s="310"/>
      <c r="MC76" s="347" t="e">
        <f>MC75</f>
        <v>#N/A</v>
      </c>
      <c r="MD76" s="347" t="e">
        <f>LD66-MC49</f>
        <v>#N/A</v>
      </c>
      <c r="ME76" s="463" t="e">
        <v>#N/A</v>
      </c>
      <c r="MF76" s="463" t="e">
        <v>#N/A</v>
      </c>
      <c r="MG76" s="391"/>
      <c r="MH76" s="310"/>
      <c r="MI76" s="310"/>
      <c r="MJ76" s="238" t="e">
        <v>#N/A</v>
      </c>
      <c r="MK76" s="238" t="e">
        <v>#N/A</v>
      </c>
      <c r="ML76" s="228" t="e">
        <v>#N/A</v>
      </c>
      <c r="MM76" s="228" t="e">
        <v>#N/A</v>
      </c>
      <c r="MN76" s="391"/>
      <c r="MO76" s="310"/>
      <c r="MP76" s="311" t="e">
        <v>#N/A</v>
      </c>
      <c r="MQ76" s="311" t="e">
        <v>#N/A</v>
      </c>
      <c r="MR76" s="311" t="e">
        <v>#N/A</v>
      </c>
      <c r="MS76" s="311" t="e">
        <v>#N/A</v>
      </c>
      <c r="MT76" s="310"/>
      <c r="MU76" s="297" t="e">
        <f>MU73</f>
        <v>#N/A</v>
      </c>
      <c r="MV76" s="297" t="e">
        <f>MV75</f>
        <v>#N/A</v>
      </c>
      <c r="MW76" s="280" t="e">
        <f>IF(MY76=TRUE,MW73,#N/A)</f>
        <v>#N/A</v>
      </c>
      <c r="MX76" s="280" t="e">
        <f>IF(MY76=TRUE,MX73-0.15,#N/A)</f>
        <v>#N/A</v>
      </c>
      <c r="MY76" s="338" t="b">
        <f>AND(MY54=TRUE,$D$63&gt;=MZ41)</f>
        <v>0</v>
      </c>
      <c r="MZ76" s="310"/>
      <c r="NA76" s="310"/>
      <c r="NB76" s="310"/>
      <c r="NC76" s="310"/>
      <c r="ND76" s="310"/>
      <c r="NE76" s="310"/>
      <c r="NF76" s="310"/>
      <c r="NG76" s="310"/>
      <c r="NH76" s="310"/>
      <c r="NI76" s="310"/>
      <c r="NJ76" s="310"/>
      <c r="NK76" s="310"/>
      <c r="NL76" s="310"/>
      <c r="NM76" s="310"/>
      <c r="NN76" s="310"/>
      <c r="NO76" s="310"/>
      <c r="NP76" s="310"/>
      <c r="NQ76" s="310"/>
      <c r="NR76" s="310"/>
      <c r="NS76" s="310"/>
      <c r="NT76" s="310"/>
      <c r="NU76" s="310"/>
      <c r="NV76" s="310"/>
      <c r="NW76" s="310"/>
      <c r="NX76" s="310"/>
      <c r="NY76" s="310"/>
      <c r="NZ76" s="310"/>
      <c r="OA76" s="310"/>
      <c r="OB76" s="310"/>
      <c r="OC76" s="310"/>
      <c r="OD76" s="310"/>
      <c r="OE76" s="310"/>
      <c r="OF76" s="310"/>
      <c r="OG76" s="310"/>
      <c r="OH76" s="310"/>
      <c r="OI76" s="310"/>
      <c r="OJ76" s="310"/>
      <c r="OK76" s="310"/>
      <c r="OL76" s="310"/>
      <c r="OM76" s="310"/>
      <c r="ON76" s="310"/>
      <c r="OO76" s="310"/>
      <c r="OP76" s="310"/>
      <c r="OQ76" s="310"/>
      <c r="OR76" s="310"/>
      <c r="OS76" s="310"/>
      <c r="OT76" s="310"/>
      <c r="OU76" s="310"/>
      <c r="OV76" s="310"/>
      <c r="OW76" s="310"/>
      <c r="OX76" s="310"/>
      <c r="OY76" s="310"/>
      <c r="OZ76" s="310"/>
      <c r="PA76" s="310"/>
      <c r="PB76" s="310"/>
      <c r="PC76" s="310"/>
      <c r="PD76" s="310"/>
      <c r="PE76" s="310"/>
      <c r="PF76" s="310"/>
      <c r="PG76" s="310"/>
      <c r="PH76" s="310"/>
      <c r="PI76" s="310"/>
      <c r="PJ76" s="310"/>
      <c r="PK76" s="310"/>
      <c r="PL76" s="310"/>
      <c r="PM76" s="310"/>
      <c r="PN76" s="310"/>
      <c r="PO76" s="310"/>
      <c r="PP76" s="310"/>
      <c r="PQ76" s="310"/>
      <c r="PR76" s="310"/>
      <c r="PS76" s="342">
        <v>62</v>
      </c>
      <c r="PT76" s="261" t="e">
        <f t="shared" si="29"/>
        <v>#N/A</v>
      </c>
      <c r="PU76" s="261" t="e">
        <f t="shared" si="30"/>
        <v>#N/A</v>
      </c>
      <c r="PV76" s="310"/>
      <c r="PW76" s="310"/>
      <c r="PX76" s="310"/>
      <c r="PY76" s="310"/>
      <c r="PZ76" s="310"/>
      <c r="QA76" s="310"/>
      <c r="QB76" s="310"/>
      <c r="QC76" s="310"/>
      <c r="QD76" s="310"/>
      <c r="QE76" s="310"/>
      <c r="QF76" s="310"/>
      <c r="QG76" s="310"/>
      <c r="QH76" s="310"/>
      <c r="QI76" s="310"/>
      <c r="QJ76" s="310"/>
      <c r="QK76" s="310"/>
      <c r="QL76" s="310"/>
      <c r="QM76" s="310"/>
      <c r="QN76" s="310"/>
      <c r="QO76" s="310"/>
      <c r="QP76" s="310"/>
      <c r="QQ76" s="310"/>
      <c r="QR76" s="310"/>
      <c r="QS76" s="310"/>
      <c r="QT76" s="310"/>
      <c r="QU76" s="310"/>
      <c r="QV76" s="310"/>
      <c r="QW76" s="310"/>
      <c r="QX76" s="310"/>
      <c r="QY76" s="310"/>
      <c r="QZ76" s="310"/>
      <c r="RA76" s="310"/>
      <c r="RB76" s="310"/>
      <c r="RC76" s="310"/>
      <c r="RD76" s="310"/>
      <c r="RE76" s="310"/>
      <c r="RF76" s="310"/>
      <c r="RG76" s="310"/>
      <c r="RH76" s="310"/>
      <c r="RI76" s="310"/>
      <c r="RJ76" s="310"/>
      <c r="RK76" s="310"/>
      <c r="RL76" s="310"/>
      <c r="RM76" s="310"/>
      <c r="RN76" s="310"/>
      <c r="RO76" s="310"/>
      <c r="RP76" s="310"/>
      <c r="RQ76" s="310"/>
      <c r="RR76" s="310"/>
      <c r="RS76" s="310"/>
      <c r="RT76" s="310"/>
      <c r="RU76" s="310"/>
      <c r="RV76" s="310"/>
      <c r="RW76" s="310"/>
      <c r="RX76" s="310"/>
      <c r="RY76" s="310"/>
      <c r="RZ76" s="310"/>
      <c r="SA76" s="310"/>
      <c r="SB76" s="310"/>
      <c r="SC76" s="310"/>
      <c r="SD76" s="310"/>
      <c r="SE76" s="310"/>
      <c r="SF76" s="310"/>
      <c r="SG76" s="310"/>
      <c r="SH76" s="310"/>
      <c r="SI76" s="310"/>
      <c r="SJ76" s="310"/>
      <c r="SK76" s="310"/>
      <c r="SL76" s="310"/>
      <c r="SM76" s="310"/>
      <c r="SN76" s="310"/>
      <c r="SO76" s="220"/>
      <c r="SP76" s="220"/>
      <c r="SQ76" s="220"/>
      <c r="SR76" s="220"/>
      <c r="SS76" s="220"/>
      <c r="ST76" s="220"/>
      <c r="SU76" s="220"/>
      <c r="SV76" s="220"/>
      <c r="SW76" s="220"/>
      <c r="SX76" s="220"/>
      <c r="SY76" s="220"/>
      <c r="SZ76" s="220"/>
      <c r="TA76" s="220"/>
      <c r="TB76" s="220"/>
      <c r="TC76" s="220"/>
      <c r="TD76" s="220"/>
      <c r="TE76" s="220"/>
      <c r="TF76" s="220"/>
      <c r="TG76" s="220"/>
      <c r="TH76" s="220"/>
      <c r="TI76" s="220"/>
      <c r="TJ76" s="220"/>
      <c r="TK76" s="220"/>
      <c r="TL76" s="220"/>
      <c r="TM76" s="220"/>
      <c r="TN76" s="220"/>
      <c r="TO76" s="220"/>
      <c r="TP76" s="220"/>
      <c r="TQ76" s="220"/>
      <c r="TR76" s="220"/>
      <c r="TS76" s="220"/>
      <c r="TT76" s="220"/>
      <c r="TU76" s="220"/>
      <c r="TV76" s="220"/>
      <c r="TW76" s="220"/>
      <c r="TX76" s="220"/>
      <c r="TY76" s="220"/>
      <c r="TZ76" s="220"/>
      <c r="UA76" s="220"/>
      <c r="UB76" s="220"/>
      <c r="UC76" s="220"/>
      <c r="UD76" s="220"/>
      <c r="UE76" s="220"/>
      <c r="UF76" s="220"/>
      <c r="UG76" s="220"/>
      <c r="UH76" s="220"/>
      <c r="UI76" s="220"/>
      <c r="UJ76" s="220"/>
      <c r="UK76" s="216"/>
      <c r="UL76" s="216"/>
      <c r="UM76" s="216"/>
      <c r="UN76" s="216"/>
      <c r="UO76" s="216"/>
      <c r="UP76" s="216"/>
      <c r="UQ76" s="216"/>
      <c r="UR76" s="216"/>
      <c r="US76" s="216"/>
      <c r="UT76" s="216"/>
      <c r="UU76" s="216"/>
      <c r="UV76" s="216"/>
      <c r="UW76" s="216"/>
      <c r="UX76" s="216"/>
      <c r="UY76" s="216"/>
      <c r="UZ76" s="216"/>
      <c r="VA76" s="216"/>
    </row>
    <row r="77" spans="1:573" s="4" customFormat="1" x14ac:dyDescent="0.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5"/>
      <c r="AM77" s="45"/>
      <c r="AN77" s="45"/>
      <c r="AO77" s="45"/>
      <c r="AP77" s="310"/>
      <c r="AQ77" s="310"/>
      <c r="AR77" s="328" t="s">
        <v>34</v>
      </c>
      <c r="AS77" s="480"/>
      <c r="AT77" s="310"/>
      <c r="AU77" s="310"/>
      <c r="AV77" s="310"/>
      <c r="AW77" s="310"/>
      <c r="AX77" s="310"/>
      <c r="AY77" s="310"/>
      <c r="AZ77" s="310"/>
      <c r="BA77" s="310"/>
      <c r="BB77" s="231">
        <f t="shared" si="130"/>
        <v>-0.65</v>
      </c>
      <c r="BC77" s="231">
        <f t="shared" si="131"/>
        <v>0.65</v>
      </c>
      <c r="BD77" s="338" t="b">
        <f t="shared" si="132"/>
        <v>1</v>
      </c>
      <c r="BE77" s="242">
        <f t="shared" si="133"/>
        <v>-0.65</v>
      </c>
      <c r="BF77" s="242">
        <f t="shared" si="134"/>
        <v>0.65</v>
      </c>
      <c r="BG77" s="338" t="b">
        <f t="shared" si="135"/>
        <v>0</v>
      </c>
      <c r="BH77" s="242" t="e">
        <f t="shared" si="136"/>
        <v>#N/A</v>
      </c>
      <c r="BI77" s="242" t="e">
        <f t="shared" si="137"/>
        <v>#N/A</v>
      </c>
      <c r="BJ77" s="483">
        <v>36</v>
      </c>
      <c r="BK77" s="310"/>
      <c r="BL77" s="310"/>
      <c r="BM77" s="310"/>
      <c r="BN77" s="310"/>
      <c r="BO77" s="310"/>
      <c r="BP77" s="310"/>
      <c r="BQ77" s="310"/>
      <c r="BR77" s="310"/>
      <c r="BS77" s="310"/>
      <c r="BT77" s="310"/>
      <c r="BU77" s="310"/>
      <c r="BV77" s="310"/>
      <c r="BW77" s="310"/>
      <c r="BX77" s="310"/>
      <c r="BY77" s="310"/>
      <c r="BZ77" s="310"/>
      <c r="CA77" s="310"/>
      <c r="CB77" s="310"/>
      <c r="CC77" s="310"/>
      <c r="CD77" s="228" t="e">
        <f>CD76</f>
        <v>#N/A</v>
      </c>
      <c r="CE77" s="228" t="e">
        <f>CE76+CE44/2</f>
        <v>#N/A</v>
      </c>
      <c r="CF77" s="310"/>
      <c r="CG77" s="310"/>
      <c r="CH77" s="310"/>
      <c r="CI77" s="310"/>
      <c r="CJ77" s="310"/>
      <c r="CK77" s="310"/>
      <c r="CL77" s="310"/>
      <c r="CM77" s="310"/>
      <c r="CN77" s="310"/>
      <c r="CO77" s="310"/>
      <c r="CP77" s="310"/>
      <c r="CQ77" s="310"/>
      <c r="CR77" s="310"/>
      <c r="CS77" s="310"/>
      <c r="CT77" s="310"/>
      <c r="CU77" s="310"/>
      <c r="CV77" s="310"/>
      <c r="CW77" s="310"/>
      <c r="CX77" s="310"/>
      <c r="CY77" s="310"/>
      <c r="CZ77" s="310"/>
      <c r="DA77" s="310"/>
      <c r="DB77" s="310"/>
      <c r="DC77" s="280" t="e">
        <f>IF(AND($DD$50=TRUE,$D$63&gt;=DB76),$DC$53,#N/A)</f>
        <v>#N/A</v>
      </c>
      <c r="DD77" s="280" t="e">
        <f>DD76</f>
        <v>#N/A</v>
      </c>
      <c r="DE77" s="310"/>
      <c r="DF77" s="294" t="e">
        <f>DF76+DA6*2</f>
        <v>#N/A</v>
      </c>
      <c r="DG77" s="281" t="e">
        <f>DG76</f>
        <v>#N/A</v>
      </c>
      <c r="DH77" s="310"/>
      <c r="DI77" s="310"/>
      <c r="DJ77" s="310"/>
      <c r="DK77" s="310"/>
      <c r="DL77" s="310" t="s">
        <v>442</v>
      </c>
      <c r="DM77" s="310" t="e">
        <f>DM73-DM74-DM75-DM76</f>
        <v>#N/A</v>
      </c>
      <c r="DN77" s="310" t="e">
        <f>DN73-DM74-DM75-DN76</f>
        <v>#N/A</v>
      </c>
      <c r="DO77" s="310"/>
      <c r="DP77" s="310"/>
      <c r="DQ77" s="310"/>
      <c r="DR77" s="531" t="s">
        <v>90</v>
      </c>
      <c r="DS77" s="531"/>
      <c r="DT77" s="310"/>
      <c r="DU77" s="230">
        <f>DR78</f>
        <v>-0.95</v>
      </c>
      <c r="DV77" s="230">
        <f>DS78+DR76</f>
        <v>1</v>
      </c>
      <c r="DW77" s="247">
        <f>DU77+(DU79-DU77)/2</f>
        <v>0</v>
      </c>
      <c r="DX77" s="247">
        <f>DV78</f>
        <v>1.4</v>
      </c>
      <c r="DY77" s="454">
        <f>DU79-DU77</f>
        <v>1.9</v>
      </c>
      <c r="DZ77" s="310"/>
      <c r="EA77" s="310"/>
      <c r="EB77" s="310"/>
      <c r="EC77" s="310"/>
      <c r="ED77" s="310"/>
      <c r="EE77" s="310"/>
      <c r="EF77" s="310"/>
      <c r="EG77" s="310"/>
      <c r="EH77" s="310"/>
      <c r="EI77" s="338">
        <v>6</v>
      </c>
      <c r="EJ77" s="338" t="b">
        <f t="shared" si="127"/>
        <v>1</v>
      </c>
      <c r="EK77" s="281">
        <f t="shared" si="128"/>
        <v>0.36027777777777781</v>
      </c>
      <c r="EL77" s="281">
        <f t="shared" si="129"/>
        <v>0.12000000000000001</v>
      </c>
      <c r="EM77" s="310"/>
      <c r="EN77" s="280">
        <f>EE71-F50/100</f>
        <v>0.125</v>
      </c>
      <c r="EO77" s="280">
        <f>EO73</f>
        <v>0.16</v>
      </c>
      <c r="EP77" s="310"/>
      <c r="EQ77" s="338"/>
      <c r="ER77" s="338"/>
      <c r="ES77" s="338"/>
      <c r="ET77" s="310"/>
      <c r="EU77" s="310"/>
      <c r="EV77" s="310"/>
      <c r="EW77" s="310"/>
      <c r="EX77" s="310"/>
      <c r="EY77" s="310"/>
      <c r="EZ77" s="310"/>
      <c r="FA77" s="310"/>
      <c r="FB77" s="310"/>
      <c r="FC77" s="310"/>
      <c r="FD77" s="310"/>
      <c r="FE77" s="310"/>
      <c r="FF77" s="310"/>
      <c r="FG77" s="310"/>
      <c r="FH77" s="310"/>
      <c r="FI77" s="310"/>
      <c r="FJ77" s="310"/>
      <c r="FK77" s="310"/>
      <c r="FL77" s="310"/>
      <c r="FM77" s="310"/>
      <c r="FN77" s="310"/>
      <c r="FO77" s="310"/>
      <c r="FP77" s="310"/>
      <c r="FQ77" s="310"/>
      <c r="FR77" s="310"/>
      <c r="FS77" s="310"/>
      <c r="FT77" s="310"/>
      <c r="FU77" s="310"/>
      <c r="FV77" s="310"/>
      <c r="FW77" s="310"/>
      <c r="FX77" s="310"/>
      <c r="FY77" s="310"/>
      <c r="FZ77" s="310"/>
      <c r="GA77" s="310"/>
      <c r="GB77" s="310"/>
      <c r="GC77" s="310"/>
      <c r="GD77" s="310"/>
      <c r="GE77" s="310"/>
      <c r="GF77" s="310"/>
      <c r="GG77" s="310"/>
      <c r="GH77" s="310"/>
      <c r="GI77" s="310"/>
      <c r="GJ77" s="310"/>
      <c r="GK77" s="310"/>
      <c r="GL77" s="310"/>
      <c r="GM77" s="310"/>
      <c r="GN77" s="310"/>
      <c r="GO77" s="310"/>
      <c r="GP77" s="310"/>
      <c r="GQ77" s="310"/>
      <c r="GR77" s="310"/>
      <c r="GS77" s="310"/>
      <c r="GT77" s="310"/>
      <c r="GU77" s="310"/>
      <c r="GV77" s="310"/>
      <c r="GW77" s="310"/>
      <c r="GX77" s="310"/>
      <c r="GY77" s="310"/>
      <c r="GZ77" s="310"/>
      <c r="HA77" s="310"/>
      <c r="HB77" s="310"/>
      <c r="HC77" s="310"/>
      <c r="HD77" s="310"/>
      <c r="HE77" s="310"/>
      <c r="HF77" s="310"/>
      <c r="HG77" s="310"/>
      <c r="HH77" s="310"/>
      <c r="HI77" s="310"/>
      <c r="HJ77" s="310"/>
      <c r="HK77" s="342">
        <v>63</v>
      </c>
      <c r="HL77" s="235" t="e">
        <f t="shared" si="5"/>
        <v>#N/A</v>
      </c>
      <c r="HM77" s="235" t="e">
        <f t="shared" si="6"/>
        <v>#N/A</v>
      </c>
      <c r="HN77" s="310"/>
      <c r="HO77" s="310"/>
      <c r="HP77" s="235" t="e">
        <f t="shared" si="7"/>
        <v>#N/A</v>
      </c>
      <c r="HQ77" s="235" t="e">
        <f t="shared" si="8"/>
        <v>#N/A</v>
      </c>
      <c r="HR77" s="310"/>
      <c r="HS77" s="310"/>
      <c r="HT77" s="235" t="e">
        <f t="shared" si="9"/>
        <v>#N/A</v>
      </c>
      <c r="HU77" s="235" t="e">
        <f t="shared" si="10"/>
        <v>#N/A</v>
      </c>
      <c r="HV77" s="310"/>
      <c r="HW77" s="310"/>
      <c r="HX77" s="235" t="e">
        <f t="shared" si="11"/>
        <v>#N/A</v>
      </c>
      <c r="HY77" s="235" t="e">
        <f t="shared" si="12"/>
        <v>#N/A</v>
      </c>
      <c r="HZ77" s="310"/>
      <c r="IA77" s="310"/>
      <c r="IB77" s="235" t="e">
        <f t="shared" si="13"/>
        <v>#N/A</v>
      </c>
      <c r="IC77" s="235" t="e">
        <f t="shared" si="14"/>
        <v>#N/A</v>
      </c>
      <c r="ID77" s="310"/>
      <c r="IE77" s="342">
        <v>63</v>
      </c>
      <c r="IF77" s="262" t="e">
        <f t="shared" si="15"/>
        <v>#N/A</v>
      </c>
      <c r="IG77" s="262" t="e">
        <f t="shared" si="16"/>
        <v>#N/A</v>
      </c>
      <c r="IH77" s="390"/>
      <c r="II77" s="390"/>
      <c r="IJ77" s="262" t="e">
        <f t="shared" si="17"/>
        <v>#N/A</v>
      </c>
      <c r="IK77" s="262" t="e">
        <f t="shared" si="18"/>
        <v>#N/A</v>
      </c>
      <c r="IL77" s="390"/>
      <c r="IM77" s="390"/>
      <c r="IN77" s="262" t="e">
        <f t="shared" si="19"/>
        <v>#N/A</v>
      </c>
      <c r="IO77" s="262" t="e">
        <f t="shared" si="20"/>
        <v>#N/A</v>
      </c>
      <c r="IP77" s="390"/>
      <c r="IQ77" s="390"/>
      <c r="IR77" s="262" t="e">
        <f t="shared" si="21"/>
        <v>#N/A</v>
      </c>
      <c r="IS77" s="262" t="e">
        <f t="shared" si="22"/>
        <v>#N/A</v>
      </c>
      <c r="IT77" s="390"/>
      <c r="IU77" s="390"/>
      <c r="IV77" s="262" t="e">
        <f t="shared" si="23"/>
        <v>#N/A</v>
      </c>
      <c r="IW77" s="262" t="e">
        <f t="shared" si="24"/>
        <v>#N/A</v>
      </c>
      <c r="IX77" s="310"/>
      <c r="IY77" s="310"/>
      <c r="IZ77" s="310"/>
      <c r="JA77" s="310"/>
      <c r="JB77" s="313" t="s">
        <v>326</v>
      </c>
      <c r="JC77" s="228" t="e">
        <f>JC71</f>
        <v>#N/A</v>
      </c>
      <c r="JD77" s="228" t="e">
        <f>JD71</f>
        <v>#N/A</v>
      </c>
      <c r="JE77" s="310"/>
      <c r="JF77" s="310"/>
      <c r="JG77" s="310"/>
      <c r="JH77" s="310"/>
      <c r="JI77" s="313" t="s">
        <v>326</v>
      </c>
      <c r="JJ77" s="242" t="e">
        <f>JJ71</f>
        <v>#N/A</v>
      </c>
      <c r="JK77" s="242" t="e">
        <f>JK71</f>
        <v>#N/A</v>
      </c>
      <c r="JL77" s="310"/>
      <c r="JM77" s="310"/>
      <c r="JN77" s="261" t="e">
        <f t="shared" si="25"/>
        <v>#N/A</v>
      </c>
      <c r="JO77" s="261" t="e">
        <f t="shared" si="26"/>
        <v>#N/A</v>
      </c>
      <c r="JP77" s="310"/>
      <c r="JQ77" s="310"/>
      <c r="JR77" s="261" t="e">
        <f t="shared" si="31"/>
        <v>#N/A</v>
      </c>
      <c r="JS77" s="261" t="e">
        <f t="shared" si="32"/>
        <v>#N/A</v>
      </c>
      <c r="JT77" s="310"/>
      <c r="JU77" s="310"/>
      <c r="JV77" s="261" t="e">
        <f t="shared" si="27"/>
        <v>#N/A</v>
      </c>
      <c r="JW77" s="261" t="e">
        <f t="shared" si="28"/>
        <v>#N/A</v>
      </c>
      <c r="JX77" s="310"/>
      <c r="JY77" s="310"/>
      <c r="JZ77" s="310"/>
      <c r="KA77" s="310"/>
      <c r="KB77" s="313" t="s">
        <v>398</v>
      </c>
      <c r="KC77" s="242">
        <f>JZ65-$IZ$108/2</f>
        <v>-1.1499999999999999</v>
      </c>
      <c r="KD77" s="266">
        <f>KD66</f>
        <v>0.72500000000000009</v>
      </c>
      <c r="KE77" s="310"/>
      <c r="KF77" s="310"/>
      <c r="KG77" s="310"/>
      <c r="KH77" s="310"/>
      <c r="KI77" s="310"/>
      <c r="KJ77" s="310"/>
      <c r="KK77" s="310"/>
      <c r="KL77" s="310"/>
      <c r="KM77" s="310"/>
      <c r="KN77" s="310"/>
      <c r="KO77" s="310"/>
      <c r="KP77" s="310"/>
      <c r="KQ77" s="310"/>
      <c r="KR77" s="310"/>
      <c r="KS77" s="310"/>
      <c r="KT77" s="310"/>
      <c r="KU77" s="310"/>
      <c r="KV77" s="310"/>
      <c r="KW77" s="310"/>
      <c r="KX77" s="310"/>
      <c r="KY77" s="310"/>
      <c r="KZ77" s="310"/>
      <c r="LA77" s="310"/>
      <c r="LB77" s="310"/>
      <c r="LC77" s="310"/>
      <c r="LD77" s="310"/>
      <c r="LE77" s="310"/>
      <c r="LF77" s="310"/>
      <c r="LG77" s="310"/>
      <c r="LH77" s="463" t="e">
        <v>#N/A</v>
      </c>
      <c r="LI77" s="463" t="e">
        <v>#N/A</v>
      </c>
      <c r="LJ77" s="463" t="e">
        <v>#N/A</v>
      </c>
      <c r="LK77" s="463" t="e">
        <v>#N/A</v>
      </c>
      <c r="LL77" s="463"/>
      <c r="LM77" s="310"/>
      <c r="LN77" s="310"/>
      <c r="LO77" s="463" t="e">
        <v>#N/A</v>
      </c>
      <c r="LP77" s="463" t="e">
        <v>#N/A</v>
      </c>
      <c r="LQ77" s="463" t="e">
        <v>#N/A</v>
      </c>
      <c r="LR77" s="463" t="e">
        <v>#N/A</v>
      </c>
      <c r="LS77" s="391"/>
      <c r="LT77" s="310"/>
      <c r="LU77" s="310"/>
      <c r="LV77" s="463" t="e">
        <v>#N/A</v>
      </c>
      <c r="LW77" s="463" t="e">
        <v>#N/A</v>
      </c>
      <c r="LX77" s="463" t="e">
        <v>#N/A</v>
      </c>
      <c r="LY77" s="463" t="e">
        <v>#N/A</v>
      </c>
      <c r="LZ77" s="391"/>
      <c r="MA77" s="310"/>
      <c r="MB77" s="310"/>
      <c r="MC77" s="347" t="e">
        <v>#N/A</v>
      </c>
      <c r="MD77" s="347" t="e">
        <v>#N/A</v>
      </c>
      <c r="ME77" s="463" t="e">
        <v>#N/A</v>
      </c>
      <c r="MF77" s="463" t="e">
        <v>#N/A</v>
      </c>
      <c r="MG77" s="391"/>
      <c r="MH77" s="310"/>
      <c r="MI77" s="310"/>
      <c r="MJ77" s="239" t="e">
        <v>#N/A</v>
      </c>
      <c r="MK77" s="239" t="e">
        <v>#N/A</v>
      </c>
      <c r="ML77" s="228" t="e">
        <v>#N/A</v>
      </c>
      <c r="MM77" s="228" t="e">
        <v>#N/A</v>
      </c>
      <c r="MN77" s="391"/>
      <c r="MO77" s="310"/>
      <c r="MP77" s="311" t="e">
        <v>#N/A</v>
      </c>
      <c r="MQ77" s="311" t="e">
        <v>#N/A</v>
      </c>
      <c r="MR77" s="311" t="e">
        <v>#N/A</v>
      </c>
      <c r="MS77" s="311" t="e">
        <v>#N/A</v>
      </c>
      <c r="MT77" s="310"/>
      <c r="MU77" s="292" t="e">
        <v>#N/A</v>
      </c>
      <c r="MV77" s="292" t="e">
        <v>#N/A</v>
      </c>
      <c r="MW77" s="280" t="e">
        <f>IF(MY76=TRUE,MW74,#N/A)</f>
        <v>#N/A</v>
      </c>
      <c r="MX77" s="280" t="e">
        <f>MX76</f>
        <v>#N/A</v>
      </c>
      <c r="MY77" s="338"/>
      <c r="MZ77" s="310"/>
      <c r="NA77" s="310"/>
      <c r="NB77" s="310"/>
      <c r="NC77" s="310"/>
      <c r="ND77" s="310"/>
      <c r="NE77" s="310"/>
      <c r="NF77" s="310"/>
      <c r="NG77" s="310"/>
      <c r="NH77" s="310"/>
      <c r="NI77" s="310"/>
      <c r="NJ77" s="310"/>
      <c r="NK77" s="310"/>
      <c r="NL77" s="310"/>
      <c r="NM77" s="310"/>
      <c r="NN77" s="310"/>
      <c r="NO77" s="310"/>
      <c r="NP77" s="310"/>
      <c r="NQ77" s="310"/>
      <c r="NR77" s="310"/>
      <c r="NS77" s="310"/>
      <c r="NT77" s="310"/>
      <c r="NU77" s="310"/>
      <c r="NV77" s="310"/>
      <c r="NW77" s="310"/>
      <c r="NX77" s="310"/>
      <c r="NY77" s="310"/>
      <c r="NZ77" s="310"/>
      <c r="OA77" s="310"/>
      <c r="OB77" s="310"/>
      <c r="OC77" s="310"/>
      <c r="OD77" s="310"/>
      <c r="OE77" s="310"/>
      <c r="OF77" s="310"/>
      <c r="OG77" s="310"/>
      <c r="OH77" s="310"/>
      <c r="OI77" s="310"/>
      <c r="OJ77" s="310"/>
      <c r="OK77" s="310"/>
      <c r="OL77" s="310"/>
      <c r="OM77" s="310"/>
      <c r="ON77" s="310"/>
      <c r="OO77" s="310"/>
      <c r="OP77" s="310"/>
      <c r="OQ77" s="310"/>
      <c r="OR77" s="310"/>
      <c r="OS77" s="310"/>
      <c r="OT77" s="310"/>
      <c r="OU77" s="310"/>
      <c r="OV77" s="310"/>
      <c r="OW77" s="310"/>
      <c r="OX77" s="310"/>
      <c r="OY77" s="310"/>
      <c r="OZ77" s="310"/>
      <c r="PA77" s="310"/>
      <c r="PB77" s="310"/>
      <c r="PC77" s="310"/>
      <c r="PD77" s="310"/>
      <c r="PE77" s="310"/>
      <c r="PF77" s="310"/>
      <c r="PG77" s="310"/>
      <c r="PH77" s="310"/>
      <c r="PI77" s="310"/>
      <c r="PJ77" s="310"/>
      <c r="PK77" s="310"/>
      <c r="PL77" s="310"/>
      <c r="PM77" s="310"/>
      <c r="PN77" s="310"/>
      <c r="PO77" s="310"/>
      <c r="PP77" s="310"/>
      <c r="PQ77" s="310"/>
      <c r="PR77" s="310"/>
      <c r="PS77" s="342">
        <v>63</v>
      </c>
      <c r="PT77" s="261" t="e">
        <f t="shared" si="29"/>
        <v>#N/A</v>
      </c>
      <c r="PU77" s="261" t="e">
        <f t="shared" si="30"/>
        <v>#N/A</v>
      </c>
      <c r="PV77" s="310"/>
      <c r="PW77" s="310"/>
      <c r="PX77" s="310"/>
      <c r="PY77" s="310"/>
      <c r="PZ77" s="310"/>
      <c r="QA77" s="310"/>
      <c r="QB77" s="310"/>
      <c r="QC77" s="310"/>
      <c r="QD77" s="310"/>
      <c r="QE77" s="310"/>
      <c r="QF77" s="310"/>
      <c r="QG77" s="310"/>
      <c r="QH77" s="310"/>
      <c r="QI77" s="310"/>
      <c r="QJ77" s="310"/>
      <c r="QK77" s="310"/>
      <c r="QL77" s="310"/>
      <c r="QM77" s="310"/>
      <c r="QN77" s="310"/>
      <c r="QO77" s="310"/>
      <c r="QP77" s="310"/>
      <c r="QQ77" s="310"/>
      <c r="QR77" s="310"/>
      <c r="QS77" s="310"/>
      <c r="QT77" s="310"/>
      <c r="QU77" s="310"/>
      <c r="QV77" s="310"/>
      <c r="QW77" s="310"/>
      <c r="QX77" s="310"/>
      <c r="QY77" s="310"/>
      <c r="QZ77" s="310"/>
      <c r="RA77" s="310"/>
      <c r="RB77" s="310"/>
      <c r="RC77" s="310"/>
      <c r="RD77" s="310"/>
      <c r="RE77" s="310"/>
      <c r="RF77" s="310"/>
      <c r="RG77" s="310"/>
      <c r="RH77" s="310"/>
      <c r="RI77" s="310"/>
      <c r="RJ77" s="310"/>
      <c r="RK77" s="310"/>
      <c r="RL77" s="310"/>
      <c r="RM77" s="310"/>
      <c r="RN77" s="310"/>
      <c r="RO77" s="310"/>
      <c r="RP77" s="310"/>
      <c r="RQ77" s="310"/>
      <c r="RR77" s="310"/>
      <c r="RS77" s="310"/>
      <c r="RT77" s="310"/>
      <c r="RU77" s="310"/>
      <c r="RV77" s="310"/>
      <c r="RW77" s="310"/>
      <c r="RX77" s="310"/>
      <c r="RY77" s="310"/>
      <c r="RZ77" s="310"/>
      <c r="SA77" s="310"/>
      <c r="SB77" s="310"/>
      <c r="SC77" s="310"/>
      <c r="SD77" s="310"/>
      <c r="SE77" s="310"/>
      <c r="SF77" s="310"/>
      <c r="SG77" s="310"/>
      <c r="SH77" s="310"/>
      <c r="SI77" s="310"/>
      <c r="SJ77" s="310"/>
      <c r="SK77" s="310"/>
      <c r="SL77" s="310"/>
      <c r="SM77" s="310"/>
      <c r="SN77" s="310"/>
      <c r="SO77" s="220"/>
      <c r="SP77" s="220"/>
      <c r="SQ77" s="220"/>
      <c r="SR77" s="220"/>
      <c r="SS77" s="220"/>
      <c r="ST77" s="220"/>
      <c r="SU77" s="220"/>
      <c r="SV77" s="220"/>
      <c r="SW77" s="220"/>
      <c r="SX77" s="220"/>
      <c r="SY77" s="220"/>
      <c r="SZ77" s="220"/>
      <c r="TA77" s="220"/>
      <c r="TB77" s="220"/>
      <c r="TC77" s="220"/>
      <c r="TD77" s="220"/>
      <c r="TE77" s="220"/>
      <c r="TF77" s="220"/>
      <c r="TG77" s="220"/>
      <c r="TH77" s="220"/>
      <c r="TI77" s="220"/>
      <c r="TJ77" s="220"/>
      <c r="TK77" s="220"/>
      <c r="TL77" s="220"/>
      <c r="TM77" s="220"/>
      <c r="TN77" s="220"/>
      <c r="TO77" s="220"/>
      <c r="TP77" s="220"/>
      <c r="TQ77" s="220"/>
      <c r="TR77" s="220"/>
      <c r="TS77" s="220"/>
      <c r="TT77" s="220"/>
      <c r="TU77" s="220"/>
      <c r="TV77" s="220"/>
      <c r="TW77" s="220"/>
      <c r="TX77" s="220"/>
      <c r="TY77" s="220"/>
      <c r="TZ77" s="220"/>
      <c r="UA77" s="220"/>
      <c r="UB77" s="220"/>
      <c r="UC77" s="220"/>
      <c r="UD77" s="220"/>
      <c r="UE77" s="220"/>
      <c r="UF77" s="220"/>
      <c r="UG77" s="220"/>
      <c r="UH77" s="220"/>
      <c r="UI77" s="220"/>
      <c r="UJ77" s="220"/>
      <c r="UK77" s="216"/>
      <c r="UL77" s="216"/>
      <c r="UM77" s="216"/>
      <c r="UN77" s="216"/>
      <c r="UO77" s="216"/>
      <c r="UP77" s="216"/>
      <c r="UQ77" s="216"/>
      <c r="UR77" s="216"/>
      <c r="US77" s="216"/>
      <c r="UT77" s="216"/>
      <c r="UU77" s="216"/>
      <c r="UV77" s="216"/>
      <c r="UW77" s="216"/>
      <c r="UX77" s="216"/>
      <c r="UY77" s="216"/>
      <c r="UZ77" s="216"/>
      <c r="VA77" s="216"/>
    </row>
    <row r="78" spans="1:573" s="4" customFormat="1" x14ac:dyDescent="0.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5"/>
      <c r="AM78" s="45"/>
      <c r="AN78" s="45"/>
      <c r="AO78" s="45"/>
      <c r="AP78" s="310"/>
      <c r="AQ78" s="310"/>
      <c r="AR78" s="328" t="str" cm="1">
        <f t="array" ref="AR78">INDEX(AR64:AR68,BK6)</f>
        <v>F5</v>
      </c>
      <c r="AS78" s="471" cm="1">
        <f t="array" ref="AS78">INDEX(AS73:AS77,BK6)*100</f>
        <v>0</v>
      </c>
      <c r="AT78" s="310"/>
      <c r="AU78" s="310"/>
      <c r="AV78" s="310"/>
      <c r="AW78" s="310"/>
      <c r="AX78" s="310"/>
      <c r="AY78" s="310"/>
      <c r="AZ78" s="310"/>
      <c r="BA78" s="310"/>
      <c r="BB78" s="231">
        <f t="shared" si="130"/>
        <v>0.65</v>
      </c>
      <c r="BC78" s="231">
        <f t="shared" si="131"/>
        <v>0.65</v>
      </c>
      <c r="BD78" s="338" t="b">
        <f t="shared" si="132"/>
        <v>1</v>
      </c>
      <c r="BE78" s="242">
        <f t="shared" si="133"/>
        <v>0.65</v>
      </c>
      <c r="BF78" s="242">
        <f t="shared" si="134"/>
        <v>0.65</v>
      </c>
      <c r="BG78" s="338" t="b">
        <f t="shared" si="135"/>
        <v>0</v>
      </c>
      <c r="BH78" s="242" t="e">
        <f t="shared" si="136"/>
        <v>#N/A</v>
      </c>
      <c r="BI78" s="242" t="e">
        <f t="shared" si="137"/>
        <v>#N/A</v>
      </c>
      <c r="BJ78" s="483">
        <v>0</v>
      </c>
      <c r="BK78" s="310"/>
      <c r="BL78" s="310"/>
      <c r="BM78" s="310"/>
      <c r="BN78" s="310"/>
      <c r="BO78" s="310"/>
      <c r="BP78" s="310"/>
      <c r="BQ78" s="310"/>
      <c r="BR78" s="310"/>
      <c r="BS78" s="310"/>
      <c r="BT78" s="310"/>
      <c r="BU78" s="310"/>
      <c r="BV78" s="310"/>
      <c r="BW78" s="310"/>
      <c r="BX78" s="310"/>
      <c r="BY78" s="310"/>
      <c r="BZ78" s="310"/>
      <c r="CA78" s="310"/>
      <c r="CB78" s="310"/>
      <c r="CC78" s="310"/>
      <c r="CD78" s="228" t="e">
        <f>CB72</f>
        <v>#N/A</v>
      </c>
      <c r="CE78" s="228" t="e">
        <f>CE77</f>
        <v>#N/A</v>
      </c>
      <c r="CF78" s="310"/>
      <c r="CG78" s="310"/>
      <c r="CH78" s="310"/>
      <c r="CI78" s="310"/>
      <c r="CJ78" s="310"/>
      <c r="CK78" s="310"/>
      <c r="CL78" s="310"/>
      <c r="CM78" s="310"/>
      <c r="CN78" s="310"/>
      <c r="CO78" s="310"/>
      <c r="CP78" s="310"/>
      <c r="CQ78" s="310"/>
      <c r="CR78" s="310"/>
      <c r="CS78" s="310"/>
      <c r="CT78" s="310"/>
      <c r="CU78" s="310"/>
      <c r="CV78" s="310"/>
      <c r="CW78" s="310"/>
      <c r="CX78" s="310"/>
      <c r="CY78" s="310"/>
      <c r="CZ78" s="310"/>
      <c r="DA78" s="310"/>
      <c r="DB78" s="310"/>
      <c r="DC78" s="280" t="e">
        <v>#N/A</v>
      </c>
      <c r="DD78" s="280" t="e">
        <v>#N/A</v>
      </c>
      <c r="DE78" s="310"/>
      <c r="DF78" s="280" t="e">
        <v>#N/A</v>
      </c>
      <c r="DG78" s="280" t="e">
        <v>#N/A</v>
      </c>
      <c r="DH78" s="310"/>
      <c r="DI78" s="310"/>
      <c r="DJ78" s="310"/>
      <c r="DK78" s="310"/>
      <c r="DL78" s="310"/>
      <c r="DM78" s="310" t="e">
        <f>IF(AY15=TRUE,DN77,DM77)</f>
        <v>#N/A</v>
      </c>
      <c r="DN78" s="310"/>
      <c r="DO78" s="310"/>
      <c r="DP78" s="310"/>
      <c r="DQ78" s="310"/>
      <c r="DR78" s="338">
        <f>IF($DT$76=TRUE,DU25,#N/A)</f>
        <v>-0.95</v>
      </c>
      <c r="DS78" s="338">
        <f>IF($DT$76=TRUE,DV25,#N/A)</f>
        <v>0.95</v>
      </c>
      <c r="DT78" s="310"/>
      <c r="DU78" s="230">
        <f>DU77</f>
        <v>-0.95</v>
      </c>
      <c r="DV78" s="230">
        <f>DV77+DS76</f>
        <v>1.4</v>
      </c>
      <c r="DW78" s="300" t="e">
        <v>#N/A</v>
      </c>
      <c r="DX78" s="300" t="e">
        <v>#N/A</v>
      </c>
      <c r="DY78" s="310"/>
      <c r="DZ78" s="310"/>
      <c r="EA78" s="310"/>
      <c r="EB78" s="310"/>
      <c r="EC78" s="310"/>
      <c r="ED78" s="310"/>
      <c r="EE78" s="310"/>
      <c r="EF78" s="310"/>
      <c r="EG78" s="310"/>
      <c r="EH78" s="310"/>
      <c r="EI78" s="338">
        <v>7</v>
      </c>
      <c r="EJ78" s="338" t="b">
        <f t="shared" si="127"/>
        <v>1</v>
      </c>
      <c r="EK78" s="281">
        <f t="shared" si="128"/>
        <v>0.60333333333333339</v>
      </c>
      <c r="EL78" s="281">
        <f t="shared" si="129"/>
        <v>0.12000000000000001</v>
      </c>
      <c r="EM78" s="310"/>
      <c r="EN78" s="280">
        <f>EN77</f>
        <v>0.125</v>
      </c>
      <c r="EO78" s="280">
        <f>EO74</f>
        <v>1.1000000000000001</v>
      </c>
      <c r="EP78" s="310"/>
      <c r="EQ78" s="338"/>
      <c r="ER78" s="338"/>
      <c r="ES78" s="338"/>
      <c r="ET78" s="310"/>
      <c r="EU78" s="310"/>
      <c r="EV78" s="310"/>
      <c r="EW78" s="310"/>
      <c r="EX78" s="310"/>
      <c r="EY78" s="310"/>
      <c r="EZ78" s="310"/>
      <c r="FA78" s="310"/>
      <c r="FB78" s="310"/>
      <c r="FC78" s="310"/>
      <c r="FD78" s="310"/>
      <c r="FE78" s="310"/>
      <c r="FF78" s="310"/>
      <c r="FG78" s="310"/>
      <c r="FH78" s="310"/>
      <c r="FI78" s="310"/>
      <c r="FJ78" s="310"/>
      <c r="FK78" s="310"/>
      <c r="FL78" s="310"/>
      <c r="FM78" s="310"/>
      <c r="FN78" s="310"/>
      <c r="FO78" s="310"/>
      <c r="FP78" s="310"/>
      <c r="FQ78" s="310"/>
      <c r="FR78" s="310"/>
      <c r="FS78" s="310"/>
      <c r="FT78" s="310"/>
      <c r="FU78" s="310"/>
      <c r="FV78" s="310"/>
      <c r="FW78" s="310"/>
      <c r="FX78" s="310"/>
      <c r="FY78" s="310"/>
      <c r="FZ78" s="310"/>
      <c r="GA78" s="310"/>
      <c r="GB78" s="310"/>
      <c r="GC78" s="310"/>
      <c r="GD78" s="310"/>
      <c r="GE78" s="310"/>
      <c r="GF78" s="310"/>
      <c r="GG78" s="310"/>
      <c r="GH78" s="310"/>
      <c r="GI78" s="310"/>
      <c r="GJ78" s="310"/>
      <c r="GK78" s="310"/>
      <c r="GL78" s="310"/>
      <c r="GM78" s="310"/>
      <c r="GN78" s="310"/>
      <c r="GO78" s="310"/>
      <c r="GP78" s="310"/>
      <c r="GQ78" s="310"/>
      <c r="GR78" s="310"/>
      <c r="GS78" s="310"/>
      <c r="GT78" s="310"/>
      <c r="GU78" s="310"/>
      <c r="GV78" s="310"/>
      <c r="GW78" s="310"/>
      <c r="GX78" s="310"/>
      <c r="GY78" s="310"/>
      <c r="GZ78" s="310"/>
      <c r="HA78" s="310"/>
      <c r="HB78" s="310"/>
      <c r="HC78" s="310"/>
      <c r="HD78" s="310"/>
      <c r="HE78" s="310"/>
      <c r="HF78" s="310"/>
      <c r="HG78" s="310"/>
      <c r="HH78" s="310"/>
      <c r="HI78" s="310"/>
      <c r="HJ78" s="310"/>
      <c r="HK78" s="342">
        <v>64</v>
      </c>
      <c r="HL78" s="235" t="e">
        <f t="shared" si="5"/>
        <v>#N/A</v>
      </c>
      <c r="HM78" s="235" t="e">
        <f t="shared" si="6"/>
        <v>#N/A</v>
      </c>
      <c r="HN78" s="310"/>
      <c r="HO78" s="310"/>
      <c r="HP78" s="235" t="e">
        <f t="shared" si="7"/>
        <v>#N/A</v>
      </c>
      <c r="HQ78" s="235" t="e">
        <f t="shared" si="8"/>
        <v>#N/A</v>
      </c>
      <c r="HR78" s="310"/>
      <c r="HS78" s="310"/>
      <c r="HT78" s="235" t="e">
        <f t="shared" si="9"/>
        <v>#N/A</v>
      </c>
      <c r="HU78" s="235" t="e">
        <f t="shared" si="10"/>
        <v>#N/A</v>
      </c>
      <c r="HV78" s="310"/>
      <c r="HW78" s="310"/>
      <c r="HX78" s="235" t="e">
        <f t="shared" si="11"/>
        <v>#N/A</v>
      </c>
      <c r="HY78" s="235" t="e">
        <f t="shared" si="12"/>
        <v>#N/A</v>
      </c>
      <c r="HZ78" s="310"/>
      <c r="IA78" s="310"/>
      <c r="IB78" s="235" t="e">
        <f t="shared" si="13"/>
        <v>#N/A</v>
      </c>
      <c r="IC78" s="235" t="e">
        <f t="shared" si="14"/>
        <v>#N/A</v>
      </c>
      <c r="ID78" s="310"/>
      <c r="IE78" s="342">
        <v>64</v>
      </c>
      <c r="IF78" s="262" t="e">
        <f t="shared" si="15"/>
        <v>#N/A</v>
      </c>
      <c r="IG78" s="262" t="e">
        <f t="shared" si="16"/>
        <v>#N/A</v>
      </c>
      <c r="IH78" s="390"/>
      <c r="II78" s="390"/>
      <c r="IJ78" s="262" t="e">
        <f t="shared" si="17"/>
        <v>#N/A</v>
      </c>
      <c r="IK78" s="262" t="e">
        <f t="shared" si="18"/>
        <v>#N/A</v>
      </c>
      <c r="IL78" s="390"/>
      <c r="IM78" s="390"/>
      <c r="IN78" s="262" t="e">
        <f t="shared" si="19"/>
        <v>#N/A</v>
      </c>
      <c r="IO78" s="262" t="e">
        <f t="shared" si="20"/>
        <v>#N/A</v>
      </c>
      <c r="IP78" s="390"/>
      <c r="IQ78" s="390"/>
      <c r="IR78" s="262" t="e">
        <f t="shared" si="21"/>
        <v>#N/A</v>
      </c>
      <c r="IS78" s="262" t="e">
        <f t="shared" si="22"/>
        <v>#N/A</v>
      </c>
      <c r="IT78" s="390"/>
      <c r="IU78" s="390"/>
      <c r="IV78" s="262" t="e">
        <f t="shared" si="23"/>
        <v>#N/A</v>
      </c>
      <c r="IW78" s="262" t="e">
        <f t="shared" si="24"/>
        <v>#N/A</v>
      </c>
      <c r="IX78" s="310"/>
      <c r="IY78" s="310"/>
      <c r="IZ78" s="310"/>
      <c r="JA78" s="310"/>
      <c r="JB78" s="310"/>
      <c r="JC78" s="230" t="e">
        <v>#N/A</v>
      </c>
      <c r="JD78" s="230" t="e">
        <v>#N/A</v>
      </c>
      <c r="JE78" s="310"/>
      <c r="JF78" s="310"/>
      <c r="JG78" s="310"/>
      <c r="JH78" s="310"/>
      <c r="JI78" s="310"/>
      <c r="JJ78" s="264" t="e">
        <v>#N/A</v>
      </c>
      <c r="JK78" s="264" t="e">
        <v>#N/A</v>
      </c>
      <c r="JL78" s="310"/>
      <c r="JM78" s="310"/>
      <c r="JN78" s="261" t="e">
        <f t="shared" si="25"/>
        <v>#N/A</v>
      </c>
      <c r="JO78" s="261" t="e">
        <f t="shared" si="26"/>
        <v>#N/A</v>
      </c>
      <c r="JP78" s="310"/>
      <c r="JQ78" s="310"/>
      <c r="JR78" s="261" t="e">
        <f t="shared" si="31"/>
        <v>#N/A</v>
      </c>
      <c r="JS78" s="261" t="e">
        <f t="shared" si="32"/>
        <v>#N/A</v>
      </c>
      <c r="JT78" s="310"/>
      <c r="JU78" s="310"/>
      <c r="JV78" s="261" t="e">
        <f t="shared" si="27"/>
        <v>#N/A</v>
      </c>
      <c r="JW78" s="261" t="e">
        <f t="shared" si="28"/>
        <v>#N/A</v>
      </c>
      <c r="JX78" s="310"/>
      <c r="JY78" s="310"/>
      <c r="JZ78" s="310"/>
      <c r="KA78" s="310"/>
      <c r="KB78" s="313" t="s">
        <v>399</v>
      </c>
      <c r="KC78" s="242">
        <f>KC77</f>
        <v>-1.1499999999999999</v>
      </c>
      <c r="KD78" s="242">
        <f>KD65</f>
        <v>0.78500000000000003</v>
      </c>
      <c r="KE78" s="310"/>
      <c r="KF78" s="310"/>
      <c r="KG78" s="310"/>
      <c r="KH78" s="310"/>
      <c r="KI78" s="310"/>
      <c r="KJ78" s="310"/>
      <c r="KK78" s="310"/>
      <c r="KL78" s="310"/>
      <c r="KM78" s="310"/>
      <c r="KN78" s="310"/>
      <c r="KO78" s="310"/>
      <c r="KP78" s="310"/>
      <c r="KQ78" s="310"/>
      <c r="KR78" s="310"/>
      <c r="KS78" s="310"/>
      <c r="KT78" s="310"/>
      <c r="KU78" s="310"/>
      <c r="KV78" s="310"/>
      <c r="KW78" s="310"/>
      <c r="KX78" s="310"/>
      <c r="KY78" s="310"/>
      <c r="KZ78" s="310"/>
      <c r="LA78" s="310"/>
      <c r="LB78" s="310"/>
      <c r="LC78" s="310"/>
      <c r="LD78" s="310"/>
      <c r="LE78" s="310"/>
      <c r="LF78" s="310"/>
      <c r="LG78" s="310"/>
      <c r="LH78" s="463" t="e">
        <f>LH75</f>
        <v>#N/A</v>
      </c>
      <c r="LI78" s="463" t="e">
        <f>LI75</f>
        <v>#N/A</v>
      </c>
      <c r="LJ78" s="463" t="e">
        <v>#N/A</v>
      </c>
      <c r="LK78" s="463" t="e">
        <v>#N/A</v>
      </c>
      <c r="LL78" s="463"/>
      <c r="LM78" s="310"/>
      <c r="LN78" s="310"/>
      <c r="LO78" s="391" t="e">
        <f>LO75</f>
        <v>#N/A</v>
      </c>
      <c r="LP78" s="391" t="e">
        <f>LP75</f>
        <v>#N/A</v>
      </c>
      <c r="LQ78" s="463" t="e">
        <v>#N/A</v>
      </c>
      <c r="LR78" s="463" t="e">
        <v>#N/A</v>
      </c>
      <c r="LS78" s="391"/>
      <c r="LT78" s="310"/>
      <c r="LU78" s="310"/>
      <c r="LV78" s="391" t="e">
        <f>LV75</f>
        <v>#N/A</v>
      </c>
      <c r="LW78" s="391" t="e">
        <f>LW75</f>
        <v>#N/A</v>
      </c>
      <c r="LX78" s="463" t="e">
        <v>#N/A</v>
      </c>
      <c r="LY78" s="463" t="e">
        <v>#N/A</v>
      </c>
      <c r="LZ78" s="391"/>
      <c r="MA78" s="310"/>
      <c r="MB78" s="310"/>
      <c r="MC78" s="391" t="e">
        <f>MC75</f>
        <v>#N/A</v>
      </c>
      <c r="MD78" s="391" t="e">
        <f>MD75</f>
        <v>#N/A</v>
      </c>
      <c r="ME78" s="463" t="e">
        <v>#N/A</v>
      </c>
      <c r="MF78" s="463" t="e">
        <v>#N/A</v>
      </c>
      <c r="MG78" s="391"/>
      <c r="MH78" s="310"/>
      <c r="MI78" s="310"/>
      <c r="MJ78" s="239" t="e">
        <v>#N/A</v>
      </c>
      <c r="MK78" s="239" t="e">
        <v>#N/A</v>
      </c>
      <c r="ML78" s="228" t="e">
        <v>#N/A</v>
      </c>
      <c r="MM78" s="228" t="e">
        <v>#N/A</v>
      </c>
      <c r="MN78" s="391"/>
      <c r="MO78" s="310"/>
      <c r="MP78" s="311" t="e">
        <v>#N/A</v>
      </c>
      <c r="MQ78" s="311" t="e">
        <v>#N/A</v>
      </c>
      <c r="MR78" s="311" t="e">
        <v>#N/A</v>
      </c>
      <c r="MS78" s="311" t="e">
        <v>#N/A</v>
      </c>
      <c r="MT78" s="310"/>
      <c r="MU78" s="297" t="e">
        <f>MU75</f>
        <v>#N/A</v>
      </c>
      <c r="MV78" s="297" t="e">
        <f>MV75+0.2</f>
        <v>#N/A</v>
      </c>
      <c r="MW78" s="292" t="e">
        <v>#N/A</v>
      </c>
      <c r="MX78" s="292" t="e">
        <v>#N/A</v>
      </c>
      <c r="MY78" s="338"/>
      <c r="MZ78" s="310"/>
      <c r="NA78" s="310"/>
      <c r="NB78" s="310"/>
      <c r="NC78" s="310"/>
      <c r="ND78" s="310"/>
      <c r="NE78" s="310"/>
      <c r="NF78" s="310"/>
      <c r="NG78" s="310"/>
      <c r="NH78" s="310"/>
      <c r="NI78" s="310"/>
      <c r="NJ78" s="310"/>
      <c r="NK78" s="310"/>
      <c r="NL78" s="310"/>
      <c r="NM78" s="310"/>
      <c r="NN78" s="310"/>
      <c r="NO78" s="310"/>
      <c r="NP78" s="310"/>
      <c r="NQ78" s="310"/>
      <c r="NR78" s="310"/>
      <c r="NS78" s="310"/>
      <c r="NT78" s="310"/>
      <c r="NU78" s="310"/>
      <c r="NV78" s="310"/>
      <c r="NW78" s="310"/>
      <c r="NX78" s="310"/>
      <c r="NY78" s="310"/>
      <c r="NZ78" s="310"/>
      <c r="OA78" s="310"/>
      <c r="OB78" s="310"/>
      <c r="OC78" s="310"/>
      <c r="OD78" s="310"/>
      <c r="OE78" s="310"/>
      <c r="OF78" s="310"/>
      <c r="OG78" s="310"/>
      <c r="OH78" s="310"/>
      <c r="OI78" s="310"/>
      <c r="OJ78" s="310"/>
      <c r="OK78" s="310"/>
      <c r="OL78" s="310"/>
      <c r="OM78" s="310"/>
      <c r="ON78" s="310"/>
      <c r="OO78" s="310"/>
      <c r="OP78" s="310"/>
      <c r="OQ78" s="310"/>
      <c r="OR78" s="310"/>
      <c r="OS78" s="310"/>
      <c r="OT78" s="310"/>
      <c r="OU78" s="310"/>
      <c r="OV78" s="310"/>
      <c r="OW78" s="310"/>
      <c r="OX78" s="310"/>
      <c r="OY78" s="310"/>
      <c r="OZ78" s="310"/>
      <c r="PA78" s="310"/>
      <c r="PB78" s="310"/>
      <c r="PC78" s="310"/>
      <c r="PD78" s="310"/>
      <c r="PE78" s="310"/>
      <c r="PF78" s="310"/>
      <c r="PG78" s="310"/>
      <c r="PH78" s="310"/>
      <c r="PI78" s="310"/>
      <c r="PJ78" s="310"/>
      <c r="PK78" s="310"/>
      <c r="PL78" s="310"/>
      <c r="PM78" s="310"/>
      <c r="PN78" s="310"/>
      <c r="PO78" s="310"/>
      <c r="PP78" s="310"/>
      <c r="PQ78" s="310"/>
      <c r="PR78" s="310"/>
      <c r="PS78" s="342">
        <v>64</v>
      </c>
      <c r="PT78" s="261" t="e">
        <f t="shared" si="29"/>
        <v>#N/A</v>
      </c>
      <c r="PU78" s="261" t="e">
        <f t="shared" si="30"/>
        <v>#N/A</v>
      </c>
      <c r="PV78" s="310"/>
      <c r="PW78" s="310"/>
      <c r="PX78" s="310"/>
      <c r="PY78" s="310"/>
      <c r="PZ78" s="310"/>
      <c r="QA78" s="310"/>
      <c r="QB78" s="310"/>
      <c r="QC78" s="310"/>
      <c r="QD78" s="310"/>
      <c r="QE78" s="310"/>
      <c r="QF78" s="310"/>
      <c r="QG78" s="310"/>
      <c r="QH78" s="310"/>
      <c r="QI78" s="310"/>
      <c r="QJ78" s="310"/>
      <c r="QK78" s="310"/>
      <c r="QL78" s="310"/>
      <c r="QM78" s="310"/>
      <c r="QN78" s="310"/>
      <c r="QO78" s="310"/>
      <c r="QP78" s="310"/>
      <c r="QQ78" s="310"/>
      <c r="QR78" s="310"/>
      <c r="QS78" s="310"/>
      <c r="QT78" s="310"/>
      <c r="QU78" s="310"/>
      <c r="QV78" s="310"/>
      <c r="QW78" s="310"/>
      <c r="QX78" s="310"/>
      <c r="QY78" s="310"/>
      <c r="QZ78" s="310"/>
      <c r="RA78" s="310"/>
      <c r="RB78" s="310"/>
      <c r="RC78" s="310"/>
      <c r="RD78" s="310"/>
      <c r="RE78" s="310"/>
      <c r="RF78" s="310"/>
      <c r="RG78" s="310"/>
      <c r="RH78" s="310"/>
      <c r="RI78" s="310"/>
      <c r="RJ78" s="310"/>
      <c r="RK78" s="310"/>
      <c r="RL78" s="310"/>
      <c r="RM78" s="310"/>
      <c r="RN78" s="310"/>
      <c r="RO78" s="310"/>
      <c r="RP78" s="310"/>
      <c r="RQ78" s="310"/>
      <c r="RR78" s="310"/>
      <c r="RS78" s="310"/>
      <c r="RT78" s="310"/>
      <c r="RU78" s="310"/>
      <c r="RV78" s="310"/>
      <c r="RW78" s="310"/>
      <c r="RX78" s="310"/>
      <c r="RY78" s="310"/>
      <c r="RZ78" s="310"/>
      <c r="SA78" s="310"/>
      <c r="SB78" s="310"/>
      <c r="SC78" s="310"/>
      <c r="SD78" s="310"/>
      <c r="SE78" s="310"/>
      <c r="SF78" s="310"/>
      <c r="SG78" s="310"/>
      <c r="SH78" s="310"/>
      <c r="SI78" s="310"/>
      <c r="SJ78" s="310"/>
      <c r="SK78" s="310"/>
      <c r="SL78" s="310"/>
      <c r="SM78" s="310"/>
      <c r="SN78" s="310"/>
      <c r="SO78" s="220"/>
      <c r="SP78" s="220"/>
      <c r="SQ78" s="220"/>
      <c r="SR78" s="220"/>
      <c r="SS78" s="220"/>
      <c r="ST78" s="220"/>
      <c r="SU78" s="220"/>
      <c r="SV78" s="220"/>
      <c r="SW78" s="220"/>
      <c r="SX78" s="220"/>
      <c r="SY78" s="220"/>
      <c r="SZ78" s="220"/>
      <c r="TA78" s="220"/>
      <c r="TB78" s="220"/>
      <c r="TC78" s="220"/>
      <c r="TD78" s="220"/>
      <c r="TE78" s="220"/>
      <c r="TF78" s="220"/>
      <c r="TG78" s="220"/>
      <c r="TH78" s="220"/>
      <c r="TI78" s="220"/>
      <c r="TJ78" s="220"/>
      <c r="TK78" s="220"/>
      <c r="TL78" s="220"/>
      <c r="TM78" s="220"/>
      <c r="TN78" s="220"/>
      <c r="TO78" s="220"/>
      <c r="TP78" s="220"/>
      <c r="TQ78" s="220"/>
      <c r="TR78" s="220"/>
      <c r="TS78" s="220"/>
      <c r="TT78" s="220"/>
      <c r="TU78" s="220"/>
      <c r="TV78" s="220"/>
      <c r="TW78" s="220"/>
      <c r="TX78" s="220"/>
      <c r="TY78" s="220"/>
      <c r="TZ78" s="220"/>
      <c r="UA78" s="220"/>
      <c r="UB78" s="220"/>
      <c r="UC78" s="220"/>
      <c r="UD78" s="220"/>
      <c r="UE78" s="220"/>
      <c r="UF78" s="220"/>
      <c r="UG78" s="220"/>
      <c r="UH78" s="220"/>
      <c r="UI78" s="220"/>
      <c r="UJ78" s="220"/>
      <c r="UK78" s="216"/>
      <c r="UL78" s="216"/>
      <c r="UM78" s="216"/>
      <c r="UN78" s="216"/>
      <c r="UO78" s="216"/>
      <c r="UP78" s="216"/>
      <c r="UQ78" s="216"/>
      <c r="UR78" s="216"/>
      <c r="US78" s="216"/>
      <c r="UT78" s="216"/>
      <c r="UU78" s="216"/>
      <c r="UV78" s="216"/>
      <c r="UW78" s="216"/>
      <c r="UX78" s="216"/>
      <c r="UY78" s="216"/>
      <c r="UZ78" s="216"/>
      <c r="VA78" s="216"/>
    </row>
    <row r="79" spans="1:573" s="4" customFormat="1" x14ac:dyDescent="0.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5"/>
      <c r="AM79" s="45"/>
      <c r="AN79" s="45"/>
      <c r="AO79" s="45"/>
      <c r="AP79" s="310"/>
      <c r="AQ79" s="310"/>
      <c r="AR79" s="310" t="s">
        <v>190</v>
      </c>
      <c r="AS79" s="310">
        <f>BK6</f>
        <v>5</v>
      </c>
      <c r="AT79" s="310"/>
      <c r="AU79" s="310"/>
      <c r="AV79" s="310"/>
      <c r="AW79" s="310"/>
      <c r="AX79" s="310"/>
      <c r="AY79" s="310"/>
      <c r="AZ79" s="310"/>
      <c r="BA79" s="310"/>
      <c r="BB79" s="231">
        <f t="shared" si="130"/>
        <v>0</v>
      </c>
      <c r="BC79" s="231">
        <f t="shared" si="131"/>
        <v>0</v>
      </c>
      <c r="BD79" s="338" t="b">
        <f t="shared" si="132"/>
        <v>1</v>
      </c>
      <c r="BE79" s="242">
        <f t="shared" si="133"/>
        <v>0</v>
      </c>
      <c r="BF79" s="242">
        <f t="shared" si="134"/>
        <v>0</v>
      </c>
      <c r="BG79" s="338" t="b">
        <f t="shared" si="135"/>
        <v>0</v>
      </c>
      <c r="BH79" s="242" t="e">
        <f t="shared" si="136"/>
        <v>#N/A</v>
      </c>
      <c r="BI79" s="242" t="e">
        <f t="shared" si="137"/>
        <v>#N/A</v>
      </c>
      <c r="BJ79" s="483">
        <v>36</v>
      </c>
      <c r="BK79" s="310"/>
      <c r="BL79" s="310"/>
      <c r="BM79" s="310"/>
      <c r="BN79" s="310"/>
      <c r="BO79" s="310"/>
      <c r="BP79" s="310"/>
      <c r="BQ79" s="310"/>
      <c r="BR79" s="310"/>
      <c r="BS79" s="310"/>
      <c r="BT79" s="310"/>
      <c r="BU79" s="310"/>
      <c r="BV79" s="310"/>
      <c r="BW79" s="310"/>
      <c r="BX79" s="310"/>
      <c r="BY79" s="310"/>
      <c r="BZ79" s="310"/>
      <c r="CA79" s="310"/>
      <c r="CB79" s="310"/>
      <c r="CC79" s="310"/>
      <c r="CD79" s="228" t="e">
        <f>CD78</f>
        <v>#N/A</v>
      </c>
      <c r="CE79" s="228" t="e">
        <f>CE76</f>
        <v>#N/A</v>
      </c>
      <c r="CF79" s="310"/>
      <c r="CG79" s="310"/>
      <c r="CH79" s="310"/>
      <c r="CI79" s="310"/>
      <c r="CJ79" s="310"/>
      <c r="CK79" s="310"/>
      <c r="CL79" s="310"/>
      <c r="CM79" s="310"/>
      <c r="CN79" s="310"/>
      <c r="CO79" s="310"/>
      <c r="CP79" s="310"/>
      <c r="CQ79" s="310"/>
      <c r="CR79" s="310"/>
      <c r="CS79" s="310"/>
      <c r="CT79" s="310"/>
      <c r="CU79" s="310"/>
      <c r="CV79" s="310"/>
      <c r="CW79" s="310"/>
      <c r="CX79" s="310"/>
      <c r="CY79" s="310"/>
      <c r="CZ79" s="310"/>
      <c r="DA79" s="310"/>
      <c r="DB79" s="310">
        <v>10</v>
      </c>
      <c r="DC79" s="280" t="e">
        <f>IF(AND($DD$50=TRUE,$D$63&gt;=DB79),$DC$52,#N/A)</f>
        <v>#N/A</v>
      </c>
      <c r="DD79" s="280" t="e">
        <f>IF(AND($DD$50=TRUE,$D$63&gt;=DB79),$DD$52-0.2,#N/A)</f>
        <v>#N/A</v>
      </c>
      <c r="DE79" s="310"/>
      <c r="DF79" s="303" t="e">
        <f>IF(DG6=TRUE,DF27+(DF28-DF27)/2,DC27+(DC28-DC27)/2)</f>
        <v>#N/A</v>
      </c>
      <c r="DG79" s="281" t="e">
        <f>DG75</f>
        <v>#N/A</v>
      </c>
      <c r="DH79" s="310"/>
      <c r="DI79" s="310"/>
      <c r="DJ79" s="310"/>
      <c r="DK79" s="310"/>
      <c r="DL79" s="310" t="s">
        <v>48</v>
      </c>
      <c r="DM79" s="310" t="s">
        <v>49</v>
      </c>
      <c r="DN79" s="310"/>
      <c r="DO79" s="310"/>
      <c r="DP79" s="310"/>
      <c r="DQ79" s="310"/>
      <c r="DR79" s="338">
        <f t="shared" ref="DR79:DS82" si="138">IF($DT$76=TRUE,DU26,#N/A)</f>
        <v>0.95</v>
      </c>
      <c r="DS79" s="338">
        <f t="shared" si="138"/>
        <v>0.95</v>
      </c>
      <c r="DT79" s="310"/>
      <c r="DU79" s="230">
        <f>DR79</f>
        <v>0.95</v>
      </c>
      <c r="DV79" s="230">
        <f>DV78</f>
        <v>1.4</v>
      </c>
      <c r="DW79" s="300" t="e">
        <v>#N/A</v>
      </c>
      <c r="DX79" s="300" t="e">
        <v>#N/A</v>
      </c>
      <c r="DY79" s="310"/>
      <c r="DZ79" s="310"/>
      <c r="EA79" s="310"/>
      <c r="EB79" s="310"/>
      <c r="EC79" s="310"/>
      <c r="ED79" s="310"/>
      <c r="EE79" s="310"/>
      <c r="EF79" s="310"/>
      <c r="EG79" s="310"/>
      <c r="EH79" s="310"/>
      <c r="EI79" s="338">
        <v>8</v>
      </c>
      <c r="EJ79" s="338" t="b">
        <f t="shared" si="127"/>
        <v>1</v>
      </c>
      <c r="EK79" s="281">
        <f t="shared" si="128"/>
        <v>0.84638888888888897</v>
      </c>
      <c r="EL79" s="281">
        <f t="shared" si="129"/>
        <v>0.12000000000000001</v>
      </c>
      <c r="EM79" s="310"/>
      <c r="EN79" s="310"/>
      <c r="EO79" s="310"/>
      <c r="EP79" s="310"/>
      <c r="EQ79" s="310"/>
      <c r="ER79" s="310"/>
      <c r="ES79" s="310"/>
      <c r="ET79" s="310"/>
      <c r="EU79" s="310"/>
      <c r="EV79" s="310"/>
      <c r="EW79" s="310"/>
      <c r="EX79" s="310"/>
      <c r="EY79" s="310"/>
      <c r="EZ79" s="310"/>
      <c r="FA79" s="310"/>
      <c r="FB79" s="310"/>
      <c r="FC79" s="310"/>
      <c r="FD79" s="310"/>
      <c r="FE79" s="310"/>
      <c r="FF79" s="310"/>
      <c r="FG79" s="310"/>
      <c r="FH79" s="310"/>
      <c r="FI79" s="310"/>
      <c r="FJ79" s="310"/>
      <c r="FK79" s="310"/>
      <c r="FL79" s="310"/>
      <c r="FM79" s="310"/>
      <c r="FN79" s="310"/>
      <c r="FO79" s="310"/>
      <c r="FP79" s="310"/>
      <c r="FQ79" s="310"/>
      <c r="FR79" s="310"/>
      <c r="FS79" s="310"/>
      <c r="FT79" s="310"/>
      <c r="FU79" s="310"/>
      <c r="FV79" s="310"/>
      <c r="FW79" s="310"/>
      <c r="FX79" s="310"/>
      <c r="FY79" s="310"/>
      <c r="FZ79" s="310"/>
      <c r="GA79" s="310"/>
      <c r="GB79" s="310"/>
      <c r="GC79" s="310"/>
      <c r="GD79" s="310"/>
      <c r="GE79" s="310"/>
      <c r="GF79" s="310"/>
      <c r="GG79" s="310"/>
      <c r="GH79" s="310"/>
      <c r="GI79" s="310"/>
      <c r="GJ79" s="310"/>
      <c r="GK79" s="310"/>
      <c r="GL79" s="310"/>
      <c r="GM79" s="310"/>
      <c r="GN79" s="310"/>
      <c r="GO79" s="310"/>
      <c r="GP79" s="310"/>
      <c r="GQ79" s="310"/>
      <c r="GR79" s="310"/>
      <c r="GS79" s="310"/>
      <c r="GT79" s="310"/>
      <c r="GU79" s="310"/>
      <c r="GV79" s="310"/>
      <c r="GW79" s="310"/>
      <c r="GX79" s="310"/>
      <c r="GY79" s="310"/>
      <c r="GZ79" s="310"/>
      <c r="HA79" s="310"/>
      <c r="HB79" s="310"/>
      <c r="HC79" s="310"/>
      <c r="HD79" s="310"/>
      <c r="HE79" s="310"/>
      <c r="HF79" s="310"/>
      <c r="HG79" s="310"/>
      <c r="HH79" s="310"/>
      <c r="HI79" s="310"/>
      <c r="HJ79" s="310"/>
      <c r="HK79" s="342">
        <v>65</v>
      </c>
      <c r="HL79" s="235" t="e">
        <f t="shared" ref="HL79:HL142" si="139">IF($HM$9=TRUE,$HL$11+$HL$12*COS(HK79*PI()/$HM$13),#N/A)</f>
        <v>#N/A</v>
      </c>
      <c r="HM79" s="235" t="e">
        <f t="shared" ref="HM79:HM142" si="140">IF($HM$9=TRUE,$HM$11+$HL$12*SIN(HK79*PI()/$HM$13),#N/A)</f>
        <v>#N/A</v>
      </c>
      <c r="HN79" s="310"/>
      <c r="HO79" s="310"/>
      <c r="HP79" s="235" t="e">
        <f t="shared" ref="HP79:HP142" si="141">IF($HQ$9=TRUE,$HP$11+$HP$12*COS(HK79*PI()/$HQ$13),#N/A)</f>
        <v>#N/A</v>
      </c>
      <c r="HQ79" s="235" t="e">
        <f t="shared" ref="HQ79:HQ142" si="142">IF($HQ$9=TRUE,$HQ$11+$HP$12*SIN(HK79*PI()/$HQ$13),#N/A)</f>
        <v>#N/A</v>
      </c>
      <c r="HR79" s="310"/>
      <c r="HS79" s="310"/>
      <c r="HT79" s="235" t="e">
        <f t="shared" ref="HT79:HT142" si="143">IF($HU$9=TRUE,$HT$11+$HT$12*COS(HK79*PI()/$HU$13),#N/A)</f>
        <v>#N/A</v>
      </c>
      <c r="HU79" s="235" t="e">
        <f t="shared" ref="HU79:HU142" si="144">IF($HU$9=TRUE,$HU$11+$HT$12*SIN(HK79*PI()/$HU$13),#N/A)</f>
        <v>#N/A</v>
      </c>
      <c r="HV79" s="310"/>
      <c r="HW79" s="310"/>
      <c r="HX79" s="235" t="e">
        <f t="shared" ref="HX79:HX142" si="145">IF($HY$9=TRUE,$HX$11+$HX$12*COS(HK79*PI()/$HY$13),#N/A)</f>
        <v>#N/A</v>
      </c>
      <c r="HY79" s="235" t="e">
        <f t="shared" ref="HY79:HY142" si="146">IF($HY$9=TRUE,$HY$11+$HX$12*SIN(HK79*PI()/$HY$13),#N/A)</f>
        <v>#N/A</v>
      </c>
      <c r="HZ79" s="310"/>
      <c r="IA79" s="310"/>
      <c r="IB79" s="235" t="e">
        <f t="shared" ref="IB79:IB142" si="147">IF($IC$9=TRUE,$IB$11+$IB$12*COS(HK79*PI()/$IC$13),#N/A)</f>
        <v>#N/A</v>
      </c>
      <c r="IC79" s="235" t="e">
        <f t="shared" ref="IC79:IC142" si="148">IF($IC$9=TRUE,$IC$11+$IB$12*SIN(HK79*PI()/$IC$13),#N/A)</f>
        <v>#N/A</v>
      </c>
      <c r="ID79" s="310"/>
      <c r="IE79" s="342">
        <v>65</v>
      </c>
      <c r="IF79" s="262" t="e">
        <f t="shared" ref="IF79:IF142" si="149">IF($IG$9=TRUE,$IF$11+$IF$12*COS(IE79*PI()/$IG$13),#N/A)</f>
        <v>#N/A</v>
      </c>
      <c r="IG79" s="262" t="e">
        <f t="shared" ref="IG79:IG142" si="150">IF($IG$9=TRUE,$IG$11+$IF$12*SIN(IE79*PI()/$IG$13),#N/A)</f>
        <v>#N/A</v>
      </c>
      <c r="IH79" s="390"/>
      <c r="II79" s="390"/>
      <c r="IJ79" s="262" t="e">
        <f t="shared" ref="IJ79:IJ142" si="151">IF($IK$9=TRUE,$IJ$11+$IJ$12*COS(IE79*PI()/$IK$13),#N/A)</f>
        <v>#N/A</v>
      </c>
      <c r="IK79" s="262" t="e">
        <f t="shared" ref="IK79:IK142" si="152">IF($IK$9=TRUE,$IK$11+$IJ$12*SIN(IE79*PI()/$IK$13),#N/A)</f>
        <v>#N/A</v>
      </c>
      <c r="IL79" s="390"/>
      <c r="IM79" s="390"/>
      <c r="IN79" s="262" t="e">
        <f t="shared" ref="IN79:IN142" si="153">IF($IO$9=TRUE,$IN$11+$IN$12*COS(IE79*PI()/$IO$13),#N/A)</f>
        <v>#N/A</v>
      </c>
      <c r="IO79" s="262" t="e">
        <f t="shared" ref="IO79:IO142" si="154">IF($IO$9=TRUE,$IO$11+$IN$12*SIN(IE79*PI()/$IO$13),#N/A)</f>
        <v>#N/A</v>
      </c>
      <c r="IP79" s="390"/>
      <c r="IQ79" s="390"/>
      <c r="IR79" s="262" t="e">
        <f t="shared" ref="IR79:IR142" si="155">IF($IS$9=TRUE,$IR$11+$IR$12*COS(IE79*PI()/$IS$13),#N/A)</f>
        <v>#N/A</v>
      </c>
      <c r="IS79" s="262" t="e">
        <f t="shared" ref="IS79:IS142" si="156">IF($IS$9=TRUE,$IS$11+$IR$12*SIN(IE79*PI()/$IS$13),#N/A)</f>
        <v>#N/A</v>
      </c>
      <c r="IT79" s="390"/>
      <c r="IU79" s="390"/>
      <c r="IV79" s="262" t="e">
        <f t="shared" ref="IV79:IV142" si="157">IF($IW$9=TRUE,$IV$11+$IV$12*COS(IE79*PI()/$IW$13),#N/A)</f>
        <v>#N/A</v>
      </c>
      <c r="IW79" s="262" t="e">
        <f t="shared" ref="IW79:IW142" si="158">IF($IW$9=TRUE,$IW$11+$IV$12*SIN(IE79*PI()/$IW$13),#N/A)</f>
        <v>#N/A</v>
      </c>
      <c r="IX79" s="310"/>
      <c r="IY79" s="342" t="s">
        <v>353</v>
      </c>
      <c r="IZ79" s="328" t="s">
        <v>384</v>
      </c>
      <c r="JA79" s="338" t="b">
        <f>AND($GY$6&gt;=$GX$21,$GY$6&lt;=$GX$27,$BM$9=TRUE)</f>
        <v>0</v>
      </c>
      <c r="JB79" s="313" t="s">
        <v>106</v>
      </c>
      <c r="JC79" s="228" t="e">
        <f>IZ81-$IZ$62/2</f>
        <v>#N/A</v>
      </c>
      <c r="JD79" s="228" t="e">
        <f>JA81+$IZ$61/2</f>
        <v>#N/A</v>
      </c>
      <c r="JE79" s="310"/>
      <c r="JF79" s="342" t="s">
        <v>353</v>
      </c>
      <c r="JG79" s="328" t="s">
        <v>384</v>
      </c>
      <c r="JH79" s="338" t="b">
        <f>IF(CP13=TRUE,AND($GY$6&gt;=$GX$21,$GY$6&lt;=$GX$27,$BM$9=TRUE,$BE$7=TRUE,CU11=TRUE),FALSE)</f>
        <v>0</v>
      </c>
      <c r="JI79" s="313" t="s">
        <v>106</v>
      </c>
      <c r="JJ79" s="242" t="e">
        <f>JG81-$IZ$62/2</f>
        <v>#N/A</v>
      </c>
      <c r="JK79" s="242" t="e">
        <f>JH81+$IZ$61/2</f>
        <v>#N/A</v>
      </c>
      <c r="JL79" s="310"/>
      <c r="JM79" s="310"/>
      <c r="JN79" s="261" t="e">
        <f t="shared" ref="JN79:JN142" si="159">IF($JO$9=TRUE,$JN$11+$JN$12*COS(IE79*PI()/$JO$13),#N/A)</f>
        <v>#N/A</v>
      </c>
      <c r="JO79" s="261" t="e">
        <f t="shared" ref="JO79:JO142" si="160">IF($JO$9=TRUE,$JO$11+$JN$12*SIN(IE79*PI()/$JO$13),#N/A)</f>
        <v>#N/A</v>
      </c>
      <c r="JP79" s="310"/>
      <c r="JQ79" s="310"/>
      <c r="JR79" s="261" t="e">
        <f t="shared" si="31"/>
        <v>#N/A</v>
      </c>
      <c r="JS79" s="261" t="e">
        <f t="shared" si="32"/>
        <v>#N/A</v>
      </c>
      <c r="JT79" s="310"/>
      <c r="JU79" s="310"/>
      <c r="JV79" s="261" t="e">
        <f t="shared" ref="JV79:JV142" si="161">IF($JW$9=TRUE,$JV$11+$JV$12*COS(IE79*PI()/$JW$13),#N/A)</f>
        <v>#N/A</v>
      </c>
      <c r="JW79" s="261" t="e">
        <f t="shared" ref="JW79:JW142" si="162">IF($JW$9=TRUE,$JW$11+$JV$12*SIN(IE79*PI()/$JW$13),#N/A)</f>
        <v>#N/A</v>
      </c>
      <c r="JX79" s="310"/>
      <c r="JY79" s="310"/>
      <c r="JZ79" s="310"/>
      <c r="KA79" s="310"/>
      <c r="KB79" s="313" t="s">
        <v>400</v>
      </c>
      <c r="KC79" s="242">
        <f>KC63</f>
        <v>-1.135</v>
      </c>
      <c r="KD79" s="242">
        <f>KD63</f>
        <v>0.8</v>
      </c>
      <c r="KE79" s="310"/>
      <c r="KF79" s="310"/>
      <c r="KG79" s="310"/>
      <c r="KH79" s="310"/>
      <c r="KI79" s="310"/>
      <c r="KJ79" s="310"/>
      <c r="KK79" s="310"/>
      <c r="KL79" s="310"/>
      <c r="KM79" s="310"/>
      <c r="KN79" s="310"/>
      <c r="KO79" s="310"/>
      <c r="KP79" s="310"/>
      <c r="KQ79" s="310"/>
      <c r="KR79" s="310"/>
      <c r="KS79" s="310"/>
      <c r="KT79" s="310"/>
      <c r="KU79" s="310"/>
      <c r="KV79" s="310"/>
      <c r="KW79" s="310"/>
      <c r="KX79" s="310"/>
      <c r="KY79" s="310"/>
      <c r="KZ79" s="310"/>
      <c r="LA79" s="310"/>
      <c r="LB79" s="310"/>
      <c r="LC79" s="310"/>
      <c r="LD79" s="310"/>
      <c r="LE79" s="310"/>
      <c r="LF79" s="310"/>
      <c r="LG79" s="310"/>
      <c r="LH79" s="463" t="e">
        <f>LH78</f>
        <v>#N/A</v>
      </c>
      <c r="LI79" s="463" t="e">
        <f>LD58</f>
        <v>#N/A</v>
      </c>
      <c r="LJ79" s="463" t="e">
        <v>#N/A</v>
      </c>
      <c r="LK79" s="463" t="e">
        <v>#N/A</v>
      </c>
      <c r="LL79" s="463"/>
      <c r="LM79" s="310"/>
      <c r="LN79" s="310"/>
      <c r="LO79" s="347" t="e">
        <f>LO78</f>
        <v>#N/A</v>
      </c>
      <c r="LP79" s="347" t="e">
        <f>LD61</f>
        <v>#N/A</v>
      </c>
      <c r="LQ79" s="463" t="e">
        <v>#N/A</v>
      </c>
      <c r="LR79" s="463" t="e">
        <v>#N/A</v>
      </c>
      <c r="LS79" s="391"/>
      <c r="LT79" s="310"/>
      <c r="LU79" s="310"/>
      <c r="LV79" s="347" t="e">
        <f>LC66</f>
        <v>#N/A</v>
      </c>
      <c r="LW79" s="347" t="e">
        <f>LW78</f>
        <v>#N/A</v>
      </c>
      <c r="LX79" s="463" t="e">
        <v>#N/A</v>
      </c>
      <c r="LY79" s="463" t="e">
        <v>#N/A</v>
      </c>
      <c r="LZ79" s="391"/>
      <c r="MA79" s="310"/>
      <c r="MB79" s="310"/>
      <c r="MC79" s="347" t="e">
        <f>LC63</f>
        <v>#N/A</v>
      </c>
      <c r="MD79" s="347" t="e">
        <f>MD78</f>
        <v>#N/A</v>
      </c>
      <c r="ME79" s="463" t="e">
        <v>#N/A</v>
      </c>
      <c r="MF79" s="463" t="e">
        <v>#N/A</v>
      </c>
      <c r="MG79" s="391"/>
      <c r="MH79" s="310"/>
      <c r="MI79" s="310"/>
      <c r="MJ79" s="238" t="e">
        <v>#N/A</v>
      </c>
      <c r="MK79" s="238" t="e">
        <v>#N/A</v>
      </c>
      <c r="ML79" s="228" t="e">
        <v>#N/A</v>
      </c>
      <c r="MM79" s="228" t="e">
        <v>#N/A</v>
      </c>
      <c r="MN79" s="391"/>
      <c r="MO79" s="310"/>
      <c r="MP79" s="311" t="e">
        <v>#N/A</v>
      </c>
      <c r="MQ79" s="311" t="e">
        <v>#N/A</v>
      </c>
      <c r="MR79" s="311" t="e">
        <v>#N/A</v>
      </c>
      <c r="MS79" s="311" t="e">
        <v>#N/A</v>
      </c>
      <c r="MT79" s="310"/>
      <c r="MU79" s="297" t="e">
        <f>MU76</f>
        <v>#N/A</v>
      </c>
      <c r="MV79" s="297" t="e">
        <f>MV78</f>
        <v>#N/A</v>
      </c>
      <c r="MW79" s="280" t="e">
        <f>IF(MY79=TRUE,MW76,#N/A)</f>
        <v>#N/A</v>
      </c>
      <c r="MX79" s="280" t="e">
        <f>IF(MY79=TRUE,MX76-0.15,#N/A)</f>
        <v>#N/A</v>
      </c>
      <c r="MY79" s="338" t="b">
        <f>AND(MY54=TRUE,$D$63&gt;=MZ42)</f>
        <v>0</v>
      </c>
      <c r="MZ79" s="310"/>
      <c r="NA79" s="310"/>
      <c r="NB79" s="310"/>
      <c r="NC79" s="310"/>
      <c r="ND79" s="310"/>
      <c r="NE79" s="310"/>
      <c r="NF79" s="310"/>
      <c r="NG79" s="310"/>
      <c r="NH79" s="310"/>
      <c r="NI79" s="310"/>
      <c r="NJ79" s="310"/>
      <c r="NK79" s="310"/>
      <c r="NL79" s="310"/>
      <c r="NM79" s="310"/>
      <c r="NN79" s="310"/>
      <c r="NO79" s="310"/>
      <c r="NP79" s="310"/>
      <c r="NQ79" s="310"/>
      <c r="NR79" s="310"/>
      <c r="NS79" s="310"/>
      <c r="NT79" s="310"/>
      <c r="NU79" s="310"/>
      <c r="NV79" s="310"/>
      <c r="NW79" s="310"/>
      <c r="NX79" s="310"/>
      <c r="NY79" s="310"/>
      <c r="NZ79" s="310"/>
      <c r="OA79" s="310"/>
      <c r="OB79" s="310"/>
      <c r="OC79" s="310"/>
      <c r="OD79" s="310"/>
      <c r="OE79" s="310"/>
      <c r="OF79" s="310"/>
      <c r="OG79" s="310"/>
      <c r="OH79" s="310"/>
      <c r="OI79" s="310"/>
      <c r="OJ79" s="310"/>
      <c r="OK79" s="310"/>
      <c r="OL79" s="310"/>
      <c r="OM79" s="310"/>
      <c r="ON79" s="310"/>
      <c r="OO79" s="310"/>
      <c r="OP79" s="310"/>
      <c r="OQ79" s="310"/>
      <c r="OR79" s="310"/>
      <c r="OS79" s="310"/>
      <c r="OT79" s="310"/>
      <c r="OU79" s="310"/>
      <c r="OV79" s="310"/>
      <c r="OW79" s="310"/>
      <c r="OX79" s="310"/>
      <c r="OY79" s="310"/>
      <c r="OZ79" s="310"/>
      <c r="PA79" s="310"/>
      <c r="PB79" s="310"/>
      <c r="PC79" s="310"/>
      <c r="PD79" s="310"/>
      <c r="PE79" s="310"/>
      <c r="PF79" s="310"/>
      <c r="PG79" s="310"/>
      <c r="PH79" s="310"/>
      <c r="PI79" s="310"/>
      <c r="PJ79" s="310"/>
      <c r="PK79" s="310"/>
      <c r="PL79" s="310"/>
      <c r="PM79" s="310"/>
      <c r="PN79" s="310"/>
      <c r="PO79" s="310"/>
      <c r="PP79" s="310"/>
      <c r="PQ79" s="310"/>
      <c r="PR79" s="310"/>
      <c r="PS79" s="342">
        <v>65</v>
      </c>
      <c r="PT79" s="261" t="e">
        <f t="shared" ref="PT79:PT142" si="163">IF($PU$9=TRUE,$PT$11+$PT$12*COS(PS79*PI()/$PU$13),#N/A)</f>
        <v>#N/A</v>
      </c>
      <c r="PU79" s="261" t="e">
        <f t="shared" ref="PU79:PU142" si="164">IF($PU$9=TRUE,$PU$11+$PT$12*SIN(PS79*PI()/$PU$13),#N/A)</f>
        <v>#N/A</v>
      </c>
      <c r="PV79" s="310"/>
      <c r="PW79" s="310"/>
      <c r="PX79" s="310"/>
      <c r="PY79" s="310"/>
      <c r="PZ79" s="310"/>
      <c r="QA79" s="310"/>
      <c r="QB79" s="310"/>
      <c r="QC79" s="310"/>
      <c r="QD79" s="310"/>
      <c r="QE79" s="310"/>
      <c r="QF79" s="310"/>
      <c r="QG79" s="310"/>
      <c r="QH79" s="310"/>
      <c r="QI79" s="310"/>
      <c r="QJ79" s="310"/>
      <c r="QK79" s="310"/>
      <c r="QL79" s="310"/>
      <c r="QM79" s="310"/>
      <c r="QN79" s="310"/>
      <c r="QO79" s="310"/>
      <c r="QP79" s="310"/>
      <c r="QQ79" s="310"/>
      <c r="QR79" s="310"/>
      <c r="QS79" s="310"/>
      <c r="QT79" s="310"/>
      <c r="QU79" s="310"/>
      <c r="QV79" s="310"/>
      <c r="QW79" s="310"/>
      <c r="QX79" s="310"/>
      <c r="QY79" s="310"/>
      <c r="QZ79" s="310"/>
      <c r="RA79" s="310"/>
      <c r="RB79" s="310"/>
      <c r="RC79" s="310"/>
      <c r="RD79" s="310"/>
      <c r="RE79" s="310"/>
      <c r="RF79" s="310"/>
      <c r="RG79" s="310"/>
      <c r="RH79" s="310"/>
      <c r="RI79" s="310"/>
      <c r="RJ79" s="310"/>
      <c r="RK79" s="310"/>
      <c r="RL79" s="310"/>
      <c r="RM79" s="310"/>
      <c r="RN79" s="310"/>
      <c r="RO79" s="310"/>
      <c r="RP79" s="310"/>
      <c r="RQ79" s="310"/>
      <c r="RR79" s="310"/>
      <c r="RS79" s="310"/>
      <c r="RT79" s="310"/>
      <c r="RU79" s="310"/>
      <c r="RV79" s="310"/>
      <c r="RW79" s="310"/>
      <c r="RX79" s="310"/>
      <c r="RY79" s="310"/>
      <c r="RZ79" s="310"/>
      <c r="SA79" s="318" t="b">
        <v>0</v>
      </c>
      <c r="SB79" s="313" t="str">
        <f>IF(SB80=TRUE,SA80,SA81)</f>
        <v>↑</v>
      </c>
      <c r="SC79" s="313" t="s">
        <v>50</v>
      </c>
      <c r="SD79" s="350" t="s">
        <v>48</v>
      </c>
      <c r="SE79" s="350" t="s">
        <v>49</v>
      </c>
      <c r="SF79" s="313" t="s">
        <v>50</v>
      </c>
      <c r="SG79" s="310"/>
      <c r="SH79" s="310"/>
      <c r="SI79" s="310"/>
      <c r="SJ79" s="310"/>
      <c r="SK79" s="310"/>
      <c r="SL79" s="310"/>
      <c r="SM79" s="310"/>
      <c r="SN79" s="310"/>
      <c r="SO79" s="220"/>
      <c r="SP79" s="220"/>
      <c r="SQ79" s="220"/>
      <c r="SR79" s="220"/>
      <c r="SS79" s="220"/>
      <c r="ST79" s="220"/>
      <c r="SU79" s="220"/>
      <c r="SV79" s="220"/>
      <c r="SW79" s="220"/>
      <c r="SX79" s="220"/>
      <c r="SY79" s="220"/>
      <c r="SZ79" s="220"/>
      <c r="TA79" s="220"/>
      <c r="TB79" s="220"/>
      <c r="TC79" s="220"/>
      <c r="TD79" s="220"/>
      <c r="TE79" s="220"/>
      <c r="TF79" s="220"/>
      <c r="TG79" s="220"/>
      <c r="TH79" s="220"/>
      <c r="TI79" s="220"/>
      <c r="TJ79" s="220"/>
      <c r="TK79" s="220"/>
      <c r="TL79" s="220"/>
      <c r="TM79" s="220"/>
      <c r="TN79" s="220"/>
      <c r="TO79" s="220"/>
      <c r="TP79" s="220"/>
      <c r="TQ79" s="220"/>
      <c r="TR79" s="220"/>
      <c r="TS79" s="220"/>
      <c r="TT79" s="220"/>
      <c r="TU79" s="220"/>
      <c r="TV79" s="220"/>
      <c r="TW79" s="220"/>
      <c r="TX79" s="220"/>
      <c r="TY79" s="220"/>
      <c r="TZ79" s="220"/>
      <c r="UA79" s="220"/>
      <c r="UB79" s="220"/>
      <c r="UC79" s="220"/>
      <c r="UD79" s="220"/>
      <c r="UE79" s="220"/>
      <c r="UF79" s="220"/>
      <c r="UG79" s="220"/>
      <c r="UH79" s="220"/>
      <c r="UI79" s="220"/>
      <c r="UJ79" s="220"/>
      <c r="UK79" s="216"/>
      <c r="UL79" s="216"/>
      <c r="UM79" s="216"/>
      <c r="UN79" s="216"/>
      <c r="UO79" s="216"/>
      <c r="UP79" s="216"/>
      <c r="UQ79" s="216"/>
      <c r="UR79" s="216"/>
      <c r="US79" s="216"/>
      <c r="UT79" s="216"/>
      <c r="UU79" s="216"/>
      <c r="UV79" s="216"/>
      <c r="UW79" s="216"/>
      <c r="UX79" s="216"/>
      <c r="UY79" s="216"/>
      <c r="UZ79" s="216"/>
      <c r="VA79" s="216"/>
    </row>
    <row r="80" spans="1:573" s="4" customFormat="1" ht="27" x14ac:dyDescent="0.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5"/>
      <c r="AM80" s="45"/>
      <c r="AN80" s="45"/>
      <c r="AO80" s="45"/>
      <c r="AP80" s="310"/>
      <c r="AQ80" s="310"/>
      <c r="AR80" s="310"/>
      <c r="AS80" s="310"/>
      <c r="AT80" s="310"/>
      <c r="AU80" s="310"/>
      <c r="AV80" s="310"/>
      <c r="AW80" s="310"/>
      <c r="AX80" s="310"/>
      <c r="AY80" s="310"/>
      <c r="AZ80" s="310"/>
      <c r="BA80" s="310"/>
      <c r="BB80" s="231">
        <f t="shared" si="130"/>
        <v>0.65</v>
      </c>
      <c r="BC80" s="231">
        <f t="shared" si="131"/>
        <v>-1</v>
      </c>
      <c r="BD80" s="338" t="b">
        <f t="shared" si="132"/>
        <v>1</v>
      </c>
      <c r="BE80" s="242">
        <f t="shared" si="133"/>
        <v>0.65</v>
      </c>
      <c r="BF80" s="242">
        <f t="shared" si="134"/>
        <v>-1</v>
      </c>
      <c r="BG80" s="338" t="b">
        <f t="shared" si="135"/>
        <v>0</v>
      </c>
      <c r="BH80" s="242" t="e">
        <f t="shared" si="136"/>
        <v>#N/A</v>
      </c>
      <c r="BI80" s="242" t="e">
        <f t="shared" si="137"/>
        <v>#N/A</v>
      </c>
      <c r="BJ80" s="483">
        <v>36</v>
      </c>
      <c r="BK80" s="310"/>
      <c r="BL80" s="310"/>
      <c r="BM80" s="310"/>
      <c r="BN80" s="310"/>
      <c r="BO80" s="310"/>
      <c r="BP80" s="310"/>
      <c r="BQ80" s="310"/>
      <c r="BR80" s="310"/>
      <c r="BS80" s="310"/>
      <c r="BT80" s="310"/>
      <c r="BU80" s="310"/>
      <c r="BV80" s="310"/>
      <c r="BW80" s="310"/>
      <c r="BX80" s="310"/>
      <c r="BY80" s="310"/>
      <c r="BZ80" s="310"/>
      <c r="CA80" s="310"/>
      <c r="CB80" s="310"/>
      <c r="CC80" s="310"/>
      <c r="CD80" s="228" t="e">
        <v>#N/A</v>
      </c>
      <c r="CE80" s="228" t="e">
        <v>#N/A</v>
      </c>
      <c r="CF80" s="310"/>
      <c r="CG80" s="310"/>
      <c r="CH80" s="310"/>
      <c r="CI80" s="310"/>
      <c r="CJ80" s="310"/>
      <c r="CK80" s="310"/>
      <c r="CL80" s="310"/>
      <c r="CM80" s="310"/>
      <c r="CN80" s="310"/>
      <c r="CO80" s="310"/>
      <c r="CP80" s="310"/>
      <c r="CQ80" s="310"/>
      <c r="CR80" s="310"/>
      <c r="CS80" s="310"/>
      <c r="CT80" s="310"/>
      <c r="CU80" s="310"/>
      <c r="CV80" s="310"/>
      <c r="CW80" s="310"/>
      <c r="CX80" s="310"/>
      <c r="CY80" s="310"/>
      <c r="CZ80" s="310"/>
      <c r="DA80" s="310"/>
      <c r="DB80" s="310"/>
      <c r="DC80" s="280" t="e">
        <f>IF(AND($DD$50=TRUE,$D$63&gt;=DB79),$DC$53,#N/A)</f>
        <v>#N/A</v>
      </c>
      <c r="DD80" s="280" t="e">
        <f>DD79</f>
        <v>#N/A</v>
      </c>
      <c r="DE80" s="310"/>
      <c r="DF80" s="494" t="e">
        <f>DF79+0.2</f>
        <v>#N/A</v>
      </c>
      <c r="DG80" s="281" t="e">
        <f>DG76</f>
        <v>#N/A</v>
      </c>
      <c r="DH80" s="310"/>
      <c r="DI80" s="310"/>
      <c r="DJ80" s="310"/>
      <c r="DK80" s="310"/>
      <c r="DL80" s="281" t="e">
        <f>IF(DM72=TRUE,DF13+(DF14-DF13)/1.5,#N/A)</f>
        <v>#N/A</v>
      </c>
      <c r="DM80" s="281" t="e">
        <f>IF(DM72=TRUE,DG14,#N/A)</f>
        <v>#N/A</v>
      </c>
      <c r="DN80" s="310"/>
      <c r="DO80" s="310"/>
      <c r="DP80" s="310"/>
      <c r="DQ80" s="310"/>
      <c r="DR80" s="338">
        <f t="shared" si="138"/>
        <v>0.95</v>
      </c>
      <c r="DS80" s="338">
        <f t="shared" si="138"/>
        <v>-0.95</v>
      </c>
      <c r="DT80" s="310"/>
      <c r="DU80" s="230">
        <f>DU79</f>
        <v>0.95</v>
      </c>
      <c r="DV80" s="230">
        <f>DV77</f>
        <v>1</v>
      </c>
      <c r="DW80" s="300" t="e">
        <v>#N/A</v>
      </c>
      <c r="DX80" s="300" t="e">
        <v>#N/A</v>
      </c>
      <c r="DY80" s="310"/>
      <c r="DZ80" s="310"/>
      <c r="EA80" s="310"/>
      <c r="EB80" s="310"/>
      <c r="EC80" s="310"/>
      <c r="ED80" s="310"/>
      <c r="EE80" s="310"/>
      <c r="EF80" s="310"/>
      <c r="EG80" s="310"/>
      <c r="EH80" s="310"/>
      <c r="EI80" s="338">
        <v>9</v>
      </c>
      <c r="EJ80" s="338" t="b">
        <f t="shared" si="127"/>
        <v>0</v>
      </c>
      <c r="EK80" s="281" t="e">
        <f t="shared" si="128"/>
        <v>#N/A</v>
      </c>
      <c r="EL80" s="281" t="e">
        <f t="shared" si="129"/>
        <v>#N/A</v>
      </c>
      <c r="EM80" s="310"/>
      <c r="EN80" s="310" t="s">
        <v>191</v>
      </c>
      <c r="EO80" s="310"/>
      <c r="EP80" s="310"/>
      <c r="EQ80" s="310"/>
      <c r="ER80" s="310"/>
      <c r="ES80" s="310"/>
      <c r="ET80" s="310"/>
      <c r="EU80" s="310"/>
      <c r="EV80" s="310"/>
      <c r="EW80" s="310"/>
      <c r="EX80" s="310"/>
      <c r="EY80" s="310"/>
      <c r="EZ80" s="310"/>
      <c r="FA80" s="310"/>
      <c r="FB80" s="310"/>
      <c r="FC80" s="310"/>
      <c r="FD80" s="310"/>
      <c r="FE80" s="310"/>
      <c r="FF80" s="310"/>
      <c r="FG80" s="310"/>
      <c r="FH80" s="310"/>
      <c r="FI80" s="310"/>
      <c r="FJ80" s="310"/>
      <c r="FK80" s="310"/>
      <c r="FL80" s="310"/>
      <c r="FM80" s="310"/>
      <c r="FN80" s="310"/>
      <c r="FO80" s="310"/>
      <c r="FP80" s="310"/>
      <c r="FQ80" s="310"/>
      <c r="FR80" s="310"/>
      <c r="FS80" s="310"/>
      <c r="FT80" s="310"/>
      <c r="FU80" s="310"/>
      <c r="FV80" s="310"/>
      <c r="FW80" s="310"/>
      <c r="FX80" s="310"/>
      <c r="FY80" s="310"/>
      <c r="FZ80" s="310"/>
      <c r="GA80" s="310"/>
      <c r="GB80" s="310"/>
      <c r="GC80" s="310"/>
      <c r="GD80" s="310"/>
      <c r="GE80" s="310"/>
      <c r="GF80" s="310"/>
      <c r="GG80" s="310"/>
      <c r="GH80" s="310"/>
      <c r="GI80" s="310"/>
      <c r="GJ80" s="310"/>
      <c r="GK80" s="310"/>
      <c r="GL80" s="310"/>
      <c r="GM80" s="310"/>
      <c r="GN80" s="310"/>
      <c r="GO80" s="310"/>
      <c r="GP80" s="310"/>
      <c r="GQ80" s="310"/>
      <c r="GR80" s="310"/>
      <c r="GS80" s="310"/>
      <c r="GT80" s="310"/>
      <c r="GU80" s="310"/>
      <c r="GV80" s="310"/>
      <c r="GW80" s="310"/>
      <c r="GX80" s="310"/>
      <c r="GY80" s="310"/>
      <c r="GZ80" s="310"/>
      <c r="HA80" s="310"/>
      <c r="HB80" s="310"/>
      <c r="HC80" s="310"/>
      <c r="HD80" s="310"/>
      <c r="HE80" s="310"/>
      <c r="HF80" s="310"/>
      <c r="HG80" s="310"/>
      <c r="HH80" s="310"/>
      <c r="HI80" s="310"/>
      <c r="HJ80" s="310"/>
      <c r="HK80" s="342">
        <v>66</v>
      </c>
      <c r="HL80" s="235" t="e">
        <f t="shared" si="139"/>
        <v>#N/A</v>
      </c>
      <c r="HM80" s="235" t="e">
        <f t="shared" si="140"/>
        <v>#N/A</v>
      </c>
      <c r="HN80" s="310"/>
      <c r="HO80" s="310"/>
      <c r="HP80" s="235" t="e">
        <f t="shared" si="141"/>
        <v>#N/A</v>
      </c>
      <c r="HQ80" s="235" t="e">
        <f t="shared" si="142"/>
        <v>#N/A</v>
      </c>
      <c r="HR80" s="310"/>
      <c r="HS80" s="310"/>
      <c r="HT80" s="235" t="e">
        <f t="shared" si="143"/>
        <v>#N/A</v>
      </c>
      <c r="HU80" s="235" t="e">
        <f t="shared" si="144"/>
        <v>#N/A</v>
      </c>
      <c r="HV80" s="310"/>
      <c r="HW80" s="310"/>
      <c r="HX80" s="235" t="e">
        <f t="shared" si="145"/>
        <v>#N/A</v>
      </c>
      <c r="HY80" s="235" t="e">
        <f t="shared" si="146"/>
        <v>#N/A</v>
      </c>
      <c r="HZ80" s="310"/>
      <c r="IA80" s="310"/>
      <c r="IB80" s="235" t="e">
        <f t="shared" si="147"/>
        <v>#N/A</v>
      </c>
      <c r="IC80" s="235" t="e">
        <f t="shared" si="148"/>
        <v>#N/A</v>
      </c>
      <c r="ID80" s="310"/>
      <c r="IE80" s="342">
        <v>66</v>
      </c>
      <c r="IF80" s="262" t="e">
        <f t="shared" si="149"/>
        <v>#N/A</v>
      </c>
      <c r="IG80" s="262" t="e">
        <f t="shared" si="150"/>
        <v>#N/A</v>
      </c>
      <c r="IH80" s="390"/>
      <c r="II80" s="390"/>
      <c r="IJ80" s="262" t="e">
        <f t="shared" si="151"/>
        <v>#N/A</v>
      </c>
      <c r="IK80" s="262" t="e">
        <f t="shared" si="152"/>
        <v>#N/A</v>
      </c>
      <c r="IL80" s="390"/>
      <c r="IM80" s="390"/>
      <c r="IN80" s="262" t="e">
        <f t="shared" si="153"/>
        <v>#N/A</v>
      </c>
      <c r="IO80" s="262" t="e">
        <f t="shared" si="154"/>
        <v>#N/A</v>
      </c>
      <c r="IP80" s="390"/>
      <c r="IQ80" s="390"/>
      <c r="IR80" s="262" t="e">
        <f t="shared" si="155"/>
        <v>#N/A</v>
      </c>
      <c r="IS80" s="262" t="e">
        <f t="shared" si="156"/>
        <v>#N/A</v>
      </c>
      <c r="IT80" s="390"/>
      <c r="IU80" s="390"/>
      <c r="IV80" s="262" t="e">
        <f t="shared" si="157"/>
        <v>#N/A</v>
      </c>
      <c r="IW80" s="262" t="e">
        <f t="shared" si="158"/>
        <v>#N/A</v>
      </c>
      <c r="IX80" s="310"/>
      <c r="IY80" s="342" t="s">
        <v>355</v>
      </c>
      <c r="IZ80" s="342" t="s">
        <v>48</v>
      </c>
      <c r="JA80" s="342" t="s">
        <v>49</v>
      </c>
      <c r="JB80" s="313" t="s">
        <v>144</v>
      </c>
      <c r="JC80" s="228" t="e">
        <f>IZ81+$IZ$62/2</f>
        <v>#N/A</v>
      </c>
      <c r="JD80" s="228" t="e">
        <f>JD79</f>
        <v>#N/A</v>
      </c>
      <c r="JE80" s="310"/>
      <c r="JF80" s="342" t="s">
        <v>355</v>
      </c>
      <c r="JG80" s="342" t="s">
        <v>48</v>
      </c>
      <c r="JH80" s="342" t="s">
        <v>49</v>
      </c>
      <c r="JI80" s="313" t="s">
        <v>144</v>
      </c>
      <c r="JJ80" s="242" t="e">
        <f>JG81+$IZ$62/2</f>
        <v>#N/A</v>
      </c>
      <c r="JK80" s="242" t="e">
        <f>JK79</f>
        <v>#N/A</v>
      </c>
      <c r="JL80" s="310"/>
      <c r="JM80" s="310"/>
      <c r="JN80" s="261" t="e">
        <f t="shared" si="159"/>
        <v>#N/A</v>
      </c>
      <c r="JO80" s="261" t="e">
        <f t="shared" si="160"/>
        <v>#N/A</v>
      </c>
      <c r="JP80" s="310"/>
      <c r="JQ80" s="310"/>
      <c r="JR80" s="261" t="e">
        <f t="shared" ref="JR80:JR143" si="165">IF($JS$9=TRUE,$JR$11+$JR$12*COS(IE80*PI()/$JS$13),#N/A)</f>
        <v>#N/A</v>
      </c>
      <c r="JS80" s="261" t="e">
        <f t="shared" ref="JS80:JS143" si="166">IF($JS$9=TRUE,$JS$11+$JR$12*SIN(IE80*PI()/$JS$13),#N/A)</f>
        <v>#N/A</v>
      </c>
      <c r="JT80" s="310"/>
      <c r="JU80" s="310"/>
      <c r="JV80" s="261" t="e">
        <f t="shared" si="161"/>
        <v>#N/A</v>
      </c>
      <c r="JW80" s="261" t="e">
        <f t="shared" si="162"/>
        <v>#N/A</v>
      </c>
      <c r="JX80" s="310"/>
      <c r="JY80" s="311"/>
      <c r="JZ80" s="311"/>
      <c r="KA80" s="311"/>
      <c r="KB80" s="311"/>
      <c r="KC80" s="264" t="e">
        <v>#N/A</v>
      </c>
      <c r="KD80" s="264" t="e">
        <v>#N/A</v>
      </c>
      <c r="KE80" s="310"/>
      <c r="KF80" s="310"/>
      <c r="KG80" s="310"/>
      <c r="KH80" s="310"/>
      <c r="KI80" s="310"/>
      <c r="KJ80" s="310"/>
      <c r="KK80" s="310"/>
      <c r="KL80" s="310"/>
      <c r="KM80" s="310"/>
      <c r="KN80" s="310"/>
      <c r="KO80" s="310"/>
      <c r="KP80" s="310"/>
      <c r="KQ80" s="310"/>
      <c r="KR80" s="310"/>
      <c r="KS80" s="310"/>
      <c r="KT80" s="310"/>
      <c r="KU80" s="310"/>
      <c r="KV80" s="310"/>
      <c r="KW80" s="310"/>
      <c r="KX80" s="310"/>
      <c r="KY80" s="310"/>
      <c r="KZ80" s="310"/>
      <c r="LA80" s="310"/>
      <c r="LB80" s="310"/>
      <c r="LC80" s="310"/>
      <c r="LD80" s="310"/>
      <c r="LE80" s="310"/>
      <c r="LF80" s="310"/>
      <c r="LG80" s="310"/>
      <c r="LH80" s="463" t="e">
        <f>LC60+LH49</f>
        <v>#N/A</v>
      </c>
      <c r="LI80" s="463" t="e">
        <f>LI79</f>
        <v>#N/A</v>
      </c>
      <c r="LJ80" s="463" t="e">
        <v>#N/A</v>
      </c>
      <c r="LK80" s="463" t="e">
        <v>#N/A</v>
      </c>
      <c r="LL80" s="463"/>
      <c r="LM80" s="310"/>
      <c r="LN80" s="310"/>
      <c r="LO80" s="391" t="e">
        <f>LC63+LO49</f>
        <v>#N/A</v>
      </c>
      <c r="LP80" s="391" t="e">
        <f>LP79</f>
        <v>#N/A</v>
      </c>
      <c r="LQ80" s="463" t="e">
        <v>#N/A</v>
      </c>
      <c r="LR80" s="463" t="e">
        <v>#N/A</v>
      </c>
      <c r="LS80" s="391"/>
      <c r="LT80" s="310"/>
      <c r="LU80" s="310"/>
      <c r="LV80" s="391" t="e">
        <f>LV79</f>
        <v>#N/A</v>
      </c>
      <c r="LW80" s="391" t="e">
        <f>LD64-LV49</f>
        <v>#N/A</v>
      </c>
      <c r="LX80" s="463" t="e">
        <v>#N/A</v>
      </c>
      <c r="LY80" s="463" t="e">
        <v>#N/A</v>
      </c>
      <c r="LZ80" s="391"/>
      <c r="MA80" s="310"/>
      <c r="MB80" s="310"/>
      <c r="MC80" s="391" t="e">
        <f>MC79</f>
        <v>#N/A</v>
      </c>
      <c r="MD80" s="391" t="e">
        <f>LD61</f>
        <v>#N/A</v>
      </c>
      <c r="ME80" s="463" t="e">
        <v>#N/A</v>
      </c>
      <c r="MF80" s="463" t="e">
        <v>#N/A</v>
      </c>
      <c r="MG80" s="391"/>
      <c r="MH80" s="310"/>
      <c r="MI80" s="310"/>
      <c r="MJ80" s="239" t="e">
        <v>#N/A</v>
      </c>
      <c r="MK80" s="239" t="e">
        <v>#N/A</v>
      </c>
      <c r="ML80" s="228" t="e">
        <v>#N/A</v>
      </c>
      <c r="MM80" s="228" t="e">
        <v>#N/A</v>
      </c>
      <c r="MN80" s="391"/>
      <c r="MO80" s="310"/>
      <c r="MP80" s="311" t="e">
        <v>#N/A</v>
      </c>
      <c r="MQ80" s="311" t="e">
        <v>#N/A</v>
      </c>
      <c r="MR80" s="311" t="e">
        <v>#N/A</v>
      </c>
      <c r="MS80" s="311" t="e">
        <v>#N/A</v>
      </c>
      <c r="MT80" s="310"/>
      <c r="MU80" s="292" t="e">
        <v>#N/A</v>
      </c>
      <c r="MV80" s="292" t="e">
        <v>#N/A</v>
      </c>
      <c r="MW80" s="280" t="e">
        <f>IF(MY79=TRUE,MW77,#N/A)</f>
        <v>#N/A</v>
      </c>
      <c r="MX80" s="280" t="e">
        <f>MX79</f>
        <v>#N/A</v>
      </c>
      <c r="MY80" s="338"/>
      <c r="MZ80" s="310"/>
      <c r="NA80" s="310"/>
      <c r="NB80" s="310"/>
      <c r="NC80" s="310"/>
      <c r="ND80" s="310"/>
      <c r="NE80" s="310"/>
      <c r="NF80" s="310"/>
      <c r="NG80" s="310"/>
      <c r="NH80" s="310"/>
      <c r="NI80" s="310"/>
      <c r="NJ80" s="310"/>
      <c r="NK80" s="310"/>
      <c r="NL80" s="310"/>
      <c r="NM80" s="310"/>
      <c r="NN80" s="310"/>
      <c r="NO80" s="310"/>
      <c r="NP80" s="310"/>
      <c r="NQ80" s="310"/>
      <c r="NR80" s="310"/>
      <c r="NS80" s="310"/>
      <c r="NT80" s="310"/>
      <c r="NU80" s="310"/>
      <c r="NV80" s="310"/>
      <c r="NW80" s="310"/>
      <c r="NX80" s="310"/>
      <c r="NY80" s="310"/>
      <c r="NZ80" s="310"/>
      <c r="OA80" s="310"/>
      <c r="OB80" s="310"/>
      <c r="OC80" s="310"/>
      <c r="OD80" s="310"/>
      <c r="OE80" s="310"/>
      <c r="OF80" s="310"/>
      <c r="OG80" s="310"/>
      <c r="OH80" s="310"/>
      <c r="OI80" s="310"/>
      <c r="OJ80" s="310"/>
      <c r="OK80" s="310"/>
      <c r="OL80" s="310"/>
      <c r="OM80" s="310"/>
      <c r="ON80" s="310"/>
      <c r="OO80" s="310"/>
      <c r="OP80" s="310"/>
      <c r="OQ80" s="310"/>
      <c r="OR80" s="310"/>
      <c r="OS80" s="310"/>
      <c r="OT80" s="310"/>
      <c r="OU80" s="310"/>
      <c r="OV80" s="310"/>
      <c r="OW80" s="310"/>
      <c r="OX80" s="310"/>
      <c r="OY80" s="310"/>
      <c r="OZ80" s="310"/>
      <c r="PA80" s="310"/>
      <c r="PB80" s="310"/>
      <c r="PC80" s="310"/>
      <c r="PD80" s="310"/>
      <c r="PE80" s="310"/>
      <c r="PF80" s="310"/>
      <c r="PG80" s="310"/>
      <c r="PH80" s="310"/>
      <c r="PI80" s="310"/>
      <c r="PJ80" s="310"/>
      <c r="PK80" s="310"/>
      <c r="PL80" s="310"/>
      <c r="PM80" s="310"/>
      <c r="PN80" s="310"/>
      <c r="PO80" s="310"/>
      <c r="PP80" s="310"/>
      <c r="PQ80" s="310"/>
      <c r="PR80" s="310"/>
      <c r="PS80" s="342">
        <v>66</v>
      </c>
      <c r="PT80" s="261" t="e">
        <f t="shared" si="163"/>
        <v>#N/A</v>
      </c>
      <c r="PU80" s="261" t="e">
        <f t="shared" si="164"/>
        <v>#N/A</v>
      </c>
      <c r="PV80" s="310"/>
      <c r="PW80" s="310"/>
      <c r="PX80" s="310"/>
      <c r="PY80" s="310"/>
      <c r="PZ80" s="310"/>
      <c r="QA80" s="310"/>
      <c r="QB80" s="310"/>
      <c r="QC80" s="310"/>
      <c r="QD80" s="310"/>
      <c r="QE80" s="310"/>
      <c r="QF80" s="310"/>
      <c r="QG80" s="310"/>
      <c r="QH80" s="310"/>
      <c r="QI80" s="310"/>
      <c r="QJ80" s="310"/>
      <c r="QK80" s="310"/>
      <c r="QL80" s="310"/>
      <c r="QM80" s="310"/>
      <c r="QN80" s="310"/>
      <c r="QO80" s="310"/>
      <c r="QP80" s="310"/>
      <c r="QQ80" s="310"/>
      <c r="QR80" s="310"/>
      <c r="QS80" s="310"/>
      <c r="QT80" s="310"/>
      <c r="QU80" s="310"/>
      <c r="QV80" s="310"/>
      <c r="QW80" s="310"/>
      <c r="QX80" s="310"/>
      <c r="QY80" s="310"/>
      <c r="QZ80" s="310"/>
      <c r="RA80" s="310"/>
      <c r="RB80" s="310"/>
      <c r="RC80" s="310"/>
      <c r="RD80" s="310"/>
      <c r="RE80" s="310"/>
      <c r="RF80" s="310"/>
      <c r="RG80" s="310"/>
      <c r="RH80" s="310"/>
      <c r="RI80" s="310"/>
      <c r="RJ80" s="310"/>
      <c r="RK80" s="310"/>
      <c r="RL80" s="310"/>
      <c r="RM80" s="310"/>
      <c r="RN80" s="310"/>
      <c r="RO80" s="310"/>
      <c r="RP80" s="310"/>
      <c r="RQ80" s="310"/>
      <c r="RR80" s="310"/>
      <c r="RS80" s="310"/>
      <c r="RT80" s="310"/>
      <c r="RU80" s="310"/>
      <c r="RV80" s="310"/>
      <c r="RW80" s="310"/>
      <c r="RX80" s="310"/>
      <c r="RY80" s="310"/>
      <c r="RZ80" s="310"/>
      <c r="SA80" s="313" t="s">
        <v>578</v>
      </c>
      <c r="SB80" s="318" t="b">
        <f>IF(AND(CP13=TRUE,J36&lt;J24),TRUE,FALSE)</f>
        <v>0</v>
      </c>
      <c r="SC80" s="441" t="s">
        <v>566</v>
      </c>
      <c r="SD80" s="249" t="e">
        <f>IF($SA$79=TRUE,IF(SB80=TRUE,$M$11,#N/A),#N/A)</f>
        <v>#N/A</v>
      </c>
      <c r="SE80" s="249" t="e">
        <f>IF($SA$79=TRUE,IF(SB80=TRUE,$M$10,#N/A),#N/A)</f>
        <v>#N/A</v>
      </c>
      <c r="SF80" s="441" t="e">
        <f>IF($SA$79=TRUE,IF(SB80=TRUE,SC80,#N/A),#N/A)</f>
        <v>#N/A</v>
      </c>
      <c r="SG80" s="310"/>
      <c r="SH80" s="310"/>
      <c r="SI80" s="310"/>
      <c r="SJ80" s="310"/>
      <c r="SK80" s="310"/>
      <c r="SL80" s="310"/>
      <c r="SM80" s="310"/>
      <c r="SN80" s="310"/>
      <c r="SO80" s="220"/>
      <c r="SP80" s="220"/>
      <c r="SQ80" s="220"/>
      <c r="SR80" s="220"/>
      <c r="SS80" s="220"/>
      <c r="ST80" s="220"/>
      <c r="SU80" s="220"/>
      <c r="SV80" s="220"/>
      <c r="SW80" s="220"/>
      <c r="SX80" s="220"/>
      <c r="SY80" s="220"/>
      <c r="SZ80" s="220"/>
      <c r="TA80" s="220"/>
      <c r="TB80" s="220"/>
      <c r="TC80" s="220"/>
      <c r="TD80" s="220"/>
      <c r="TE80" s="220"/>
      <c r="TF80" s="220"/>
      <c r="TG80" s="220"/>
      <c r="TH80" s="220"/>
      <c r="TI80" s="220"/>
      <c r="TJ80" s="220"/>
      <c r="TK80" s="220"/>
      <c r="TL80" s="220"/>
      <c r="TM80" s="220"/>
      <c r="TN80" s="220"/>
      <c r="TO80" s="220"/>
      <c r="TP80" s="220"/>
      <c r="TQ80" s="220"/>
      <c r="TR80" s="220"/>
      <c r="TS80" s="220"/>
      <c r="TT80" s="220"/>
      <c r="TU80" s="220"/>
      <c r="TV80" s="220"/>
      <c r="TW80" s="220"/>
      <c r="TX80" s="220"/>
      <c r="TY80" s="220"/>
      <c r="TZ80" s="220"/>
      <c r="UA80" s="220"/>
      <c r="UB80" s="220"/>
      <c r="UC80" s="220"/>
      <c r="UD80" s="220"/>
      <c r="UE80" s="220"/>
      <c r="UF80" s="220"/>
      <c r="UG80" s="220"/>
      <c r="UH80" s="220"/>
      <c r="UI80" s="220"/>
      <c r="UJ80" s="220"/>
      <c r="UK80" s="216"/>
      <c r="UL80" s="216"/>
      <c r="UM80" s="216"/>
      <c r="UN80" s="216"/>
      <c r="UO80" s="216"/>
      <c r="UP80" s="216"/>
      <c r="UQ80" s="216"/>
      <c r="UR80" s="216"/>
      <c r="US80" s="216"/>
      <c r="UT80" s="216"/>
      <c r="UU80" s="216"/>
      <c r="UV80" s="216"/>
      <c r="UW80" s="216"/>
      <c r="UX80" s="216"/>
      <c r="UY80" s="216"/>
      <c r="UZ80" s="216"/>
      <c r="VA80" s="216"/>
    </row>
    <row r="81" spans="1:573" s="4" customFormat="1" ht="27" x14ac:dyDescent="0.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5"/>
      <c r="AM81" s="45"/>
      <c r="AN81" s="45"/>
      <c r="AO81" s="45"/>
      <c r="AP81" s="310"/>
      <c r="AQ81" s="310"/>
      <c r="AR81" s="310"/>
      <c r="AS81" s="310"/>
      <c r="AT81" s="310"/>
      <c r="AU81" s="310"/>
      <c r="AV81" s="310"/>
      <c r="AW81" s="310"/>
      <c r="AX81" s="310"/>
      <c r="AY81" s="310"/>
      <c r="AZ81" s="310"/>
      <c r="BA81" s="310"/>
      <c r="BB81" s="231">
        <f t="shared" si="130"/>
        <v>0.65</v>
      </c>
      <c r="BC81" s="231">
        <f t="shared" si="131"/>
        <v>1</v>
      </c>
      <c r="BD81" s="338" t="b">
        <f t="shared" si="132"/>
        <v>1</v>
      </c>
      <c r="BE81" s="242">
        <f t="shared" si="133"/>
        <v>0.65</v>
      </c>
      <c r="BF81" s="242">
        <f t="shared" si="134"/>
        <v>1</v>
      </c>
      <c r="BG81" s="338" t="b">
        <f t="shared" si="135"/>
        <v>0</v>
      </c>
      <c r="BH81" s="242" t="e">
        <f t="shared" si="136"/>
        <v>#N/A</v>
      </c>
      <c r="BI81" s="242" t="e">
        <f t="shared" si="137"/>
        <v>#N/A</v>
      </c>
      <c r="BJ81" s="483">
        <v>36</v>
      </c>
      <c r="BK81" s="310"/>
      <c r="BL81" s="310"/>
      <c r="BM81" s="310"/>
      <c r="BN81" s="310"/>
      <c r="BO81" s="310"/>
      <c r="BP81" s="310"/>
      <c r="BQ81" s="310"/>
      <c r="BR81" s="310"/>
      <c r="BS81" s="310"/>
      <c r="BT81" s="310"/>
      <c r="BU81" s="310"/>
      <c r="BV81" s="310"/>
      <c r="BW81" s="310"/>
      <c r="BX81" s="310"/>
      <c r="BY81" s="310"/>
      <c r="BZ81" s="310"/>
      <c r="CA81" s="310"/>
      <c r="CB81" s="310"/>
      <c r="CC81" s="310"/>
      <c r="CD81" s="228" t="e">
        <f>CD71-CE44/2</f>
        <v>#N/A</v>
      </c>
      <c r="CE81" s="228" t="e">
        <f>CE72</f>
        <v>#N/A</v>
      </c>
      <c r="CF81" s="310"/>
      <c r="CG81" s="310"/>
      <c r="CH81" s="310"/>
      <c r="CI81" s="310"/>
      <c r="CJ81" s="310"/>
      <c r="CK81" s="310"/>
      <c r="CL81" s="310"/>
      <c r="CM81" s="310"/>
      <c r="CN81" s="310"/>
      <c r="CO81" s="310"/>
      <c r="CP81" s="310"/>
      <c r="CQ81" s="310"/>
      <c r="CR81" s="310"/>
      <c r="CS81" s="310"/>
      <c r="CT81" s="310"/>
      <c r="CU81" s="310"/>
      <c r="CV81" s="310"/>
      <c r="CW81" s="310"/>
      <c r="CX81" s="310"/>
      <c r="CY81" s="310"/>
      <c r="CZ81" s="310"/>
      <c r="DA81" s="310"/>
      <c r="DB81" s="310"/>
      <c r="DC81" s="280" t="e">
        <v>#N/A</v>
      </c>
      <c r="DD81" s="280" t="e">
        <v>#N/A</v>
      </c>
      <c r="DE81" s="310"/>
      <c r="DF81" s="310"/>
      <c r="DG81" s="310"/>
      <c r="DH81" s="310"/>
      <c r="DI81" s="310"/>
      <c r="DJ81" s="310"/>
      <c r="DK81" s="310"/>
      <c r="DL81" s="281" t="e">
        <f>DL80</f>
        <v>#N/A</v>
      </c>
      <c r="DM81" s="281" t="e">
        <f>IF(DM72=TRUE,G52/100,#N/A)</f>
        <v>#N/A</v>
      </c>
      <c r="DN81" s="310"/>
      <c r="DO81" s="310"/>
      <c r="DP81" s="310"/>
      <c r="DQ81" s="310"/>
      <c r="DR81" s="338">
        <f t="shared" si="138"/>
        <v>-0.95</v>
      </c>
      <c r="DS81" s="338">
        <f t="shared" si="138"/>
        <v>-0.95</v>
      </c>
      <c r="DT81" s="310"/>
      <c r="DU81" s="230" t="e">
        <v>#N/A</v>
      </c>
      <c r="DV81" s="230" t="e">
        <v>#N/A</v>
      </c>
      <c r="DW81" s="300" t="e">
        <v>#N/A</v>
      </c>
      <c r="DX81" s="300" t="e">
        <v>#N/A</v>
      </c>
      <c r="DY81" s="310"/>
      <c r="DZ81" s="310"/>
      <c r="EA81" s="310"/>
      <c r="EB81" s="310"/>
      <c r="EC81" s="310"/>
      <c r="ED81" s="310"/>
      <c r="EE81" s="310"/>
      <c r="EF81" s="310"/>
      <c r="EG81" s="310"/>
      <c r="EH81" s="310"/>
      <c r="EI81" s="338">
        <v>10</v>
      </c>
      <c r="EJ81" s="338" t="b">
        <f t="shared" si="127"/>
        <v>0</v>
      </c>
      <c r="EK81" s="281" t="e">
        <f t="shared" si="128"/>
        <v>#N/A</v>
      </c>
      <c r="EL81" s="281" t="e">
        <f t="shared" si="129"/>
        <v>#N/A</v>
      </c>
      <c r="EM81" s="310"/>
      <c r="EN81" s="310" t="s">
        <v>48</v>
      </c>
      <c r="EO81" s="310" t="s">
        <v>49</v>
      </c>
      <c r="EP81" s="310"/>
      <c r="EQ81" s="310"/>
      <c r="ER81" s="310"/>
      <c r="ES81" s="310"/>
      <c r="ET81" s="310"/>
      <c r="EU81" s="310"/>
      <c r="EV81" s="310"/>
      <c r="EW81" s="310"/>
      <c r="EX81" s="310"/>
      <c r="EY81" s="310"/>
      <c r="EZ81" s="310"/>
      <c r="FA81" s="310"/>
      <c r="FB81" s="310"/>
      <c r="FC81" s="310"/>
      <c r="FD81" s="310"/>
      <c r="FE81" s="310"/>
      <c r="FF81" s="310"/>
      <c r="FG81" s="310"/>
      <c r="FH81" s="310"/>
      <c r="FI81" s="310"/>
      <c r="FJ81" s="310"/>
      <c r="FK81" s="310"/>
      <c r="FL81" s="310"/>
      <c r="FM81" s="310"/>
      <c r="FN81" s="310"/>
      <c r="FO81" s="310"/>
      <c r="FP81" s="310"/>
      <c r="FQ81" s="310"/>
      <c r="FR81" s="310"/>
      <c r="FS81" s="310"/>
      <c r="FT81" s="310"/>
      <c r="FU81" s="310"/>
      <c r="FV81" s="310"/>
      <c r="FW81" s="310"/>
      <c r="FX81" s="310"/>
      <c r="FY81" s="310"/>
      <c r="FZ81" s="310"/>
      <c r="GA81" s="310"/>
      <c r="GB81" s="310"/>
      <c r="GC81" s="310"/>
      <c r="GD81" s="310"/>
      <c r="GE81" s="310"/>
      <c r="GF81" s="310"/>
      <c r="GG81" s="310"/>
      <c r="GH81" s="310"/>
      <c r="GI81" s="310"/>
      <c r="GJ81" s="310"/>
      <c r="GK81" s="310"/>
      <c r="GL81" s="310"/>
      <c r="GM81" s="310"/>
      <c r="GN81" s="310"/>
      <c r="GO81" s="310"/>
      <c r="GP81" s="310"/>
      <c r="GQ81" s="310"/>
      <c r="GR81" s="310"/>
      <c r="GS81" s="310"/>
      <c r="GT81" s="310"/>
      <c r="GU81" s="310"/>
      <c r="GV81" s="310"/>
      <c r="GW81" s="310"/>
      <c r="GX81" s="310"/>
      <c r="GY81" s="310"/>
      <c r="GZ81" s="310"/>
      <c r="HA81" s="310"/>
      <c r="HB81" s="310"/>
      <c r="HC81" s="310"/>
      <c r="HD81" s="310"/>
      <c r="HE81" s="310"/>
      <c r="HF81" s="310"/>
      <c r="HG81" s="310"/>
      <c r="HH81" s="310"/>
      <c r="HI81" s="310"/>
      <c r="HJ81" s="310"/>
      <c r="HK81" s="342">
        <v>67</v>
      </c>
      <c r="HL81" s="235" t="e">
        <f t="shared" si="139"/>
        <v>#N/A</v>
      </c>
      <c r="HM81" s="235" t="e">
        <f t="shared" si="140"/>
        <v>#N/A</v>
      </c>
      <c r="HN81" s="310"/>
      <c r="HO81" s="310"/>
      <c r="HP81" s="235" t="e">
        <f t="shared" si="141"/>
        <v>#N/A</v>
      </c>
      <c r="HQ81" s="235" t="e">
        <f t="shared" si="142"/>
        <v>#N/A</v>
      </c>
      <c r="HR81" s="310"/>
      <c r="HS81" s="310"/>
      <c r="HT81" s="235" t="e">
        <f t="shared" si="143"/>
        <v>#N/A</v>
      </c>
      <c r="HU81" s="235" t="e">
        <f t="shared" si="144"/>
        <v>#N/A</v>
      </c>
      <c r="HV81" s="310"/>
      <c r="HW81" s="310"/>
      <c r="HX81" s="235" t="e">
        <f t="shared" si="145"/>
        <v>#N/A</v>
      </c>
      <c r="HY81" s="235" t="e">
        <f t="shared" si="146"/>
        <v>#N/A</v>
      </c>
      <c r="HZ81" s="310"/>
      <c r="IA81" s="310"/>
      <c r="IB81" s="235" t="e">
        <f t="shared" si="147"/>
        <v>#N/A</v>
      </c>
      <c r="IC81" s="235" t="e">
        <f t="shared" si="148"/>
        <v>#N/A</v>
      </c>
      <c r="ID81" s="310"/>
      <c r="IE81" s="342">
        <v>67</v>
      </c>
      <c r="IF81" s="262" t="e">
        <f t="shared" si="149"/>
        <v>#N/A</v>
      </c>
      <c r="IG81" s="262" t="e">
        <f t="shared" si="150"/>
        <v>#N/A</v>
      </c>
      <c r="IH81" s="390"/>
      <c r="II81" s="390"/>
      <c r="IJ81" s="262" t="e">
        <f t="shared" si="151"/>
        <v>#N/A</v>
      </c>
      <c r="IK81" s="262" t="e">
        <f t="shared" si="152"/>
        <v>#N/A</v>
      </c>
      <c r="IL81" s="390"/>
      <c r="IM81" s="390"/>
      <c r="IN81" s="262" t="e">
        <f t="shared" si="153"/>
        <v>#N/A</v>
      </c>
      <c r="IO81" s="262" t="e">
        <f t="shared" si="154"/>
        <v>#N/A</v>
      </c>
      <c r="IP81" s="390"/>
      <c r="IQ81" s="390"/>
      <c r="IR81" s="262" t="e">
        <f t="shared" si="155"/>
        <v>#N/A</v>
      </c>
      <c r="IS81" s="262" t="e">
        <f t="shared" si="156"/>
        <v>#N/A</v>
      </c>
      <c r="IT81" s="390"/>
      <c r="IU81" s="390"/>
      <c r="IV81" s="262" t="e">
        <f t="shared" si="157"/>
        <v>#N/A</v>
      </c>
      <c r="IW81" s="262" t="e">
        <f t="shared" si="158"/>
        <v>#N/A</v>
      </c>
      <c r="IX81" s="310"/>
      <c r="IY81" s="313" t="s">
        <v>72</v>
      </c>
      <c r="IZ81" s="362" t="e">
        <f>IF(JA79=TRUE,$M$21,#N/A)</f>
        <v>#N/A</v>
      </c>
      <c r="JA81" s="362" t="e">
        <f>IF(JA79=TRUE,$J$21,#N/A)</f>
        <v>#N/A</v>
      </c>
      <c r="JB81" s="313" t="s">
        <v>149</v>
      </c>
      <c r="JC81" s="234" t="e">
        <f>IZ81+$IZ$62</f>
        <v>#N/A</v>
      </c>
      <c r="JD81" s="234" t="e">
        <f>JA81</f>
        <v>#N/A</v>
      </c>
      <c r="JE81" s="310"/>
      <c r="JF81" s="313" t="s">
        <v>72</v>
      </c>
      <c r="JG81" s="362" t="e">
        <f>IF(JH79=TRUE,$J$28,#N/A)</f>
        <v>#N/A</v>
      </c>
      <c r="JH81" s="363" t="e">
        <f>IF(JH79=TRUE,$H$28,#N/A)</f>
        <v>#N/A</v>
      </c>
      <c r="JI81" s="313" t="s">
        <v>149</v>
      </c>
      <c r="JJ81" s="265" t="e">
        <f>JG81+$IZ$62</f>
        <v>#N/A</v>
      </c>
      <c r="JK81" s="265" t="e">
        <f>JH81</f>
        <v>#N/A</v>
      </c>
      <c r="JL81" s="310"/>
      <c r="JM81" s="310"/>
      <c r="JN81" s="261" t="e">
        <f t="shared" si="159"/>
        <v>#N/A</v>
      </c>
      <c r="JO81" s="261" t="e">
        <f t="shared" si="160"/>
        <v>#N/A</v>
      </c>
      <c r="JP81" s="310"/>
      <c r="JQ81" s="310"/>
      <c r="JR81" s="261" t="e">
        <f t="shared" si="165"/>
        <v>#N/A</v>
      </c>
      <c r="JS81" s="261" t="e">
        <f t="shared" si="166"/>
        <v>#N/A</v>
      </c>
      <c r="JT81" s="310"/>
      <c r="JU81" s="310"/>
      <c r="JV81" s="261" t="e">
        <f t="shared" si="161"/>
        <v>#N/A</v>
      </c>
      <c r="JW81" s="261" t="e">
        <f t="shared" si="162"/>
        <v>#N/A</v>
      </c>
      <c r="JX81" s="310"/>
      <c r="JY81" s="342" t="s">
        <v>353</v>
      </c>
      <c r="JZ81" s="328" t="s">
        <v>401</v>
      </c>
      <c r="KA81" s="328" t="b">
        <f>AND(AZ32=TRUE,AZ33=TRUE,$GY$6&gt;=$GX$7,$GY$6&lt;=$GX$13,JM11=TRUE)</f>
        <v>1</v>
      </c>
      <c r="KB81" s="313" t="s">
        <v>106</v>
      </c>
      <c r="KC81" s="242">
        <f>JZ83-($IZ$108/2)+$IZ$114</f>
        <v>0.86499999999999999</v>
      </c>
      <c r="KD81" s="242">
        <f>KA83+$IZ$108/2</f>
        <v>0.8</v>
      </c>
      <c r="KE81" s="310"/>
      <c r="KF81" s="310"/>
      <c r="KG81" s="310"/>
      <c r="KH81" s="310"/>
      <c r="KI81" s="310"/>
      <c r="KJ81" s="310"/>
      <c r="KK81" s="310"/>
      <c r="KL81" s="310"/>
      <c r="KM81" s="310"/>
      <c r="KN81" s="310"/>
      <c r="KO81" s="310"/>
      <c r="KP81" s="310"/>
      <c r="KQ81" s="310"/>
      <c r="KR81" s="310"/>
      <c r="KS81" s="310"/>
      <c r="KT81" s="310"/>
      <c r="KU81" s="310"/>
      <c r="KV81" s="310"/>
      <c r="KW81" s="310"/>
      <c r="KX81" s="310"/>
      <c r="KY81" s="310"/>
      <c r="KZ81" s="310"/>
      <c r="LA81" s="310"/>
      <c r="LB81" s="310"/>
      <c r="LC81" s="310"/>
      <c r="LD81" s="310"/>
      <c r="LE81" s="310"/>
      <c r="LF81" s="310"/>
      <c r="LG81" s="310"/>
      <c r="LH81" s="310"/>
      <c r="LI81" s="310"/>
      <c r="LJ81" s="310"/>
      <c r="LK81" s="310"/>
      <c r="LL81" s="310"/>
      <c r="LM81" s="310"/>
      <c r="LN81" s="310"/>
      <c r="LO81" s="391"/>
      <c r="LP81" s="391"/>
      <c r="LQ81" s="338"/>
      <c r="LR81" s="338"/>
      <c r="LS81" s="391"/>
      <c r="LT81" s="310"/>
      <c r="LU81" s="310"/>
      <c r="LV81" s="391"/>
      <c r="LW81" s="391"/>
      <c r="LX81" s="338"/>
      <c r="LY81" s="338"/>
      <c r="LZ81" s="391"/>
      <c r="MA81" s="310"/>
      <c r="MB81" s="310"/>
      <c r="MC81" s="391"/>
      <c r="MD81" s="391"/>
      <c r="ME81" s="338"/>
      <c r="MF81" s="338"/>
      <c r="MG81" s="391"/>
      <c r="MH81" s="310"/>
      <c r="MI81" s="310"/>
      <c r="MJ81" s="391"/>
      <c r="MK81" s="391"/>
      <c r="ML81" s="338"/>
      <c r="MM81" s="338"/>
      <c r="MN81" s="391"/>
      <c r="MO81" s="310"/>
      <c r="MP81" s="311"/>
      <c r="MQ81" s="311"/>
      <c r="MR81" s="310"/>
      <c r="MS81" s="310"/>
      <c r="MT81" s="310"/>
      <c r="MU81" s="310"/>
      <c r="MV81" s="310"/>
      <c r="MW81" s="292" t="e">
        <v>#N/A</v>
      </c>
      <c r="MX81" s="292" t="e">
        <v>#N/A</v>
      </c>
      <c r="MY81" s="338"/>
      <c r="MZ81" s="310"/>
      <c r="NA81" s="310"/>
      <c r="NB81" s="310"/>
      <c r="NC81" s="310"/>
      <c r="ND81" s="310"/>
      <c r="NE81" s="310"/>
      <c r="NF81" s="310"/>
      <c r="NG81" s="310"/>
      <c r="NH81" s="310"/>
      <c r="NI81" s="310"/>
      <c r="NJ81" s="310"/>
      <c r="NK81" s="310"/>
      <c r="NL81" s="310"/>
      <c r="NM81" s="310"/>
      <c r="NN81" s="310"/>
      <c r="NO81" s="310"/>
      <c r="NP81" s="310"/>
      <c r="NQ81" s="310"/>
      <c r="NR81" s="310"/>
      <c r="NS81" s="310"/>
      <c r="NT81" s="310"/>
      <c r="NU81" s="310"/>
      <c r="NV81" s="310"/>
      <c r="NW81" s="310"/>
      <c r="NX81" s="310"/>
      <c r="NY81" s="310"/>
      <c r="NZ81" s="310"/>
      <c r="OA81" s="310"/>
      <c r="OB81" s="310"/>
      <c r="OC81" s="310"/>
      <c r="OD81" s="310"/>
      <c r="OE81" s="310"/>
      <c r="OF81" s="310"/>
      <c r="OG81" s="310"/>
      <c r="OH81" s="310"/>
      <c r="OI81" s="310"/>
      <c r="OJ81" s="310"/>
      <c r="OK81" s="310"/>
      <c r="OL81" s="310"/>
      <c r="OM81" s="310"/>
      <c r="ON81" s="310"/>
      <c r="OO81" s="310"/>
      <c r="OP81" s="310"/>
      <c r="OQ81" s="310"/>
      <c r="OR81" s="310"/>
      <c r="OS81" s="310"/>
      <c r="OT81" s="310"/>
      <c r="OU81" s="310"/>
      <c r="OV81" s="310"/>
      <c r="OW81" s="310"/>
      <c r="OX81" s="310"/>
      <c r="OY81" s="310"/>
      <c r="OZ81" s="310"/>
      <c r="PA81" s="310"/>
      <c r="PB81" s="310"/>
      <c r="PC81" s="310"/>
      <c r="PD81" s="310"/>
      <c r="PE81" s="310"/>
      <c r="PF81" s="310"/>
      <c r="PG81" s="310"/>
      <c r="PH81" s="310"/>
      <c r="PI81" s="310"/>
      <c r="PJ81" s="310"/>
      <c r="PK81" s="310"/>
      <c r="PL81" s="310"/>
      <c r="PM81" s="310"/>
      <c r="PN81" s="310"/>
      <c r="PO81" s="310"/>
      <c r="PP81" s="310"/>
      <c r="PQ81" s="310"/>
      <c r="PR81" s="310"/>
      <c r="PS81" s="342">
        <v>67</v>
      </c>
      <c r="PT81" s="261" t="e">
        <f t="shared" si="163"/>
        <v>#N/A</v>
      </c>
      <c r="PU81" s="261" t="e">
        <f t="shared" si="164"/>
        <v>#N/A</v>
      </c>
      <c r="PV81" s="310"/>
      <c r="PW81" s="310"/>
      <c r="PX81" s="310"/>
      <c r="PY81" s="310"/>
      <c r="PZ81" s="310"/>
      <c r="QA81" s="310"/>
      <c r="QB81" s="310"/>
      <c r="QC81" s="310"/>
      <c r="QD81" s="310"/>
      <c r="QE81" s="310"/>
      <c r="QF81" s="310"/>
      <c r="QG81" s="310"/>
      <c r="QH81" s="310"/>
      <c r="QI81" s="310"/>
      <c r="QJ81" s="310"/>
      <c r="QK81" s="310"/>
      <c r="QL81" s="310"/>
      <c r="QM81" s="310"/>
      <c r="QN81" s="310"/>
      <c r="QO81" s="310"/>
      <c r="QP81" s="310"/>
      <c r="QQ81" s="310"/>
      <c r="QR81" s="310"/>
      <c r="QS81" s="310"/>
      <c r="QT81" s="310"/>
      <c r="QU81" s="310"/>
      <c r="QV81" s="310"/>
      <c r="QW81" s="310"/>
      <c r="QX81" s="310"/>
      <c r="QY81" s="310"/>
      <c r="QZ81" s="310"/>
      <c r="RA81" s="310"/>
      <c r="RB81" s="310"/>
      <c r="RC81" s="310"/>
      <c r="RD81" s="310"/>
      <c r="RE81" s="310"/>
      <c r="RF81" s="310"/>
      <c r="RG81" s="310"/>
      <c r="RH81" s="310"/>
      <c r="RI81" s="310"/>
      <c r="RJ81" s="310"/>
      <c r="RK81" s="310"/>
      <c r="RL81" s="310"/>
      <c r="RM81" s="310"/>
      <c r="RN81" s="310"/>
      <c r="RO81" s="310"/>
      <c r="RP81" s="310"/>
      <c r="RQ81" s="310"/>
      <c r="RR81" s="310"/>
      <c r="RS81" s="310"/>
      <c r="RT81" s="310"/>
      <c r="RU81" s="310"/>
      <c r="RV81" s="310"/>
      <c r="RW81" s="310"/>
      <c r="RX81" s="310"/>
      <c r="RY81" s="310"/>
      <c r="RZ81" s="310"/>
      <c r="SA81" s="313" t="s">
        <v>577</v>
      </c>
      <c r="SB81" s="318" t="b">
        <f>IF(AND(CP13=TRUE,J36&gt;J24),TRUE,FALSE)</f>
        <v>1</v>
      </c>
      <c r="SC81" s="441" t="s">
        <v>565</v>
      </c>
      <c r="SD81" s="249" t="e">
        <f>IF($SA$79=TRUE,IF(SB81=TRUE,$M$11,#N/A),#N/A)</f>
        <v>#N/A</v>
      </c>
      <c r="SE81" s="249" t="e">
        <f>IF($SA$79=TRUE,IF(SB81=TRUE,$M$10,#N/A),#N/A)</f>
        <v>#N/A</v>
      </c>
      <c r="SF81" s="441" t="e">
        <f>IF($SA$79=TRUE,IF(SB81=TRUE,SC81,#N/A),#N/A)</f>
        <v>#N/A</v>
      </c>
      <c r="SG81" s="310"/>
      <c r="SH81" s="310"/>
      <c r="SI81" s="310"/>
      <c r="SJ81" s="310"/>
      <c r="SK81" s="310"/>
      <c r="SL81" s="310"/>
      <c r="SM81" s="310"/>
      <c r="SN81" s="310"/>
      <c r="SO81" s="220"/>
      <c r="SP81" s="220"/>
      <c r="SQ81" s="220"/>
      <c r="SR81" s="220"/>
      <c r="SS81" s="220"/>
      <c r="ST81" s="220"/>
      <c r="SU81" s="220"/>
      <c r="SV81" s="220"/>
      <c r="SW81" s="220"/>
      <c r="SX81" s="220"/>
      <c r="SY81" s="220"/>
      <c r="SZ81" s="220"/>
      <c r="TA81" s="220"/>
      <c r="TB81" s="220"/>
      <c r="TC81" s="220"/>
      <c r="TD81" s="220"/>
      <c r="TE81" s="220"/>
      <c r="TF81" s="220"/>
      <c r="TG81" s="220"/>
      <c r="TH81" s="220"/>
      <c r="TI81" s="220"/>
      <c r="TJ81" s="220"/>
      <c r="TK81" s="220"/>
      <c r="TL81" s="220"/>
      <c r="TM81" s="220"/>
      <c r="TN81" s="220"/>
      <c r="TO81" s="220"/>
      <c r="TP81" s="220"/>
      <c r="TQ81" s="220"/>
      <c r="TR81" s="220"/>
      <c r="TS81" s="220"/>
      <c r="TT81" s="220"/>
      <c r="TU81" s="220"/>
      <c r="TV81" s="220"/>
      <c r="TW81" s="220"/>
      <c r="TX81" s="220"/>
      <c r="TY81" s="220"/>
      <c r="TZ81" s="220"/>
      <c r="UA81" s="220"/>
      <c r="UB81" s="220"/>
      <c r="UC81" s="220"/>
      <c r="UD81" s="220"/>
      <c r="UE81" s="220"/>
      <c r="UF81" s="220"/>
      <c r="UG81" s="220"/>
      <c r="UH81" s="220"/>
      <c r="UI81" s="220"/>
      <c r="UJ81" s="220"/>
      <c r="UK81" s="216"/>
      <c r="UL81" s="216"/>
      <c r="UM81" s="216"/>
      <c r="UN81" s="216"/>
      <c r="UO81" s="216"/>
      <c r="UP81" s="216"/>
      <c r="UQ81" s="216"/>
      <c r="UR81" s="216"/>
      <c r="US81" s="216"/>
      <c r="UT81" s="216"/>
      <c r="UU81" s="216"/>
      <c r="UV81" s="216"/>
      <c r="UW81" s="216"/>
      <c r="UX81" s="216"/>
      <c r="UY81" s="216"/>
      <c r="UZ81" s="216"/>
      <c r="VA81" s="216"/>
    </row>
    <row r="82" spans="1:573" s="4" customFormat="1" x14ac:dyDescent="0.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5"/>
      <c r="AM82" s="45"/>
      <c r="AN82" s="45"/>
      <c r="AO82" s="45"/>
      <c r="AP82" s="310"/>
      <c r="AQ82" s="310"/>
      <c r="AR82" s="310"/>
      <c r="AS82" s="310"/>
      <c r="AT82" s="310"/>
      <c r="AU82" s="310"/>
      <c r="AV82" s="310"/>
      <c r="AW82" s="310"/>
      <c r="AX82" s="310"/>
      <c r="AY82" s="310"/>
      <c r="AZ82" s="310"/>
      <c r="BA82" s="310"/>
      <c r="BB82" s="231" t="e">
        <f t="shared" si="130"/>
        <v>#N/A</v>
      </c>
      <c r="BC82" s="231" t="e">
        <f t="shared" si="131"/>
        <v>#N/A</v>
      </c>
      <c r="BD82" s="338" t="b">
        <f t="shared" si="132"/>
        <v>0</v>
      </c>
      <c r="BE82" s="242" t="e">
        <f t="shared" si="133"/>
        <v>#N/A</v>
      </c>
      <c r="BF82" s="242" t="e">
        <f t="shared" si="134"/>
        <v>#N/A</v>
      </c>
      <c r="BG82" s="338" t="b">
        <f t="shared" si="135"/>
        <v>0</v>
      </c>
      <c r="BH82" s="242" t="e">
        <f t="shared" si="136"/>
        <v>#N/A</v>
      </c>
      <c r="BI82" s="242" t="e">
        <f t="shared" si="137"/>
        <v>#N/A</v>
      </c>
      <c r="BJ82" s="483" t="str">
        <v/>
      </c>
      <c r="BK82" s="310"/>
      <c r="BL82" s="310"/>
      <c r="BM82" s="310"/>
      <c r="BN82" s="310"/>
      <c r="BO82" s="310"/>
      <c r="BP82" s="310"/>
      <c r="BQ82" s="310"/>
      <c r="BR82" s="310"/>
      <c r="BS82" s="310"/>
      <c r="BT82" s="310"/>
      <c r="BU82" s="310"/>
      <c r="BV82" s="310"/>
      <c r="BW82" s="310"/>
      <c r="BX82" s="310"/>
      <c r="BY82" s="310"/>
      <c r="BZ82" s="310"/>
      <c r="CA82" s="310"/>
      <c r="CB82" s="310"/>
      <c r="CC82" s="310"/>
      <c r="CD82" s="228" t="e">
        <f>CD81</f>
        <v>#N/A</v>
      </c>
      <c r="CE82" s="227" t="e">
        <f>BZ51</f>
        <v>#N/A</v>
      </c>
      <c r="CF82" s="310"/>
      <c r="CG82" s="310"/>
      <c r="CH82" s="310"/>
      <c r="CI82" s="310"/>
      <c r="CJ82" s="310"/>
      <c r="CK82" s="310"/>
      <c r="CL82" s="310"/>
      <c r="CM82" s="310"/>
      <c r="CN82" s="310"/>
      <c r="CO82" s="310"/>
      <c r="CP82" s="310"/>
      <c r="CQ82" s="310"/>
      <c r="CR82" s="310"/>
      <c r="CS82" s="310"/>
      <c r="CT82" s="310"/>
      <c r="CU82" s="310"/>
      <c r="CV82" s="310"/>
      <c r="CW82" s="310"/>
      <c r="CX82" s="310"/>
      <c r="CY82" s="310"/>
      <c r="CZ82" s="310"/>
      <c r="DA82" s="310"/>
      <c r="DB82" s="310"/>
      <c r="DC82" s="310"/>
      <c r="DD82" s="310"/>
      <c r="DE82" s="310"/>
      <c r="DF82" s="310"/>
      <c r="DG82" s="310"/>
      <c r="DH82" s="310"/>
      <c r="DI82" s="310"/>
      <c r="DJ82" s="310"/>
      <c r="DK82" s="310"/>
      <c r="DL82" s="281" t="e">
        <v>#N/A</v>
      </c>
      <c r="DM82" s="281" t="e">
        <v>#N/A</v>
      </c>
      <c r="DN82" s="310"/>
      <c r="DO82" s="310"/>
      <c r="DP82" s="310"/>
      <c r="DQ82" s="310"/>
      <c r="DR82" s="338">
        <f t="shared" si="138"/>
        <v>-0.95</v>
      </c>
      <c r="DS82" s="338">
        <f t="shared" si="138"/>
        <v>0.95</v>
      </c>
      <c r="DT82" s="310"/>
      <c r="DU82" s="230">
        <f>DU80+DR76</f>
        <v>1</v>
      </c>
      <c r="DV82" s="230">
        <f>DS79</f>
        <v>0.95</v>
      </c>
      <c r="DW82" s="247">
        <f>DU83</f>
        <v>1.4</v>
      </c>
      <c r="DX82" s="247">
        <f>DV82-(DV82-DV84)/2</f>
        <v>0</v>
      </c>
      <c r="DY82" s="454">
        <f>DV82-DV84</f>
        <v>1.9</v>
      </c>
      <c r="DZ82" s="310"/>
      <c r="EA82" s="310"/>
      <c r="EB82" s="310"/>
      <c r="EC82" s="310"/>
      <c r="ED82" s="310"/>
      <c r="EE82" s="310"/>
      <c r="EF82" s="310"/>
      <c r="EG82" s="310"/>
      <c r="EH82" s="310"/>
      <c r="EI82" s="338">
        <v>11</v>
      </c>
      <c r="EJ82" s="338" t="b">
        <f t="shared" si="127"/>
        <v>0</v>
      </c>
      <c r="EK82" s="281" t="e">
        <f t="shared" si="128"/>
        <v>#N/A</v>
      </c>
      <c r="EL82" s="281" t="e">
        <f t="shared" si="129"/>
        <v>#N/A</v>
      </c>
      <c r="EM82" s="310"/>
      <c r="EN82" s="280">
        <f>EN73-0.009</f>
        <v>-0.13400000000000001</v>
      </c>
      <c r="EO82" s="280">
        <f>EO72+0.025</f>
        <v>0.185</v>
      </c>
      <c r="EP82" s="310"/>
      <c r="EQ82" s="310"/>
      <c r="ER82" s="310"/>
      <c r="ES82" s="310"/>
      <c r="ET82" s="310"/>
      <c r="EU82" s="310"/>
      <c r="EV82" s="310"/>
      <c r="EW82" s="310"/>
      <c r="EX82" s="310"/>
      <c r="EY82" s="310"/>
      <c r="EZ82" s="310"/>
      <c r="FA82" s="310"/>
      <c r="FB82" s="310"/>
      <c r="FC82" s="310"/>
      <c r="FD82" s="310"/>
      <c r="FE82" s="310"/>
      <c r="FF82" s="310"/>
      <c r="FG82" s="310"/>
      <c r="FH82" s="310"/>
      <c r="FI82" s="310"/>
      <c r="FJ82" s="310"/>
      <c r="FK82" s="310"/>
      <c r="FL82" s="310"/>
      <c r="FM82" s="310"/>
      <c r="FN82" s="310"/>
      <c r="FO82" s="310"/>
      <c r="FP82" s="310"/>
      <c r="FQ82" s="310"/>
      <c r="FR82" s="310"/>
      <c r="FS82" s="310"/>
      <c r="FT82" s="310"/>
      <c r="FU82" s="310"/>
      <c r="FV82" s="310"/>
      <c r="FW82" s="310"/>
      <c r="FX82" s="310"/>
      <c r="FY82" s="310"/>
      <c r="FZ82" s="310"/>
      <c r="GA82" s="310"/>
      <c r="GB82" s="310"/>
      <c r="GC82" s="310"/>
      <c r="GD82" s="310"/>
      <c r="GE82" s="310"/>
      <c r="GF82" s="310"/>
      <c r="GG82" s="310"/>
      <c r="GH82" s="310"/>
      <c r="GI82" s="310"/>
      <c r="GJ82" s="310"/>
      <c r="GK82" s="310"/>
      <c r="GL82" s="310"/>
      <c r="GM82" s="310"/>
      <c r="GN82" s="310"/>
      <c r="GO82" s="310"/>
      <c r="GP82" s="310"/>
      <c r="GQ82" s="310"/>
      <c r="GR82" s="310"/>
      <c r="GS82" s="310"/>
      <c r="GT82" s="310"/>
      <c r="GU82" s="310"/>
      <c r="GV82" s="310"/>
      <c r="GW82" s="310"/>
      <c r="GX82" s="310"/>
      <c r="GY82" s="310"/>
      <c r="GZ82" s="310"/>
      <c r="HA82" s="310"/>
      <c r="HB82" s="310"/>
      <c r="HC82" s="310"/>
      <c r="HD82" s="310"/>
      <c r="HE82" s="310"/>
      <c r="HF82" s="310"/>
      <c r="HG82" s="310"/>
      <c r="HH82" s="310"/>
      <c r="HI82" s="310"/>
      <c r="HJ82" s="310"/>
      <c r="HK82" s="342">
        <v>68</v>
      </c>
      <c r="HL82" s="235" t="e">
        <f t="shared" si="139"/>
        <v>#N/A</v>
      </c>
      <c r="HM82" s="235" t="e">
        <f t="shared" si="140"/>
        <v>#N/A</v>
      </c>
      <c r="HN82" s="310"/>
      <c r="HO82" s="310"/>
      <c r="HP82" s="235" t="e">
        <f t="shared" si="141"/>
        <v>#N/A</v>
      </c>
      <c r="HQ82" s="235" t="e">
        <f t="shared" si="142"/>
        <v>#N/A</v>
      </c>
      <c r="HR82" s="310"/>
      <c r="HS82" s="310"/>
      <c r="HT82" s="235" t="e">
        <f t="shared" si="143"/>
        <v>#N/A</v>
      </c>
      <c r="HU82" s="235" t="e">
        <f t="shared" si="144"/>
        <v>#N/A</v>
      </c>
      <c r="HV82" s="310"/>
      <c r="HW82" s="310"/>
      <c r="HX82" s="235" t="e">
        <f t="shared" si="145"/>
        <v>#N/A</v>
      </c>
      <c r="HY82" s="235" t="e">
        <f t="shared" si="146"/>
        <v>#N/A</v>
      </c>
      <c r="HZ82" s="310"/>
      <c r="IA82" s="310"/>
      <c r="IB82" s="235" t="e">
        <f t="shared" si="147"/>
        <v>#N/A</v>
      </c>
      <c r="IC82" s="235" t="e">
        <f t="shared" si="148"/>
        <v>#N/A</v>
      </c>
      <c r="ID82" s="310"/>
      <c r="IE82" s="342">
        <v>68</v>
      </c>
      <c r="IF82" s="262" t="e">
        <f t="shared" si="149"/>
        <v>#N/A</v>
      </c>
      <c r="IG82" s="262" t="e">
        <f t="shared" si="150"/>
        <v>#N/A</v>
      </c>
      <c r="IH82" s="390"/>
      <c r="II82" s="390"/>
      <c r="IJ82" s="262" t="e">
        <f t="shared" si="151"/>
        <v>#N/A</v>
      </c>
      <c r="IK82" s="262" t="e">
        <f t="shared" si="152"/>
        <v>#N/A</v>
      </c>
      <c r="IL82" s="390"/>
      <c r="IM82" s="390"/>
      <c r="IN82" s="262" t="e">
        <f t="shared" si="153"/>
        <v>#N/A</v>
      </c>
      <c r="IO82" s="262" t="e">
        <f t="shared" si="154"/>
        <v>#N/A</v>
      </c>
      <c r="IP82" s="390"/>
      <c r="IQ82" s="390"/>
      <c r="IR82" s="262" t="e">
        <f t="shared" si="155"/>
        <v>#N/A</v>
      </c>
      <c r="IS82" s="262" t="e">
        <f t="shared" si="156"/>
        <v>#N/A</v>
      </c>
      <c r="IT82" s="390"/>
      <c r="IU82" s="390"/>
      <c r="IV82" s="262" t="e">
        <f t="shared" si="157"/>
        <v>#N/A</v>
      </c>
      <c r="IW82" s="262" t="e">
        <f t="shared" si="158"/>
        <v>#N/A</v>
      </c>
      <c r="IX82" s="310"/>
      <c r="IY82" s="310"/>
      <c r="IZ82" s="310"/>
      <c r="JA82" s="310"/>
      <c r="JB82" s="313" t="s">
        <v>152</v>
      </c>
      <c r="JC82" s="228" t="e">
        <f>JC80</f>
        <v>#N/A</v>
      </c>
      <c r="JD82" s="228" t="e">
        <f>JA81-$IZ$61/2</f>
        <v>#N/A</v>
      </c>
      <c r="JE82" s="310"/>
      <c r="JF82" s="310"/>
      <c r="JG82" s="310"/>
      <c r="JH82" s="310"/>
      <c r="JI82" s="313" t="s">
        <v>152</v>
      </c>
      <c r="JJ82" s="242" t="e">
        <f>JJ80</f>
        <v>#N/A</v>
      </c>
      <c r="JK82" s="242" t="e">
        <f>JH81-$IZ$61/2</f>
        <v>#N/A</v>
      </c>
      <c r="JL82" s="310"/>
      <c r="JM82" s="310"/>
      <c r="JN82" s="261" t="e">
        <f t="shared" si="159"/>
        <v>#N/A</v>
      </c>
      <c r="JO82" s="261" t="e">
        <f t="shared" si="160"/>
        <v>#N/A</v>
      </c>
      <c r="JP82" s="310"/>
      <c r="JQ82" s="310"/>
      <c r="JR82" s="261" t="e">
        <f t="shared" si="165"/>
        <v>#N/A</v>
      </c>
      <c r="JS82" s="261" t="e">
        <f t="shared" si="166"/>
        <v>#N/A</v>
      </c>
      <c r="JT82" s="310"/>
      <c r="JU82" s="310"/>
      <c r="JV82" s="261" t="e">
        <f t="shared" si="161"/>
        <v>#N/A</v>
      </c>
      <c r="JW82" s="261" t="e">
        <f t="shared" si="162"/>
        <v>#N/A</v>
      </c>
      <c r="JX82" s="310"/>
      <c r="JY82" s="342" t="s">
        <v>355</v>
      </c>
      <c r="JZ82" s="342" t="s">
        <v>48</v>
      </c>
      <c r="KA82" s="342" t="s">
        <v>49</v>
      </c>
      <c r="KB82" s="313" t="s">
        <v>144</v>
      </c>
      <c r="KC82" s="242">
        <f>JZ83+($IZ$108/2)-$IZ$114</f>
        <v>1.135</v>
      </c>
      <c r="KD82" s="242">
        <f>KD81</f>
        <v>0.8</v>
      </c>
      <c r="KE82" s="310"/>
      <c r="KF82" s="310"/>
      <c r="KG82" s="310"/>
      <c r="KH82" s="310"/>
      <c r="KI82" s="310"/>
      <c r="KJ82" s="310"/>
      <c r="KK82" s="310"/>
      <c r="KL82" s="310"/>
      <c r="KM82" s="310"/>
      <c r="KN82" s="310"/>
      <c r="KO82" s="310"/>
      <c r="KP82" s="310"/>
      <c r="KQ82" s="310"/>
      <c r="KR82" s="310"/>
      <c r="KS82" s="310"/>
      <c r="KT82" s="310"/>
      <c r="KU82" s="310"/>
      <c r="KV82" s="310"/>
      <c r="KW82" s="310"/>
      <c r="KX82" s="310"/>
      <c r="KY82" s="310"/>
      <c r="KZ82" s="310"/>
      <c r="LA82" s="310"/>
      <c r="LB82" s="310"/>
      <c r="LC82" s="310"/>
      <c r="LD82" s="310"/>
      <c r="LE82" s="310"/>
      <c r="LF82" s="310"/>
      <c r="LG82" s="310"/>
      <c r="LH82" s="310"/>
      <c r="LI82" s="310"/>
      <c r="LJ82" s="310"/>
      <c r="LK82" s="310"/>
      <c r="LL82" s="310"/>
      <c r="LM82" s="310"/>
      <c r="LN82" s="310"/>
      <c r="LO82" s="391"/>
      <c r="LP82" s="391"/>
      <c r="LQ82" s="338"/>
      <c r="LR82" s="338"/>
      <c r="LS82" s="391"/>
      <c r="LT82" s="310"/>
      <c r="LU82" s="310"/>
      <c r="LV82" s="391"/>
      <c r="LW82" s="391"/>
      <c r="LX82" s="338"/>
      <c r="LY82" s="338"/>
      <c r="LZ82" s="391"/>
      <c r="MA82" s="310"/>
      <c r="MB82" s="310"/>
      <c r="MC82" s="391"/>
      <c r="MD82" s="391"/>
      <c r="ME82" s="338"/>
      <c r="MF82" s="338"/>
      <c r="MG82" s="391"/>
      <c r="MH82" s="310"/>
      <c r="MI82" s="310"/>
      <c r="MJ82" s="391"/>
      <c r="MK82" s="391"/>
      <c r="ML82" s="338"/>
      <c r="MM82" s="338"/>
      <c r="MN82" s="391"/>
      <c r="MO82" s="310"/>
      <c r="MP82" s="310"/>
      <c r="MQ82" s="310"/>
      <c r="MR82" s="310"/>
      <c r="MS82" s="310"/>
      <c r="MT82" s="310"/>
      <c r="MU82" s="310"/>
      <c r="MV82" s="310"/>
      <c r="MW82" s="280" t="e">
        <f>IF(MY82=TRUE,MW79,#N/A)</f>
        <v>#N/A</v>
      </c>
      <c r="MX82" s="280" t="e">
        <f>IF(MY82=TRUE,MX79-0.15,#N/A)</f>
        <v>#N/A</v>
      </c>
      <c r="MY82" s="338" t="b">
        <f>AND(MY54=TRUE,$D$63&gt;=MZ43)</f>
        <v>0</v>
      </c>
      <c r="MZ82" s="310"/>
      <c r="NA82" s="310"/>
      <c r="NB82" s="310"/>
      <c r="NC82" s="310"/>
      <c r="ND82" s="310"/>
      <c r="NE82" s="310"/>
      <c r="NF82" s="310"/>
      <c r="NG82" s="310"/>
      <c r="NH82" s="310"/>
      <c r="NI82" s="310"/>
      <c r="NJ82" s="310"/>
      <c r="NK82" s="310"/>
      <c r="NL82" s="310"/>
      <c r="NM82" s="310"/>
      <c r="NN82" s="310"/>
      <c r="NO82" s="310"/>
      <c r="NP82" s="310"/>
      <c r="NQ82" s="310"/>
      <c r="NR82" s="310"/>
      <c r="NS82" s="310"/>
      <c r="NT82" s="310"/>
      <c r="NU82" s="310"/>
      <c r="NV82" s="310"/>
      <c r="NW82" s="310"/>
      <c r="NX82" s="310"/>
      <c r="NY82" s="310"/>
      <c r="NZ82" s="310"/>
      <c r="OA82" s="310"/>
      <c r="OB82" s="310"/>
      <c r="OC82" s="310"/>
      <c r="OD82" s="310"/>
      <c r="OE82" s="310"/>
      <c r="OF82" s="310"/>
      <c r="OG82" s="310"/>
      <c r="OH82" s="310"/>
      <c r="OI82" s="310"/>
      <c r="OJ82" s="310"/>
      <c r="OK82" s="310"/>
      <c r="OL82" s="310"/>
      <c r="OM82" s="310"/>
      <c r="ON82" s="310"/>
      <c r="OO82" s="310"/>
      <c r="OP82" s="310"/>
      <c r="OQ82" s="310"/>
      <c r="OR82" s="310"/>
      <c r="OS82" s="310"/>
      <c r="OT82" s="310"/>
      <c r="OU82" s="310"/>
      <c r="OV82" s="310"/>
      <c r="OW82" s="310"/>
      <c r="OX82" s="310"/>
      <c r="OY82" s="310"/>
      <c r="OZ82" s="310"/>
      <c r="PA82" s="310"/>
      <c r="PB82" s="310"/>
      <c r="PC82" s="310"/>
      <c r="PD82" s="310"/>
      <c r="PE82" s="310"/>
      <c r="PF82" s="310"/>
      <c r="PG82" s="310"/>
      <c r="PH82" s="310"/>
      <c r="PI82" s="310"/>
      <c r="PJ82" s="310"/>
      <c r="PK82" s="310"/>
      <c r="PL82" s="310"/>
      <c r="PM82" s="310"/>
      <c r="PN82" s="310"/>
      <c r="PO82" s="310"/>
      <c r="PP82" s="310"/>
      <c r="PQ82" s="310"/>
      <c r="PR82" s="310"/>
      <c r="PS82" s="342">
        <v>68</v>
      </c>
      <c r="PT82" s="261" t="e">
        <f t="shared" si="163"/>
        <v>#N/A</v>
      </c>
      <c r="PU82" s="261" t="e">
        <f t="shared" si="164"/>
        <v>#N/A</v>
      </c>
      <c r="PV82" s="310"/>
      <c r="PW82" s="310"/>
      <c r="PX82" s="310"/>
      <c r="PY82" s="310"/>
      <c r="PZ82" s="310"/>
      <c r="QA82" s="310"/>
      <c r="QB82" s="310"/>
      <c r="QC82" s="310"/>
      <c r="QD82" s="310"/>
      <c r="QE82" s="310"/>
      <c r="QF82" s="310"/>
      <c r="QG82" s="310"/>
      <c r="QH82" s="310"/>
      <c r="QI82" s="310"/>
      <c r="QJ82" s="310"/>
      <c r="QK82" s="310"/>
      <c r="QL82" s="310"/>
      <c r="QM82" s="310"/>
      <c r="QN82" s="310"/>
      <c r="QO82" s="310"/>
      <c r="QP82" s="310"/>
      <c r="QQ82" s="310"/>
      <c r="QR82" s="310"/>
      <c r="QS82" s="310"/>
      <c r="QT82" s="310"/>
      <c r="QU82" s="310"/>
      <c r="QV82" s="310"/>
      <c r="QW82" s="310"/>
      <c r="QX82" s="310"/>
      <c r="QY82" s="310"/>
      <c r="QZ82" s="310"/>
      <c r="RA82" s="310"/>
      <c r="RB82" s="310"/>
      <c r="RC82" s="310"/>
      <c r="RD82" s="310"/>
      <c r="RE82" s="310"/>
      <c r="RF82" s="310"/>
      <c r="RG82" s="310"/>
      <c r="RH82" s="310"/>
      <c r="RI82" s="310"/>
      <c r="RJ82" s="310"/>
      <c r="RK82" s="310"/>
      <c r="RL82" s="310"/>
      <c r="RM82" s="310"/>
      <c r="RN82" s="310"/>
      <c r="RO82" s="310"/>
      <c r="RP82" s="310"/>
      <c r="RQ82" s="310"/>
      <c r="RR82" s="310"/>
      <c r="RS82" s="310"/>
      <c r="RT82" s="310"/>
      <c r="RU82" s="310"/>
      <c r="RV82" s="310"/>
      <c r="RW82" s="310"/>
      <c r="RX82" s="310"/>
      <c r="RY82" s="310"/>
      <c r="RZ82" s="310"/>
      <c r="SA82" s="313" t="s">
        <v>576</v>
      </c>
      <c r="SB82" s="318" t="b">
        <f>IF(AND(CP13=TRUE,J38&lt;M24),TRUE,FALSE)</f>
        <v>0</v>
      </c>
      <c r="SC82" s="313" t="s">
        <v>566</v>
      </c>
      <c r="SD82" s="249" t="e">
        <f>IF($SA$79=TRUE,IF(SB82=TRUE,$M$11,#N/A),#N/A)</f>
        <v>#N/A</v>
      </c>
      <c r="SE82" s="249" t="e">
        <f>IF($SA$79=TRUE,IF(SB82=TRUE,$M$10,#N/A),#N/A)</f>
        <v>#N/A</v>
      </c>
      <c r="SF82" s="313" t="e">
        <f>IF($SA$79=TRUE,IF(SB82=TRUE,SC82,#N/A),#N/A)</f>
        <v>#N/A</v>
      </c>
      <c r="SG82" s="310"/>
      <c r="SH82" s="310"/>
      <c r="SI82" s="310"/>
      <c r="SJ82" s="310"/>
      <c r="SK82" s="310"/>
      <c r="SL82" s="310"/>
      <c r="SM82" s="310"/>
      <c r="SN82" s="310"/>
      <c r="SO82" s="220"/>
      <c r="SP82" s="220"/>
      <c r="SQ82" s="220"/>
      <c r="SR82" s="220"/>
      <c r="SS82" s="220"/>
      <c r="ST82" s="220"/>
      <c r="SU82" s="220"/>
      <c r="SV82" s="220"/>
      <c r="SW82" s="220"/>
      <c r="SX82" s="220"/>
      <c r="SY82" s="220"/>
      <c r="SZ82" s="220"/>
      <c r="TA82" s="220"/>
      <c r="TB82" s="220"/>
      <c r="TC82" s="220"/>
      <c r="TD82" s="220"/>
      <c r="TE82" s="220"/>
      <c r="TF82" s="220"/>
      <c r="TG82" s="220"/>
      <c r="TH82" s="220"/>
      <c r="TI82" s="220"/>
      <c r="TJ82" s="220"/>
      <c r="TK82" s="220"/>
      <c r="TL82" s="220"/>
      <c r="TM82" s="220"/>
      <c r="TN82" s="220"/>
      <c r="TO82" s="220"/>
      <c r="TP82" s="220"/>
      <c r="TQ82" s="220"/>
      <c r="TR82" s="220"/>
      <c r="TS82" s="220"/>
      <c r="TT82" s="220"/>
      <c r="TU82" s="220"/>
      <c r="TV82" s="220"/>
      <c r="TW82" s="220"/>
      <c r="TX82" s="220"/>
      <c r="TY82" s="220"/>
      <c r="TZ82" s="220"/>
      <c r="UA82" s="220"/>
      <c r="UB82" s="220"/>
      <c r="UC82" s="220"/>
      <c r="UD82" s="220"/>
      <c r="UE82" s="220"/>
      <c r="UF82" s="220"/>
      <c r="UG82" s="220"/>
      <c r="UH82" s="220"/>
      <c r="UI82" s="220"/>
      <c r="UJ82" s="220"/>
      <c r="UK82" s="216"/>
      <c r="UL82" s="216"/>
      <c r="UM82" s="216"/>
      <c r="UN82" s="216"/>
      <c r="UO82" s="216"/>
      <c r="UP82" s="216"/>
      <c r="UQ82" s="216"/>
      <c r="UR82" s="216"/>
      <c r="US82" s="216"/>
      <c r="UT82" s="216"/>
      <c r="UU82" s="216"/>
      <c r="UV82" s="216"/>
      <c r="UW82" s="216"/>
      <c r="UX82" s="216"/>
      <c r="UY82" s="216"/>
      <c r="UZ82" s="216"/>
      <c r="VA82" s="216"/>
    </row>
    <row r="83" spans="1:573" s="4" customFormat="1" x14ac:dyDescent="0.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5"/>
      <c r="AM83" s="45"/>
      <c r="AN83" s="45"/>
      <c r="AO83" s="45"/>
      <c r="AP83" s="310"/>
      <c r="AQ83" s="310"/>
      <c r="AR83" s="310"/>
      <c r="AS83" s="310"/>
      <c r="AT83" s="310"/>
      <c r="AU83" s="310"/>
      <c r="AV83" s="310"/>
      <c r="AW83" s="310"/>
      <c r="AX83" s="310"/>
      <c r="AY83" s="310"/>
      <c r="AZ83" s="310"/>
      <c r="BA83" s="310"/>
      <c r="BB83" s="310"/>
      <c r="BC83" s="310"/>
      <c r="BD83" s="310"/>
      <c r="BE83" s="310"/>
      <c r="BF83" s="310"/>
      <c r="BG83" s="310"/>
      <c r="BH83" s="310"/>
      <c r="BI83" s="310"/>
      <c r="BJ83" s="310"/>
      <c r="BK83" s="310"/>
      <c r="BL83" s="310"/>
      <c r="BM83" s="310"/>
      <c r="BN83" s="310"/>
      <c r="BO83" s="310"/>
      <c r="BP83" s="310"/>
      <c r="BQ83" s="310"/>
      <c r="BR83" s="310"/>
      <c r="BS83" s="310"/>
      <c r="BT83" s="310"/>
      <c r="BU83" s="310"/>
      <c r="BV83" s="310"/>
      <c r="BW83" s="310"/>
      <c r="BX83" s="310"/>
      <c r="BY83" s="310"/>
      <c r="BZ83" s="310"/>
      <c r="CA83" s="310"/>
      <c r="CB83" s="310"/>
      <c r="CC83" s="310"/>
      <c r="CD83" s="228" t="e">
        <f>BY51</f>
        <v>#N/A</v>
      </c>
      <c r="CE83" s="228" t="e">
        <f>BZ51</f>
        <v>#N/A</v>
      </c>
      <c r="CF83" s="310"/>
      <c r="CG83" s="310"/>
      <c r="CH83" s="310"/>
      <c r="CI83" s="310"/>
      <c r="CJ83" s="310"/>
      <c r="CK83" s="310"/>
      <c r="CL83" s="310"/>
      <c r="CM83" s="310"/>
      <c r="CN83" s="310"/>
      <c r="CO83" s="310"/>
      <c r="CP83" s="310"/>
      <c r="CQ83" s="310"/>
      <c r="CR83" s="310"/>
      <c r="CS83" s="310"/>
      <c r="CT83" s="310"/>
      <c r="CU83" s="310"/>
      <c r="CV83" s="310"/>
      <c r="CW83" s="310"/>
      <c r="CX83" s="310"/>
      <c r="CY83" s="310"/>
      <c r="CZ83" s="310"/>
      <c r="DA83" s="310"/>
      <c r="DB83" s="310"/>
      <c r="DC83" s="310"/>
      <c r="DD83" s="310"/>
      <c r="DE83" s="310"/>
      <c r="DF83" s="310"/>
      <c r="DG83" s="310"/>
      <c r="DH83" s="310"/>
      <c r="DI83" s="310"/>
      <c r="DJ83" s="310"/>
      <c r="DK83" s="310"/>
      <c r="DL83" s="281" t="e">
        <f>IF(DM72=TRUE,DC13+(DC14-DC13)/1.5,#N/A)</f>
        <v>#N/A</v>
      </c>
      <c r="DM83" s="281" t="e">
        <f>IF(DM72=TRUE,DD14,#N/A)</f>
        <v>#N/A</v>
      </c>
      <c r="DN83" s="310"/>
      <c r="DO83" s="310"/>
      <c r="DP83" s="310"/>
      <c r="DQ83" s="310"/>
      <c r="DR83" s="310"/>
      <c r="DS83" s="310"/>
      <c r="DT83" s="310"/>
      <c r="DU83" s="230">
        <f>DU82+DS76</f>
        <v>1.4</v>
      </c>
      <c r="DV83" s="230">
        <f>DV82</f>
        <v>0.95</v>
      </c>
      <c r="DW83" s="300" t="e">
        <v>#N/A</v>
      </c>
      <c r="DX83" s="300" t="e">
        <v>#N/A</v>
      </c>
      <c r="DY83" s="310"/>
      <c r="DZ83" s="310"/>
      <c r="EA83" s="310"/>
      <c r="EB83" s="310"/>
      <c r="EC83" s="310"/>
      <c r="ED83" s="310"/>
      <c r="EE83" s="310"/>
      <c r="EF83" s="310"/>
      <c r="EG83" s="310"/>
      <c r="EH83" s="310"/>
      <c r="EI83" s="338">
        <v>12</v>
      </c>
      <c r="EJ83" s="338" t="b">
        <f t="shared" si="127"/>
        <v>0</v>
      </c>
      <c r="EK83" s="281" t="e">
        <f t="shared" si="128"/>
        <v>#N/A</v>
      </c>
      <c r="EL83" s="281" t="e">
        <f t="shared" si="129"/>
        <v>#N/A</v>
      </c>
      <c r="EM83" s="310"/>
      <c r="EN83" s="280">
        <f>EN77+0.009</f>
        <v>0.13400000000000001</v>
      </c>
      <c r="EO83" s="280">
        <f>EO82</f>
        <v>0.185</v>
      </c>
      <c r="EP83" s="310"/>
      <c r="EQ83" s="310"/>
      <c r="ER83" s="310"/>
      <c r="ES83" s="310"/>
      <c r="ET83" s="310"/>
      <c r="EU83" s="310"/>
      <c r="EV83" s="310"/>
      <c r="EW83" s="310"/>
      <c r="EX83" s="310"/>
      <c r="EY83" s="310"/>
      <c r="EZ83" s="310"/>
      <c r="FA83" s="310"/>
      <c r="FB83" s="310"/>
      <c r="FC83" s="310"/>
      <c r="FD83" s="310"/>
      <c r="FE83" s="310"/>
      <c r="FF83" s="310"/>
      <c r="FG83" s="310"/>
      <c r="FH83" s="310"/>
      <c r="FI83" s="310"/>
      <c r="FJ83" s="310"/>
      <c r="FK83" s="310"/>
      <c r="FL83" s="310"/>
      <c r="FM83" s="310"/>
      <c r="FN83" s="310"/>
      <c r="FO83" s="310"/>
      <c r="FP83" s="310"/>
      <c r="FQ83" s="310"/>
      <c r="FR83" s="310"/>
      <c r="FS83" s="310"/>
      <c r="FT83" s="310"/>
      <c r="FU83" s="310"/>
      <c r="FV83" s="310"/>
      <c r="FW83" s="310"/>
      <c r="FX83" s="310"/>
      <c r="FY83" s="310"/>
      <c r="FZ83" s="310"/>
      <c r="GA83" s="310"/>
      <c r="GB83" s="310"/>
      <c r="GC83" s="310"/>
      <c r="GD83" s="310"/>
      <c r="GE83" s="310"/>
      <c r="GF83" s="310"/>
      <c r="GG83" s="310"/>
      <c r="GH83" s="310"/>
      <c r="GI83" s="310"/>
      <c r="GJ83" s="310"/>
      <c r="GK83" s="310"/>
      <c r="GL83" s="310"/>
      <c r="GM83" s="310"/>
      <c r="GN83" s="310"/>
      <c r="GO83" s="310"/>
      <c r="GP83" s="310"/>
      <c r="GQ83" s="310"/>
      <c r="GR83" s="310"/>
      <c r="GS83" s="310"/>
      <c r="GT83" s="310"/>
      <c r="GU83" s="310"/>
      <c r="GV83" s="310"/>
      <c r="GW83" s="310"/>
      <c r="GX83" s="310"/>
      <c r="GY83" s="310"/>
      <c r="GZ83" s="310"/>
      <c r="HA83" s="310"/>
      <c r="HB83" s="310"/>
      <c r="HC83" s="310"/>
      <c r="HD83" s="310"/>
      <c r="HE83" s="310"/>
      <c r="HF83" s="310"/>
      <c r="HG83" s="310"/>
      <c r="HH83" s="310"/>
      <c r="HI83" s="310"/>
      <c r="HJ83" s="310"/>
      <c r="HK83" s="342">
        <v>69</v>
      </c>
      <c r="HL83" s="235" t="e">
        <f t="shared" si="139"/>
        <v>#N/A</v>
      </c>
      <c r="HM83" s="235" t="e">
        <f t="shared" si="140"/>
        <v>#N/A</v>
      </c>
      <c r="HN83" s="310"/>
      <c r="HO83" s="310"/>
      <c r="HP83" s="235" t="e">
        <f t="shared" si="141"/>
        <v>#N/A</v>
      </c>
      <c r="HQ83" s="235" t="e">
        <f t="shared" si="142"/>
        <v>#N/A</v>
      </c>
      <c r="HR83" s="310"/>
      <c r="HS83" s="310"/>
      <c r="HT83" s="235" t="e">
        <f t="shared" si="143"/>
        <v>#N/A</v>
      </c>
      <c r="HU83" s="235" t="e">
        <f t="shared" si="144"/>
        <v>#N/A</v>
      </c>
      <c r="HV83" s="310"/>
      <c r="HW83" s="310"/>
      <c r="HX83" s="235" t="e">
        <f t="shared" si="145"/>
        <v>#N/A</v>
      </c>
      <c r="HY83" s="235" t="e">
        <f t="shared" si="146"/>
        <v>#N/A</v>
      </c>
      <c r="HZ83" s="310"/>
      <c r="IA83" s="310"/>
      <c r="IB83" s="235" t="e">
        <f t="shared" si="147"/>
        <v>#N/A</v>
      </c>
      <c r="IC83" s="235" t="e">
        <f t="shared" si="148"/>
        <v>#N/A</v>
      </c>
      <c r="ID83" s="310"/>
      <c r="IE83" s="342">
        <v>69</v>
      </c>
      <c r="IF83" s="262" t="e">
        <f t="shared" si="149"/>
        <v>#N/A</v>
      </c>
      <c r="IG83" s="262" t="e">
        <f t="shared" si="150"/>
        <v>#N/A</v>
      </c>
      <c r="IH83" s="390"/>
      <c r="II83" s="390"/>
      <c r="IJ83" s="262" t="e">
        <f t="shared" si="151"/>
        <v>#N/A</v>
      </c>
      <c r="IK83" s="262" t="e">
        <f t="shared" si="152"/>
        <v>#N/A</v>
      </c>
      <c r="IL83" s="390"/>
      <c r="IM83" s="390"/>
      <c r="IN83" s="262" t="e">
        <f t="shared" si="153"/>
        <v>#N/A</v>
      </c>
      <c r="IO83" s="262" t="e">
        <f t="shared" si="154"/>
        <v>#N/A</v>
      </c>
      <c r="IP83" s="390"/>
      <c r="IQ83" s="390"/>
      <c r="IR83" s="262" t="e">
        <f t="shared" si="155"/>
        <v>#N/A</v>
      </c>
      <c r="IS83" s="262" t="e">
        <f t="shared" si="156"/>
        <v>#N/A</v>
      </c>
      <c r="IT83" s="390"/>
      <c r="IU83" s="390"/>
      <c r="IV83" s="262" t="e">
        <f t="shared" si="157"/>
        <v>#N/A</v>
      </c>
      <c r="IW83" s="262" t="e">
        <f t="shared" si="158"/>
        <v>#N/A</v>
      </c>
      <c r="IX83" s="310"/>
      <c r="IY83" s="310"/>
      <c r="IZ83" s="310"/>
      <c r="JA83" s="310"/>
      <c r="JB83" s="313" t="s">
        <v>167</v>
      </c>
      <c r="JC83" s="228" t="e">
        <f>JC79</f>
        <v>#N/A</v>
      </c>
      <c r="JD83" s="228" t="e">
        <f>JD82</f>
        <v>#N/A</v>
      </c>
      <c r="JE83" s="310"/>
      <c r="JF83" s="310"/>
      <c r="JG83" s="310"/>
      <c r="JH83" s="310"/>
      <c r="JI83" s="313" t="s">
        <v>167</v>
      </c>
      <c r="JJ83" s="242" t="e">
        <f>JJ79</f>
        <v>#N/A</v>
      </c>
      <c r="JK83" s="242" t="e">
        <f>JK82</f>
        <v>#N/A</v>
      </c>
      <c r="JL83" s="310"/>
      <c r="JM83" s="310"/>
      <c r="JN83" s="261" t="e">
        <f t="shared" si="159"/>
        <v>#N/A</v>
      </c>
      <c r="JO83" s="261" t="e">
        <f t="shared" si="160"/>
        <v>#N/A</v>
      </c>
      <c r="JP83" s="310"/>
      <c r="JQ83" s="310"/>
      <c r="JR83" s="261" t="e">
        <f t="shared" si="165"/>
        <v>#N/A</v>
      </c>
      <c r="JS83" s="261" t="e">
        <f t="shared" si="166"/>
        <v>#N/A</v>
      </c>
      <c r="JT83" s="310"/>
      <c r="JU83" s="310"/>
      <c r="JV83" s="261" t="e">
        <f t="shared" si="161"/>
        <v>#N/A</v>
      </c>
      <c r="JW83" s="261" t="e">
        <f t="shared" si="162"/>
        <v>#N/A</v>
      </c>
      <c r="JX83" s="310"/>
      <c r="JY83" s="313" t="s">
        <v>72</v>
      </c>
      <c r="JZ83" s="362">
        <f>IF(KA81=TRUE,$J$32,#N/A)</f>
        <v>1</v>
      </c>
      <c r="KA83" s="363">
        <f>IF(KA81=TRUE,$H$32,#N/A)</f>
        <v>0.65</v>
      </c>
      <c r="KB83" s="313" t="s">
        <v>149</v>
      </c>
      <c r="KC83" s="242">
        <f>JZ83+$IZ$108/2</f>
        <v>1.1499999999999999</v>
      </c>
      <c r="KD83" s="242">
        <f>KA83+$IZ$108/2-$IZ$114</f>
        <v>0.78500000000000003</v>
      </c>
      <c r="KE83" s="310"/>
      <c r="KF83" s="310"/>
      <c r="KG83" s="310"/>
      <c r="KH83" s="310"/>
      <c r="KI83" s="310"/>
      <c r="KJ83" s="310"/>
      <c r="KK83" s="310"/>
      <c r="KL83" s="310"/>
      <c r="KM83" s="310"/>
      <c r="KN83" s="310"/>
      <c r="KO83" s="310"/>
      <c r="KP83" s="310"/>
      <c r="KQ83" s="310"/>
      <c r="KR83" s="310"/>
      <c r="KS83" s="310"/>
      <c r="KT83" s="310"/>
      <c r="KU83" s="310"/>
      <c r="KV83" s="310"/>
      <c r="KW83" s="310"/>
      <c r="KX83" s="310"/>
      <c r="KY83" s="310"/>
      <c r="KZ83" s="310"/>
      <c r="LA83" s="310"/>
      <c r="LB83" s="310"/>
      <c r="LC83" s="310"/>
      <c r="LD83" s="310"/>
      <c r="LE83" s="310"/>
      <c r="LF83" s="310"/>
      <c r="LG83" s="310"/>
      <c r="LH83" s="310"/>
      <c r="LI83" s="310"/>
      <c r="LJ83" s="310"/>
      <c r="LK83" s="310"/>
      <c r="LL83" s="310"/>
      <c r="LM83" s="310"/>
      <c r="LN83" s="310"/>
      <c r="LO83" s="391"/>
      <c r="LP83" s="391"/>
      <c r="LQ83" s="338"/>
      <c r="LR83" s="338"/>
      <c r="LS83" s="391"/>
      <c r="LT83" s="310"/>
      <c r="LU83" s="310"/>
      <c r="LV83" s="391"/>
      <c r="LW83" s="391"/>
      <c r="LX83" s="338"/>
      <c r="LY83" s="338"/>
      <c r="LZ83" s="391"/>
      <c r="MA83" s="310"/>
      <c r="MB83" s="310"/>
      <c r="MC83" s="391"/>
      <c r="MD83" s="391"/>
      <c r="ME83" s="338"/>
      <c r="MF83" s="338"/>
      <c r="MG83" s="391"/>
      <c r="MH83" s="310"/>
      <c r="MI83" s="310"/>
      <c r="MJ83" s="391"/>
      <c r="MK83" s="391"/>
      <c r="ML83" s="338"/>
      <c r="MM83" s="338"/>
      <c r="MN83" s="391"/>
      <c r="MO83" s="310"/>
      <c r="MP83" s="310"/>
      <c r="MQ83" s="310"/>
      <c r="MR83" s="310"/>
      <c r="MS83" s="310"/>
      <c r="MT83" s="310"/>
      <c r="MU83" s="310"/>
      <c r="MV83" s="310"/>
      <c r="MW83" s="280" t="e">
        <f>IF(MY82=TRUE,MW80,#N/A)</f>
        <v>#N/A</v>
      </c>
      <c r="MX83" s="280" t="e">
        <f>MX82</f>
        <v>#N/A</v>
      </c>
      <c r="MY83" s="310"/>
      <c r="MZ83" s="310"/>
      <c r="NA83" s="310"/>
      <c r="NB83" s="310"/>
      <c r="NC83" s="310"/>
      <c r="ND83" s="310"/>
      <c r="NE83" s="310"/>
      <c r="NF83" s="310"/>
      <c r="NG83" s="310"/>
      <c r="NH83" s="310"/>
      <c r="NI83" s="310"/>
      <c r="NJ83" s="310"/>
      <c r="NK83" s="310"/>
      <c r="NL83" s="310"/>
      <c r="NM83" s="310"/>
      <c r="NN83" s="310"/>
      <c r="NO83" s="310"/>
      <c r="NP83" s="310"/>
      <c r="NQ83" s="310"/>
      <c r="NR83" s="310"/>
      <c r="NS83" s="310"/>
      <c r="NT83" s="310"/>
      <c r="NU83" s="310"/>
      <c r="NV83" s="310"/>
      <c r="NW83" s="310"/>
      <c r="NX83" s="310"/>
      <c r="NY83" s="310"/>
      <c r="NZ83" s="310"/>
      <c r="OA83" s="310"/>
      <c r="OB83" s="310"/>
      <c r="OC83" s="310"/>
      <c r="OD83" s="310"/>
      <c r="OE83" s="310"/>
      <c r="OF83" s="310"/>
      <c r="OG83" s="310"/>
      <c r="OH83" s="310"/>
      <c r="OI83" s="310"/>
      <c r="OJ83" s="310"/>
      <c r="OK83" s="310"/>
      <c r="OL83" s="310"/>
      <c r="OM83" s="310"/>
      <c r="ON83" s="310"/>
      <c r="OO83" s="310"/>
      <c r="OP83" s="310"/>
      <c r="OQ83" s="310"/>
      <c r="OR83" s="310"/>
      <c r="OS83" s="310"/>
      <c r="OT83" s="310"/>
      <c r="OU83" s="310"/>
      <c r="OV83" s="310"/>
      <c r="OW83" s="310"/>
      <c r="OX83" s="310"/>
      <c r="OY83" s="310"/>
      <c r="OZ83" s="310"/>
      <c r="PA83" s="310"/>
      <c r="PB83" s="310"/>
      <c r="PC83" s="310"/>
      <c r="PD83" s="310"/>
      <c r="PE83" s="310"/>
      <c r="PF83" s="310"/>
      <c r="PG83" s="310"/>
      <c r="PH83" s="310"/>
      <c r="PI83" s="310"/>
      <c r="PJ83" s="310"/>
      <c r="PK83" s="310"/>
      <c r="PL83" s="310"/>
      <c r="PM83" s="310"/>
      <c r="PN83" s="310"/>
      <c r="PO83" s="310"/>
      <c r="PP83" s="310"/>
      <c r="PQ83" s="310"/>
      <c r="PR83" s="310"/>
      <c r="PS83" s="342">
        <v>69</v>
      </c>
      <c r="PT83" s="261" t="e">
        <f t="shared" si="163"/>
        <v>#N/A</v>
      </c>
      <c r="PU83" s="261" t="e">
        <f t="shared" si="164"/>
        <v>#N/A</v>
      </c>
      <c r="PV83" s="310"/>
      <c r="PW83" s="310"/>
      <c r="PX83" s="310"/>
      <c r="PY83" s="310"/>
      <c r="PZ83" s="310"/>
      <c r="QA83" s="310"/>
      <c r="QB83" s="310"/>
      <c r="QC83" s="310"/>
      <c r="QD83" s="310"/>
      <c r="QE83" s="310"/>
      <c r="QF83" s="310"/>
      <c r="QG83" s="310"/>
      <c r="QH83" s="310"/>
      <c r="QI83" s="310"/>
      <c r="QJ83" s="310"/>
      <c r="QK83" s="310"/>
      <c r="QL83" s="310"/>
      <c r="QM83" s="310"/>
      <c r="QN83" s="310"/>
      <c r="QO83" s="310"/>
      <c r="QP83" s="310"/>
      <c r="QQ83" s="310"/>
      <c r="QR83" s="310"/>
      <c r="QS83" s="310"/>
      <c r="QT83" s="310"/>
      <c r="QU83" s="310"/>
      <c r="QV83" s="310"/>
      <c r="QW83" s="310"/>
      <c r="QX83" s="310"/>
      <c r="QY83" s="310"/>
      <c r="QZ83" s="310"/>
      <c r="RA83" s="310"/>
      <c r="RB83" s="310"/>
      <c r="RC83" s="310"/>
      <c r="RD83" s="310"/>
      <c r="RE83" s="310"/>
      <c r="RF83" s="310"/>
      <c r="RG83" s="310"/>
      <c r="RH83" s="310"/>
      <c r="RI83" s="310"/>
      <c r="RJ83" s="310"/>
      <c r="RK83" s="310"/>
      <c r="RL83" s="310"/>
      <c r="RM83" s="310"/>
      <c r="RN83" s="310"/>
      <c r="RO83" s="310"/>
      <c r="RP83" s="310"/>
      <c r="RQ83" s="310"/>
      <c r="RR83" s="310"/>
      <c r="RS83" s="310"/>
      <c r="RT83" s="310"/>
      <c r="RU83" s="310"/>
      <c r="RV83" s="310"/>
      <c r="RW83" s="310"/>
      <c r="RX83" s="310"/>
      <c r="RY83" s="310"/>
      <c r="RZ83" s="310"/>
      <c r="SA83" s="313" t="s">
        <v>575</v>
      </c>
      <c r="SB83" s="318" t="b">
        <f>IF(AND(CP13=TRUE,J38&gt;M24),TRUE,FALSE)</f>
        <v>0</v>
      </c>
      <c r="SC83" s="313" t="s">
        <v>565</v>
      </c>
      <c r="SD83" s="249" t="e">
        <f>IF($SA$79=TRUE,IF(SB83=TRUE,$M$11,#N/A),#N/A)</f>
        <v>#N/A</v>
      </c>
      <c r="SE83" s="249" t="e">
        <f>IF($SA$79=TRUE,IF(SB83=TRUE,$M$10,#N/A),#N/A)</f>
        <v>#N/A</v>
      </c>
      <c r="SF83" s="313" t="e">
        <f>IF($SA$79=TRUE,IF(SB83=TRUE,SC83,#N/A),#N/A)</f>
        <v>#N/A</v>
      </c>
      <c r="SG83" s="310"/>
      <c r="SH83" s="310"/>
      <c r="SI83" s="310"/>
      <c r="SJ83" s="310"/>
      <c r="SK83" s="310"/>
      <c r="SL83" s="310"/>
      <c r="SM83" s="310"/>
      <c r="SN83" s="310"/>
      <c r="SO83" s="220"/>
      <c r="SP83" s="220"/>
      <c r="SQ83" s="220"/>
      <c r="SR83" s="220"/>
      <c r="SS83" s="220"/>
      <c r="ST83" s="220"/>
      <c r="SU83" s="220"/>
      <c r="SV83" s="220"/>
      <c r="SW83" s="220"/>
      <c r="SX83" s="220"/>
      <c r="SY83" s="220"/>
      <c r="SZ83" s="220"/>
      <c r="TA83" s="220"/>
      <c r="TB83" s="220"/>
      <c r="TC83" s="220"/>
      <c r="TD83" s="220"/>
      <c r="TE83" s="220"/>
      <c r="TF83" s="220"/>
      <c r="TG83" s="220"/>
      <c r="TH83" s="220"/>
      <c r="TI83" s="220"/>
      <c r="TJ83" s="220"/>
      <c r="TK83" s="220"/>
      <c r="TL83" s="220"/>
      <c r="TM83" s="220"/>
      <c r="TN83" s="220"/>
      <c r="TO83" s="220"/>
      <c r="TP83" s="220"/>
      <c r="TQ83" s="220"/>
      <c r="TR83" s="220"/>
      <c r="TS83" s="220"/>
      <c r="TT83" s="220"/>
      <c r="TU83" s="220"/>
      <c r="TV83" s="220"/>
      <c r="TW83" s="220"/>
      <c r="TX83" s="220"/>
      <c r="TY83" s="220"/>
      <c r="TZ83" s="220"/>
      <c r="UA83" s="220"/>
      <c r="UB83" s="220"/>
      <c r="UC83" s="220"/>
      <c r="UD83" s="220"/>
      <c r="UE83" s="220"/>
      <c r="UF83" s="220"/>
      <c r="UG83" s="220"/>
      <c r="UH83" s="220"/>
      <c r="UI83" s="220"/>
      <c r="UJ83" s="220"/>
      <c r="UK83" s="216"/>
      <c r="UL83" s="216"/>
      <c r="UM83" s="216"/>
      <c r="UN83" s="216"/>
      <c r="UO83" s="216"/>
      <c r="UP83" s="216"/>
      <c r="UQ83" s="216"/>
      <c r="UR83" s="216"/>
      <c r="US83" s="216"/>
      <c r="UT83" s="216"/>
      <c r="UU83" s="216"/>
      <c r="UV83" s="216"/>
      <c r="UW83" s="216"/>
      <c r="UX83" s="216"/>
      <c r="UY83" s="216"/>
      <c r="UZ83" s="216"/>
      <c r="VA83" s="216"/>
    </row>
    <row r="84" spans="1:573" s="4" customFormat="1" x14ac:dyDescent="0.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5"/>
      <c r="AM84" s="45"/>
      <c r="AN84" s="45"/>
      <c r="AO84" s="45"/>
      <c r="AP84" s="310"/>
      <c r="AQ84" s="310"/>
      <c r="AR84" s="310"/>
      <c r="AS84" s="310"/>
      <c r="AT84" s="310"/>
      <c r="AU84" s="424" t="s">
        <v>264</v>
      </c>
      <c r="AV84" s="310" t="b">
        <f>BE9</f>
        <v>1</v>
      </c>
      <c r="AW84" s="310"/>
      <c r="AX84" s="310"/>
      <c r="AY84" s="310"/>
      <c r="AZ84" s="310"/>
      <c r="BA84" s="310"/>
      <c r="BB84" s="310"/>
      <c r="BC84" s="310"/>
      <c r="BD84" s="310"/>
      <c r="BE84" s="310"/>
      <c r="BF84" s="310"/>
      <c r="BG84" s="310"/>
      <c r="BH84" s="310"/>
      <c r="BI84" s="310"/>
      <c r="BJ84" s="310"/>
      <c r="BK84" s="310"/>
      <c r="BL84" s="310"/>
      <c r="BM84" s="310"/>
      <c r="BN84" s="310"/>
      <c r="BO84" s="310"/>
      <c r="BP84" s="310"/>
      <c r="BQ84" s="310"/>
      <c r="BR84" s="310"/>
      <c r="BS84" s="310"/>
      <c r="BT84" s="310"/>
      <c r="BU84" s="310"/>
      <c r="BV84" s="310"/>
      <c r="BW84" s="310"/>
      <c r="BX84" s="310"/>
      <c r="BY84" s="310"/>
      <c r="BZ84" s="310"/>
      <c r="CA84" s="310"/>
      <c r="CB84" s="310"/>
      <c r="CC84" s="310"/>
      <c r="CD84" s="228" t="e">
        <v>#N/A</v>
      </c>
      <c r="CE84" s="228" t="e">
        <v>#N/A</v>
      </c>
      <c r="CF84" s="310"/>
      <c r="CG84" s="310"/>
      <c r="CH84" s="310"/>
      <c r="CI84" s="310"/>
      <c r="CJ84" s="310"/>
      <c r="CK84" s="310"/>
      <c r="CL84" s="310"/>
      <c r="CM84" s="310"/>
      <c r="CN84" s="310"/>
      <c r="CO84" s="310"/>
      <c r="CP84" s="310"/>
      <c r="CQ84" s="310"/>
      <c r="CR84" s="310"/>
      <c r="CS84" s="310"/>
      <c r="CT84" s="310"/>
      <c r="CU84" s="310"/>
      <c r="CV84" s="310"/>
      <c r="CW84" s="310"/>
      <c r="CX84" s="310"/>
      <c r="CY84" s="310"/>
      <c r="CZ84" s="310"/>
      <c r="DA84" s="310"/>
      <c r="DB84" s="310"/>
      <c r="DC84" s="310"/>
      <c r="DD84" s="310"/>
      <c r="DE84" s="310"/>
      <c r="DF84" s="310"/>
      <c r="DG84" s="310"/>
      <c r="DH84" s="310"/>
      <c r="DI84" s="310"/>
      <c r="DJ84" s="310"/>
      <c r="DK84" s="310"/>
      <c r="DL84" s="281" t="e">
        <f>DL83</f>
        <v>#N/A</v>
      </c>
      <c r="DM84" s="281" t="e">
        <f>IF(DM72=TRUE,G52/100,#N/A)</f>
        <v>#N/A</v>
      </c>
      <c r="DN84" s="310"/>
      <c r="DO84" s="310"/>
      <c r="DP84" s="310"/>
      <c r="DQ84" s="310"/>
      <c r="DR84" s="310"/>
      <c r="DS84" s="310"/>
      <c r="DT84" s="310"/>
      <c r="DU84" s="230">
        <f>DU83</f>
        <v>1.4</v>
      </c>
      <c r="DV84" s="230">
        <f>DS80</f>
        <v>-0.95</v>
      </c>
      <c r="DW84" s="300" t="e">
        <v>#N/A</v>
      </c>
      <c r="DX84" s="300" t="e">
        <v>#N/A</v>
      </c>
      <c r="DY84" s="310"/>
      <c r="DZ84" s="310"/>
      <c r="EA84" s="310"/>
      <c r="EB84" s="310"/>
      <c r="EC84" s="310"/>
      <c r="ED84" s="310"/>
      <c r="EE84" s="310"/>
      <c r="EF84" s="310"/>
      <c r="EG84" s="310"/>
      <c r="EH84" s="310"/>
      <c r="EI84" s="338">
        <v>13</v>
      </c>
      <c r="EJ84" s="338" t="b">
        <f t="shared" si="127"/>
        <v>0</v>
      </c>
      <c r="EK84" s="281" t="e">
        <f t="shared" si="128"/>
        <v>#N/A</v>
      </c>
      <c r="EL84" s="281" t="e">
        <f t="shared" si="129"/>
        <v>#N/A</v>
      </c>
      <c r="EM84" s="310"/>
      <c r="EN84" s="280" t="e">
        <v>#N/A</v>
      </c>
      <c r="EO84" s="280" t="e">
        <v>#N/A</v>
      </c>
      <c r="EP84" s="310"/>
      <c r="EQ84" s="310"/>
      <c r="ER84" s="310"/>
      <c r="ES84" s="310"/>
      <c r="ET84" s="310"/>
      <c r="EU84" s="310"/>
      <c r="EV84" s="310"/>
      <c r="EW84" s="310"/>
      <c r="EX84" s="310"/>
      <c r="EY84" s="310"/>
      <c r="EZ84" s="310"/>
      <c r="FA84" s="310"/>
      <c r="FB84" s="310"/>
      <c r="FC84" s="310"/>
      <c r="FD84" s="310"/>
      <c r="FE84" s="310"/>
      <c r="FF84" s="310"/>
      <c r="FG84" s="310"/>
      <c r="FH84" s="310"/>
      <c r="FI84" s="310"/>
      <c r="FJ84" s="310"/>
      <c r="FK84" s="310"/>
      <c r="FL84" s="310"/>
      <c r="FM84" s="310"/>
      <c r="FN84" s="310"/>
      <c r="FO84" s="310"/>
      <c r="FP84" s="310"/>
      <c r="FQ84" s="310"/>
      <c r="FR84" s="310"/>
      <c r="FS84" s="310"/>
      <c r="FT84" s="310"/>
      <c r="FU84" s="310"/>
      <c r="FV84" s="310"/>
      <c r="FW84" s="310"/>
      <c r="FX84" s="310"/>
      <c r="FY84" s="310"/>
      <c r="FZ84" s="310"/>
      <c r="GA84" s="310"/>
      <c r="GB84" s="310"/>
      <c r="GC84" s="310"/>
      <c r="GD84" s="310"/>
      <c r="GE84" s="310"/>
      <c r="GF84" s="310"/>
      <c r="GG84" s="310"/>
      <c r="GH84" s="310"/>
      <c r="GI84" s="310"/>
      <c r="GJ84" s="310"/>
      <c r="GK84" s="310"/>
      <c r="GL84" s="310"/>
      <c r="GM84" s="310"/>
      <c r="GN84" s="310"/>
      <c r="GO84" s="310"/>
      <c r="GP84" s="310"/>
      <c r="GQ84" s="310"/>
      <c r="GR84" s="310"/>
      <c r="GS84" s="310"/>
      <c r="GT84" s="310"/>
      <c r="GU84" s="310"/>
      <c r="GV84" s="310"/>
      <c r="GW84" s="310"/>
      <c r="GX84" s="310"/>
      <c r="GY84" s="310"/>
      <c r="GZ84" s="310"/>
      <c r="HA84" s="310"/>
      <c r="HB84" s="310"/>
      <c r="HC84" s="310"/>
      <c r="HD84" s="310"/>
      <c r="HE84" s="310"/>
      <c r="HF84" s="310"/>
      <c r="HG84" s="310"/>
      <c r="HH84" s="310"/>
      <c r="HI84" s="310"/>
      <c r="HJ84" s="310"/>
      <c r="HK84" s="342">
        <v>70</v>
      </c>
      <c r="HL84" s="235" t="e">
        <f t="shared" si="139"/>
        <v>#N/A</v>
      </c>
      <c r="HM84" s="235" t="e">
        <f t="shared" si="140"/>
        <v>#N/A</v>
      </c>
      <c r="HN84" s="310"/>
      <c r="HO84" s="310"/>
      <c r="HP84" s="235" t="e">
        <f t="shared" si="141"/>
        <v>#N/A</v>
      </c>
      <c r="HQ84" s="235" t="e">
        <f t="shared" si="142"/>
        <v>#N/A</v>
      </c>
      <c r="HR84" s="310"/>
      <c r="HS84" s="310"/>
      <c r="HT84" s="235" t="e">
        <f t="shared" si="143"/>
        <v>#N/A</v>
      </c>
      <c r="HU84" s="235" t="e">
        <f t="shared" si="144"/>
        <v>#N/A</v>
      </c>
      <c r="HV84" s="310"/>
      <c r="HW84" s="310"/>
      <c r="HX84" s="235" t="e">
        <f t="shared" si="145"/>
        <v>#N/A</v>
      </c>
      <c r="HY84" s="235" t="e">
        <f t="shared" si="146"/>
        <v>#N/A</v>
      </c>
      <c r="HZ84" s="310"/>
      <c r="IA84" s="310"/>
      <c r="IB84" s="235" t="e">
        <f t="shared" si="147"/>
        <v>#N/A</v>
      </c>
      <c r="IC84" s="235" t="e">
        <f t="shared" si="148"/>
        <v>#N/A</v>
      </c>
      <c r="ID84" s="310"/>
      <c r="IE84" s="342">
        <v>70</v>
      </c>
      <c r="IF84" s="262" t="e">
        <f t="shared" si="149"/>
        <v>#N/A</v>
      </c>
      <c r="IG84" s="262" t="e">
        <f t="shared" si="150"/>
        <v>#N/A</v>
      </c>
      <c r="IH84" s="390"/>
      <c r="II84" s="390"/>
      <c r="IJ84" s="262" t="e">
        <f t="shared" si="151"/>
        <v>#N/A</v>
      </c>
      <c r="IK84" s="262" t="e">
        <f t="shared" si="152"/>
        <v>#N/A</v>
      </c>
      <c r="IL84" s="390"/>
      <c r="IM84" s="390"/>
      <c r="IN84" s="262" t="e">
        <f t="shared" si="153"/>
        <v>#N/A</v>
      </c>
      <c r="IO84" s="262" t="e">
        <f t="shared" si="154"/>
        <v>#N/A</v>
      </c>
      <c r="IP84" s="390"/>
      <c r="IQ84" s="390"/>
      <c r="IR84" s="262" t="e">
        <f t="shared" si="155"/>
        <v>#N/A</v>
      </c>
      <c r="IS84" s="262" t="e">
        <f t="shared" si="156"/>
        <v>#N/A</v>
      </c>
      <c r="IT84" s="390"/>
      <c r="IU84" s="390"/>
      <c r="IV84" s="262" t="e">
        <f t="shared" si="157"/>
        <v>#N/A</v>
      </c>
      <c r="IW84" s="262" t="e">
        <f t="shared" si="158"/>
        <v>#N/A</v>
      </c>
      <c r="IX84" s="310"/>
      <c r="IY84" s="310"/>
      <c r="IZ84" s="310"/>
      <c r="JA84" s="310"/>
      <c r="JB84" s="313" t="s">
        <v>325</v>
      </c>
      <c r="JC84" s="234" t="e">
        <f>IZ81-$IZ$62</f>
        <v>#N/A</v>
      </c>
      <c r="JD84" s="234" t="e">
        <f>JA81</f>
        <v>#N/A</v>
      </c>
      <c r="JE84" s="310"/>
      <c r="JF84" s="310"/>
      <c r="JG84" s="310"/>
      <c r="JH84" s="310"/>
      <c r="JI84" s="313" t="s">
        <v>325</v>
      </c>
      <c r="JJ84" s="265" t="e">
        <f>JG81-$IZ$62</f>
        <v>#N/A</v>
      </c>
      <c r="JK84" s="265" t="e">
        <f>JH81</f>
        <v>#N/A</v>
      </c>
      <c r="JL84" s="310"/>
      <c r="JM84" s="310"/>
      <c r="JN84" s="261" t="e">
        <f t="shared" si="159"/>
        <v>#N/A</v>
      </c>
      <c r="JO84" s="261" t="e">
        <f t="shared" si="160"/>
        <v>#N/A</v>
      </c>
      <c r="JP84" s="310"/>
      <c r="JQ84" s="310"/>
      <c r="JR84" s="261" t="e">
        <f t="shared" si="165"/>
        <v>#N/A</v>
      </c>
      <c r="JS84" s="261" t="e">
        <f t="shared" si="166"/>
        <v>#N/A</v>
      </c>
      <c r="JT84" s="310"/>
      <c r="JU84" s="310"/>
      <c r="JV84" s="261" t="e">
        <f t="shared" si="161"/>
        <v>#N/A</v>
      </c>
      <c r="JW84" s="261" t="e">
        <f t="shared" si="162"/>
        <v>#N/A</v>
      </c>
      <c r="JX84" s="310"/>
      <c r="JY84" s="311"/>
      <c r="JZ84" s="311"/>
      <c r="KA84" s="311"/>
      <c r="KB84" s="313" t="s">
        <v>152</v>
      </c>
      <c r="KC84" s="242">
        <f>KC83</f>
        <v>1.1499999999999999</v>
      </c>
      <c r="KD84" s="265">
        <f>KA83+($IZ$108/2)-$IZ$109</f>
        <v>0.72500000000000009</v>
      </c>
      <c r="KE84" s="310"/>
      <c r="KF84" s="310"/>
      <c r="KG84" s="310"/>
      <c r="KH84" s="310"/>
      <c r="KI84" s="310"/>
      <c r="KJ84" s="310"/>
      <c r="KK84" s="310"/>
      <c r="KL84" s="310"/>
      <c r="KM84" s="310"/>
      <c r="KN84" s="310"/>
      <c r="KO84" s="310"/>
      <c r="KP84" s="310"/>
      <c r="KQ84" s="310"/>
      <c r="KR84" s="310"/>
      <c r="KS84" s="310"/>
      <c r="KT84" s="310"/>
      <c r="KU84" s="310"/>
      <c r="KV84" s="310"/>
      <c r="KW84" s="310"/>
      <c r="KX84" s="310"/>
      <c r="KY84" s="310"/>
      <c r="KZ84" s="310"/>
      <c r="LA84" s="310"/>
      <c r="LB84" s="310"/>
      <c r="LC84" s="310"/>
      <c r="LD84" s="310"/>
      <c r="LE84" s="310"/>
      <c r="LF84" s="310"/>
      <c r="LG84" s="310"/>
      <c r="LH84" s="310"/>
      <c r="LI84" s="310"/>
      <c r="LJ84" s="310"/>
      <c r="LK84" s="310"/>
      <c r="LL84" s="310"/>
      <c r="LM84" s="310"/>
      <c r="LN84" s="310"/>
      <c r="LO84" s="347"/>
      <c r="LP84" s="347"/>
      <c r="LQ84" s="338"/>
      <c r="LR84" s="338"/>
      <c r="LS84" s="391"/>
      <c r="LT84" s="310"/>
      <c r="LU84" s="310"/>
      <c r="LV84" s="347"/>
      <c r="LW84" s="347"/>
      <c r="LX84" s="338"/>
      <c r="LY84" s="338"/>
      <c r="LZ84" s="391"/>
      <c r="MA84" s="310"/>
      <c r="MB84" s="310"/>
      <c r="MC84" s="347"/>
      <c r="MD84" s="347"/>
      <c r="ME84" s="338"/>
      <c r="MF84" s="338"/>
      <c r="MG84" s="391"/>
      <c r="MH84" s="310"/>
      <c r="MI84" s="310"/>
      <c r="MJ84" s="347"/>
      <c r="MK84" s="347"/>
      <c r="ML84" s="338"/>
      <c r="MM84" s="338"/>
      <c r="MN84" s="391"/>
      <c r="MO84" s="310"/>
      <c r="MP84" s="310"/>
      <c r="MQ84" s="310"/>
      <c r="MR84" s="310"/>
      <c r="MS84" s="310"/>
      <c r="MT84" s="310"/>
      <c r="MU84" s="310"/>
      <c r="MV84" s="310"/>
      <c r="MW84" s="292" t="e">
        <v>#N/A</v>
      </c>
      <c r="MX84" s="292" t="e">
        <v>#N/A</v>
      </c>
      <c r="MY84" s="310"/>
      <c r="MZ84" s="310"/>
      <c r="NA84" s="310"/>
      <c r="NB84" s="310"/>
      <c r="NC84" s="310"/>
      <c r="ND84" s="310"/>
      <c r="NE84" s="310"/>
      <c r="NF84" s="310"/>
      <c r="NG84" s="310"/>
      <c r="NH84" s="310"/>
      <c r="NI84" s="310"/>
      <c r="NJ84" s="310"/>
      <c r="NK84" s="310"/>
      <c r="NL84" s="310"/>
      <c r="NM84" s="310"/>
      <c r="NN84" s="310"/>
      <c r="NO84" s="310"/>
      <c r="NP84" s="310"/>
      <c r="NQ84" s="310"/>
      <c r="NR84" s="310"/>
      <c r="NS84" s="310"/>
      <c r="NT84" s="310"/>
      <c r="NU84" s="310"/>
      <c r="NV84" s="310"/>
      <c r="NW84" s="310"/>
      <c r="NX84" s="310"/>
      <c r="NY84" s="310"/>
      <c r="NZ84" s="310"/>
      <c r="OA84" s="310"/>
      <c r="OB84" s="310"/>
      <c r="OC84" s="310"/>
      <c r="OD84" s="310"/>
      <c r="OE84" s="310"/>
      <c r="OF84" s="310"/>
      <c r="OG84" s="310"/>
      <c r="OH84" s="310"/>
      <c r="OI84" s="310"/>
      <c r="OJ84" s="310"/>
      <c r="OK84" s="310"/>
      <c r="OL84" s="310"/>
      <c r="OM84" s="310"/>
      <c r="ON84" s="310"/>
      <c r="OO84" s="310"/>
      <c r="OP84" s="310"/>
      <c r="OQ84" s="310"/>
      <c r="OR84" s="310"/>
      <c r="OS84" s="310"/>
      <c r="OT84" s="310"/>
      <c r="OU84" s="310"/>
      <c r="OV84" s="310"/>
      <c r="OW84" s="310"/>
      <c r="OX84" s="310"/>
      <c r="OY84" s="310"/>
      <c r="OZ84" s="310"/>
      <c r="PA84" s="310"/>
      <c r="PB84" s="310"/>
      <c r="PC84" s="310"/>
      <c r="PD84" s="310"/>
      <c r="PE84" s="310"/>
      <c r="PF84" s="310"/>
      <c r="PG84" s="310"/>
      <c r="PH84" s="310"/>
      <c r="PI84" s="310"/>
      <c r="PJ84" s="310"/>
      <c r="PK84" s="310"/>
      <c r="PL84" s="310"/>
      <c r="PM84" s="310"/>
      <c r="PN84" s="310"/>
      <c r="PO84" s="310"/>
      <c r="PP84" s="310"/>
      <c r="PQ84" s="310"/>
      <c r="PR84" s="310"/>
      <c r="PS84" s="342">
        <v>70</v>
      </c>
      <c r="PT84" s="261" t="e">
        <f t="shared" si="163"/>
        <v>#N/A</v>
      </c>
      <c r="PU84" s="261" t="e">
        <f t="shared" si="164"/>
        <v>#N/A</v>
      </c>
      <c r="PV84" s="310"/>
      <c r="PW84" s="310"/>
      <c r="PX84" s="310"/>
      <c r="PY84" s="310"/>
      <c r="PZ84" s="310"/>
      <c r="QA84" s="310"/>
      <c r="QB84" s="310"/>
      <c r="QC84" s="310"/>
      <c r="QD84" s="310"/>
      <c r="QE84" s="310"/>
      <c r="QF84" s="310"/>
      <c r="QG84" s="310"/>
      <c r="QH84" s="310"/>
      <c r="QI84" s="310"/>
      <c r="QJ84" s="310"/>
      <c r="QK84" s="310"/>
      <c r="QL84" s="310"/>
      <c r="QM84" s="310"/>
      <c r="QN84" s="310"/>
      <c r="QO84" s="310"/>
      <c r="QP84" s="310"/>
      <c r="QQ84" s="310"/>
      <c r="QR84" s="310"/>
      <c r="QS84" s="310"/>
      <c r="QT84" s="310"/>
      <c r="QU84" s="310"/>
      <c r="QV84" s="310"/>
      <c r="QW84" s="310"/>
      <c r="QX84" s="310"/>
      <c r="QY84" s="310"/>
      <c r="QZ84" s="310"/>
      <c r="RA84" s="310"/>
      <c r="RB84" s="310"/>
      <c r="RC84" s="310"/>
      <c r="RD84" s="310"/>
      <c r="RE84" s="310"/>
      <c r="RF84" s="310"/>
      <c r="RG84" s="310"/>
      <c r="RH84" s="310"/>
      <c r="RI84" s="310"/>
      <c r="RJ84" s="310"/>
      <c r="RK84" s="310"/>
      <c r="RL84" s="310"/>
      <c r="RM84" s="310"/>
      <c r="RN84" s="310"/>
      <c r="RO84" s="310"/>
      <c r="RP84" s="310"/>
      <c r="RQ84" s="310"/>
      <c r="RR84" s="310"/>
      <c r="RS84" s="310"/>
      <c r="RT84" s="310"/>
      <c r="RU84" s="310"/>
      <c r="RV84" s="310"/>
      <c r="RW84" s="310"/>
      <c r="RX84" s="310"/>
      <c r="RY84" s="310"/>
      <c r="RZ84" s="310"/>
      <c r="SA84" s="310"/>
      <c r="SB84" s="310"/>
      <c r="SC84" s="310"/>
      <c r="SD84" s="310"/>
      <c r="SE84" s="310"/>
      <c r="SF84" s="310"/>
      <c r="SG84" s="310"/>
      <c r="SH84" s="310"/>
      <c r="SI84" s="310"/>
      <c r="SJ84" s="310"/>
      <c r="SK84" s="310"/>
      <c r="SL84" s="310"/>
      <c r="SM84" s="310"/>
      <c r="SN84" s="310"/>
      <c r="SO84" s="220"/>
      <c r="SP84" s="220"/>
      <c r="SQ84" s="220"/>
      <c r="SR84" s="220"/>
      <c r="SS84" s="220"/>
      <c r="ST84" s="220"/>
      <c r="SU84" s="220"/>
      <c r="SV84" s="220"/>
      <c r="SW84" s="220"/>
      <c r="SX84" s="220"/>
      <c r="SY84" s="220"/>
      <c r="SZ84" s="220"/>
      <c r="TA84" s="220"/>
      <c r="TB84" s="220"/>
      <c r="TC84" s="220"/>
      <c r="TD84" s="220"/>
      <c r="TE84" s="220"/>
      <c r="TF84" s="220"/>
      <c r="TG84" s="220"/>
      <c r="TH84" s="220"/>
      <c r="TI84" s="220"/>
      <c r="TJ84" s="220"/>
      <c r="TK84" s="220"/>
      <c r="TL84" s="220"/>
      <c r="TM84" s="220"/>
      <c r="TN84" s="220"/>
      <c r="TO84" s="220"/>
      <c r="TP84" s="220"/>
      <c r="TQ84" s="220"/>
      <c r="TR84" s="220"/>
      <c r="TS84" s="220"/>
      <c r="TT84" s="220"/>
      <c r="TU84" s="220"/>
      <c r="TV84" s="220"/>
      <c r="TW84" s="220"/>
      <c r="TX84" s="220"/>
      <c r="TY84" s="220"/>
      <c r="TZ84" s="220"/>
      <c r="UA84" s="220"/>
      <c r="UB84" s="220"/>
      <c r="UC84" s="220"/>
      <c r="UD84" s="220"/>
      <c r="UE84" s="220"/>
      <c r="UF84" s="220"/>
      <c r="UG84" s="220"/>
      <c r="UH84" s="220"/>
      <c r="UI84" s="220"/>
      <c r="UJ84" s="220"/>
      <c r="UK84" s="216"/>
      <c r="UL84" s="216"/>
      <c r="UM84" s="216"/>
      <c r="UN84" s="216"/>
      <c r="UO84" s="216"/>
      <c r="UP84" s="216"/>
      <c r="UQ84" s="216"/>
      <c r="UR84" s="216"/>
      <c r="US84" s="216"/>
      <c r="UT84" s="216"/>
      <c r="UU84" s="216"/>
      <c r="UV84" s="216"/>
      <c r="UW84" s="216"/>
      <c r="UX84" s="216"/>
      <c r="UY84" s="216"/>
      <c r="UZ84" s="216"/>
      <c r="VA84" s="216"/>
    </row>
    <row r="85" spans="1:573" s="4" customFormat="1" x14ac:dyDescent="0.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5"/>
      <c r="AM85" s="45"/>
      <c r="AN85" s="45"/>
      <c r="AO85" s="45"/>
      <c r="AP85" s="310"/>
      <c r="AQ85" s="310"/>
      <c r="AR85" s="310"/>
      <c r="AS85" s="310"/>
      <c r="AT85" s="310"/>
      <c r="AU85" s="328" t="s">
        <v>48</v>
      </c>
      <c r="AV85" s="328" t="s">
        <v>49</v>
      </c>
      <c r="AW85" s="310"/>
      <c r="AX85" s="310"/>
      <c r="AY85" s="310"/>
      <c r="AZ85" s="310"/>
      <c r="BA85" s="310"/>
      <c r="BB85" s="310"/>
      <c r="BC85" s="310"/>
      <c r="BD85" s="310"/>
      <c r="BE85" s="310"/>
      <c r="BF85" s="310"/>
      <c r="BG85" s="310"/>
      <c r="BH85" s="310"/>
      <c r="BI85" s="310"/>
      <c r="BJ85" s="310"/>
      <c r="BK85" s="310"/>
      <c r="BL85" s="310"/>
      <c r="BM85" s="310"/>
      <c r="BN85" s="310"/>
      <c r="BO85" s="310"/>
      <c r="BP85" s="310"/>
      <c r="BQ85" s="310"/>
      <c r="BR85" s="310"/>
      <c r="BS85" s="310"/>
      <c r="BT85" s="310"/>
      <c r="BU85" s="310"/>
      <c r="BV85" s="310"/>
      <c r="BW85" s="310"/>
      <c r="BX85" s="310"/>
      <c r="BY85" s="310"/>
      <c r="BZ85" s="310"/>
      <c r="CA85" s="310"/>
      <c r="CB85" s="310"/>
      <c r="CC85" s="310"/>
      <c r="CD85" s="228" t="e">
        <f>CD82</f>
        <v>#N/A</v>
      </c>
      <c r="CE85" s="227" t="e">
        <f>CE82</f>
        <v>#N/A</v>
      </c>
      <c r="CF85" s="310"/>
      <c r="CG85" s="310"/>
      <c r="CH85" s="310"/>
      <c r="CI85" s="310"/>
      <c r="CJ85" s="310"/>
      <c r="CK85" s="310"/>
      <c r="CL85" s="310"/>
      <c r="CM85" s="310"/>
      <c r="CN85" s="310"/>
      <c r="CO85" s="310"/>
      <c r="CP85" s="310"/>
      <c r="CQ85" s="310"/>
      <c r="CR85" s="310"/>
      <c r="CS85" s="310"/>
      <c r="CT85" s="310"/>
      <c r="CU85" s="310"/>
      <c r="CV85" s="310"/>
      <c r="CW85" s="310"/>
      <c r="CX85" s="310"/>
      <c r="CY85" s="310"/>
      <c r="CZ85" s="310"/>
      <c r="DA85" s="310"/>
      <c r="DB85" s="310"/>
      <c r="DC85" s="310"/>
      <c r="DD85" s="310"/>
      <c r="DE85" s="310"/>
      <c r="DF85" s="310"/>
      <c r="DG85" s="310"/>
      <c r="DH85" s="310"/>
      <c r="DI85" s="310"/>
      <c r="DJ85" s="310"/>
      <c r="DK85" s="310"/>
      <c r="DL85" s="281" t="e">
        <f>DL81</f>
        <v>#N/A</v>
      </c>
      <c r="DM85" s="281" t="e">
        <f>DM80-(DM80-DM81)/2</f>
        <v>#N/A</v>
      </c>
      <c r="DN85" s="310" t="e">
        <f>"D="&amp;TEXT(DM77*100,"0.00")&amp;"cm."</f>
        <v>#N/A</v>
      </c>
      <c r="DO85" s="310"/>
      <c r="DP85" s="310"/>
      <c r="DQ85" s="310"/>
      <c r="DR85" s="310"/>
      <c r="DS85" s="310"/>
      <c r="DT85" s="310"/>
      <c r="DU85" s="230">
        <f>DU82</f>
        <v>1</v>
      </c>
      <c r="DV85" s="230">
        <f>DV84</f>
        <v>-0.95</v>
      </c>
      <c r="DW85" s="300" t="e">
        <v>#N/A</v>
      </c>
      <c r="DX85" s="300" t="e">
        <v>#N/A</v>
      </c>
      <c r="DY85" s="310"/>
      <c r="DZ85" s="310"/>
      <c r="EA85" s="310"/>
      <c r="EB85" s="310"/>
      <c r="EC85" s="310"/>
      <c r="ED85" s="310"/>
      <c r="EE85" s="310"/>
      <c r="EF85" s="310"/>
      <c r="EG85" s="310"/>
      <c r="EH85" s="310"/>
      <c r="EI85" s="338">
        <v>14</v>
      </c>
      <c r="EJ85" s="338" t="b">
        <f t="shared" si="127"/>
        <v>0</v>
      </c>
      <c r="EK85" s="281" t="e">
        <f t="shared" si="128"/>
        <v>#N/A</v>
      </c>
      <c r="EL85" s="281" t="e">
        <f t="shared" si="129"/>
        <v>#N/A</v>
      </c>
      <c r="EM85" s="310"/>
      <c r="EN85" s="280">
        <f>$EN$82</f>
        <v>-0.13400000000000001</v>
      </c>
      <c r="EO85" s="280">
        <f>EO82+0.2</f>
        <v>0.38500000000000001</v>
      </c>
      <c r="EP85" s="310"/>
      <c r="EQ85" s="310"/>
      <c r="ER85" s="310"/>
      <c r="ES85" s="310"/>
      <c r="ET85" s="310"/>
      <c r="EU85" s="310"/>
      <c r="EV85" s="310"/>
      <c r="EW85" s="310"/>
      <c r="EX85" s="310"/>
      <c r="EY85" s="310"/>
      <c r="EZ85" s="310"/>
      <c r="FA85" s="310"/>
      <c r="FB85" s="310"/>
      <c r="FC85" s="310"/>
      <c r="FD85" s="310"/>
      <c r="FE85" s="310"/>
      <c r="FF85" s="310"/>
      <c r="FG85" s="310"/>
      <c r="FH85" s="310"/>
      <c r="FI85" s="310"/>
      <c r="FJ85" s="310"/>
      <c r="FK85" s="310"/>
      <c r="FL85" s="310"/>
      <c r="FM85" s="310"/>
      <c r="FN85" s="310"/>
      <c r="FO85" s="310"/>
      <c r="FP85" s="310"/>
      <c r="FQ85" s="310"/>
      <c r="FR85" s="310"/>
      <c r="FS85" s="310"/>
      <c r="FT85" s="310"/>
      <c r="FU85" s="310"/>
      <c r="FV85" s="310"/>
      <c r="FW85" s="310"/>
      <c r="FX85" s="310"/>
      <c r="FY85" s="310"/>
      <c r="FZ85" s="310"/>
      <c r="GA85" s="310"/>
      <c r="GB85" s="310"/>
      <c r="GC85" s="310"/>
      <c r="GD85" s="310"/>
      <c r="GE85" s="310"/>
      <c r="GF85" s="310"/>
      <c r="GG85" s="310"/>
      <c r="GH85" s="310"/>
      <c r="GI85" s="310"/>
      <c r="GJ85" s="310"/>
      <c r="GK85" s="310"/>
      <c r="GL85" s="310"/>
      <c r="GM85" s="310"/>
      <c r="GN85" s="310"/>
      <c r="GO85" s="310"/>
      <c r="GP85" s="310"/>
      <c r="GQ85" s="310"/>
      <c r="GR85" s="310"/>
      <c r="GS85" s="310"/>
      <c r="GT85" s="310"/>
      <c r="GU85" s="310"/>
      <c r="GV85" s="310"/>
      <c r="GW85" s="310"/>
      <c r="GX85" s="310"/>
      <c r="GY85" s="310"/>
      <c r="GZ85" s="310"/>
      <c r="HA85" s="310"/>
      <c r="HB85" s="310"/>
      <c r="HC85" s="310"/>
      <c r="HD85" s="310"/>
      <c r="HE85" s="310"/>
      <c r="HF85" s="310"/>
      <c r="HG85" s="310"/>
      <c r="HH85" s="310"/>
      <c r="HI85" s="310"/>
      <c r="HJ85" s="310"/>
      <c r="HK85" s="342">
        <v>71</v>
      </c>
      <c r="HL85" s="235" t="e">
        <f t="shared" si="139"/>
        <v>#N/A</v>
      </c>
      <c r="HM85" s="235" t="e">
        <f t="shared" si="140"/>
        <v>#N/A</v>
      </c>
      <c r="HN85" s="310"/>
      <c r="HO85" s="310"/>
      <c r="HP85" s="235" t="e">
        <f t="shared" si="141"/>
        <v>#N/A</v>
      </c>
      <c r="HQ85" s="235" t="e">
        <f t="shared" si="142"/>
        <v>#N/A</v>
      </c>
      <c r="HR85" s="310"/>
      <c r="HS85" s="310"/>
      <c r="HT85" s="235" t="e">
        <f t="shared" si="143"/>
        <v>#N/A</v>
      </c>
      <c r="HU85" s="235" t="e">
        <f t="shared" si="144"/>
        <v>#N/A</v>
      </c>
      <c r="HV85" s="310"/>
      <c r="HW85" s="310"/>
      <c r="HX85" s="235" t="e">
        <f t="shared" si="145"/>
        <v>#N/A</v>
      </c>
      <c r="HY85" s="235" t="e">
        <f t="shared" si="146"/>
        <v>#N/A</v>
      </c>
      <c r="HZ85" s="310"/>
      <c r="IA85" s="310"/>
      <c r="IB85" s="235" t="e">
        <f t="shared" si="147"/>
        <v>#N/A</v>
      </c>
      <c r="IC85" s="235" t="e">
        <f t="shared" si="148"/>
        <v>#N/A</v>
      </c>
      <c r="ID85" s="310"/>
      <c r="IE85" s="342">
        <v>71</v>
      </c>
      <c r="IF85" s="262" t="e">
        <f t="shared" si="149"/>
        <v>#N/A</v>
      </c>
      <c r="IG85" s="262" t="e">
        <f t="shared" si="150"/>
        <v>#N/A</v>
      </c>
      <c r="IH85" s="390"/>
      <c r="II85" s="390"/>
      <c r="IJ85" s="262" t="e">
        <f t="shared" si="151"/>
        <v>#N/A</v>
      </c>
      <c r="IK85" s="262" t="e">
        <f t="shared" si="152"/>
        <v>#N/A</v>
      </c>
      <c r="IL85" s="390"/>
      <c r="IM85" s="390"/>
      <c r="IN85" s="262" t="e">
        <f t="shared" si="153"/>
        <v>#N/A</v>
      </c>
      <c r="IO85" s="262" t="e">
        <f t="shared" si="154"/>
        <v>#N/A</v>
      </c>
      <c r="IP85" s="390"/>
      <c r="IQ85" s="390"/>
      <c r="IR85" s="262" t="e">
        <f t="shared" si="155"/>
        <v>#N/A</v>
      </c>
      <c r="IS85" s="262" t="e">
        <f t="shared" si="156"/>
        <v>#N/A</v>
      </c>
      <c r="IT85" s="390"/>
      <c r="IU85" s="390"/>
      <c r="IV85" s="262" t="e">
        <f t="shared" si="157"/>
        <v>#N/A</v>
      </c>
      <c r="IW85" s="262" t="e">
        <f t="shared" si="158"/>
        <v>#N/A</v>
      </c>
      <c r="IX85" s="310"/>
      <c r="IY85" s="310"/>
      <c r="IZ85" s="310"/>
      <c r="JA85" s="310"/>
      <c r="JB85" s="313" t="s">
        <v>326</v>
      </c>
      <c r="JC85" s="228" t="e">
        <f>JC79</f>
        <v>#N/A</v>
      </c>
      <c r="JD85" s="228" t="e">
        <f>JD79</f>
        <v>#N/A</v>
      </c>
      <c r="JE85" s="310"/>
      <c r="JF85" s="310"/>
      <c r="JG85" s="310"/>
      <c r="JH85" s="310"/>
      <c r="JI85" s="313" t="s">
        <v>326</v>
      </c>
      <c r="JJ85" s="242" t="e">
        <f>JJ79</f>
        <v>#N/A</v>
      </c>
      <c r="JK85" s="242" t="e">
        <f>JK79</f>
        <v>#N/A</v>
      </c>
      <c r="JL85" s="310"/>
      <c r="JM85" s="310"/>
      <c r="JN85" s="261" t="e">
        <f t="shared" si="159"/>
        <v>#N/A</v>
      </c>
      <c r="JO85" s="261" t="e">
        <f t="shared" si="160"/>
        <v>#N/A</v>
      </c>
      <c r="JP85" s="310"/>
      <c r="JQ85" s="310"/>
      <c r="JR85" s="261" t="e">
        <f t="shared" si="165"/>
        <v>#N/A</v>
      </c>
      <c r="JS85" s="261" t="e">
        <f t="shared" si="166"/>
        <v>#N/A</v>
      </c>
      <c r="JT85" s="310"/>
      <c r="JU85" s="310"/>
      <c r="JV85" s="261" t="e">
        <f t="shared" si="161"/>
        <v>#N/A</v>
      </c>
      <c r="JW85" s="261" t="e">
        <f t="shared" si="162"/>
        <v>#N/A</v>
      </c>
      <c r="JX85" s="310"/>
      <c r="JY85" s="311"/>
      <c r="JZ85" s="311"/>
      <c r="KA85" s="311"/>
      <c r="KB85" s="313" t="s">
        <v>167</v>
      </c>
      <c r="KC85" s="242">
        <f>JZ83+$IZ$112/2</f>
        <v>1.05</v>
      </c>
      <c r="KD85" s="266">
        <f>KA83+($IZ$108/2)-($IZ$108-$IZ$111-$IZ$110)</f>
        <v>0.69500000000000006</v>
      </c>
      <c r="KE85" s="310"/>
      <c r="KF85" s="310"/>
      <c r="KG85" s="310"/>
      <c r="KH85" s="310"/>
      <c r="KI85" s="310"/>
      <c r="KJ85" s="310"/>
      <c r="KK85" s="310"/>
      <c r="KL85" s="310"/>
      <c r="KM85" s="310"/>
      <c r="KN85" s="310"/>
      <c r="KO85" s="310"/>
      <c r="KP85" s="310"/>
      <c r="KQ85" s="310"/>
      <c r="KR85" s="310"/>
      <c r="KS85" s="310"/>
      <c r="KT85" s="310"/>
      <c r="KU85" s="310"/>
      <c r="KV85" s="310"/>
      <c r="KW85" s="310"/>
      <c r="KX85" s="310"/>
      <c r="KY85" s="310"/>
      <c r="KZ85" s="310"/>
      <c r="LA85" s="310"/>
      <c r="LB85" s="310"/>
      <c r="LC85" s="310"/>
      <c r="LD85" s="310"/>
      <c r="LE85" s="310"/>
      <c r="LF85" s="310"/>
      <c r="LG85" s="310"/>
      <c r="LH85" s="310"/>
      <c r="LI85" s="310"/>
      <c r="LJ85" s="310"/>
      <c r="LK85" s="310"/>
      <c r="LL85" s="310"/>
      <c r="LM85" s="310"/>
      <c r="LN85" s="310"/>
      <c r="LO85" s="391"/>
      <c r="LP85" s="391"/>
      <c r="LQ85" s="338"/>
      <c r="LR85" s="338"/>
      <c r="LS85" s="391"/>
      <c r="LT85" s="310"/>
      <c r="LU85" s="310"/>
      <c r="LV85" s="391"/>
      <c r="LW85" s="391"/>
      <c r="LX85" s="338"/>
      <c r="LY85" s="338"/>
      <c r="LZ85" s="391"/>
      <c r="MA85" s="310"/>
      <c r="MB85" s="310"/>
      <c r="MC85" s="391"/>
      <c r="MD85" s="391"/>
      <c r="ME85" s="338"/>
      <c r="MF85" s="338"/>
      <c r="MG85" s="391"/>
      <c r="MH85" s="310"/>
      <c r="MI85" s="310"/>
      <c r="MJ85" s="391"/>
      <c r="MK85" s="391"/>
      <c r="ML85" s="338"/>
      <c r="MM85" s="338"/>
      <c r="MN85" s="391"/>
      <c r="MO85" s="310"/>
      <c r="MP85" s="310"/>
      <c r="MQ85" s="310"/>
      <c r="MR85" s="310"/>
      <c r="MS85" s="310"/>
      <c r="MT85" s="310"/>
      <c r="MU85" s="310"/>
      <c r="MV85" s="310"/>
      <c r="MW85" s="310"/>
      <c r="MX85" s="310"/>
      <c r="MY85" s="310"/>
      <c r="MZ85" s="310"/>
      <c r="NA85" s="310"/>
      <c r="NB85" s="310"/>
      <c r="NC85" s="310"/>
      <c r="ND85" s="310"/>
      <c r="NE85" s="310"/>
      <c r="NF85" s="310"/>
      <c r="NG85" s="310"/>
      <c r="NH85" s="310"/>
      <c r="NI85" s="310"/>
      <c r="NJ85" s="310"/>
      <c r="NK85" s="310"/>
      <c r="NL85" s="310"/>
      <c r="NM85" s="310"/>
      <c r="NN85" s="310"/>
      <c r="NO85" s="310"/>
      <c r="NP85" s="310"/>
      <c r="NQ85" s="310"/>
      <c r="NR85" s="310"/>
      <c r="NS85" s="310"/>
      <c r="NT85" s="310"/>
      <c r="NU85" s="310"/>
      <c r="NV85" s="310"/>
      <c r="NW85" s="310"/>
      <c r="NX85" s="310"/>
      <c r="NY85" s="310"/>
      <c r="NZ85" s="310"/>
      <c r="OA85" s="310"/>
      <c r="OB85" s="310"/>
      <c r="OC85" s="310"/>
      <c r="OD85" s="310"/>
      <c r="OE85" s="310"/>
      <c r="OF85" s="310"/>
      <c r="OG85" s="310"/>
      <c r="OH85" s="310"/>
      <c r="OI85" s="310"/>
      <c r="OJ85" s="310"/>
      <c r="OK85" s="310"/>
      <c r="OL85" s="310"/>
      <c r="OM85" s="310"/>
      <c r="ON85" s="310"/>
      <c r="OO85" s="310"/>
      <c r="OP85" s="310"/>
      <c r="OQ85" s="310"/>
      <c r="OR85" s="310"/>
      <c r="OS85" s="310"/>
      <c r="OT85" s="310"/>
      <c r="OU85" s="310"/>
      <c r="OV85" s="310"/>
      <c r="OW85" s="310"/>
      <c r="OX85" s="310"/>
      <c r="OY85" s="310"/>
      <c r="OZ85" s="310"/>
      <c r="PA85" s="310"/>
      <c r="PB85" s="310"/>
      <c r="PC85" s="310"/>
      <c r="PD85" s="310"/>
      <c r="PE85" s="310"/>
      <c r="PF85" s="310"/>
      <c r="PG85" s="310"/>
      <c r="PH85" s="310"/>
      <c r="PI85" s="310"/>
      <c r="PJ85" s="310"/>
      <c r="PK85" s="310"/>
      <c r="PL85" s="310"/>
      <c r="PM85" s="310"/>
      <c r="PN85" s="310"/>
      <c r="PO85" s="310"/>
      <c r="PP85" s="310"/>
      <c r="PQ85" s="310"/>
      <c r="PR85" s="310"/>
      <c r="PS85" s="342">
        <v>71</v>
      </c>
      <c r="PT85" s="261" t="e">
        <f t="shared" si="163"/>
        <v>#N/A</v>
      </c>
      <c r="PU85" s="261" t="e">
        <f t="shared" si="164"/>
        <v>#N/A</v>
      </c>
      <c r="PV85" s="310"/>
      <c r="PW85" s="310"/>
      <c r="PX85" s="310"/>
      <c r="PY85" s="310"/>
      <c r="PZ85" s="310"/>
      <c r="QA85" s="310"/>
      <c r="QB85" s="310"/>
      <c r="QC85" s="310"/>
      <c r="QD85" s="310"/>
      <c r="QE85" s="310"/>
      <c r="QF85" s="310"/>
      <c r="QG85" s="310"/>
      <c r="QH85" s="310"/>
      <c r="QI85" s="310"/>
      <c r="QJ85" s="310"/>
      <c r="QK85" s="310"/>
      <c r="QL85" s="310"/>
      <c r="QM85" s="310"/>
      <c r="QN85" s="310"/>
      <c r="QO85" s="310"/>
      <c r="QP85" s="310"/>
      <c r="QQ85" s="310"/>
      <c r="QR85" s="310"/>
      <c r="QS85" s="310"/>
      <c r="QT85" s="310"/>
      <c r="QU85" s="310"/>
      <c r="QV85" s="310"/>
      <c r="QW85" s="310"/>
      <c r="QX85" s="310"/>
      <c r="QY85" s="310"/>
      <c r="QZ85" s="310"/>
      <c r="RA85" s="310"/>
      <c r="RB85" s="310"/>
      <c r="RC85" s="310"/>
      <c r="RD85" s="310"/>
      <c r="RE85" s="310"/>
      <c r="RF85" s="310"/>
      <c r="RG85" s="310"/>
      <c r="RH85" s="310"/>
      <c r="RI85" s="310"/>
      <c r="RJ85" s="310"/>
      <c r="RK85" s="310"/>
      <c r="RL85" s="310"/>
      <c r="RM85" s="310"/>
      <c r="RN85" s="310"/>
      <c r="RO85" s="310"/>
      <c r="RP85" s="310"/>
      <c r="RQ85" s="310"/>
      <c r="RR85" s="310"/>
      <c r="RS85" s="310"/>
      <c r="RT85" s="310"/>
      <c r="RU85" s="310"/>
      <c r="RV85" s="310"/>
      <c r="RW85" s="310"/>
      <c r="RX85" s="310"/>
      <c r="RY85" s="310"/>
      <c r="RZ85" s="310"/>
      <c r="SA85" s="310"/>
      <c r="SB85" s="310"/>
      <c r="SC85" s="310"/>
      <c r="SD85" s="310"/>
      <c r="SE85" s="310"/>
      <c r="SF85" s="310"/>
      <c r="SG85" s="310"/>
      <c r="SH85" s="310"/>
      <c r="SI85" s="310"/>
      <c r="SJ85" s="310"/>
      <c r="SK85" s="310"/>
      <c r="SL85" s="310"/>
      <c r="SM85" s="310"/>
      <c r="SN85" s="310"/>
      <c r="SO85" s="220"/>
      <c r="SP85" s="220"/>
      <c r="SQ85" s="220"/>
      <c r="SR85" s="220"/>
      <c r="SS85" s="220"/>
      <c r="ST85" s="220"/>
      <c r="SU85" s="220"/>
      <c r="SV85" s="220"/>
      <c r="SW85" s="220"/>
      <c r="SX85" s="220"/>
      <c r="SY85" s="220"/>
      <c r="SZ85" s="220"/>
      <c r="TA85" s="220"/>
      <c r="TB85" s="220"/>
      <c r="TC85" s="220"/>
      <c r="TD85" s="220"/>
      <c r="TE85" s="220"/>
      <c r="TF85" s="220"/>
      <c r="TG85" s="220"/>
      <c r="TH85" s="220"/>
      <c r="TI85" s="220"/>
      <c r="TJ85" s="220"/>
      <c r="TK85" s="220"/>
      <c r="TL85" s="220"/>
      <c r="TM85" s="220"/>
      <c r="TN85" s="220"/>
      <c r="TO85" s="220"/>
      <c r="TP85" s="220"/>
      <c r="TQ85" s="220"/>
      <c r="TR85" s="220"/>
      <c r="TS85" s="220"/>
      <c r="TT85" s="220"/>
      <c r="TU85" s="220"/>
      <c r="TV85" s="220"/>
      <c r="TW85" s="220"/>
      <c r="TX85" s="220"/>
      <c r="TY85" s="220"/>
      <c r="TZ85" s="220"/>
      <c r="UA85" s="220"/>
      <c r="UB85" s="220"/>
      <c r="UC85" s="220"/>
      <c r="UD85" s="220"/>
      <c r="UE85" s="220"/>
      <c r="UF85" s="220"/>
      <c r="UG85" s="220"/>
      <c r="UH85" s="220"/>
      <c r="UI85" s="220"/>
      <c r="UJ85" s="220"/>
      <c r="UK85" s="216"/>
      <c r="UL85" s="216"/>
      <c r="UM85" s="216"/>
      <c r="UN85" s="216"/>
      <c r="UO85" s="216"/>
      <c r="UP85" s="216"/>
      <c r="UQ85" s="216"/>
      <c r="UR85" s="216"/>
      <c r="US85" s="216"/>
      <c r="UT85" s="216"/>
      <c r="UU85" s="216"/>
      <c r="UV85" s="216"/>
      <c r="UW85" s="216"/>
      <c r="UX85" s="216"/>
      <c r="UY85" s="216"/>
      <c r="UZ85" s="216"/>
      <c r="VA85" s="216"/>
    </row>
    <row r="86" spans="1:573" s="4" customFormat="1" x14ac:dyDescent="0.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5"/>
      <c r="AM86" s="45"/>
      <c r="AN86" s="45"/>
      <c r="AO86" s="45"/>
      <c r="AP86" s="310"/>
      <c r="AQ86" s="310"/>
      <c r="AR86" s="310"/>
      <c r="AS86" s="310"/>
      <c r="AT86" s="310"/>
      <c r="AU86" s="409"/>
      <c r="AV86" s="484"/>
      <c r="AW86" s="310"/>
      <c r="AX86" s="310"/>
      <c r="AY86" s="310"/>
      <c r="AZ86" s="310"/>
      <c r="BA86" s="310"/>
      <c r="BB86" s="310"/>
      <c r="BC86" s="310"/>
      <c r="BD86" s="310"/>
      <c r="BE86" s="310"/>
      <c r="BF86" s="310"/>
      <c r="BG86" s="310"/>
      <c r="BH86" s="310"/>
      <c r="BI86" s="310"/>
      <c r="BJ86" s="310"/>
      <c r="BK86" s="310"/>
      <c r="BL86" s="310"/>
      <c r="BM86" s="310"/>
      <c r="BN86" s="310"/>
      <c r="BO86" s="310"/>
      <c r="BP86" s="310"/>
      <c r="BQ86" s="310"/>
      <c r="BR86" s="310"/>
      <c r="BS86" s="310"/>
      <c r="BT86" s="310"/>
      <c r="BU86" s="310"/>
      <c r="BV86" s="310"/>
      <c r="BW86" s="310"/>
      <c r="BX86" s="310"/>
      <c r="BY86" s="310"/>
      <c r="BZ86" s="310"/>
      <c r="CA86" s="310"/>
      <c r="CB86" s="310"/>
      <c r="CC86" s="310"/>
      <c r="CD86" s="228" t="e">
        <f>CD85</f>
        <v>#N/A</v>
      </c>
      <c r="CE86" s="228" t="e">
        <f>BZ50</f>
        <v>#N/A</v>
      </c>
      <c r="CF86" s="310"/>
      <c r="CG86" s="310"/>
      <c r="CH86" s="310"/>
      <c r="CI86" s="310"/>
      <c r="CJ86" s="310"/>
      <c r="CK86" s="310"/>
      <c r="CL86" s="310"/>
      <c r="CM86" s="310"/>
      <c r="CN86" s="310"/>
      <c r="CO86" s="310"/>
      <c r="CP86" s="310"/>
      <c r="CQ86" s="310"/>
      <c r="CR86" s="310"/>
      <c r="CS86" s="310"/>
      <c r="CT86" s="310"/>
      <c r="CU86" s="310"/>
      <c r="CV86" s="310"/>
      <c r="CW86" s="310"/>
      <c r="CX86" s="310"/>
      <c r="CY86" s="310"/>
      <c r="CZ86" s="310"/>
      <c r="DA86" s="310"/>
      <c r="DB86" s="310"/>
      <c r="DC86" s="310"/>
      <c r="DD86" s="310"/>
      <c r="DE86" s="310"/>
      <c r="DF86" s="310"/>
      <c r="DG86" s="310"/>
      <c r="DH86" s="310"/>
      <c r="DI86" s="310"/>
      <c r="DJ86" s="310"/>
      <c r="DK86" s="310"/>
      <c r="DL86" s="281" t="e">
        <f>DL83</f>
        <v>#N/A</v>
      </c>
      <c r="DM86" s="281" t="e">
        <f>DM83-(DM83-DM84)/2</f>
        <v>#N/A</v>
      </c>
      <c r="DN86" s="310" t="e">
        <f>"D="&amp;TEXT(DM78*100,"0.00")&amp;"cm."</f>
        <v>#N/A</v>
      </c>
      <c r="DO86" s="310"/>
      <c r="DP86" s="310"/>
      <c r="DQ86" s="310"/>
      <c r="DR86" s="310"/>
      <c r="DS86" s="310"/>
      <c r="DT86" s="310"/>
      <c r="DU86" s="230" t="e">
        <v>#N/A</v>
      </c>
      <c r="DV86" s="230" t="e">
        <v>#N/A</v>
      </c>
      <c r="DW86" s="300" t="e">
        <v>#N/A</v>
      </c>
      <c r="DX86" s="300" t="e">
        <v>#N/A</v>
      </c>
      <c r="DY86" s="310"/>
      <c r="DZ86" s="310"/>
      <c r="EA86" s="310"/>
      <c r="EB86" s="310"/>
      <c r="EC86" s="310"/>
      <c r="ED86" s="310"/>
      <c r="EE86" s="310"/>
      <c r="EF86" s="310"/>
      <c r="EG86" s="310"/>
      <c r="EH86" s="310"/>
      <c r="EI86" s="338">
        <v>15</v>
      </c>
      <c r="EJ86" s="338" t="b">
        <f t="shared" si="127"/>
        <v>0</v>
      </c>
      <c r="EK86" s="281" t="e">
        <f t="shared" si="128"/>
        <v>#N/A</v>
      </c>
      <c r="EL86" s="281" t="e">
        <f t="shared" si="129"/>
        <v>#N/A</v>
      </c>
      <c r="EM86" s="310"/>
      <c r="EN86" s="280">
        <f>$EN$83</f>
        <v>0.13400000000000001</v>
      </c>
      <c r="EO86" s="280">
        <f>EO85</f>
        <v>0.38500000000000001</v>
      </c>
      <c r="EP86" s="310"/>
      <c r="EQ86" s="310"/>
      <c r="ER86" s="310"/>
      <c r="ES86" s="310"/>
      <c r="ET86" s="310"/>
      <c r="EU86" s="310"/>
      <c r="EV86" s="310"/>
      <c r="EW86" s="310"/>
      <c r="EX86" s="310"/>
      <c r="EY86" s="310"/>
      <c r="EZ86" s="310"/>
      <c r="FA86" s="310"/>
      <c r="FB86" s="310"/>
      <c r="FC86" s="310"/>
      <c r="FD86" s="310"/>
      <c r="FE86" s="310"/>
      <c r="FF86" s="310"/>
      <c r="FG86" s="310"/>
      <c r="FH86" s="310"/>
      <c r="FI86" s="310"/>
      <c r="FJ86" s="310"/>
      <c r="FK86" s="310"/>
      <c r="FL86" s="310"/>
      <c r="FM86" s="310"/>
      <c r="FN86" s="310"/>
      <c r="FO86" s="310"/>
      <c r="FP86" s="310"/>
      <c r="FQ86" s="310"/>
      <c r="FR86" s="310"/>
      <c r="FS86" s="310"/>
      <c r="FT86" s="310"/>
      <c r="FU86" s="310"/>
      <c r="FV86" s="310"/>
      <c r="FW86" s="310"/>
      <c r="FX86" s="310"/>
      <c r="FY86" s="310"/>
      <c r="FZ86" s="310"/>
      <c r="GA86" s="310"/>
      <c r="GB86" s="310"/>
      <c r="GC86" s="310"/>
      <c r="GD86" s="310"/>
      <c r="GE86" s="310"/>
      <c r="GF86" s="310"/>
      <c r="GG86" s="310"/>
      <c r="GH86" s="310"/>
      <c r="GI86" s="310"/>
      <c r="GJ86" s="310"/>
      <c r="GK86" s="310"/>
      <c r="GL86" s="310"/>
      <c r="GM86" s="310"/>
      <c r="GN86" s="310"/>
      <c r="GO86" s="310"/>
      <c r="GP86" s="310"/>
      <c r="GQ86" s="310"/>
      <c r="GR86" s="310"/>
      <c r="GS86" s="310"/>
      <c r="GT86" s="310"/>
      <c r="GU86" s="310"/>
      <c r="GV86" s="310"/>
      <c r="GW86" s="310"/>
      <c r="GX86" s="310"/>
      <c r="GY86" s="310"/>
      <c r="GZ86" s="310"/>
      <c r="HA86" s="310"/>
      <c r="HB86" s="310"/>
      <c r="HC86" s="310"/>
      <c r="HD86" s="310"/>
      <c r="HE86" s="310"/>
      <c r="HF86" s="310"/>
      <c r="HG86" s="310"/>
      <c r="HH86" s="310"/>
      <c r="HI86" s="310"/>
      <c r="HJ86" s="310"/>
      <c r="HK86" s="342">
        <v>72</v>
      </c>
      <c r="HL86" s="235" t="e">
        <f t="shared" si="139"/>
        <v>#N/A</v>
      </c>
      <c r="HM86" s="235" t="e">
        <f t="shared" si="140"/>
        <v>#N/A</v>
      </c>
      <c r="HN86" s="310"/>
      <c r="HO86" s="310"/>
      <c r="HP86" s="235" t="e">
        <f t="shared" si="141"/>
        <v>#N/A</v>
      </c>
      <c r="HQ86" s="235" t="e">
        <f t="shared" si="142"/>
        <v>#N/A</v>
      </c>
      <c r="HR86" s="310"/>
      <c r="HS86" s="310"/>
      <c r="HT86" s="235" t="e">
        <f t="shared" si="143"/>
        <v>#N/A</v>
      </c>
      <c r="HU86" s="235" t="e">
        <f t="shared" si="144"/>
        <v>#N/A</v>
      </c>
      <c r="HV86" s="310"/>
      <c r="HW86" s="310"/>
      <c r="HX86" s="235" t="e">
        <f t="shared" si="145"/>
        <v>#N/A</v>
      </c>
      <c r="HY86" s="235" t="e">
        <f t="shared" si="146"/>
        <v>#N/A</v>
      </c>
      <c r="HZ86" s="310"/>
      <c r="IA86" s="310"/>
      <c r="IB86" s="235" t="e">
        <f t="shared" si="147"/>
        <v>#N/A</v>
      </c>
      <c r="IC86" s="235" t="e">
        <f t="shared" si="148"/>
        <v>#N/A</v>
      </c>
      <c r="ID86" s="310"/>
      <c r="IE86" s="342">
        <v>72</v>
      </c>
      <c r="IF86" s="262" t="e">
        <f t="shared" si="149"/>
        <v>#N/A</v>
      </c>
      <c r="IG86" s="262" t="e">
        <f t="shared" si="150"/>
        <v>#N/A</v>
      </c>
      <c r="IH86" s="390"/>
      <c r="II86" s="390"/>
      <c r="IJ86" s="262" t="e">
        <f t="shared" si="151"/>
        <v>#N/A</v>
      </c>
      <c r="IK86" s="262" t="e">
        <f t="shared" si="152"/>
        <v>#N/A</v>
      </c>
      <c r="IL86" s="390"/>
      <c r="IM86" s="390"/>
      <c r="IN86" s="262" t="e">
        <f t="shared" si="153"/>
        <v>#N/A</v>
      </c>
      <c r="IO86" s="262" t="e">
        <f t="shared" si="154"/>
        <v>#N/A</v>
      </c>
      <c r="IP86" s="390"/>
      <c r="IQ86" s="390"/>
      <c r="IR86" s="262" t="e">
        <f t="shared" si="155"/>
        <v>#N/A</v>
      </c>
      <c r="IS86" s="262" t="e">
        <f t="shared" si="156"/>
        <v>#N/A</v>
      </c>
      <c r="IT86" s="390"/>
      <c r="IU86" s="390"/>
      <c r="IV86" s="262" t="e">
        <f t="shared" si="157"/>
        <v>#N/A</v>
      </c>
      <c r="IW86" s="262" t="e">
        <f t="shared" si="158"/>
        <v>#N/A</v>
      </c>
      <c r="IX86" s="310"/>
      <c r="IY86" s="310"/>
      <c r="IZ86" s="310"/>
      <c r="JA86" s="310"/>
      <c r="JB86" s="310"/>
      <c r="JC86" s="230" t="e">
        <v>#N/A</v>
      </c>
      <c r="JD86" s="230" t="e">
        <v>#N/A</v>
      </c>
      <c r="JE86" s="310"/>
      <c r="JF86" s="310"/>
      <c r="JG86" s="310"/>
      <c r="JH86" s="310"/>
      <c r="JI86" s="310"/>
      <c r="JJ86" s="264" t="e">
        <v>#N/A</v>
      </c>
      <c r="JK86" s="264" t="e">
        <v>#N/A</v>
      </c>
      <c r="JL86" s="310"/>
      <c r="JM86" s="310"/>
      <c r="JN86" s="261" t="e">
        <f t="shared" si="159"/>
        <v>#N/A</v>
      </c>
      <c r="JO86" s="261" t="e">
        <f t="shared" si="160"/>
        <v>#N/A</v>
      </c>
      <c r="JP86" s="310"/>
      <c r="JQ86" s="310"/>
      <c r="JR86" s="261" t="e">
        <f t="shared" si="165"/>
        <v>#N/A</v>
      </c>
      <c r="JS86" s="261" t="e">
        <f t="shared" si="166"/>
        <v>#N/A</v>
      </c>
      <c r="JT86" s="310"/>
      <c r="JU86" s="310"/>
      <c r="JV86" s="261" t="e">
        <f t="shared" si="161"/>
        <v>#N/A</v>
      </c>
      <c r="JW86" s="261" t="e">
        <f t="shared" si="162"/>
        <v>#N/A</v>
      </c>
      <c r="JX86" s="310"/>
      <c r="JY86" s="311"/>
      <c r="JZ86" s="311"/>
      <c r="KA86" s="311"/>
      <c r="KB86" s="313" t="s">
        <v>325</v>
      </c>
      <c r="KC86" s="242">
        <f>KC85</f>
        <v>1.05</v>
      </c>
      <c r="KD86" s="266">
        <f>KA83-($IZ$108/2-$IZ$110)</f>
        <v>0.60499999999999998</v>
      </c>
      <c r="KE86" s="310"/>
      <c r="KF86" s="310"/>
      <c r="KG86" s="310"/>
      <c r="KH86" s="310"/>
      <c r="KI86" s="310"/>
      <c r="KJ86" s="310"/>
      <c r="KK86" s="310"/>
      <c r="KL86" s="310"/>
      <c r="KM86" s="310"/>
      <c r="KN86" s="310"/>
      <c r="KO86" s="310"/>
      <c r="KP86" s="310"/>
      <c r="KQ86" s="310"/>
      <c r="KR86" s="310"/>
      <c r="KS86" s="310"/>
      <c r="KT86" s="310"/>
      <c r="KU86" s="310"/>
      <c r="KV86" s="310"/>
      <c r="KW86" s="310"/>
      <c r="KX86" s="310"/>
      <c r="KY86" s="310"/>
      <c r="KZ86" s="310"/>
      <c r="LA86" s="310"/>
      <c r="LB86" s="310"/>
      <c r="LC86" s="310"/>
      <c r="LD86" s="310"/>
      <c r="LE86" s="310"/>
      <c r="LF86" s="310"/>
      <c r="LG86" s="310"/>
      <c r="LH86" s="310"/>
      <c r="LI86" s="310"/>
      <c r="LJ86" s="310"/>
      <c r="LK86" s="310"/>
      <c r="LL86" s="310"/>
      <c r="LM86" s="310"/>
      <c r="LN86" s="310"/>
      <c r="LO86" s="391"/>
      <c r="LP86" s="391"/>
      <c r="LQ86" s="338"/>
      <c r="LR86" s="338"/>
      <c r="LS86" s="391"/>
      <c r="LT86" s="310"/>
      <c r="LU86" s="310"/>
      <c r="LV86" s="391"/>
      <c r="LW86" s="391"/>
      <c r="LX86" s="338"/>
      <c r="LY86" s="338"/>
      <c r="LZ86" s="391"/>
      <c r="MA86" s="310"/>
      <c r="MB86" s="310"/>
      <c r="MC86" s="391"/>
      <c r="MD86" s="391"/>
      <c r="ME86" s="338"/>
      <c r="MF86" s="338"/>
      <c r="MG86" s="391"/>
      <c r="MH86" s="310"/>
      <c r="MI86" s="310"/>
      <c r="MJ86" s="391"/>
      <c r="MK86" s="391"/>
      <c r="ML86" s="338"/>
      <c r="MM86" s="338"/>
      <c r="MN86" s="391"/>
      <c r="MO86" s="310"/>
      <c r="MP86" s="310"/>
      <c r="MQ86" s="310"/>
      <c r="MR86" s="310"/>
      <c r="MS86" s="310"/>
      <c r="MT86" s="310"/>
      <c r="MU86" s="310"/>
      <c r="MV86" s="310"/>
      <c r="MW86" s="310"/>
      <c r="MX86" s="310"/>
      <c r="MY86" s="310"/>
      <c r="MZ86" s="310"/>
      <c r="NA86" s="310"/>
      <c r="NB86" s="310"/>
      <c r="NC86" s="310"/>
      <c r="ND86" s="310"/>
      <c r="NE86" s="310"/>
      <c r="NF86" s="310"/>
      <c r="NG86" s="310"/>
      <c r="NH86" s="310"/>
      <c r="NI86" s="310"/>
      <c r="NJ86" s="310"/>
      <c r="NK86" s="310"/>
      <c r="NL86" s="310"/>
      <c r="NM86" s="310"/>
      <c r="NN86" s="310"/>
      <c r="NO86" s="310"/>
      <c r="NP86" s="310"/>
      <c r="NQ86" s="310"/>
      <c r="NR86" s="310"/>
      <c r="NS86" s="310"/>
      <c r="NT86" s="310"/>
      <c r="NU86" s="310"/>
      <c r="NV86" s="310"/>
      <c r="NW86" s="310"/>
      <c r="NX86" s="310"/>
      <c r="NY86" s="310"/>
      <c r="NZ86" s="310"/>
      <c r="OA86" s="310"/>
      <c r="OB86" s="310"/>
      <c r="OC86" s="310"/>
      <c r="OD86" s="310"/>
      <c r="OE86" s="310"/>
      <c r="OF86" s="310"/>
      <c r="OG86" s="310"/>
      <c r="OH86" s="310"/>
      <c r="OI86" s="310"/>
      <c r="OJ86" s="310"/>
      <c r="OK86" s="310"/>
      <c r="OL86" s="310"/>
      <c r="OM86" s="310"/>
      <c r="ON86" s="310"/>
      <c r="OO86" s="310"/>
      <c r="OP86" s="310"/>
      <c r="OQ86" s="310"/>
      <c r="OR86" s="310"/>
      <c r="OS86" s="310"/>
      <c r="OT86" s="310"/>
      <c r="OU86" s="310"/>
      <c r="OV86" s="310"/>
      <c r="OW86" s="310"/>
      <c r="OX86" s="310"/>
      <c r="OY86" s="310"/>
      <c r="OZ86" s="310"/>
      <c r="PA86" s="310"/>
      <c r="PB86" s="310"/>
      <c r="PC86" s="310"/>
      <c r="PD86" s="310"/>
      <c r="PE86" s="310"/>
      <c r="PF86" s="310"/>
      <c r="PG86" s="310"/>
      <c r="PH86" s="310"/>
      <c r="PI86" s="310"/>
      <c r="PJ86" s="310"/>
      <c r="PK86" s="310"/>
      <c r="PL86" s="310"/>
      <c r="PM86" s="310"/>
      <c r="PN86" s="310"/>
      <c r="PO86" s="310"/>
      <c r="PP86" s="310"/>
      <c r="PQ86" s="310"/>
      <c r="PR86" s="310"/>
      <c r="PS86" s="342">
        <v>72</v>
      </c>
      <c r="PT86" s="261" t="e">
        <f t="shared" si="163"/>
        <v>#N/A</v>
      </c>
      <c r="PU86" s="261" t="e">
        <f t="shared" si="164"/>
        <v>#N/A</v>
      </c>
      <c r="PV86" s="310"/>
      <c r="PW86" s="310"/>
      <c r="PX86" s="310"/>
      <c r="PY86" s="310"/>
      <c r="PZ86" s="310"/>
      <c r="QA86" s="310"/>
      <c r="QB86" s="310"/>
      <c r="QC86" s="310"/>
      <c r="QD86" s="310"/>
      <c r="QE86" s="310"/>
      <c r="QF86" s="310"/>
      <c r="QG86" s="310"/>
      <c r="QH86" s="310"/>
      <c r="QI86" s="310"/>
      <c r="QJ86" s="310"/>
      <c r="QK86" s="310"/>
      <c r="QL86" s="310"/>
      <c r="QM86" s="310"/>
      <c r="QN86" s="310"/>
      <c r="QO86" s="310"/>
      <c r="QP86" s="310"/>
      <c r="QQ86" s="310"/>
      <c r="QR86" s="310"/>
      <c r="QS86" s="310"/>
      <c r="QT86" s="310"/>
      <c r="QU86" s="310"/>
      <c r="QV86" s="310"/>
      <c r="QW86" s="310"/>
      <c r="QX86" s="310"/>
      <c r="QY86" s="310"/>
      <c r="QZ86" s="310"/>
      <c r="RA86" s="310"/>
      <c r="RB86" s="310"/>
      <c r="RC86" s="310"/>
      <c r="RD86" s="310"/>
      <c r="RE86" s="310"/>
      <c r="RF86" s="310"/>
      <c r="RG86" s="310"/>
      <c r="RH86" s="310"/>
      <c r="RI86" s="310"/>
      <c r="RJ86" s="310"/>
      <c r="RK86" s="310"/>
      <c r="RL86" s="310"/>
      <c r="RM86" s="310"/>
      <c r="RN86" s="310"/>
      <c r="RO86" s="310"/>
      <c r="RP86" s="310"/>
      <c r="RQ86" s="310"/>
      <c r="RR86" s="310"/>
      <c r="RS86" s="310"/>
      <c r="RT86" s="310"/>
      <c r="RU86" s="310"/>
      <c r="RV86" s="310"/>
      <c r="RW86" s="310"/>
      <c r="RX86" s="310"/>
      <c r="RY86" s="310"/>
      <c r="RZ86" s="310"/>
      <c r="SA86" s="310"/>
      <c r="SB86" s="310"/>
      <c r="SC86" s="310"/>
      <c r="SD86" s="310"/>
      <c r="SE86" s="310"/>
      <c r="SF86" s="310"/>
      <c r="SG86" s="310"/>
      <c r="SH86" s="310"/>
      <c r="SI86" s="310"/>
      <c r="SJ86" s="310"/>
      <c r="SK86" s="310"/>
      <c r="SL86" s="310"/>
      <c r="SM86" s="310"/>
      <c r="SN86" s="310"/>
      <c r="SO86" s="220"/>
      <c r="SP86" s="220"/>
      <c r="SQ86" s="220"/>
      <c r="SR86" s="220"/>
      <c r="SS86" s="220"/>
      <c r="ST86" s="220"/>
      <c r="SU86" s="220"/>
      <c r="SV86" s="220"/>
      <c r="SW86" s="220"/>
      <c r="SX86" s="220"/>
      <c r="SY86" s="220"/>
      <c r="SZ86" s="220"/>
      <c r="TA86" s="220"/>
      <c r="TB86" s="220"/>
      <c r="TC86" s="220"/>
      <c r="TD86" s="220"/>
      <c r="TE86" s="220"/>
      <c r="TF86" s="220"/>
      <c r="TG86" s="220"/>
      <c r="TH86" s="220"/>
      <c r="TI86" s="220"/>
      <c r="TJ86" s="220"/>
      <c r="TK86" s="220"/>
      <c r="TL86" s="220"/>
      <c r="TM86" s="220"/>
      <c r="TN86" s="220"/>
      <c r="TO86" s="220"/>
      <c r="TP86" s="220"/>
      <c r="TQ86" s="220"/>
      <c r="TR86" s="220"/>
      <c r="TS86" s="220"/>
      <c r="TT86" s="220"/>
      <c r="TU86" s="220"/>
      <c r="TV86" s="220"/>
      <c r="TW86" s="220"/>
      <c r="TX86" s="220"/>
      <c r="TY86" s="220"/>
      <c r="TZ86" s="220"/>
      <c r="UA86" s="220"/>
      <c r="UB86" s="220"/>
      <c r="UC86" s="220"/>
      <c r="UD86" s="220"/>
      <c r="UE86" s="220"/>
      <c r="UF86" s="220"/>
      <c r="UG86" s="220"/>
      <c r="UH86" s="220"/>
      <c r="UI86" s="220"/>
      <c r="UJ86" s="220"/>
      <c r="UK86" s="216"/>
      <c r="UL86" s="216"/>
      <c r="UM86" s="216"/>
      <c r="UN86" s="216"/>
      <c r="UO86" s="216"/>
      <c r="UP86" s="216"/>
      <c r="UQ86" s="216"/>
      <c r="UR86" s="216"/>
      <c r="US86" s="216"/>
      <c r="UT86" s="216"/>
      <c r="UU86" s="216"/>
      <c r="UV86" s="216"/>
      <c r="UW86" s="216"/>
      <c r="UX86" s="216"/>
      <c r="UY86" s="216"/>
      <c r="UZ86" s="216"/>
      <c r="VA86" s="216"/>
    </row>
    <row r="87" spans="1:573" s="4" customFormat="1" x14ac:dyDescent="0.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5"/>
      <c r="AM87" s="45"/>
      <c r="AN87" s="45"/>
      <c r="AO87" s="45"/>
      <c r="AP87" s="310"/>
      <c r="AQ87" s="310"/>
      <c r="AR87" s="310"/>
      <c r="AS87" s="310"/>
      <c r="AT87" s="310"/>
      <c r="AU87" s="310"/>
      <c r="AV87" s="310"/>
      <c r="AW87" s="310"/>
      <c r="AX87" s="310"/>
      <c r="AY87" s="310"/>
      <c r="AZ87" s="310"/>
      <c r="BA87" s="310"/>
      <c r="BB87" s="310"/>
      <c r="BC87" s="310"/>
      <c r="BD87" s="310"/>
      <c r="BE87" s="310"/>
      <c r="BF87" s="310"/>
      <c r="BG87" s="310"/>
      <c r="BH87" s="310"/>
      <c r="BI87" s="310"/>
      <c r="BJ87" s="310"/>
      <c r="BK87" s="310"/>
      <c r="BL87" s="310"/>
      <c r="BM87" s="310"/>
      <c r="BN87" s="310"/>
      <c r="BO87" s="310"/>
      <c r="BP87" s="310"/>
      <c r="BQ87" s="310"/>
      <c r="BR87" s="310"/>
      <c r="BS87" s="310"/>
      <c r="BT87" s="310"/>
      <c r="BU87" s="310"/>
      <c r="BV87" s="310"/>
      <c r="BW87" s="310"/>
      <c r="BX87" s="310"/>
      <c r="BY87" s="310"/>
      <c r="BZ87" s="310"/>
      <c r="CA87" s="310"/>
      <c r="CB87" s="310"/>
      <c r="CC87" s="310"/>
      <c r="CD87" s="228" t="e">
        <f>BY50</f>
        <v>#N/A</v>
      </c>
      <c r="CE87" s="228" t="e">
        <f>BZ50</f>
        <v>#N/A</v>
      </c>
      <c r="CF87" s="310"/>
      <c r="CG87" s="310"/>
      <c r="CH87" s="310"/>
      <c r="CI87" s="310"/>
      <c r="CJ87" s="310"/>
      <c r="CK87" s="310"/>
      <c r="CL87" s="310"/>
      <c r="CM87" s="310"/>
      <c r="CN87" s="310"/>
      <c r="CO87" s="310"/>
      <c r="CP87" s="310"/>
      <c r="CQ87" s="310"/>
      <c r="CR87" s="310"/>
      <c r="CS87" s="310"/>
      <c r="CT87" s="310"/>
      <c r="CU87" s="310"/>
      <c r="CV87" s="310"/>
      <c r="CW87" s="310"/>
      <c r="CX87" s="310"/>
      <c r="CY87" s="310"/>
      <c r="CZ87" s="310"/>
      <c r="DA87" s="310"/>
      <c r="DB87" s="310"/>
      <c r="DC87" s="310"/>
      <c r="DD87" s="310"/>
      <c r="DE87" s="310"/>
      <c r="DF87" s="310"/>
      <c r="DG87" s="310"/>
      <c r="DH87" s="310"/>
      <c r="DI87" s="310"/>
      <c r="DJ87" s="310"/>
      <c r="DK87" s="310"/>
      <c r="DL87" s="310"/>
      <c r="DM87" s="310"/>
      <c r="DN87" s="310"/>
      <c r="DO87" s="310"/>
      <c r="DP87" s="310"/>
      <c r="DQ87" s="310"/>
      <c r="DR87" s="310"/>
      <c r="DS87" s="310"/>
      <c r="DT87" s="310"/>
      <c r="DU87" s="230">
        <f>DU77</f>
        <v>-0.95</v>
      </c>
      <c r="DV87" s="230">
        <f>DV77+DS76/2</f>
        <v>1.2</v>
      </c>
      <c r="DW87" s="300" t="e">
        <v>#N/A</v>
      </c>
      <c r="DX87" s="300" t="e">
        <v>#N/A</v>
      </c>
      <c r="DY87" s="310"/>
      <c r="DZ87" s="310"/>
      <c r="EA87" s="310"/>
      <c r="EB87" s="310"/>
      <c r="EC87" s="310"/>
      <c r="ED87" s="310"/>
      <c r="EE87" s="310"/>
      <c r="EF87" s="310"/>
      <c r="EG87" s="310"/>
      <c r="EH87" s="310"/>
      <c r="EI87" s="338">
        <v>16</v>
      </c>
      <c r="EJ87" s="338" t="b">
        <f t="shared" si="127"/>
        <v>0</v>
      </c>
      <c r="EK87" s="281" t="e">
        <f t="shared" si="128"/>
        <v>#N/A</v>
      </c>
      <c r="EL87" s="281" t="e">
        <f t="shared" si="129"/>
        <v>#N/A</v>
      </c>
      <c r="EM87" s="310"/>
      <c r="EN87" s="280" t="e">
        <v>#N/A</v>
      </c>
      <c r="EO87" s="280" t="e">
        <v>#N/A</v>
      </c>
      <c r="EP87" s="310"/>
      <c r="EQ87" s="310"/>
      <c r="ER87" s="310"/>
      <c r="ES87" s="310"/>
      <c r="ET87" s="310"/>
      <c r="EU87" s="310"/>
      <c r="EV87" s="310"/>
      <c r="EW87" s="310"/>
      <c r="EX87" s="310"/>
      <c r="EY87" s="310"/>
      <c r="EZ87" s="310"/>
      <c r="FA87" s="310"/>
      <c r="FB87" s="310"/>
      <c r="FC87" s="310"/>
      <c r="FD87" s="310"/>
      <c r="FE87" s="310"/>
      <c r="FF87" s="310"/>
      <c r="FG87" s="310"/>
      <c r="FH87" s="310"/>
      <c r="FI87" s="310"/>
      <c r="FJ87" s="310"/>
      <c r="FK87" s="310"/>
      <c r="FL87" s="310"/>
      <c r="FM87" s="310"/>
      <c r="FN87" s="310"/>
      <c r="FO87" s="310"/>
      <c r="FP87" s="310"/>
      <c r="FQ87" s="310"/>
      <c r="FR87" s="310"/>
      <c r="FS87" s="310"/>
      <c r="FT87" s="310"/>
      <c r="FU87" s="310"/>
      <c r="FV87" s="310"/>
      <c r="FW87" s="310"/>
      <c r="FX87" s="310"/>
      <c r="FY87" s="310"/>
      <c r="FZ87" s="310"/>
      <c r="GA87" s="310"/>
      <c r="GB87" s="310"/>
      <c r="GC87" s="310"/>
      <c r="GD87" s="310"/>
      <c r="GE87" s="310"/>
      <c r="GF87" s="310"/>
      <c r="GG87" s="310"/>
      <c r="GH87" s="310"/>
      <c r="GI87" s="310"/>
      <c r="GJ87" s="310"/>
      <c r="GK87" s="310"/>
      <c r="GL87" s="310"/>
      <c r="GM87" s="310"/>
      <c r="GN87" s="310"/>
      <c r="GO87" s="310"/>
      <c r="GP87" s="310"/>
      <c r="GQ87" s="310"/>
      <c r="GR87" s="310"/>
      <c r="GS87" s="310"/>
      <c r="GT87" s="310"/>
      <c r="GU87" s="310"/>
      <c r="GV87" s="310"/>
      <c r="GW87" s="310"/>
      <c r="GX87" s="310"/>
      <c r="GY87" s="310"/>
      <c r="GZ87" s="310"/>
      <c r="HA87" s="310"/>
      <c r="HB87" s="310"/>
      <c r="HC87" s="310"/>
      <c r="HD87" s="310"/>
      <c r="HE87" s="310"/>
      <c r="HF87" s="310"/>
      <c r="HG87" s="310"/>
      <c r="HH87" s="310"/>
      <c r="HI87" s="310"/>
      <c r="HJ87" s="310"/>
      <c r="HK87" s="342">
        <v>73</v>
      </c>
      <c r="HL87" s="235" t="e">
        <f t="shared" si="139"/>
        <v>#N/A</v>
      </c>
      <c r="HM87" s="235" t="e">
        <f t="shared" si="140"/>
        <v>#N/A</v>
      </c>
      <c r="HN87" s="310"/>
      <c r="HO87" s="310"/>
      <c r="HP87" s="235" t="e">
        <f t="shared" si="141"/>
        <v>#N/A</v>
      </c>
      <c r="HQ87" s="235" t="e">
        <f t="shared" si="142"/>
        <v>#N/A</v>
      </c>
      <c r="HR87" s="310"/>
      <c r="HS87" s="310"/>
      <c r="HT87" s="235" t="e">
        <f t="shared" si="143"/>
        <v>#N/A</v>
      </c>
      <c r="HU87" s="235" t="e">
        <f t="shared" si="144"/>
        <v>#N/A</v>
      </c>
      <c r="HV87" s="310"/>
      <c r="HW87" s="310"/>
      <c r="HX87" s="235" t="e">
        <f t="shared" si="145"/>
        <v>#N/A</v>
      </c>
      <c r="HY87" s="235" t="e">
        <f t="shared" si="146"/>
        <v>#N/A</v>
      </c>
      <c r="HZ87" s="310"/>
      <c r="IA87" s="310"/>
      <c r="IB87" s="235" t="e">
        <f t="shared" si="147"/>
        <v>#N/A</v>
      </c>
      <c r="IC87" s="235" t="e">
        <f t="shared" si="148"/>
        <v>#N/A</v>
      </c>
      <c r="ID87" s="310"/>
      <c r="IE87" s="342">
        <v>73</v>
      </c>
      <c r="IF87" s="262" t="e">
        <f t="shared" si="149"/>
        <v>#N/A</v>
      </c>
      <c r="IG87" s="262" t="e">
        <f t="shared" si="150"/>
        <v>#N/A</v>
      </c>
      <c r="IH87" s="390"/>
      <c r="II87" s="390"/>
      <c r="IJ87" s="262" t="e">
        <f t="shared" si="151"/>
        <v>#N/A</v>
      </c>
      <c r="IK87" s="262" t="e">
        <f t="shared" si="152"/>
        <v>#N/A</v>
      </c>
      <c r="IL87" s="390"/>
      <c r="IM87" s="390"/>
      <c r="IN87" s="262" t="e">
        <f t="shared" si="153"/>
        <v>#N/A</v>
      </c>
      <c r="IO87" s="262" t="e">
        <f t="shared" si="154"/>
        <v>#N/A</v>
      </c>
      <c r="IP87" s="390"/>
      <c r="IQ87" s="390"/>
      <c r="IR87" s="262" t="e">
        <f t="shared" si="155"/>
        <v>#N/A</v>
      </c>
      <c r="IS87" s="262" t="e">
        <f t="shared" si="156"/>
        <v>#N/A</v>
      </c>
      <c r="IT87" s="390"/>
      <c r="IU87" s="390"/>
      <c r="IV87" s="262" t="e">
        <f t="shared" si="157"/>
        <v>#N/A</v>
      </c>
      <c r="IW87" s="262" t="e">
        <f t="shared" si="158"/>
        <v>#N/A</v>
      </c>
      <c r="IX87" s="310"/>
      <c r="IY87" s="342" t="s">
        <v>353</v>
      </c>
      <c r="IZ87" s="328" t="s">
        <v>385</v>
      </c>
      <c r="JA87" s="338" t="b">
        <f>AND($GY$6&gt;=$GX$21,$GY$6&lt;=$GX$27,$BM$10=TRUE)</f>
        <v>0</v>
      </c>
      <c r="JB87" s="313" t="s">
        <v>106</v>
      </c>
      <c r="JC87" s="228" t="e">
        <f>IZ89-$IZ$62/2</f>
        <v>#N/A</v>
      </c>
      <c r="JD87" s="228" t="e">
        <f>JA89+$IZ$61/2</f>
        <v>#N/A</v>
      </c>
      <c r="JE87" s="310"/>
      <c r="JF87" s="342" t="s">
        <v>353</v>
      </c>
      <c r="JG87" s="328" t="s">
        <v>385</v>
      </c>
      <c r="JH87" s="338" t="b">
        <f>IF(CP13=TRUE,AND($GY$6&gt;=$GX$21,$GY$6&lt;=$GX$27,$BM$10=TRUE,$BE$7=TRUE,CU11=TRUE),FALSE)</f>
        <v>0</v>
      </c>
      <c r="JI87" s="313" t="s">
        <v>106</v>
      </c>
      <c r="JJ87" s="242" t="e">
        <f>JG89-$IZ$62/2</f>
        <v>#N/A</v>
      </c>
      <c r="JK87" s="242" t="e">
        <f>JH89+$IZ$61/2</f>
        <v>#N/A</v>
      </c>
      <c r="JL87" s="310"/>
      <c r="JM87" s="310"/>
      <c r="JN87" s="261" t="e">
        <f t="shared" si="159"/>
        <v>#N/A</v>
      </c>
      <c r="JO87" s="261" t="e">
        <f t="shared" si="160"/>
        <v>#N/A</v>
      </c>
      <c r="JP87" s="310"/>
      <c r="JQ87" s="310"/>
      <c r="JR87" s="261" t="e">
        <f t="shared" si="165"/>
        <v>#N/A</v>
      </c>
      <c r="JS87" s="261" t="e">
        <f t="shared" si="166"/>
        <v>#N/A</v>
      </c>
      <c r="JT87" s="310"/>
      <c r="JU87" s="310"/>
      <c r="JV87" s="261" t="e">
        <f t="shared" si="161"/>
        <v>#N/A</v>
      </c>
      <c r="JW87" s="261" t="e">
        <f t="shared" si="162"/>
        <v>#N/A</v>
      </c>
      <c r="JX87" s="310"/>
      <c r="JY87" s="311"/>
      <c r="JZ87" s="311"/>
      <c r="KA87" s="311"/>
      <c r="KB87" s="313" t="s">
        <v>326</v>
      </c>
      <c r="KC87" s="242">
        <f>KC84</f>
        <v>1.1499999999999999</v>
      </c>
      <c r="KD87" s="242">
        <f>KA83-($IZ$108/2)+$IZ$109</f>
        <v>0.57499999999999996</v>
      </c>
      <c r="KE87" s="310"/>
      <c r="KF87" s="310"/>
      <c r="KG87" s="310"/>
      <c r="KH87" s="310"/>
      <c r="KI87" s="310"/>
      <c r="KJ87" s="310"/>
      <c r="KK87" s="310"/>
      <c r="KL87" s="310"/>
      <c r="KM87" s="310"/>
      <c r="KN87" s="310"/>
      <c r="KO87" s="310"/>
      <c r="KP87" s="310"/>
      <c r="KQ87" s="310"/>
      <c r="KR87" s="310"/>
      <c r="KS87" s="310"/>
      <c r="KT87" s="310"/>
      <c r="KU87" s="310"/>
      <c r="KV87" s="310"/>
      <c r="KW87" s="310"/>
      <c r="KX87" s="310"/>
      <c r="KY87" s="310"/>
      <c r="KZ87" s="310"/>
      <c r="LA87" s="310"/>
      <c r="LB87" s="310"/>
      <c r="LC87" s="310"/>
      <c r="LD87" s="310"/>
      <c r="LE87" s="310"/>
      <c r="LF87" s="310"/>
      <c r="LG87" s="310"/>
      <c r="LH87" s="310"/>
      <c r="LI87" s="310"/>
      <c r="LJ87" s="310"/>
      <c r="LK87" s="310"/>
      <c r="LL87" s="310"/>
      <c r="LM87" s="310"/>
      <c r="LN87" s="310"/>
      <c r="LO87" s="391"/>
      <c r="LP87" s="391"/>
      <c r="LQ87" s="338"/>
      <c r="LR87" s="338"/>
      <c r="LS87" s="391"/>
      <c r="LT87" s="310"/>
      <c r="LU87" s="310"/>
      <c r="LV87" s="391"/>
      <c r="LW87" s="391"/>
      <c r="LX87" s="338"/>
      <c r="LY87" s="338"/>
      <c r="LZ87" s="391"/>
      <c r="MA87" s="310"/>
      <c r="MB87" s="310"/>
      <c r="MC87" s="391"/>
      <c r="MD87" s="391"/>
      <c r="ME87" s="338"/>
      <c r="MF87" s="338"/>
      <c r="MG87" s="391"/>
      <c r="MH87" s="310"/>
      <c r="MI87" s="310"/>
      <c r="MJ87" s="391"/>
      <c r="MK87" s="391"/>
      <c r="ML87" s="338"/>
      <c r="MM87" s="338"/>
      <c r="MN87" s="391"/>
      <c r="MO87" s="310"/>
      <c r="MP87" s="310"/>
      <c r="MQ87" s="310"/>
      <c r="MR87" s="310"/>
      <c r="MS87" s="310"/>
      <c r="MT87" s="310"/>
      <c r="MU87" s="310"/>
      <c r="MV87" s="310"/>
      <c r="MW87" s="310"/>
      <c r="MX87" s="310"/>
      <c r="MY87" s="310"/>
      <c r="MZ87" s="310"/>
      <c r="NA87" s="310"/>
      <c r="NB87" s="310"/>
      <c r="NC87" s="310"/>
      <c r="ND87" s="310"/>
      <c r="NE87" s="310"/>
      <c r="NF87" s="310"/>
      <c r="NG87" s="310"/>
      <c r="NH87" s="310"/>
      <c r="NI87" s="310"/>
      <c r="NJ87" s="310"/>
      <c r="NK87" s="310"/>
      <c r="NL87" s="310"/>
      <c r="NM87" s="310"/>
      <c r="NN87" s="310"/>
      <c r="NO87" s="310"/>
      <c r="NP87" s="310"/>
      <c r="NQ87" s="310"/>
      <c r="NR87" s="310"/>
      <c r="NS87" s="310"/>
      <c r="NT87" s="310"/>
      <c r="NU87" s="310"/>
      <c r="NV87" s="310"/>
      <c r="NW87" s="310"/>
      <c r="NX87" s="310"/>
      <c r="NY87" s="310"/>
      <c r="NZ87" s="310"/>
      <c r="OA87" s="310"/>
      <c r="OB87" s="310"/>
      <c r="OC87" s="310"/>
      <c r="OD87" s="310"/>
      <c r="OE87" s="310"/>
      <c r="OF87" s="310"/>
      <c r="OG87" s="310"/>
      <c r="OH87" s="310"/>
      <c r="OI87" s="310"/>
      <c r="OJ87" s="310"/>
      <c r="OK87" s="310"/>
      <c r="OL87" s="310"/>
      <c r="OM87" s="310"/>
      <c r="ON87" s="310"/>
      <c r="OO87" s="310"/>
      <c r="OP87" s="310"/>
      <c r="OQ87" s="310"/>
      <c r="OR87" s="310"/>
      <c r="OS87" s="310"/>
      <c r="OT87" s="310"/>
      <c r="OU87" s="310"/>
      <c r="OV87" s="310"/>
      <c r="OW87" s="310"/>
      <c r="OX87" s="310"/>
      <c r="OY87" s="310"/>
      <c r="OZ87" s="310"/>
      <c r="PA87" s="310"/>
      <c r="PB87" s="310"/>
      <c r="PC87" s="310"/>
      <c r="PD87" s="310"/>
      <c r="PE87" s="310"/>
      <c r="PF87" s="310"/>
      <c r="PG87" s="310"/>
      <c r="PH87" s="310"/>
      <c r="PI87" s="310"/>
      <c r="PJ87" s="310"/>
      <c r="PK87" s="310"/>
      <c r="PL87" s="310"/>
      <c r="PM87" s="310"/>
      <c r="PN87" s="310"/>
      <c r="PO87" s="310"/>
      <c r="PP87" s="310"/>
      <c r="PQ87" s="310"/>
      <c r="PR87" s="310"/>
      <c r="PS87" s="342">
        <v>73</v>
      </c>
      <c r="PT87" s="261" t="e">
        <f t="shared" si="163"/>
        <v>#N/A</v>
      </c>
      <c r="PU87" s="261" t="e">
        <f t="shared" si="164"/>
        <v>#N/A</v>
      </c>
      <c r="PV87" s="310"/>
      <c r="PW87" s="310"/>
      <c r="PX87" s="310"/>
      <c r="PY87" s="310"/>
      <c r="PZ87" s="310"/>
      <c r="QA87" s="310"/>
      <c r="QB87" s="310"/>
      <c r="QC87" s="310"/>
      <c r="QD87" s="310"/>
      <c r="QE87" s="310"/>
      <c r="QF87" s="310"/>
      <c r="QG87" s="310"/>
      <c r="QH87" s="310"/>
      <c r="QI87" s="310"/>
      <c r="QJ87" s="310"/>
      <c r="QK87" s="310"/>
      <c r="QL87" s="310"/>
      <c r="QM87" s="310"/>
      <c r="QN87" s="310"/>
      <c r="QO87" s="310"/>
      <c r="QP87" s="310"/>
      <c r="QQ87" s="310"/>
      <c r="QR87" s="310"/>
      <c r="QS87" s="310"/>
      <c r="QT87" s="310"/>
      <c r="QU87" s="310"/>
      <c r="QV87" s="310"/>
      <c r="QW87" s="310"/>
      <c r="QX87" s="310"/>
      <c r="QY87" s="310"/>
      <c r="QZ87" s="310"/>
      <c r="RA87" s="310"/>
      <c r="RB87" s="310"/>
      <c r="RC87" s="310"/>
      <c r="RD87" s="310"/>
      <c r="RE87" s="310"/>
      <c r="RF87" s="310"/>
      <c r="RG87" s="310"/>
      <c r="RH87" s="310"/>
      <c r="RI87" s="310"/>
      <c r="RJ87" s="310"/>
      <c r="RK87" s="310"/>
      <c r="RL87" s="310"/>
      <c r="RM87" s="310"/>
      <c r="RN87" s="310"/>
      <c r="RO87" s="310"/>
      <c r="RP87" s="310"/>
      <c r="RQ87" s="310"/>
      <c r="RR87" s="310"/>
      <c r="RS87" s="310"/>
      <c r="RT87" s="310"/>
      <c r="RU87" s="310"/>
      <c r="RV87" s="310"/>
      <c r="RW87" s="310"/>
      <c r="RX87" s="310"/>
      <c r="RY87" s="310"/>
      <c r="RZ87" s="310"/>
      <c r="SA87" s="310"/>
      <c r="SB87" s="310"/>
      <c r="SC87" s="310"/>
      <c r="SD87" s="310"/>
      <c r="SE87" s="310"/>
      <c r="SF87" s="310"/>
      <c r="SG87" s="310"/>
      <c r="SH87" s="310"/>
      <c r="SI87" s="310"/>
      <c r="SJ87" s="310"/>
      <c r="SK87" s="310"/>
      <c r="SL87" s="310"/>
      <c r="SM87" s="310"/>
      <c r="SN87" s="310"/>
      <c r="SO87" s="220"/>
      <c r="SP87" s="220"/>
      <c r="SQ87" s="220"/>
      <c r="SR87" s="220"/>
      <c r="SS87" s="220"/>
      <c r="ST87" s="220"/>
      <c r="SU87" s="220"/>
      <c r="SV87" s="220"/>
      <c r="SW87" s="220"/>
      <c r="SX87" s="220"/>
      <c r="SY87" s="220"/>
      <c r="SZ87" s="220"/>
      <c r="TA87" s="220"/>
      <c r="TB87" s="220"/>
      <c r="TC87" s="220"/>
      <c r="TD87" s="220"/>
      <c r="TE87" s="220"/>
      <c r="TF87" s="220"/>
      <c r="TG87" s="220"/>
      <c r="TH87" s="220"/>
      <c r="TI87" s="220"/>
      <c r="TJ87" s="220"/>
      <c r="TK87" s="220"/>
      <c r="TL87" s="220"/>
      <c r="TM87" s="220"/>
      <c r="TN87" s="220"/>
      <c r="TO87" s="220"/>
      <c r="TP87" s="220"/>
      <c r="TQ87" s="220"/>
      <c r="TR87" s="220"/>
      <c r="TS87" s="220"/>
      <c r="TT87" s="220"/>
      <c r="TU87" s="220"/>
      <c r="TV87" s="220"/>
      <c r="TW87" s="220"/>
      <c r="TX87" s="220"/>
      <c r="TY87" s="220"/>
      <c r="TZ87" s="220"/>
      <c r="UA87" s="220"/>
      <c r="UB87" s="220"/>
      <c r="UC87" s="220"/>
      <c r="UD87" s="220"/>
      <c r="UE87" s="220"/>
      <c r="UF87" s="220"/>
      <c r="UG87" s="220"/>
      <c r="UH87" s="220"/>
      <c r="UI87" s="220"/>
      <c r="UJ87" s="220"/>
      <c r="UK87" s="216"/>
      <c r="UL87" s="216"/>
      <c r="UM87" s="216"/>
      <c r="UN87" s="216"/>
      <c r="UO87" s="216"/>
      <c r="UP87" s="216"/>
      <c r="UQ87" s="216"/>
      <c r="UR87" s="216"/>
      <c r="US87" s="216"/>
      <c r="UT87" s="216"/>
      <c r="UU87" s="216"/>
      <c r="UV87" s="216"/>
      <c r="UW87" s="216"/>
      <c r="UX87" s="216"/>
      <c r="UY87" s="216"/>
      <c r="UZ87" s="216"/>
      <c r="VA87" s="216"/>
    </row>
    <row r="88" spans="1:573" s="4" customFormat="1" x14ac:dyDescent="0.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5"/>
      <c r="AM88" s="45"/>
      <c r="AN88" s="45"/>
      <c r="AO88" s="45"/>
      <c r="AP88" s="310"/>
      <c r="AQ88" s="310"/>
      <c r="AR88" s="310"/>
      <c r="AS88" s="310"/>
      <c r="AT88" s="310"/>
      <c r="AU88" s="310"/>
      <c r="AV88" s="310"/>
      <c r="AW88" s="310"/>
      <c r="AX88" s="310"/>
      <c r="AY88" s="310"/>
      <c r="AZ88" s="310"/>
      <c r="BA88" s="310"/>
      <c r="BB88" s="310"/>
      <c r="BC88" s="310"/>
      <c r="BD88" s="310"/>
      <c r="BE88" s="310"/>
      <c r="BF88" s="310"/>
      <c r="BG88" s="310"/>
      <c r="BH88" s="310"/>
      <c r="BI88" s="310"/>
      <c r="BJ88" s="310"/>
      <c r="BK88" s="310"/>
      <c r="BL88" s="310"/>
      <c r="BM88" s="310"/>
      <c r="BN88" s="310"/>
      <c r="BO88" s="310"/>
      <c r="BP88" s="310"/>
      <c r="BQ88" s="310"/>
      <c r="BR88" s="310"/>
      <c r="BS88" s="310"/>
      <c r="BT88" s="310"/>
      <c r="BU88" s="310"/>
      <c r="BV88" s="310"/>
      <c r="BW88" s="310"/>
      <c r="BX88" s="310"/>
      <c r="BY88" s="310"/>
      <c r="BZ88" s="310"/>
      <c r="CA88" s="310"/>
      <c r="CB88" s="310"/>
      <c r="CC88" s="310"/>
      <c r="CD88" s="228" t="e">
        <v>#N/A</v>
      </c>
      <c r="CE88" s="228" t="e">
        <v>#N/A</v>
      </c>
      <c r="CF88" s="310"/>
      <c r="CG88" s="310"/>
      <c r="CH88" s="310"/>
      <c r="CI88" s="310"/>
      <c r="CJ88" s="310"/>
      <c r="CK88" s="310"/>
      <c r="CL88" s="310"/>
      <c r="CM88" s="310"/>
      <c r="CN88" s="310"/>
      <c r="CO88" s="310"/>
      <c r="CP88" s="310"/>
      <c r="CQ88" s="310"/>
      <c r="CR88" s="310"/>
      <c r="CS88" s="310"/>
      <c r="CT88" s="310"/>
      <c r="CU88" s="310"/>
      <c r="CV88" s="310"/>
      <c r="CW88" s="310"/>
      <c r="CX88" s="310"/>
      <c r="CY88" s="310"/>
      <c r="CZ88" s="310"/>
      <c r="DA88" s="310"/>
      <c r="DB88" s="310"/>
      <c r="DC88" s="310"/>
      <c r="DD88" s="310"/>
      <c r="DE88" s="310"/>
      <c r="DF88" s="310"/>
      <c r="DG88" s="310"/>
      <c r="DH88" s="310"/>
      <c r="DI88" s="310"/>
      <c r="DJ88" s="310"/>
      <c r="DK88" s="310"/>
      <c r="DL88" s="310"/>
      <c r="DM88" s="310"/>
      <c r="DN88" s="310"/>
      <c r="DO88" s="310"/>
      <c r="DP88" s="310"/>
      <c r="DQ88" s="310"/>
      <c r="DR88" s="310"/>
      <c r="DS88" s="310"/>
      <c r="DT88" s="310"/>
      <c r="DU88" s="230">
        <f>DU47</f>
        <v>-0.65</v>
      </c>
      <c r="DV88" s="230">
        <f>DV87</f>
        <v>1.2</v>
      </c>
      <c r="DW88" s="247">
        <f>DW77</f>
        <v>0</v>
      </c>
      <c r="DX88" s="247">
        <f>DV87</f>
        <v>1.2</v>
      </c>
      <c r="DY88" s="454">
        <f>J15</f>
        <v>1.3</v>
      </c>
      <c r="DZ88" s="310"/>
      <c r="EA88" s="310"/>
      <c r="EB88" s="310"/>
      <c r="EC88" s="310"/>
      <c r="ED88" s="310"/>
      <c r="EE88" s="310"/>
      <c r="EF88" s="310"/>
      <c r="EG88" s="310"/>
      <c r="EH88" s="310"/>
      <c r="EI88" s="338">
        <v>17</v>
      </c>
      <c r="EJ88" s="338" t="b">
        <f t="shared" si="127"/>
        <v>0</v>
      </c>
      <c r="EK88" s="281" t="e">
        <f t="shared" si="128"/>
        <v>#N/A</v>
      </c>
      <c r="EL88" s="281" t="e">
        <f t="shared" si="129"/>
        <v>#N/A</v>
      </c>
      <c r="EM88" s="310"/>
      <c r="EN88" s="280">
        <f>$EN$82</f>
        <v>-0.13400000000000001</v>
      </c>
      <c r="EO88" s="280">
        <f>EO85+0.2</f>
        <v>0.58499999999999996</v>
      </c>
      <c r="EP88" s="310"/>
      <c r="EQ88" s="310"/>
      <c r="ER88" s="310"/>
      <c r="ES88" s="310"/>
      <c r="ET88" s="310"/>
      <c r="EU88" s="310"/>
      <c r="EV88" s="310"/>
      <c r="EW88" s="310"/>
      <c r="EX88" s="310"/>
      <c r="EY88" s="310"/>
      <c r="EZ88" s="310"/>
      <c r="FA88" s="310"/>
      <c r="FB88" s="310"/>
      <c r="FC88" s="310"/>
      <c r="FD88" s="310"/>
      <c r="FE88" s="310"/>
      <c r="FF88" s="310"/>
      <c r="FG88" s="310"/>
      <c r="FH88" s="310"/>
      <c r="FI88" s="310"/>
      <c r="FJ88" s="310"/>
      <c r="FK88" s="310"/>
      <c r="FL88" s="310"/>
      <c r="FM88" s="310"/>
      <c r="FN88" s="310"/>
      <c r="FO88" s="310"/>
      <c r="FP88" s="310"/>
      <c r="FQ88" s="310"/>
      <c r="FR88" s="310"/>
      <c r="FS88" s="310"/>
      <c r="FT88" s="310"/>
      <c r="FU88" s="310"/>
      <c r="FV88" s="310"/>
      <c r="FW88" s="310"/>
      <c r="FX88" s="310"/>
      <c r="FY88" s="310"/>
      <c r="FZ88" s="310"/>
      <c r="GA88" s="310"/>
      <c r="GB88" s="310"/>
      <c r="GC88" s="310"/>
      <c r="GD88" s="310"/>
      <c r="GE88" s="310"/>
      <c r="GF88" s="310"/>
      <c r="GG88" s="310"/>
      <c r="GH88" s="310"/>
      <c r="GI88" s="310"/>
      <c r="GJ88" s="310"/>
      <c r="GK88" s="310"/>
      <c r="GL88" s="310"/>
      <c r="GM88" s="310"/>
      <c r="GN88" s="310"/>
      <c r="GO88" s="310"/>
      <c r="GP88" s="310"/>
      <c r="GQ88" s="310"/>
      <c r="GR88" s="310"/>
      <c r="GS88" s="310"/>
      <c r="GT88" s="310"/>
      <c r="GU88" s="310"/>
      <c r="GV88" s="310"/>
      <c r="GW88" s="310"/>
      <c r="GX88" s="310"/>
      <c r="GY88" s="310"/>
      <c r="GZ88" s="310"/>
      <c r="HA88" s="310"/>
      <c r="HB88" s="310"/>
      <c r="HC88" s="310"/>
      <c r="HD88" s="310"/>
      <c r="HE88" s="310"/>
      <c r="HF88" s="310"/>
      <c r="HG88" s="310"/>
      <c r="HH88" s="310"/>
      <c r="HI88" s="310"/>
      <c r="HJ88" s="310"/>
      <c r="HK88" s="342">
        <v>74</v>
      </c>
      <c r="HL88" s="235" t="e">
        <f t="shared" si="139"/>
        <v>#N/A</v>
      </c>
      <c r="HM88" s="235" t="e">
        <f t="shared" si="140"/>
        <v>#N/A</v>
      </c>
      <c r="HN88" s="310"/>
      <c r="HO88" s="310"/>
      <c r="HP88" s="235" t="e">
        <f t="shared" si="141"/>
        <v>#N/A</v>
      </c>
      <c r="HQ88" s="235" t="e">
        <f t="shared" si="142"/>
        <v>#N/A</v>
      </c>
      <c r="HR88" s="310"/>
      <c r="HS88" s="310"/>
      <c r="HT88" s="235" t="e">
        <f t="shared" si="143"/>
        <v>#N/A</v>
      </c>
      <c r="HU88" s="235" t="e">
        <f t="shared" si="144"/>
        <v>#N/A</v>
      </c>
      <c r="HV88" s="310"/>
      <c r="HW88" s="310"/>
      <c r="HX88" s="235" t="e">
        <f t="shared" si="145"/>
        <v>#N/A</v>
      </c>
      <c r="HY88" s="235" t="e">
        <f t="shared" si="146"/>
        <v>#N/A</v>
      </c>
      <c r="HZ88" s="310"/>
      <c r="IA88" s="310"/>
      <c r="IB88" s="235" t="e">
        <f t="shared" si="147"/>
        <v>#N/A</v>
      </c>
      <c r="IC88" s="235" t="e">
        <f t="shared" si="148"/>
        <v>#N/A</v>
      </c>
      <c r="ID88" s="310"/>
      <c r="IE88" s="342">
        <v>74</v>
      </c>
      <c r="IF88" s="262" t="e">
        <f t="shared" si="149"/>
        <v>#N/A</v>
      </c>
      <c r="IG88" s="262" t="e">
        <f t="shared" si="150"/>
        <v>#N/A</v>
      </c>
      <c r="IH88" s="390"/>
      <c r="II88" s="390"/>
      <c r="IJ88" s="262" t="e">
        <f t="shared" si="151"/>
        <v>#N/A</v>
      </c>
      <c r="IK88" s="262" t="e">
        <f t="shared" si="152"/>
        <v>#N/A</v>
      </c>
      <c r="IL88" s="390"/>
      <c r="IM88" s="390"/>
      <c r="IN88" s="262" t="e">
        <f t="shared" si="153"/>
        <v>#N/A</v>
      </c>
      <c r="IO88" s="262" t="e">
        <f t="shared" si="154"/>
        <v>#N/A</v>
      </c>
      <c r="IP88" s="390"/>
      <c r="IQ88" s="390"/>
      <c r="IR88" s="262" t="e">
        <f t="shared" si="155"/>
        <v>#N/A</v>
      </c>
      <c r="IS88" s="262" t="e">
        <f t="shared" si="156"/>
        <v>#N/A</v>
      </c>
      <c r="IT88" s="390"/>
      <c r="IU88" s="390"/>
      <c r="IV88" s="262" t="e">
        <f t="shared" si="157"/>
        <v>#N/A</v>
      </c>
      <c r="IW88" s="262" t="e">
        <f t="shared" si="158"/>
        <v>#N/A</v>
      </c>
      <c r="IX88" s="310"/>
      <c r="IY88" s="342" t="s">
        <v>355</v>
      </c>
      <c r="IZ88" s="342" t="s">
        <v>48</v>
      </c>
      <c r="JA88" s="342" t="s">
        <v>49</v>
      </c>
      <c r="JB88" s="313" t="s">
        <v>144</v>
      </c>
      <c r="JC88" s="228" t="e">
        <f>IZ89+$IZ$62/2</f>
        <v>#N/A</v>
      </c>
      <c r="JD88" s="228" t="e">
        <f>JD87</f>
        <v>#N/A</v>
      </c>
      <c r="JE88" s="310"/>
      <c r="JF88" s="342" t="s">
        <v>355</v>
      </c>
      <c r="JG88" s="342" t="s">
        <v>48</v>
      </c>
      <c r="JH88" s="342" t="s">
        <v>49</v>
      </c>
      <c r="JI88" s="313" t="s">
        <v>144</v>
      </c>
      <c r="JJ88" s="242" t="e">
        <f>JG89+$IZ$62/2</f>
        <v>#N/A</v>
      </c>
      <c r="JK88" s="242" t="e">
        <f>JK87</f>
        <v>#N/A</v>
      </c>
      <c r="JL88" s="310"/>
      <c r="JM88" s="310"/>
      <c r="JN88" s="261" t="e">
        <f t="shared" si="159"/>
        <v>#N/A</v>
      </c>
      <c r="JO88" s="261" t="e">
        <f t="shared" si="160"/>
        <v>#N/A</v>
      </c>
      <c r="JP88" s="310"/>
      <c r="JQ88" s="310"/>
      <c r="JR88" s="261" t="e">
        <f t="shared" si="165"/>
        <v>#N/A</v>
      </c>
      <c r="JS88" s="261" t="e">
        <f t="shared" si="166"/>
        <v>#N/A</v>
      </c>
      <c r="JT88" s="310"/>
      <c r="JU88" s="310"/>
      <c r="JV88" s="261" t="e">
        <f t="shared" si="161"/>
        <v>#N/A</v>
      </c>
      <c r="JW88" s="261" t="e">
        <f t="shared" si="162"/>
        <v>#N/A</v>
      </c>
      <c r="JX88" s="310"/>
      <c r="JY88" s="311"/>
      <c r="JZ88" s="311"/>
      <c r="KA88" s="311"/>
      <c r="KB88" s="313" t="s">
        <v>372</v>
      </c>
      <c r="KC88" s="242">
        <f>KC87</f>
        <v>1.1499999999999999</v>
      </c>
      <c r="KD88" s="242">
        <f>KA83-($IZ$108/2)+$IZ$114</f>
        <v>0.51500000000000001</v>
      </c>
      <c r="KE88" s="310"/>
      <c r="KF88" s="310"/>
      <c r="KG88" s="310"/>
      <c r="KH88" s="310"/>
      <c r="KI88" s="310"/>
      <c r="KJ88" s="310"/>
      <c r="KK88" s="310"/>
      <c r="KL88" s="310"/>
      <c r="KM88" s="310"/>
      <c r="KN88" s="310"/>
      <c r="KO88" s="310"/>
      <c r="KP88" s="310"/>
      <c r="KQ88" s="310"/>
      <c r="KR88" s="310"/>
      <c r="KS88" s="310"/>
      <c r="KT88" s="310"/>
      <c r="KU88" s="310"/>
      <c r="KV88" s="310"/>
      <c r="KW88" s="310"/>
      <c r="KX88" s="310"/>
      <c r="KY88" s="310"/>
      <c r="KZ88" s="310"/>
      <c r="LA88" s="310"/>
      <c r="LB88" s="310"/>
      <c r="LC88" s="310"/>
      <c r="LD88" s="310"/>
      <c r="LE88" s="310"/>
      <c r="LF88" s="310"/>
      <c r="LG88" s="310"/>
      <c r="LH88" s="310"/>
      <c r="LI88" s="310"/>
      <c r="LJ88" s="310"/>
      <c r="LK88" s="310"/>
      <c r="LL88" s="310"/>
      <c r="LM88" s="310"/>
      <c r="LN88" s="310"/>
      <c r="LO88" s="310"/>
      <c r="LP88" s="310"/>
      <c r="LQ88" s="310"/>
      <c r="LR88" s="310"/>
      <c r="LS88" s="310"/>
      <c r="LT88" s="310"/>
      <c r="LU88" s="310"/>
      <c r="LV88" s="310"/>
      <c r="LW88" s="310"/>
      <c r="LX88" s="310"/>
      <c r="LY88" s="310"/>
      <c r="LZ88" s="310"/>
      <c r="MA88" s="310"/>
      <c r="MB88" s="310"/>
      <c r="MC88" s="310"/>
      <c r="MD88" s="310"/>
      <c r="ME88" s="310"/>
      <c r="MF88" s="310"/>
      <c r="MG88" s="310"/>
      <c r="MH88" s="310"/>
      <c r="MI88" s="310"/>
      <c r="MJ88" s="310"/>
      <c r="MK88" s="310"/>
      <c r="ML88" s="310"/>
      <c r="MM88" s="310"/>
      <c r="MN88" s="310"/>
      <c r="MO88" s="310"/>
      <c r="MP88" s="310"/>
      <c r="MQ88" s="310"/>
      <c r="MR88" s="310"/>
      <c r="MS88" s="310"/>
      <c r="MT88" s="310"/>
      <c r="MU88" s="310"/>
      <c r="MV88" s="310"/>
      <c r="MW88" s="310"/>
      <c r="MX88" s="310"/>
      <c r="MY88" s="310"/>
      <c r="MZ88" s="310"/>
      <c r="NA88" s="310"/>
      <c r="NB88" s="310"/>
      <c r="NC88" s="310"/>
      <c r="ND88" s="310"/>
      <c r="NE88" s="310"/>
      <c r="NF88" s="310"/>
      <c r="NG88" s="310"/>
      <c r="NH88" s="310"/>
      <c r="NI88" s="310"/>
      <c r="NJ88" s="310"/>
      <c r="NK88" s="310"/>
      <c r="NL88" s="310"/>
      <c r="NM88" s="310"/>
      <c r="NN88" s="310"/>
      <c r="NO88" s="310"/>
      <c r="NP88" s="310"/>
      <c r="NQ88" s="310"/>
      <c r="NR88" s="310"/>
      <c r="NS88" s="310"/>
      <c r="NT88" s="310"/>
      <c r="NU88" s="310"/>
      <c r="NV88" s="310"/>
      <c r="NW88" s="310"/>
      <c r="NX88" s="310"/>
      <c r="NY88" s="310"/>
      <c r="NZ88" s="310"/>
      <c r="OA88" s="310"/>
      <c r="OB88" s="310"/>
      <c r="OC88" s="310"/>
      <c r="OD88" s="310"/>
      <c r="OE88" s="310"/>
      <c r="OF88" s="310"/>
      <c r="OG88" s="310"/>
      <c r="OH88" s="310"/>
      <c r="OI88" s="310"/>
      <c r="OJ88" s="310"/>
      <c r="OK88" s="310"/>
      <c r="OL88" s="310"/>
      <c r="OM88" s="310"/>
      <c r="ON88" s="310"/>
      <c r="OO88" s="310"/>
      <c r="OP88" s="310"/>
      <c r="OQ88" s="310"/>
      <c r="OR88" s="310"/>
      <c r="OS88" s="310"/>
      <c r="OT88" s="310"/>
      <c r="OU88" s="310"/>
      <c r="OV88" s="310"/>
      <c r="OW88" s="310"/>
      <c r="OX88" s="310"/>
      <c r="OY88" s="310"/>
      <c r="OZ88" s="310"/>
      <c r="PA88" s="310"/>
      <c r="PB88" s="310"/>
      <c r="PC88" s="310"/>
      <c r="PD88" s="310"/>
      <c r="PE88" s="310"/>
      <c r="PF88" s="310"/>
      <c r="PG88" s="310"/>
      <c r="PH88" s="310"/>
      <c r="PI88" s="310"/>
      <c r="PJ88" s="310"/>
      <c r="PK88" s="310"/>
      <c r="PL88" s="310"/>
      <c r="PM88" s="310"/>
      <c r="PN88" s="310"/>
      <c r="PO88" s="310"/>
      <c r="PP88" s="310"/>
      <c r="PQ88" s="310"/>
      <c r="PR88" s="310"/>
      <c r="PS88" s="342">
        <v>74</v>
      </c>
      <c r="PT88" s="261" t="e">
        <f t="shared" si="163"/>
        <v>#N/A</v>
      </c>
      <c r="PU88" s="261" t="e">
        <f t="shared" si="164"/>
        <v>#N/A</v>
      </c>
      <c r="PV88" s="310"/>
      <c r="PW88" s="310"/>
      <c r="PX88" s="310"/>
      <c r="PY88" s="310"/>
      <c r="PZ88" s="310"/>
      <c r="QA88" s="310"/>
      <c r="QB88" s="310"/>
      <c r="QC88" s="310"/>
      <c r="QD88" s="310"/>
      <c r="QE88" s="310"/>
      <c r="QF88" s="310"/>
      <c r="QG88" s="310"/>
      <c r="QH88" s="310"/>
      <c r="QI88" s="310"/>
      <c r="QJ88" s="310"/>
      <c r="QK88" s="310"/>
      <c r="QL88" s="310"/>
      <c r="QM88" s="310"/>
      <c r="QN88" s="310"/>
      <c r="QO88" s="310"/>
      <c r="QP88" s="310"/>
      <c r="QQ88" s="310"/>
      <c r="QR88" s="310"/>
      <c r="QS88" s="310"/>
      <c r="QT88" s="310"/>
      <c r="QU88" s="310"/>
      <c r="QV88" s="310"/>
      <c r="QW88" s="310"/>
      <c r="QX88" s="310"/>
      <c r="QY88" s="310"/>
      <c r="QZ88" s="310"/>
      <c r="RA88" s="310"/>
      <c r="RB88" s="310"/>
      <c r="RC88" s="310"/>
      <c r="RD88" s="310"/>
      <c r="RE88" s="310"/>
      <c r="RF88" s="310"/>
      <c r="RG88" s="310"/>
      <c r="RH88" s="310"/>
      <c r="RI88" s="310"/>
      <c r="RJ88" s="310"/>
      <c r="RK88" s="310"/>
      <c r="RL88" s="310"/>
      <c r="RM88" s="310"/>
      <c r="RN88" s="310"/>
      <c r="RO88" s="310"/>
      <c r="RP88" s="310"/>
      <c r="RQ88" s="310"/>
      <c r="RR88" s="310"/>
      <c r="RS88" s="310"/>
      <c r="RT88" s="310"/>
      <c r="RU88" s="310"/>
      <c r="RV88" s="310"/>
      <c r="RW88" s="310"/>
      <c r="RX88" s="310"/>
      <c r="RY88" s="310"/>
      <c r="RZ88" s="310"/>
      <c r="SA88" s="310"/>
      <c r="SB88" s="310"/>
      <c r="SC88" s="310"/>
      <c r="SD88" s="310"/>
      <c r="SE88" s="310"/>
      <c r="SF88" s="310"/>
      <c r="SG88" s="310"/>
      <c r="SH88" s="310"/>
      <c r="SI88" s="310"/>
      <c r="SJ88" s="310"/>
      <c r="SK88" s="310"/>
      <c r="SL88" s="310"/>
      <c r="SM88" s="310"/>
      <c r="SN88" s="310"/>
      <c r="SO88" s="220"/>
      <c r="SP88" s="220"/>
      <c r="SQ88" s="220"/>
      <c r="SR88" s="220"/>
      <c r="SS88" s="220"/>
      <c r="ST88" s="220"/>
      <c r="SU88" s="220"/>
      <c r="SV88" s="220"/>
      <c r="SW88" s="220"/>
      <c r="SX88" s="220"/>
      <c r="SY88" s="220"/>
      <c r="SZ88" s="220"/>
      <c r="TA88" s="220"/>
      <c r="TB88" s="220"/>
      <c r="TC88" s="220"/>
      <c r="TD88" s="220"/>
      <c r="TE88" s="220"/>
      <c r="TF88" s="220"/>
      <c r="TG88" s="220"/>
      <c r="TH88" s="220"/>
      <c r="TI88" s="220"/>
      <c r="TJ88" s="220"/>
      <c r="TK88" s="220"/>
      <c r="TL88" s="220"/>
      <c r="TM88" s="220"/>
      <c r="TN88" s="220"/>
      <c r="TO88" s="220"/>
      <c r="TP88" s="220"/>
      <c r="TQ88" s="220"/>
      <c r="TR88" s="220"/>
      <c r="TS88" s="220"/>
      <c r="TT88" s="220"/>
      <c r="TU88" s="220"/>
      <c r="TV88" s="220"/>
      <c r="TW88" s="220"/>
      <c r="TX88" s="220"/>
      <c r="TY88" s="220"/>
      <c r="TZ88" s="220"/>
      <c r="UA88" s="220"/>
      <c r="UB88" s="220"/>
      <c r="UC88" s="220"/>
      <c r="UD88" s="220"/>
      <c r="UE88" s="220"/>
      <c r="UF88" s="220"/>
      <c r="UG88" s="220"/>
      <c r="UH88" s="220"/>
      <c r="UI88" s="220"/>
      <c r="UJ88" s="220"/>
      <c r="UK88" s="216"/>
      <c r="UL88" s="216"/>
      <c r="UM88" s="216"/>
      <c r="UN88" s="216"/>
      <c r="UO88" s="216"/>
      <c r="UP88" s="216"/>
      <c r="UQ88" s="216"/>
      <c r="UR88" s="216"/>
      <c r="US88" s="216"/>
      <c r="UT88" s="216"/>
      <c r="UU88" s="216"/>
      <c r="UV88" s="216"/>
      <c r="UW88" s="216"/>
      <c r="UX88" s="216"/>
      <c r="UY88" s="216"/>
      <c r="UZ88" s="216"/>
      <c r="VA88" s="216"/>
    </row>
    <row r="89" spans="1:573" s="4" customFormat="1" x14ac:dyDescent="0.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5"/>
      <c r="AM89" s="45"/>
      <c r="AN89" s="45"/>
      <c r="AO89" s="45"/>
      <c r="AP89" s="310"/>
      <c r="AQ89" s="310"/>
      <c r="AR89" s="310"/>
      <c r="AS89" s="310"/>
      <c r="AT89" s="310"/>
      <c r="AU89" s="310"/>
      <c r="AV89" s="310"/>
      <c r="AW89" s="310"/>
      <c r="AX89" s="310"/>
      <c r="AY89" s="310"/>
      <c r="AZ89" s="310"/>
      <c r="BA89" s="310"/>
      <c r="BB89" s="310"/>
      <c r="BC89" s="310"/>
      <c r="BD89" s="310"/>
      <c r="BE89" s="310"/>
      <c r="BF89" s="310"/>
      <c r="BG89" s="310"/>
      <c r="BH89" s="310"/>
      <c r="BI89" s="310"/>
      <c r="BJ89" s="310"/>
      <c r="BK89" s="310"/>
      <c r="BL89" s="310"/>
      <c r="BM89" s="310"/>
      <c r="BN89" s="310"/>
      <c r="BO89" s="310"/>
      <c r="BP89" s="310"/>
      <c r="BQ89" s="310"/>
      <c r="BR89" s="310"/>
      <c r="BS89" s="310"/>
      <c r="BT89" s="310"/>
      <c r="BU89" s="310"/>
      <c r="BV89" s="310"/>
      <c r="BW89" s="310"/>
      <c r="BX89" s="310"/>
      <c r="BY89" s="310"/>
      <c r="BZ89" s="310"/>
      <c r="CA89" s="310"/>
      <c r="CB89" s="310"/>
      <c r="CC89" s="310"/>
      <c r="CD89" s="228" t="e">
        <f>CD86</f>
        <v>#N/A</v>
      </c>
      <c r="CE89" s="228" t="e">
        <f>CE86</f>
        <v>#N/A</v>
      </c>
      <c r="CF89" s="310"/>
      <c r="CG89" s="310"/>
      <c r="CH89" s="310"/>
      <c r="CI89" s="310"/>
      <c r="CJ89" s="310"/>
      <c r="CK89" s="310"/>
      <c r="CL89" s="310"/>
      <c r="CM89" s="310"/>
      <c r="CN89" s="310"/>
      <c r="CO89" s="310"/>
      <c r="CP89" s="310"/>
      <c r="CQ89" s="310"/>
      <c r="CR89" s="310"/>
      <c r="CS89" s="310"/>
      <c r="CT89" s="310"/>
      <c r="CU89" s="310"/>
      <c r="CV89" s="310"/>
      <c r="CW89" s="310"/>
      <c r="CX89" s="310"/>
      <c r="CY89" s="310"/>
      <c r="CZ89" s="310"/>
      <c r="DA89" s="310"/>
      <c r="DB89" s="310"/>
      <c r="DC89" s="310"/>
      <c r="DD89" s="310"/>
      <c r="DE89" s="310"/>
      <c r="DF89" s="310"/>
      <c r="DG89" s="310"/>
      <c r="DH89" s="310"/>
      <c r="DI89" s="310"/>
      <c r="DJ89" s="310"/>
      <c r="DK89" s="310"/>
      <c r="DL89" s="310"/>
      <c r="DM89" s="310"/>
      <c r="DN89" s="310"/>
      <c r="DO89" s="310"/>
      <c r="DP89" s="310"/>
      <c r="DQ89" s="310"/>
      <c r="DR89" s="310"/>
      <c r="DS89" s="310"/>
      <c r="DT89" s="310"/>
      <c r="DU89" s="230">
        <f>DU47</f>
        <v>-0.65</v>
      </c>
      <c r="DV89" s="230">
        <f>DV47</f>
        <v>0.65</v>
      </c>
      <c r="DW89" s="300" t="e">
        <v>#N/A</v>
      </c>
      <c r="DX89" s="300" t="e">
        <v>#N/A</v>
      </c>
      <c r="DY89" s="310"/>
      <c r="DZ89" s="310"/>
      <c r="EA89" s="310"/>
      <c r="EB89" s="310"/>
      <c r="EC89" s="310"/>
      <c r="ED89" s="310"/>
      <c r="EE89" s="310"/>
      <c r="EF89" s="310"/>
      <c r="EG89" s="310"/>
      <c r="EH89" s="310"/>
      <c r="EI89" s="338">
        <v>18</v>
      </c>
      <c r="EJ89" s="338" t="b">
        <f t="shared" si="127"/>
        <v>0</v>
      </c>
      <c r="EK89" s="281" t="e">
        <f t="shared" si="128"/>
        <v>#N/A</v>
      </c>
      <c r="EL89" s="281" t="e">
        <f t="shared" si="129"/>
        <v>#N/A</v>
      </c>
      <c r="EM89" s="310"/>
      <c r="EN89" s="280">
        <f>$EN$83</f>
        <v>0.13400000000000001</v>
      </c>
      <c r="EO89" s="280">
        <f>EO88</f>
        <v>0.58499999999999996</v>
      </c>
      <c r="EP89" s="310"/>
      <c r="EQ89" s="310"/>
      <c r="ER89" s="310"/>
      <c r="ES89" s="310"/>
      <c r="ET89" s="310"/>
      <c r="EU89" s="310"/>
      <c r="EV89" s="310"/>
      <c r="EW89" s="310"/>
      <c r="EX89" s="310"/>
      <c r="EY89" s="310"/>
      <c r="EZ89" s="310"/>
      <c r="FA89" s="310"/>
      <c r="FB89" s="310"/>
      <c r="FC89" s="310"/>
      <c r="FD89" s="310"/>
      <c r="FE89" s="310"/>
      <c r="FF89" s="310"/>
      <c r="FG89" s="310"/>
      <c r="FH89" s="310"/>
      <c r="FI89" s="310"/>
      <c r="FJ89" s="310"/>
      <c r="FK89" s="310"/>
      <c r="FL89" s="310"/>
      <c r="FM89" s="310"/>
      <c r="FN89" s="310"/>
      <c r="FO89" s="310"/>
      <c r="FP89" s="310"/>
      <c r="FQ89" s="310"/>
      <c r="FR89" s="310"/>
      <c r="FS89" s="310"/>
      <c r="FT89" s="310"/>
      <c r="FU89" s="310"/>
      <c r="FV89" s="310"/>
      <c r="FW89" s="310"/>
      <c r="FX89" s="310"/>
      <c r="FY89" s="310"/>
      <c r="FZ89" s="310"/>
      <c r="GA89" s="310"/>
      <c r="GB89" s="310"/>
      <c r="GC89" s="310"/>
      <c r="GD89" s="310"/>
      <c r="GE89" s="310"/>
      <c r="GF89" s="310"/>
      <c r="GG89" s="310"/>
      <c r="GH89" s="310"/>
      <c r="GI89" s="310"/>
      <c r="GJ89" s="310"/>
      <c r="GK89" s="310"/>
      <c r="GL89" s="310"/>
      <c r="GM89" s="310"/>
      <c r="GN89" s="310"/>
      <c r="GO89" s="310"/>
      <c r="GP89" s="310"/>
      <c r="GQ89" s="310"/>
      <c r="GR89" s="310"/>
      <c r="GS89" s="310"/>
      <c r="GT89" s="310"/>
      <c r="GU89" s="310"/>
      <c r="GV89" s="310"/>
      <c r="GW89" s="310"/>
      <c r="GX89" s="310"/>
      <c r="GY89" s="310"/>
      <c r="GZ89" s="310"/>
      <c r="HA89" s="310"/>
      <c r="HB89" s="310"/>
      <c r="HC89" s="310"/>
      <c r="HD89" s="310"/>
      <c r="HE89" s="310"/>
      <c r="HF89" s="310"/>
      <c r="HG89" s="310"/>
      <c r="HH89" s="310"/>
      <c r="HI89" s="310"/>
      <c r="HJ89" s="310"/>
      <c r="HK89" s="342">
        <v>75</v>
      </c>
      <c r="HL89" s="235" t="e">
        <f t="shared" si="139"/>
        <v>#N/A</v>
      </c>
      <c r="HM89" s="235" t="e">
        <f t="shared" si="140"/>
        <v>#N/A</v>
      </c>
      <c r="HN89" s="310"/>
      <c r="HO89" s="310"/>
      <c r="HP89" s="235" t="e">
        <f t="shared" si="141"/>
        <v>#N/A</v>
      </c>
      <c r="HQ89" s="235" t="e">
        <f t="shared" si="142"/>
        <v>#N/A</v>
      </c>
      <c r="HR89" s="310"/>
      <c r="HS89" s="310"/>
      <c r="HT89" s="235" t="e">
        <f t="shared" si="143"/>
        <v>#N/A</v>
      </c>
      <c r="HU89" s="235" t="e">
        <f t="shared" si="144"/>
        <v>#N/A</v>
      </c>
      <c r="HV89" s="310"/>
      <c r="HW89" s="310"/>
      <c r="HX89" s="235" t="e">
        <f t="shared" si="145"/>
        <v>#N/A</v>
      </c>
      <c r="HY89" s="235" t="e">
        <f t="shared" si="146"/>
        <v>#N/A</v>
      </c>
      <c r="HZ89" s="310"/>
      <c r="IA89" s="310"/>
      <c r="IB89" s="235" t="e">
        <f t="shared" si="147"/>
        <v>#N/A</v>
      </c>
      <c r="IC89" s="235" t="e">
        <f t="shared" si="148"/>
        <v>#N/A</v>
      </c>
      <c r="ID89" s="310"/>
      <c r="IE89" s="342">
        <v>75</v>
      </c>
      <c r="IF89" s="262" t="e">
        <f t="shared" si="149"/>
        <v>#N/A</v>
      </c>
      <c r="IG89" s="262" t="e">
        <f t="shared" si="150"/>
        <v>#N/A</v>
      </c>
      <c r="IH89" s="390"/>
      <c r="II89" s="390"/>
      <c r="IJ89" s="262" t="e">
        <f t="shared" si="151"/>
        <v>#N/A</v>
      </c>
      <c r="IK89" s="262" t="e">
        <f t="shared" si="152"/>
        <v>#N/A</v>
      </c>
      <c r="IL89" s="390"/>
      <c r="IM89" s="390"/>
      <c r="IN89" s="262" t="e">
        <f t="shared" si="153"/>
        <v>#N/A</v>
      </c>
      <c r="IO89" s="262" t="e">
        <f t="shared" si="154"/>
        <v>#N/A</v>
      </c>
      <c r="IP89" s="390"/>
      <c r="IQ89" s="390"/>
      <c r="IR89" s="262" t="e">
        <f t="shared" si="155"/>
        <v>#N/A</v>
      </c>
      <c r="IS89" s="262" t="e">
        <f t="shared" si="156"/>
        <v>#N/A</v>
      </c>
      <c r="IT89" s="390"/>
      <c r="IU89" s="390"/>
      <c r="IV89" s="262" t="e">
        <f t="shared" si="157"/>
        <v>#N/A</v>
      </c>
      <c r="IW89" s="262" t="e">
        <f t="shared" si="158"/>
        <v>#N/A</v>
      </c>
      <c r="IX89" s="310"/>
      <c r="IY89" s="313" t="s">
        <v>72</v>
      </c>
      <c r="IZ89" s="362" t="e">
        <f>IF(JA87=TRUE,$M$22,#N/A)</f>
        <v>#N/A</v>
      </c>
      <c r="JA89" s="362" t="e">
        <f>IF(JA87=TRUE,$J$22,#N/A)</f>
        <v>#N/A</v>
      </c>
      <c r="JB89" s="313" t="s">
        <v>149</v>
      </c>
      <c r="JC89" s="234" t="e">
        <f>IZ89+$IZ$62</f>
        <v>#N/A</v>
      </c>
      <c r="JD89" s="234" t="e">
        <f>JA89</f>
        <v>#N/A</v>
      </c>
      <c r="JE89" s="310"/>
      <c r="JF89" s="313" t="s">
        <v>72</v>
      </c>
      <c r="JG89" s="362" t="e">
        <f>IF(JH87=TRUE,$J$29,#N/A)</f>
        <v>#N/A</v>
      </c>
      <c r="JH89" s="363" t="e">
        <f>IF(JH87=TRUE,$H$29,#N/A)</f>
        <v>#N/A</v>
      </c>
      <c r="JI89" s="313" t="s">
        <v>149</v>
      </c>
      <c r="JJ89" s="265" t="e">
        <f>JG89+$IZ$62</f>
        <v>#N/A</v>
      </c>
      <c r="JK89" s="265" t="e">
        <f>JH89</f>
        <v>#N/A</v>
      </c>
      <c r="JL89" s="310"/>
      <c r="JM89" s="310"/>
      <c r="JN89" s="261" t="e">
        <f t="shared" si="159"/>
        <v>#N/A</v>
      </c>
      <c r="JO89" s="261" t="e">
        <f t="shared" si="160"/>
        <v>#N/A</v>
      </c>
      <c r="JP89" s="310"/>
      <c r="JQ89" s="310"/>
      <c r="JR89" s="261" t="e">
        <f t="shared" si="165"/>
        <v>#N/A</v>
      </c>
      <c r="JS89" s="261" t="e">
        <f t="shared" si="166"/>
        <v>#N/A</v>
      </c>
      <c r="JT89" s="310"/>
      <c r="JU89" s="310"/>
      <c r="JV89" s="261" t="e">
        <f t="shared" si="161"/>
        <v>#N/A</v>
      </c>
      <c r="JW89" s="261" t="e">
        <f t="shared" si="162"/>
        <v>#N/A</v>
      </c>
      <c r="JX89" s="310"/>
      <c r="JY89" s="311"/>
      <c r="JZ89" s="311"/>
      <c r="KA89" s="311"/>
      <c r="KB89" s="313" t="s">
        <v>373</v>
      </c>
      <c r="KC89" s="242">
        <f>KC82</f>
        <v>1.135</v>
      </c>
      <c r="KD89" s="242">
        <f>KA83-$IZ$108/2</f>
        <v>0.5</v>
      </c>
      <c r="KE89" s="310"/>
      <c r="KF89" s="310"/>
      <c r="KG89" s="310"/>
      <c r="KH89" s="310"/>
      <c r="KI89" s="310"/>
      <c r="KJ89" s="310"/>
      <c r="KK89" s="310"/>
      <c r="KL89" s="310"/>
      <c r="KM89" s="310"/>
      <c r="KN89" s="310"/>
      <c r="KO89" s="310"/>
      <c r="KP89" s="310"/>
      <c r="KQ89" s="310"/>
      <c r="KR89" s="310"/>
      <c r="KS89" s="310"/>
      <c r="KT89" s="310"/>
      <c r="KU89" s="310"/>
      <c r="KV89" s="310"/>
      <c r="KW89" s="310"/>
      <c r="KX89" s="310"/>
      <c r="KY89" s="310"/>
      <c r="KZ89" s="310"/>
      <c r="LA89" s="310"/>
      <c r="LB89" s="310"/>
      <c r="LC89" s="310"/>
      <c r="LD89" s="310"/>
      <c r="LE89" s="310"/>
      <c r="LF89" s="310"/>
      <c r="LG89" s="310"/>
      <c r="LH89" s="310"/>
      <c r="LI89" s="310"/>
      <c r="LJ89" s="310"/>
      <c r="LK89" s="310"/>
      <c r="LL89" s="310"/>
      <c r="LM89" s="310"/>
      <c r="LN89" s="310"/>
      <c r="LO89" s="310"/>
      <c r="LP89" s="310"/>
      <c r="LQ89" s="310"/>
      <c r="LR89" s="310"/>
      <c r="LS89" s="310"/>
      <c r="LT89" s="310"/>
      <c r="LU89" s="310"/>
      <c r="LV89" s="310"/>
      <c r="LW89" s="310"/>
      <c r="LX89" s="310"/>
      <c r="LY89" s="310"/>
      <c r="LZ89" s="310"/>
      <c r="MA89" s="310"/>
      <c r="MB89" s="310"/>
      <c r="MC89" s="310"/>
      <c r="MD89" s="310"/>
      <c r="ME89" s="310"/>
      <c r="MF89" s="310"/>
      <c r="MG89" s="310"/>
      <c r="MH89" s="310"/>
      <c r="MI89" s="310"/>
      <c r="MJ89" s="310"/>
      <c r="MK89" s="310"/>
      <c r="ML89" s="310"/>
      <c r="MM89" s="310"/>
      <c r="MN89" s="310"/>
      <c r="MO89" s="310"/>
      <c r="MP89" s="310"/>
      <c r="MQ89" s="310"/>
      <c r="MR89" s="310"/>
      <c r="MS89" s="310"/>
      <c r="MT89" s="310"/>
      <c r="MU89" s="310"/>
      <c r="MV89" s="310"/>
      <c r="MW89" s="310"/>
      <c r="MX89" s="310"/>
      <c r="MY89" s="310"/>
      <c r="MZ89" s="310"/>
      <c r="NA89" s="310"/>
      <c r="NB89" s="310"/>
      <c r="NC89" s="310"/>
      <c r="ND89" s="310"/>
      <c r="NE89" s="310"/>
      <c r="NF89" s="310"/>
      <c r="NG89" s="310"/>
      <c r="NH89" s="310"/>
      <c r="NI89" s="310"/>
      <c r="NJ89" s="310"/>
      <c r="NK89" s="310"/>
      <c r="NL89" s="310"/>
      <c r="NM89" s="310"/>
      <c r="NN89" s="310"/>
      <c r="NO89" s="310"/>
      <c r="NP89" s="310"/>
      <c r="NQ89" s="310"/>
      <c r="NR89" s="310"/>
      <c r="NS89" s="310"/>
      <c r="NT89" s="310"/>
      <c r="NU89" s="310"/>
      <c r="NV89" s="310"/>
      <c r="NW89" s="310"/>
      <c r="NX89" s="310"/>
      <c r="NY89" s="310"/>
      <c r="NZ89" s="310"/>
      <c r="OA89" s="310"/>
      <c r="OB89" s="310"/>
      <c r="OC89" s="310"/>
      <c r="OD89" s="310"/>
      <c r="OE89" s="310"/>
      <c r="OF89" s="310"/>
      <c r="OG89" s="310"/>
      <c r="OH89" s="310"/>
      <c r="OI89" s="310"/>
      <c r="OJ89" s="310"/>
      <c r="OK89" s="310"/>
      <c r="OL89" s="310"/>
      <c r="OM89" s="310"/>
      <c r="ON89" s="310"/>
      <c r="OO89" s="310"/>
      <c r="OP89" s="310"/>
      <c r="OQ89" s="310"/>
      <c r="OR89" s="310"/>
      <c r="OS89" s="310"/>
      <c r="OT89" s="310"/>
      <c r="OU89" s="310"/>
      <c r="OV89" s="310"/>
      <c r="OW89" s="310"/>
      <c r="OX89" s="310"/>
      <c r="OY89" s="310"/>
      <c r="OZ89" s="310"/>
      <c r="PA89" s="310"/>
      <c r="PB89" s="310"/>
      <c r="PC89" s="310"/>
      <c r="PD89" s="310"/>
      <c r="PE89" s="310"/>
      <c r="PF89" s="310"/>
      <c r="PG89" s="310"/>
      <c r="PH89" s="310"/>
      <c r="PI89" s="310"/>
      <c r="PJ89" s="310"/>
      <c r="PK89" s="310"/>
      <c r="PL89" s="310"/>
      <c r="PM89" s="310"/>
      <c r="PN89" s="310"/>
      <c r="PO89" s="310"/>
      <c r="PP89" s="310"/>
      <c r="PQ89" s="310"/>
      <c r="PR89" s="310"/>
      <c r="PS89" s="342">
        <v>75</v>
      </c>
      <c r="PT89" s="261" t="e">
        <f t="shared" si="163"/>
        <v>#N/A</v>
      </c>
      <c r="PU89" s="261" t="e">
        <f t="shared" si="164"/>
        <v>#N/A</v>
      </c>
      <c r="PV89" s="310"/>
      <c r="PW89" s="310"/>
      <c r="PX89" s="310"/>
      <c r="PY89" s="310"/>
      <c r="PZ89" s="310"/>
      <c r="QA89" s="310"/>
      <c r="QB89" s="310"/>
      <c r="QC89" s="310"/>
      <c r="QD89" s="310"/>
      <c r="QE89" s="310"/>
      <c r="QF89" s="310"/>
      <c r="QG89" s="310"/>
      <c r="QH89" s="310"/>
      <c r="QI89" s="310"/>
      <c r="QJ89" s="310"/>
      <c r="QK89" s="310"/>
      <c r="QL89" s="310"/>
      <c r="QM89" s="310"/>
      <c r="QN89" s="310"/>
      <c r="QO89" s="310"/>
      <c r="QP89" s="310"/>
      <c r="QQ89" s="310"/>
      <c r="QR89" s="310"/>
      <c r="QS89" s="310"/>
      <c r="QT89" s="310"/>
      <c r="QU89" s="310"/>
      <c r="QV89" s="310"/>
      <c r="QW89" s="310"/>
      <c r="QX89" s="310"/>
      <c r="QY89" s="310"/>
      <c r="QZ89" s="310"/>
      <c r="RA89" s="310"/>
      <c r="RB89" s="310"/>
      <c r="RC89" s="310"/>
      <c r="RD89" s="310"/>
      <c r="RE89" s="310"/>
      <c r="RF89" s="310"/>
      <c r="RG89" s="310"/>
      <c r="RH89" s="310"/>
      <c r="RI89" s="310"/>
      <c r="RJ89" s="310"/>
      <c r="RK89" s="310"/>
      <c r="RL89" s="310"/>
      <c r="RM89" s="310"/>
      <c r="RN89" s="310"/>
      <c r="RO89" s="310"/>
      <c r="RP89" s="310"/>
      <c r="RQ89" s="310"/>
      <c r="RR89" s="310"/>
      <c r="RS89" s="310"/>
      <c r="RT89" s="310"/>
      <c r="RU89" s="310"/>
      <c r="RV89" s="310"/>
      <c r="RW89" s="310"/>
      <c r="RX89" s="310"/>
      <c r="RY89" s="310"/>
      <c r="RZ89" s="310"/>
      <c r="SA89" s="310"/>
      <c r="SB89" s="310"/>
      <c r="SC89" s="310"/>
      <c r="SD89" s="310"/>
      <c r="SE89" s="310"/>
      <c r="SF89" s="310"/>
      <c r="SG89" s="310"/>
      <c r="SH89" s="310"/>
      <c r="SI89" s="310"/>
      <c r="SJ89" s="310"/>
      <c r="SK89" s="310"/>
      <c r="SL89" s="310"/>
      <c r="SM89" s="310"/>
      <c r="SN89" s="310"/>
      <c r="SO89" s="220"/>
      <c r="SP89" s="220"/>
      <c r="SQ89" s="220"/>
      <c r="SR89" s="220"/>
      <c r="SS89" s="220"/>
      <c r="ST89" s="220"/>
      <c r="SU89" s="220"/>
      <c r="SV89" s="220"/>
      <c r="SW89" s="220"/>
      <c r="SX89" s="220"/>
      <c r="SY89" s="220"/>
      <c r="SZ89" s="220"/>
      <c r="TA89" s="220"/>
      <c r="TB89" s="220"/>
      <c r="TC89" s="220"/>
      <c r="TD89" s="220"/>
      <c r="TE89" s="220"/>
      <c r="TF89" s="220"/>
      <c r="TG89" s="220"/>
      <c r="TH89" s="220"/>
      <c r="TI89" s="220"/>
      <c r="TJ89" s="220"/>
      <c r="TK89" s="220"/>
      <c r="TL89" s="220"/>
      <c r="TM89" s="220"/>
      <c r="TN89" s="220"/>
      <c r="TO89" s="220"/>
      <c r="TP89" s="220"/>
      <c r="TQ89" s="220"/>
      <c r="TR89" s="220"/>
      <c r="TS89" s="220"/>
      <c r="TT89" s="220"/>
      <c r="TU89" s="220"/>
      <c r="TV89" s="220"/>
      <c r="TW89" s="220"/>
      <c r="TX89" s="220"/>
      <c r="TY89" s="220"/>
      <c r="TZ89" s="220"/>
      <c r="UA89" s="220"/>
      <c r="UB89" s="220"/>
      <c r="UC89" s="220"/>
      <c r="UD89" s="220"/>
      <c r="UE89" s="220"/>
      <c r="UF89" s="220"/>
      <c r="UG89" s="220"/>
      <c r="UH89" s="220"/>
      <c r="UI89" s="220"/>
      <c r="UJ89" s="220"/>
      <c r="UK89" s="216"/>
      <c r="UL89" s="216"/>
      <c r="UM89" s="216"/>
      <c r="UN89" s="216"/>
      <c r="UO89" s="216"/>
      <c r="UP89" s="216"/>
      <c r="UQ89" s="216"/>
      <c r="UR89" s="216"/>
      <c r="US89" s="216"/>
      <c r="UT89" s="216"/>
      <c r="UU89" s="216"/>
      <c r="UV89" s="216"/>
      <c r="UW89" s="216"/>
      <c r="UX89" s="216"/>
      <c r="UY89" s="216"/>
      <c r="UZ89" s="216"/>
      <c r="VA89" s="216"/>
    </row>
    <row r="90" spans="1:573" s="4" customFormat="1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5"/>
      <c r="AM90" s="45"/>
      <c r="AN90" s="45"/>
      <c r="AO90" s="45"/>
      <c r="AP90" s="310"/>
      <c r="AQ90" s="310"/>
      <c r="AR90" s="310"/>
      <c r="AS90" s="310"/>
      <c r="AT90" s="310"/>
      <c r="AU90" s="310"/>
      <c r="AV90" s="310"/>
      <c r="AW90" s="310"/>
      <c r="AX90" s="310"/>
      <c r="AY90" s="310"/>
      <c r="AZ90" s="310"/>
      <c r="BA90" s="310"/>
      <c r="BB90" s="449" t="s">
        <v>245</v>
      </c>
      <c r="BC90" s="449"/>
      <c r="BD90" s="449"/>
      <c r="BE90" s="310"/>
      <c r="BF90" s="310"/>
      <c r="BG90" s="310"/>
      <c r="BH90" s="310"/>
      <c r="BI90" s="310"/>
      <c r="BJ90" s="310"/>
      <c r="BK90" s="310"/>
      <c r="BL90" s="310"/>
      <c r="BM90" s="310"/>
      <c r="BN90" s="310"/>
      <c r="BO90" s="310"/>
      <c r="BP90" s="310"/>
      <c r="BQ90" s="310"/>
      <c r="BR90" s="310"/>
      <c r="BS90" s="310"/>
      <c r="BT90" s="310"/>
      <c r="BU90" s="310"/>
      <c r="BV90" s="310"/>
      <c r="BW90" s="310"/>
      <c r="BX90" s="310"/>
      <c r="BY90" s="310"/>
      <c r="BZ90" s="310"/>
      <c r="CA90" s="310"/>
      <c r="CB90" s="310"/>
      <c r="CC90" s="310"/>
      <c r="CD90" s="228" t="e">
        <f>CD89</f>
        <v>#N/A</v>
      </c>
      <c r="CE90" s="228" t="e">
        <f>CC71</f>
        <v>#N/A</v>
      </c>
      <c r="CF90" s="310"/>
      <c r="CG90" s="310"/>
      <c r="CH90" s="310"/>
      <c r="CI90" s="310"/>
      <c r="CJ90" s="310"/>
      <c r="CK90" s="310"/>
      <c r="CL90" s="310"/>
      <c r="CM90" s="310"/>
      <c r="CN90" s="310"/>
      <c r="CO90" s="310"/>
      <c r="CP90" s="310"/>
      <c r="CQ90" s="310"/>
      <c r="CR90" s="310"/>
      <c r="CS90" s="310"/>
      <c r="CT90" s="310"/>
      <c r="CU90" s="310"/>
      <c r="CV90" s="310"/>
      <c r="CW90" s="310"/>
      <c r="CX90" s="310"/>
      <c r="CY90" s="310"/>
      <c r="CZ90" s="310"/>
      <c r="DA90" s="310"/>
      <c r="DB90" s="310"/>
      <c r="DC90" s="310"/>
      <c r="DD90" s="310"/>
      <c r="DE90" s="310"/>
      <c r="DF90" s="310"/>
      <c r="DG90" s="310"/>
      <c r="DH90" s="310"/>
      <c r="DI90" s="310"/>
      <c r="DJ90" s="310"/>
      <c r="DK90" s="310"/>
      <c r="DL90" s="310"/>
      <c r="DM90" s="310"/>
      <c r="DN90" s="310"/>
      <c r="DO90" s="310"/>
      <c r="DP90" s="310"/>
      <c r="DQ90" s="310"/>
      <c r="DR90" s="310"/>
      <c r="DS90" s="310"/>
      <c r="DT90" s="310"/>
      <c r="DU90" s="230" t="e">
        <v>#N/A</v>
      </c>
      <c r="DV90" s="230" t="e">
        <v>#N/A</v>
      </c>
      <c r="DW90" s="300" t="e">
        <v>#N/A</v>
      </c>
      <c r="DX90" s="300" t="e">
        <v>#N/A</v>
      </c>
      <c r="DY90" s="310"/>
      <c r="DZ90" s="310"/>
      <c r="EA90" s="310"/>
      <c r="EB90" s="310"/>
      <c r="EC90" s="310"/>
      <c r="ED90" s="310"/>
      <c r="EE90" s="310"/>
      <c r="EF90" s="310"/>
      <c r="EG90" s="310"/>
      <c r="EH90" s="310"/>
      <c r="EI90" s="338">
        <v>19</v>
      </c>
      <c r="EJ90" s="338" t="b">
        <f t="shared" si="127"/>
        <v>0</v>
      </c>
      <c r="EK90" s="281" t="e">
        <f t="shared" si="128"/>
        <v>#N/A</v>
      </c>
      <c r="EL90" s="281" t="e">
        <f t="shared" si="129"/>
        <v>#N/A</v>
      </c>
      <c r="EM90" s="310"/>
      <c r="EN90" s="280" t="e">
        <v>#N/A</v>
      </c>
      <c r="EO90" s="280" t="e">
        <v>#N/A</v>
      </c>
      <c r="EP90" s="310"/>
      <c r="EQ90" s="310"/>
      <c r="ER90" s="310"/>
      <c r="ES90" s="310"/>
      <c r="ET90" s="310"/>
      <c r="EU90" s="310"/>
      <c r="EV90" s="310"/>
      <c r="EW90" s="310"/>
      <c r="EX90" s="310"/>
      <c r="EY90" s="310"/>
      <c r="EZ90" s="310"/>
      <c r="FA90" s="310"/>
      <c r="FB90" s="310"/>
      <c r="FC90" s="310"/>
      <c r="FD90" s="310"/>
      <c r="FE90" s="310"/>
      <c r="FF90" s="310"/>
      <c r="FG90" s="310"/>
      <c r="FH90" s="310"/>
      <c r="FI90" s="310"/>
      <c r="FJ90" s="310"/>
      <c r="FK90" s="310"/>
      <c r="FL90" s="310"/>
      <c r="FM90" s="310"/>
      <c r="FN90" s="310"/>
      <c r="FO90" s="310"/>
      <c r="FP90" s="310"/>
      <c r="FQ90" s="310"/>
      <c r="FR90" s="310"/>
      <c r="FS90" s="310"/>
      <c r="FT90" s="310"/>
      <c r="FU90" s="310"/>
      <c r="FV90" s="310"/>
      <c r="FW90" s="310"/>
      <c r="FX90" s="310"/>
      <c r="FY90" s="310"/>
      <c r="FZ90" s="310"/>
      <c r="GA90" s="310"/>
      <c r="GB90" s="310"/>
      <c r="GC90" s="310"/>
      <c r="GD90" s="310"/>
      <c r="GE90" s="310"/>
      <c r="GF90" s="310"/>
      <c r="GG90" s="310"/>
      <c r="GH90" s="310"/>
      <c r="GI90" s="310"/>
      <c r="GJ90" s="310"/>
      <c r="GK90" s="310"/>
      <c r="GL90" s="310"/>
      <c r="GM90" s="310"/>
      <c r="GN90" s="310"/>
      <c r="GO90" s="310"/>
      <c r="GP90" s="310"/>
      <c r="GQ90" s="310"/>
      <c r="GR90" s="310"/>
      <c r="GS90" s="310"/>
      <c r="GT90" s="310"/>
      <c r="GU90" s="310"/>
      <c r="GV90" s="310"/>
      <c r="GW90" s="310"/>
      <c r="GX90" s="310"/>
      <c r="GY90" s="310"/>
      <c r="GZ90" s="310"/>
      <c r="HA90" s="310"/>
      <c r="HB90" s="310"/>
      <c r="HC90" s="310"/>
      <c r="HD90" s="310"/>
      <c r="HE90" s="310"/>
      <c r="HF90" s="310"/>
      <c r="HG90" s="310"/>
      <c r="HH90" s="310"/>
      <c r="HI90" s="310"/>
      <c r="HJ90" s="310"/>
      <c r="HK90" s="342">
        <v>76</v>
      </c>
      <c r="HL90" s="235" t="e">
        <f t="shared" si="139"/>
        <v>#N/A</v>
      </c>
      <c r="HM90" s="235" t="e">
        <f t="shared" si="140"/>
        <v>#N/A</v>
      </c>
      <c r="HN90" s="310"/>
      <c r="HO90" s="310"/>
      <c r="HP90" s="235" t="e">
        <f t="shared" si="141"/>
        <v>#N/A</v>
      </c>
      <c r="HQ90" s="235" t="e">
        <f t="shared" si="142"/>
        <v>#N/A</v>
      </c>
      <c r="HR90" s="310"/>
      <c r="HS90" s="310"/>
      <c r="HT90" s="235" t="e">
        <f t="shared" si="143"/>
        <v>#N/A</v>
      </c>
      <c r="HU90" s="235" t="e">
        <f t="shared" si="144"/>
        <v>#N/A</v>
      </c>
      <c r="HV90" s="310"/>
      <c r="HW90" s="310"/>
      <c r="HX90" s="235" t="e">
        <f t="shared" si="145"/>
        <v>#N/A</v>
      </c>
      <c r="HY90" s="235" t="e">
        <f t="shared" si="146"/>
        <v>#N/A</v>
      </c>
      <c r="HZ90" s="310"/>
      <c r="IA90" s="310"/>
      <c r="IB90" s="235" t="e">
        <f t="shared" si="147"/>
        <v>#N/A</v>
      </c>
      <c r="IC90" s="235" t="e">
        <f t="shared" si="148"/>
        <v>#N/A</v>
      </c>
      <c r="ID90" s="310"/>
      <c r="IE90" s="342">
        <v>76</v>
      </c>
      <c r="IF90" s="262" t="e">
        <f t="shared" si="149"/>
        <v>#N/A</v>
      </c>
      <c r="IG90" s="262" t="e">
        <f t="shared" si="150"/>
        <v>#N/A</v>
      </c>
      <c r="IH90" s="390"/>
      <c r="II90" s="390"/>
      <c r="IJ90" s="262" t="e">
        <f t="shared" si="151"/>
        <v>#N/A</v>
      </c>
      <c r="IK90" s="262" t="e">
        <f t="shared" si="152"/>
        <v>#N/A</v>
      </c>
      <c r="IL90" s="390"/>
      <c r="IM90" s="390"/>
      <c r="IN90" s="262" t="e">
        <f t="shared" si="153"/>
        <v>#N/A</v>
      </c>
      <c r="IO90" s="262" t="e">
        <f t="shared" si="154"/>
        <v>#N/A</v>
      </c>
      <c r="IP90" s="390"/>
      <c r="IQ90" s="390"/>
      <c r="IR90" s="262" t="e">
        <f t="shared" si="155"/>
        <v>#N/A</v>
      </c>
      <c r="IS90" s="262" t="e">
        <f t="shared" si="156"/>
        <v>#N/A</v>
      </c>
      <c r="IT90" s="390"/>
      <c r="IU90" s="390"/>
      <c r="IV90" s="262" t="e">
        <f t="shared" si="157"/>
        <v>#N/A</v>
      </c>
      <c r="IW90" s="262" t="e">
        <f t="shared" si="158"/>
        <v>#N/A</v>
      </c>
      <c r="IX90" s="310"/>
      <c r="IY90" s="310"/>
      <c r="IZ90" s="310"/>
      <c r="JA90" s="310"/>
      <c r="JB90" s="313" t="s">
        <v>152</v>
      </c>
      <c r="JC90" s="228" t="e">
        <f>JC88</f>
        <v>#N/A</v>
      </c>
      <c r="JD90" s="228" t="e">
        <f>JA89-$IZ$61/2</f>
        <v>#N/A</v>
      </c>
      <c r="JE90" s="310"/>
      <c r="JF90" s="310"/>
      <c r="JG90" s="310"/>
      <c r="JH90" s="310"/>
      <c r="JI90" s="313" t="s">
        <v>152</v>
      </c>
      <c r="JJ90" s="242" t="e">
        <f>JJ88</f>
        <v>#N/A</v>
      </c>
      <c r="JK90" s="242" t="e">
        <f>JH89-$IZ$61/2</f>
        <v>#N/A</v>
      </c>
      <c r="JL90" s="310"/>
      <c r="JM90" s="310"/>
      <c r="JN90" s="261" t="e">
        <f t="shared" si="159"/>
        <v>#N/A</v>
      </c>
      <c r="JO90" s="261" t="e">
        <f t="shared" si="160"/>
        <v>#N/A</v>
      </c>
      <c r="JP90" s="310"/>
      <c r="JQ90" s="310"/>
      <c r="JR90" s="261" t="e">
        <f t="shared" si="165"/>
        <v>#N/A</v>
      </c>
      <c r="JS90" s="261" t="e">
        <f t="shared" si="166"/>
        <v>#N/A</v>
      </c>
      <c r="JT90" s="310"/>
      <c r="JU90" s="310"/>
      <c r="JV90" s="261" t="e">
        <f t="shared" si="161"/>
        <v>#N/A</v>
      </c>
      <c r="JW90" s="261" t="e">
        <f t="shared" si="162"/>
        <v>#N/A</v>
      </c>
      <c r="JX90" s="310"/>
      <c r="JY90" s="311"/>
      <c r="JZ90" s="311"/>
      <c r="KA90" s="311"/>
      <c r="KB90" s="313" t="s">
        <v>393</v>
      </c>
      <c r="KC90" s="242">
        <f>KC81</f>
        <v>0.86499999999999999</v>
      </c>
      <c r="KD90" s="242">
        <f>KD89</f>
        <v>0.5</v>
      </c>
      <c r="KE90" s="310"/>
      <c r="KF90" s="310"/>
      <c r="KG90" s="310"/>
      <c r="KH90" s="310"/>
      <c r="KI90" s="310"/>
      <c r="KJ90" s="310"/>
      <c r="KK90" s="310"/>
      <c r="KL90" s="310"/>
      <c r="KM90" s="310"/>
      <c r="KN90" s="310"/>
      <c r="KO90" s="310"/>
      <c r="KP90" s="310"/>
      <c r="KQ90" s="310"/>
      <c r="KR90" s="310"/>
      <c r="KS90" s="310"/>
      <c r="KT90" s="310"/>
      <c r="KU90" s="310"/>
      <c r="KV90" s="310"/>
      <c r="KW90" s="310"/>
      <c r="KX90" s="310"/>
      <c r="KY90" s="310"/>
      <c r="KZ90" s="310"/>
      <c r="LA90" s="310"/>
      <c r="LB90" s="310"/>
      <c r="LC90" s="310"/>
      <c r="LD90" s="310"/>
      <c r="LE90" s="310"/>
      <c r="LF90" s="310"/>
      <c r="LG90" s="310"/>
      <c r="LH90" s="310"/>
      <c r="LI90" s="310"/>
      <c r="LJ90" s="310"/>
      <c r="LK90" s="310"/>
      <c r="LL90" s="310"/>
      <c r="LM90" s="310"/>
      <c r="LN90" s="310"/>
      <c r="LO90" s="310"/>
      <c r="LP90" s="310"/>
      <c r="LQ90" s="310"/>
      <c r="LR90" s="310"/>
      <c r="LS90" s="310"/>
      <c r="LT90" s="310"/>
      <c r="LU90" s="310"/>
      <c r="LV90" s="310"/>
      <c r="LW90" s="310"/>
      <c r="LX90" s="310"/>
      <c r="LY90" s="310"/>
      <c r="LZ90" s="310"/>
      <c r="MA90" s="310"/>
      <c r="MB90" s="310"/>
      <c r="MC90" s="310"/>
      <c r="MD90" s="310"/>
      <c r="ME90" s="310"/>
      <c r="MF90" s="310"/>
      <c r="MG90" s="310"/>
      <c r="MH90" s="310"/>
      <c r="MI90" s="310"/>
      <c r="MJ90" s="310"/>
      <c r="MK90" s="310"/>
      <c r="ML90" s="310"/>
      <c r="MM90" s="310"/>
      <c r="MN90" s="310"/>
      <c r="MO90" s="310"/>
      <c r="MP90" s="310"/>
      <c r="MQ90" s="310"/>
      <c r="MR90" s="310"/>
      <c r="MS90" s="310"/>
      <c r="MT90" s="310"/>
      <c r="MU90" s="310"/>
      <c r="MV90" s="310"/>
      <c r="MW90" s="310"/>
      <c r="MX90" s="310"/>
      <c r="MY90" s="310"/>
      <c r="MZ90" s="310"/>
      <c r="NA90" s="310"/>
      <c r="NB90" s="310"/>
      <c r="NC90" s="310"/>
      <c r="ND90" s="310"/>
      <c r="NE90" s="310"/>
      <c r="NF90" s="310"/>
      <c r="NG90" s="310"/>
      <c r="NH90" s="310"/>
      <c r="NI90" s="310"/>
      <c r="NJ90" s="310"/>
      <c r="NK90" s="310"/>
      <c r="NL90" s="310"/>
      <c r="NM90" s="310"/>
      <c r="NN90" s="310"/>
      <c r="NO90" s="310"/>
      <c r="NP90" s="310"/>
      <c r="NQ90" s="310"/>
      <c r="NR90" s="310"/>
      <c r="NS90" s="310"/>
      <c r="NT90" s="310"/>
      <c r="NU90" s="310"/>
      <c r="NV90" s="310"/>
      <c r="NW90" s="310"/>
      <c r="NX90" s="310"/>
      <c r="NY90" s="310"/>
      <c r="NZ90" s="310"/>
      <c r="OA90" s="310"/>
      <c r="OB90" s="310"/>
      <c r="OC90" s="310"/>
      <c r="OD90" s="310"/>
      <c r="OE90" s="310"/>
      <c r="OF90" s="310"/>
      <c r="OG90" s="310"/>
      <c r="OH90" s="310"/>
      <c r="OI90" s="310"/>
      <c r="OJ90" s="310"/>
      <c r="OK90" s="310"/>
      <c r="OL90" s="310"/>
      <c r="OM90" s="310"/>
      <c r="ON90" s="310"/>
      <c r="OO90" s="310"/>
      <c r="OP90" s="310"/>
      <c r="OQ90" s="310"/>
      <c r="OR90" s="310"/>
      <c r="OS90" s="310"/>
      <c r="OT90" s="310"/>
      <c r="OU90" s="310"/>
      <c r="OV90" s="310"/>
      <c r="OW90" s="310"/>
      <c r="OX90" s="310"/>
      <c r="OY90" s="310"/>
      <c r="OZ90" s="310"/>
      <c r="PA90" s="310"/>
      <c r="PB90" s="310"/>
      <c r="PC90" s="310"/>
      <c r="PD90" s="310"/>
      <c r="PE90" s="310"/>
      <c r="PF90" s="310"/>
      <c r="PG90" s="310"/>
      <c r="PH90" s="310"/>
      <c r="PI90" s="310"/>
      <c r="PJ90" s="310"/>
      <c r="PK90" s="310"/>
      <c r="PL90" s="310"/>
      <c r="PM90" s="310"/>
      <c r="PN90" s="310"/>
      <c r="PO90" s="310"/>
      <c r="PP90" s="310"/>
      <c r="PQ90" s="310"/>
      <c r="PR90" s="310"/>
      <c r="PS90" s="342">
        <v>76</v>
      </c>
      <c r="PT90" s="261" t="e">
        <f t="shared" si="163"/>
        <v>#N/A</v>
      </c>
      <c r="PU90" s="261" t="e">
        <f t="shared" si="164"/>
        <v>#N/A</v>
      </c>
      <c r="PV90" s="310"/>
      <c r="PW90" s="310"/>
      <c r="PX90" s="310"/>
      <c r="PY90" s="310"/>
      <c r="PZ90" s="310"/>
      <c r="QA90" s="310"/>
      <c r="QB90" s="310"/>
      <c r="QC90" s="310"/>
      <c r="QD90" s="310"/>
      <c r="QE90" s="310"/>
      <c r="QF90" s="310"/>
      <c r="QG90" s="310"/>
      <c r="QH90" s="310"/>
      <c r="QI90" s="310"/>
      <c r="QJ90" s="310"/>
      <c r="QK90" s="310"/>
      <c r="QL90" s="310"/>
      <c r="QM90" s="310"/>
      <c r="QN90" s="310"/>
      <c r="QO90" s="310"/>
      <c r="QP90" s="310"/>
      <c r="QQ90" s="310"/>
      <c r="QR90" s="310"/>
      <c r="QS90" s="310"/>
      <c r="QT90" s="310"/>
      <c r="QU90" s="310"/>
      <c r="QV90" s="310"/>
      <c r="QW90" s="310"/>
      <c r="QX90" s="310"/>
      <c r="QY90" s="310"/>
      <c r="QZ90" s="310"/>
      <c r="RA90" s="310"/>
      <c r="RB90" s="310"/>
      <c r="RC90" s="310"/>
      <c r="RD90" s="310"/>
      <c r="RE90" s="310"/>
      <c r="RF90" s="310"/>
      <c r="RG90" s="310"/>
      <c r="RH90" s="310"/>
      <c r="RI90" s="310"/>
      <c r="RJ90" s="310"/>
      <c r="RK90" s="310"/>
      <c r="RL90" s="310"/>
      <c r="RM90" s="310"/>
      <c r="RN90" s="310"/>
      <c r="RO90" s="310"/>
      <c r="RP90" s="310"/>
      <c r="RQ90" s="310"/>
      <c r="RR90" s="310"/>
      <c r="RS90" s="310"/>
      <c r="RT90" s="310"/>
      <c r="RU90" s="310"/>
      <c r="RV90" s="310"/>
      <c r="RW90" s="310"/>
      <c r="RX90" s="310"/>
      <c r="RY90" s="310"/>
      <c r="RZ90" s="310"/>
      <c r="SA90" s="310"/>
      <c r="SB90" s="310"/>
      <c r="SC90" s="310"/>
      <c r="SD90" s="310"/>
      <c r="SE90" s="310"/>
      <c r="SF90" s="310"/>
      <c r="SG90" s="310"/>
      <c r="SH90" s="310"/>
      <c r="SI90" s="310"/>
      <c r="SJ90" s="310"/>
      <c r="SK90" s="310"/>
      <c r="SL90" s="310"/>
      <c r="SM90" s="310"/>
      <c r="SN90" s="310"/>
      <c r="SO90" s="220"/>
      <c r="SP90" s="220"/>
      <c r="SQ90" s="220"/>
      <c r="SR90" s="220"/>
      <c r="SS90" s="220"/>
      <c r="ST90" s="220"/>
      <c r="SU90" s="220"/>
      <c r="SV90" s="220"/>
      <c r="SW90" s="220"/>
      <c r="SX90" s="220"/>
      <c r="SY90" s="220"/>
      <c r="SZ90" s="220"/>
      <c r="TA90" s="220"/>
      <c r="TB90" s="220"/>
      <c r="TC90" s="220"/>
      <c r="TD90" s="220"/>
      <c r="TE90" s="220"/>
      <c r="TF90" s="220"/>
      <c r="TG90" s="220"/>
      <c r="TH90" s="220"/>
      <c r="TI90" s="220"/>
      <c r="TJ90" s="220"/>
      <c r="TK90" s="220"/>
      <c r="TL90" s="220"/>
      <c r="TM90" s="220"/>
      <c r="TN90" s="220"/>
      <c r="TO90" s="220"/>
      <c r="TP90" s="220"/>
      <c r="TQ90" s="220"/>
      <c r="TR90" s="220"/>
      <c r="TS90" s="220"/>
      <c r="TT90" s="220"/>
      <c r="TU90" s="220"/>
      <c r="TV90" s="220"/>
      <c r="TW90" s="220"/>
      <c r="TX90" s="220"/>
      <c r="TY90" s="220"/>
      <c r="TZ90" s="220"/>
      <c r="UA90" s="220"/>
      <c r="UB90" s="220"/>
      <c r="UC90" s="220"/>
      <c r="UD90" s="220"/>
      <c r="UE90" s="220"/>
      <c r="UF90" s="220"/>
      <c r="UG90" s="220"/>
      <c r="UH90" s="220"/>
      <c r="UI90" s="220"/>
      <c r="UJ90" s="220"/>
      <c r="UK90" s="216"/>
      <c r="UL90" s="216"/>
      <c r="UM90" s="216"/>
      <c r="UN90" s="216"/>
      <c r="UO90" s="216"/>
      <c r="UP90" s="216"/>
      <c r="UQ90" s="216"/>
      <c r="UR90" s="216"/>
      <c r="US90" s="216"/>
      <c r="UT90" s="216"/>
      <c r="UU90" s="216"/>
      <c r="UV90" s="216"/>
      <c r="UW90" s="216"/>
      <c r="UX90" s="216"/>
      <c r="UY90" s="216"/>
      <c r="UZ90" s="216"/>
      <c r="VA90" s="216"/>
    </row>
    <row r="91" spans="1:573" s="4" customFormat="1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5"/>
      <c r="AM91" s="45"/>
      <c r="AN91" s="45"/>
      <c r="AO91" s="45"/>
      <c r="AP91" s="310"/>
      <c r="AQ91" s="310"/>
      <c r="AR91" s="310"/>
      <c r="AS91" s="310"/>
      <c r="AT91" s="310"/>
      <c r="AU91" s="310"/>
      <c r="AV91" s="310"/>
      <c r="AW91" s="310"/>
      <c r="AX91" s="310"/>
      <c r="AY91" s="310"/>
      <c r="AZ91" s="310"/>
      <c r="BA91" s="310"/>
      <c r="BB91" s="474" t="str">
        <f>IF(BK6=1,"F1",IF(BK6=2,IF(AY15=TRUE,"F2x","F2y"),IF(BK6=3,"F3",IF(BK6=4,"F4","F5"))))</f>
        <v>F5</v>
      </c>
      <c r="BC91" s="328" t="s">
        <v>13</v>
      </c>
      <c r="BD91" s="532" t="s">
        <v>234</v>
      </c>
      <c r="BE91" s="535"/>
      <c r="BF91" s="535"/>
      <c r="BG91" s="532" t="s">
        <v>235</v>
      </c>
      <c r="BH91" s="535"/>
      <c r="BI91" s="535"/>
      <c r="BJ91" s="310"/>
      <c r="BK91" s="310"/>
      <c r="BL91" s="310"/>
      <c r="BM91" s="310"/>
      <c r="BN91" s="310"/>
      <c r="BO91" s="310"/>
      <c r="BP91" s="310"/>
      <c r="BQ91" s="310"/>
      <c r="BR91" s="310"/>
      <c r="BS91" s="310"/>
      <c r="BT91" s="310"/>
      <c r="BU91" s="310"/>
      <c r="BV91" s="310"/>
      <c r="BW91" s="310"/>
      <c r="BX91" s="310"/>
      <c r="BY91" s="310"/>
      <c r="BZ91" s="310"/>
      <c r="CA91" s="310"/>
      <c r="CB91" s="310"/>
      <c r="CC91" s="310"/>
      <c r="CD91" s="230" t="e">
        <v>#N/A</v>
      </c>
      <c r="CE91" s="230" t="e">
        <v>#N/A</v>
      </c>
      <c r="CF91" s="310"/>
      <c r="CG91" s="310"/>
      <c r="CH91" s="310"/>
      <c r="CI91" s="310"/>
      <c r="CJ91" s="310"/>
      <c r="CK91" s="310"/>
      <c r="CL91" s="310"/>
      <c r="CM91" s="310"/>
      <c r="CN91" s="310"/>
      <c r="CO91" s="310"/>
      <c r="CP91" s="310"/>
      <c r="CQ91" s="310"/>
      <c r="CR91" s="310"/>
      <c r="CS91" s="310"/>
      <c r="CT91" s="310"/>
      <c r="CU91" s="310"/>
      <c r="CV91" s="310"/>
      <c r="CW91" s="310"/>
      <c r="CX91" s="310"/>
      <c r="CY91" s="310"/>
      <c r="CZ91" s="310"/>
      <c r="DA91" s="310"/>
      <c r="DB91" s="310"/>
      <c r="DC91" s="310"/>
      <c r="DD91" s="310"/>
      <c r="DE91" s="310"/>
      <c r="DF91" s="310"/>
      <c r="DG91" s="310"/>
      <c r="DH91" s="310"/>
      <c r="DI91" s="310"/>
      <c r="DJ91" s="310"/>
      <c r="DK91" s="310"/>
      <c r="DL91" s="310"/>
      <c r="DM91" s="310"/>
      <c r="DN91" s="310"/>
      <c r="DO91" s="310"/>
      <c r="DP91" s="310"/>
      <c r="DQ91" s="310"/>
      <c r="DR91" s="310"/>
      <c r="DS91" s="310"/>
      <c r="DT91" s="310"/>
      <c r="DU91" s="230">
        <f>DU89</f>
        <v>-0.65</v>
      </c>
      <c r="DV91" s="230">
        <f>DV88</f>
        <v>1.2</v>
      </c>
      <c r="DW91" s="247">
        <f>DU99</f>
        <v>1.2</v>
      </c>
      <c r="DX91" s="247">
        <f>DX82</f>
        <v>0</v>
      </c>
      <c r="DY91" s="454">
        <f>DY88</f>
        <v>1.3</v>
      </c>
      <c r="DZ91" s="310"/>
      <c r="EA91" s="310"/>
      <c r="EB91" s="310"/>
      <c r="EC91" s="310"/>
      <c r="ED91" s="310"/>
      <c r="EE91" s="310"/>
      <c r="EF91" s="310"/>
      <c r="EG91" s="310"/>
      <c r="EH91" s="310"/>
      <c r="EI91" s="338">
        <v>20</v>
      </c>
      <c r="EJ91" s="338" t="b">
        <f t="shared" si="127"/>
        <v>0</v>
      </c>
      <c r="EK91" s="281" t="e">
        <f t="shared" si="128"/>
        <v>#N/A</v>
      </c>
      <c r="EL91" s="281" t="e">
        <f t="shared" si="129"/>
        <v>#N/A</v>
      </c>
      <c r="EM91" s="310"/>
      <c r="EN91" s="280">
        <f>$EN$82</f>
        <v>-0.13400000000000001</v>
      </c>
      <c r="EO91" s="280">
        <f>EO88+0.2</f>
        <v>0.78499999999999992</v>
      </c>
      <c r="EP91" s="310"/>
      <c r="EQ91" s="310"/>
      <c r="ER91" s="310"/>
      <c r="ES91" s="310"/>
      <c r="ET91" s="310"/>
      <c r="EU91" s="310"/>
      <c r="EV91" s="310"/>
      <c r="EW91" s="310"/>
      <c r="EX91" s="310"/>
      <c r="EY91" s="310"/>
      <c r="EZ91" s="310"/>
      <c r="FA91" s="310"/>
      <c r="FB91" s="310"/>
      <c r="FC91" s="310"/>
      <c r="FD91" s="310"/>
      <c r="FE91" s="310"/>
      <c r="FF91" s="310"/>
      <c r="FG91" s="310"/>
      <c r="FH91" s="310"/>
      <c r="FI91" s="310"/>
      <c r="FJ91" s="310"/>
      <c r="FK91" s="310"/>
      <c r="FL91" s="310"/>
      <c r="FM91" s="310"/>
      <c r="FN91" s="310"/>
      <c r="FO91" s="310"/>
      <c r="FP91" s="310"/>
      <c r="FQ91" s="310"/>
      <c r="FR91" s="310"/>
      <c r="FS91" s="310"/>
      <c r="FT91" s="310"/>
      <c r="FU91" s="310"/>
      <c r="FV91" s="310"/>
      <c r="FW91" s="310"/>
      <c r="FX91" s="310"/>
      <c r="FY91" s="310"/>
      <c r="FZ91" s="310"/>
      <c r="GA91" s="310"/>
      <c r="GB91" s="310"/>
      <c r="GC91" s="310"/>
      <c r="GD91" s="310"/>
      <c r="GE91" s="310"/>
      <c r="GF91" s="310"/>
      <c r="GG91" s="310"/>
      <c r="GH91" s="310"/>
      <c r="GI91" s="310"/>
      <c r="GJ91" s="310"/>
      <c r="GK91" s="310"/>
      <c r="GL91" s="310"/>
      <c r="GM91" s="310"/>
      <c r="GN91" s="310"/>
      <c r="GO91" s="310"/>
      <c r="GP91" s="310"/>
      <c r="GQ91" s="310"/>
      <c r="GR91" s="310"/>
      <c r="GS91" s="310"/>
      <c r="GT91" s="310"/>
      <c r="GU91" s="310"/>
      <c r="GV91" s="310"/>
      <c r="GW91" s="310"/>
      <c r="GX91" s="310"/>
      <c r="GY91" s="310"/>
      <c r="GZ91" s="310"/>
      <c r="HA91" s="310"/>
      <c r="HB91" s="310"/>
      <c r="HC91" s="310"/>
      <c r="HD91" s="310"/>
      <c r="HE91" s="310"/>
      <c r="HF91" s="310"/>
      <c r="HG91" s="310"/>
      <c r="HH91" s="310"/>
      <c r="HI91" s="310"/>
      <c r="HJ91" s="310"/>
      <c r="HK91" s="342">
        <v>77</v>
      </c>
      <c r="HL91" s="235" t="e">
        <f t="shared" si="139"/>
        <v>#N/A</v>
      </c>
      <c r="HM91" s="235" t="e">
        <f t="shared" si="140"/>
        <v>#N/A</v>
      </c>
      <c r="HN91" s="310"/>
      <c r="HO91" s="310"/>
      <c r="HP91" s="235" t="e">
        <f t="shared" si="141"/>
        <v>#N/A</v>
      </c>
      <c r="HQ91" s="235" t="e">
        <f t="shared" si="142"/>
        <v>#N/A</v>
      </c>
      <c r="HR91" s="310"/>
      <c r="HS91" s="310"/>
      <c r="HT91" s="235" t="e">
        <f t="shared" si="143"/>
        <v>#N/A</v>
      </c>
      <c r="HU91" s="235" t="e">
        <f t="shared" si="144"/>
        <v>#N/A</v>
      </c>
      <c r="HV91" s="310"/>
      <c r="HW91" s="310"/>
      <c r="HX91" s="235" t="e">
        <f t="shared" si="145"/>
        <v>#N/A</v>
      </c>
      <c r="HY91" s="235" t="e">
        <f t="shared" si="146"/>
        <v>#N/A</v>
      </c>
      <c r="HZ91" s="310"/>
      <c r="IA91" s="310"/>
      <c r="IB91" s="235" t="e">
        <f t="shared" si="147"/>
        <v>#N/A</v>
      </c>
      <c r="IC91" s="235" t="e">
        <f t="shared" si="148"/>
        <v>#N/A</v>
      </c>
      <c r="ID91" s="310"/>
      <c r="IE91" s="342">
        <v>77</v>
      </c>
      <c r="IF91" s="262" t="e">
        <f t="shared" si="149"/>
        <v>#N/A</v>
      </c>
      <c r="IG91" s="262" t="e">
        <f t="shared" si="150"/>
        <v>#N/A</v>
      </c>
      <c r="IH91" s="390"/>
      <c r="II91" s="390"/>
      <c r="IJ91" s="262" t="e">
        <f t="shared" si="151"/>
        <v>#N/A</v>
      </c>
      <c r="IK91" s="262" t="e">
        <f t="shared" si="152"/>
        <v>#N/A</v>
      </c>
      <c r="IL91" s="390"/>
      <c r="IM91" s="390"/>
      <c r="IN91" s="262" t="e">
        <f t="shared" si="153"/>
        <v>#N/A</v>
      </c>
      <c r="IO91" s="262" t="e">
        <f t="shared" si="154"/>
        <v>#N/A</v>
      </c>
      <c r="IP91" s="390"/>
      <c r="IQ91" s="390"/>
      <c r="IR91" s="262" t="e">
        <f t="shared" si="155"/>
        <v>#N/A</v>
      </c>
      <c r="IS91" s="262" t="e">
        <f t="shared" si="156"/>
        <v>#N/A</v>
      </c>
      <c r="IT91" s="390"/>
      <c r="IU91" s="390"/>
      <c r="IV91" s="262" t="e">
        <f t="shared" si="157"/>
        <v>#N/A</v>
      </c>
      <c r="IW91" s="262" t="e">
        <f t="shared" si="158"/>
        <v>#N/A</v>
      </c>
      <c r="IX91" s="310"/>
      <c r="IY91" s="310"/>
      <c r="IZ91" s="310"/>
      <c r="JA91" s="310"/>
      <c r="JB91" s="313" t="s">
        <v>167</v>
      </c>
      <c r="JC91" s="228" t="e">
        <f>JC87</f>
        <v>#N/A</v>
      </c>
      <c r="JD91" s="228" t="e">
        <f>JD90</f>
        <v>#N/A</v>
      </c>
      <c r="JE91" s="310"/>
      <c r="JF91" s="310"/>
      <c r="JG91" s="310"/>
      <c r="JH91" s="310"/>
      <c r="JI91" s="313" t="s">
        <v>167</v>
      </c>
      <c r="JJ91" s="242" t="e">
        <f>JJ87</f>
        <v>#N/A</v>
      </c>
      <c r="JK91" s="242" t="e">
        <f>JK90</f>
        <v>#N/A</v>
      </c>
      <c r="JL91" s="310"/>
      <c r="JM91" s="310"/>
      <c r="JN91" s="261" t="e">
        <f t="shared" si="159"/>
        <v>#N/A</v>
      </c>
      <c r="JO91" s="261" t="e">
        <f t="shared" si="160"/>
        <v>#N/A</v>
      </c>
      <c r="JP91" s="310"/>
      <c r="JQ91" s="310"/>
      <c r="JR91" s="261" t="e">
        <f t="shared" si="165"/>
        <v>#N/A</v>
      </c>
      <c r="JS91" s="261" t="e">
        <f t="shared" si="166"/>
        <v>#N/A</v>
      </c>
      <c r="JT91" s="310"/>
      <c r="JU91" s="310"/>
      <c r="JV91" s="261" t="e">
        <f t="shared" si="161"/>
        <v>#N/A</v>
      </c>
      <c r="JW91" s="261" t="e">
        <f t="shared" si="162"/>
        <v>#N/A</v>
      </c>
      <c r="JX91" s="310"/>
      <c r="JY91" s="311"/>
      <c r="JZ91" s="311"/>
      <c r="KA91" s="311"/>
      <c r="KB91" s="313" t="s">
        <v>394</v>
      </c>
      <c r="KC91" s="242">
        <f>KC90-$IZ$114</f>
        <v>0.85</v>
      </c>
      <c r="KD91" s="242">
        <f>KD90+$IZ$114</f>
        <v>0.51500000000000001</v>
      </c>
      <c r="KE91" s="310"/>
      <c r="KF91" s="310"/>
      <c r="KG91" s="310"/>
      <c r="KH91" s="310"/>
      <c r="KI91" s="310"/>
      <c r="KJ91" s="310"/>
      <c r="KK91" s="310"/>
      <c r="KL91" s="310"/>
      <c r="KM91" s="310"/>
      <c r="KN91" s="310"/>
      <c r="KO91" s="310"/>
      <c r="KP91" s="310"/>
      <c r="KQ91" s="310"/>
      <c r="KR91" s="310"/>
      <c r="KS91" s="310"/>
      <c r="KT91" s="310"/>
      <c r="KU91" s="310"/>
      <c r="KV91" s="310"/>
      <c r="KW91" s="310"/>
      <c r="KX91" s="310"/>
      <c r="KY91" s="310"/>
      <c r="KZ91" s="310"/>
      <c r="LA91" s="310"/>
      <c r="LB91" s="310"/>
      <c r="LC91" s="310"/>
      <c r="LD91" s="310"/>
      <c r="LE91" s="310"/>
      <c r="LF91" s="310"/>
      <c r="LG91" s="310"/>
      <c r="LH91" s="310"/>
      <c r="LI91" s="310"/>
      <c r="LJ91" s="310"/>
      <c r="LK91" s="310"/>
      <c r="LL91" s="310"/>
      <c r="LM91" s="310"/>
      <c r="LN91" s="310"/>
      <c r="LO91" s="310"/>
      <c r="LP91" s="310"/>
      <c r="LQ91" s="310"/>
      <c r="LR91" s="310"/>
      <c r="LS91" s="310"/>
      <c r="LT91" s="310"/>
      <c r="LU91" s="310"/>
      <c r="LV91" s="310"/>
      <c r="LW91" s="310"/>
      <c r="LX91" s="310"/>
      <c r="LY91" s="310"/>
      <c r="LZ91" s="310"/>
      <c r="MA91" s="310"/>
      <c r="MB91" s="310"/>
      <c r="MC91" s="310"/>
      <c r="MD91" s="310"/>
      <c r="ME91" s="310"/>
      <c r="MF91" s="310"/>
      <c r="MG91" s="310"/>
      <c r="MH91" s="310"/>
      <c r="MI91" s="310"/>
      <c r="MJ91" s="310"/>
      <c r="MK91" s="310"/>
      <c r="ML91" s="310"/>
      <c r="MM91" s="310"/>
      <c r="MN91" s="310"/>
      <c r="MO91" s="310"/>
      <c r="MP91" s="310"/>
      <c r="MQ91" s="310"/>
      <c r="MR91" s="310"/>
      <c r="MS91" s="310"/>
      <c r="MT91" s="310"/>
      <c r="MU91" s="310"/>
      <c r="MV91" s="310"/>
      <c r="MW91" s="310"/>
      <c r="MX91" s="310"/>
      <c r="MY91" s="310"/>
      <c r="MZ91" s="310"/>
      <c r="NA91" s="310"/>
      <c r="NB91" s="310"/>
      <c r="NC91" s="310"/>
      <c r="ND91" s="310"/>
      <c r="NE91" s="310"/>
      <c r="NF91" s="310"/>
      <c r="NG91" s="310"/>
      <c r="NH91" s="310"/>
      <c r="NI91" s="310"/>
      <c r="NJ91" s="310"/>
      <c r="NK91" s="310"/>
      <c r="NL91" s="310"/>
      <c r="NM91" s="310"/>
      <c r="NN91" s="310"/>
      <c r="NO91" s="310"/>
      <c r="NP91" s="310"/>
      <c r="NQ91" s="310"/>
      <c r="NR91" s="310"/>
      <c r="NS91" s="310"/>
      <c r="NT91" s="310"/>
      <c r="NU91" s="310"/>
      <c r="NV91" s="310"/>
      <c r="NW91" s="310"/>
      <c r="NX91" s="310"/>
      <c r="NY91" s="310"/>
      <c r="NZ91" s="310"/>
      <c r="OA91" s="310"/>
      <c r="OB91" s="310"/>
      <c r="OC91" s="310"/>
      <c r="OD91" s="310"/>
      <c r="OE91" s="310"/>
      <c r="OF91" s="310"/>
      <c r="OG91" s="310"/>
      <c r="OH91" s="310"/>
      <c r="OI91" s="310"/>
      <c r="OJ91" s="310"/>
      <c r="OK91" s="310"/>
      <c r="OL91" s="310"/>
      <c r="OM91" s="310"/>
      <c r="ON91" s="310"/>
      <c r="OO91" s="310"/>
      <c r="OP91" s="310"/>
      <c r="OQ91" s="310"/>
      <c r="OR91" s="310"/>
      <c r="OS91" s="310"/>
      <c r="OT91" s="310"/>
      <c r="OU91" s="310"/>
      <c r="OV91" s="310"/>
      <c r="OW91" s="310"/>
      <c r="OX91" s="310"/>
      <c r="OY91" s="310"/>
      <c r="OZ91" s="310"/>
      <c r="PA91" s="310"/>
      <c r="PB91" s="310"/>
      <c r="PC91" s="310"/>
      <c r="PD91" s="310"/>
      <c r="PE91" s="310"/>
      <c r="PF91" s="310"/>
      <c r="PG91" s="310"/>
      <c r="PH91" s="310"/>
      <c r="PI91" s="310"/>
      <c r="PJ91" s="310"/>
      <c r="PK91" s="310"/>
      <c r="PL91" s="310"/>
      <c r="PM91" s="310"/>
      <c r="PN91" s="310"/>
      <c r="PO91" s="310"/>
      <c r="PP91" s="310"/>
      <c r="PQ91" s="310"/>
      <c r="PR91" s="310"/>
      <c r="PS91" s="342">
        <v>77</v>
      </c>
      <c r="PT91" s="261" t="e">
        <f t="shared" si="163"/>
        <v>#N/A</v>
      </c>
      <c r="PU91" s="261" t="e">
        <f t="shared" si="164"/>
        <v>#N/A</v>
      </c>
      <c r="PV91" s="310"/>
      <c r="PW91" s="310"/>
      <c r="PX91" s="310"/>
      <c r="PY91" s="310"/>
      <c r="PZ91" s="310"/>
      <c r="QA91" s="310"/>
      <c r="QB91" s="310"/>
      <c r="QC91" s="310"/>
      <c r="QD91" s="310"/>
      <c r="QE91" s="310"/>
      <c r="QF91" s="310"/>
      <c r="QG91" s="310"/>
      <c r="QH91" s="310"/>
      <c r="QI91" s="310"/>
      <c r="QJ91" s="310"/>
      <c r="QK91" s="310"/>
      <c r="QL91" s="310"/>
      <c r="QM91" s="310"/>
      <c r="QN91" s="310"/>
      <c r="QO91" s="310"/>
      <c r="QP91" s="310"/>
      <c r="QQ91" s="310"/>
      <c r="QR91" s="310"/>
      <c r="QS91" s="310"/>
      <c r="QT91" s="310"/>
      <c r="QU91" s="310"/>
      <c r="QV91" s="310"/>
      <c r="QW91" s="310"/>
      <c r="QX91" s="310"/>
      <c r="QY91" s="310"/>
      <c r="QZ91" s="310"/>
      <c r="RA91" s="310"/>
      <c r="RB91" s="310"/>
      <c r="RC91" s="310"/>
      <c r="RD91" s="310"/>
      <c r="RE91" s="310"/>
      <c r="RF91" s="310"/>
      <c r="RG91" s="310"/>
      <c r="RH91" s="310"/>
      <c r="RI91" s="310"/>
      <c r="RJ91" s="310"/>
      <c r="RK91" s="310"/>
      <c r="RL91" s="310"/>
      <c r="RM91" s="310"/>
      <c r="RN91" s="310"/>
      <c r="RO91" s="310"/>
      <c r="RP91" s="310"/>
      <c r="RQ91" s="310"/>
      <c r="RR91" s="310"/>
      <c r="RS91" s="310"/>
      <c r="RT91" s="310"/>
      <c r="RU91" s="310"/>
      <c r="RV91" s="310"/>
      <c r="RW91" s="310"/>
      <c r="RX91" s="310"/>
      <c r="RY91" s="310"/>
      <c r="RZ91" s="310"/>
      <c r="SA91" s="310"/>
      <c r="SB91" s="310"/>
      <c r="SC91" s="310"/>
      <c r="SD91" s="310"/>
      <c r="SE91" s="310"/>
      <c r="SF91" s="310"/>
      <c r="SG91" s="310"/>
      <c r="SH91" s="310"/>
      <c r="SI91" s="310"/>
      <c r="SJ91" s="310"/>
      <c r="SK91" s="310"/>
      <c r="SL91" s="310"/>
      <c r="SM91" s="310"/>
      <c r="SN91" s="310"/>
      <c r="SO91" s="220"/>
      <c r="SP91" s="220"/>
      <c r="SQ91" s="220"/>
      <c r="SR91" s="220"/>
      <c r="SS91" s="220"/>
      <c r="ST91" s="220"/>
      <c r="SU91" s="220"/>
      <c r="SV91" s="220"/>
      <c r="SW91" s="220"/>
      <c r="SX91" s="220"/>
      <c r="SY91" s="220"/>
      <c r="SZ91" s="220"/>
      <c r="TA91" s="220"/>
      <c r="TB91" s="220"/>
      <c r="TC91" s="220"/>
      <c r="TD91" s="220"/>
      <c r="TE91" s="220"/>
      <c r="TF91" s="220"/>
      <c r="TG91" s="220"/>
      <c r="TH91" s="220"/>
      <c r="TI91" s="220"/>
      <c r="TJ91" s="220"/>
      <c r="TK91" s="220"/>
      <c r="TL91" s="220"/>
      <c r="TM91" s="220"/>
      <c r="TN91" s="220"/>
      <c r="TO91" s="220"/>
      <c r="TP91" s="220"/>
      <c r="TQ91" s="220"/>
      <c r="TR91" s="220"/>
      <c r="TS91" s="220"/>
      <c r="TT91" s="220"/>
      <c r="TU91" s="220"/>
      <c r="TV91" s="220"/>
      <c r="TW91" s="220"/>
      <c r="TX91" s="220"/>
      <c r="TY91" s="220"/>
      <c r="TZ91" s="220"/>
      <c r="UA91" s="220"/>
      <c r="UB91" s="220"/>
      <c r="UC91" s="220"/>
      <c r="UD91" s="220"/>
      <c r="UE91" s="220"/>
      <c r="UF91" s="220"/>
      <c r="UG91" s="220"/>
      <c r="UH91" s="220"/>
      <c r="UI91" s="220"/>
      <c r="UJ91" s="220"/>
      <c r="UK91" s="216"/>
      <c r="UL91" s="216"/>
      <c r="UM91" s="216"/>
      <c r="UN91" s="216"/>
      <c r="UO91" s="216"/>
      <c r="UP91" s="216"/>
      <c r="UQ91" s="216"/>
      <c r="UR91" s="216"/>
      <c r="US91" s="216"/>
      <c r="UT91" s="216"/>
      <c r="UU91" s="216"/>
      <c r="UV91" s="216"/>
      <c r="UW91" s="216"/>
      <c r="UX91" s="216"/>
      <c r="UY91" s="216"/>
      <c r="UZ91" s="216"/>
      <c r="VA91" s="216"/>
    </row>
    <row r="92" spans="1:573" s="4" customFormat="1" x14ac:dyDescent="0.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5"/>
      <c r="AM92" s="45"/>
      <c r="AN92" s="45"/>
      <c r="AO92" s="45"/>
      <c r="AP92" s="310"/>
      <c r="AQ92" s="310"/>
      <c r="AR92" s="310"/>
      <c r="AS92" s="310"/>
      <c r="AT92" s="310"/>
      <c r="AU92" s="310"/>
      <c r="AV92" s="310"/>
      <c r="AW92" s="310"/>
      <c r="AX92" s="310"/>
      <c r="AY92" s="310"/>
      <c r="AZ92" s="310"/>
      <c r="BA92" s="310"/>
      <c r="BB92" s="310"/>
      <c r="BC92" s="310"/>
      <c r="BD92" s="338" t="s">
        <v>301</v>
      </c>
      <c r="BE92" s="338" t="s">
        <v>302</v>
      </c>
      <c r="BF92" s="338" t="s">
        <v>303</v>
      </c>
      <c r="BG92" s="338" t="s">
        <v>301</v>
      </c>
      <c r="BH92" s="338" t="s">
        <v>302</v>
      </c>
      <c r="BI92" s="338" t="s">
        <v>303</v>
      </c>
      <c r="BJ92" s="328" t="s">
        <v>24</v>
      </c>
      <c r="BK92" s="328" t="s">
        <v>29</v>
      </c>
      <c r="BL92" s="328" t="s">
        <v>34</v>
      </c>
      <c r="BM92" s="328" t="s">
        <v>238</v>
      </c>
      <c r="BN92" s="328"/>
      <c r="BO92" s="310"/>
      <c r="BP92" s="310"/>
      <c r="BQ92" s="310"/>
      <c r="BR92" s="310"/>
      <c r="BS92" s="310"/>
      <c r="BT92" s="310"/>
      <c r="BU92" s="310"/>
      <c r="BV92" s="310"/>
      <c r="BW92" s="310"/>
      <c r="BX92" s="310"/>
      <c r="BY92" s="310"/>
      <c r="BZ92" s="310"/>
      <c r="CA92" s="310"/>
      <c r="CB92" s="310"/>
      <c r="CC92" s="310"/>
      <c r="CD92" s="230" t="e">
        <v>#N/A</v>
      </c>
      <c r="CE92" s="230" t="e">
        <v>#N/A</v>
      </c>
      <c r="CF92" s="310"/>
      <c r="CG92" s="310"/>
      <c r="CH92" s="310"/>
      <c r="CI92" s="310"/>
      <c r="CJ92" s="310"/>
      <c r="CK92" s="310"/>
      <c r="CL92" s="310"/>
      <c r="CM92" s="310"/>
      <c r="CN92" s="310"/>
      <c r="CO92" s="310"/>
      <c r="CP92" s="310"/>
      <c r="CQ92" s="310"/>
      <c r="CR92" s="310"/>
      <c r="CS92" s="310"/>
      <c r="CT92" s="310"/>
      <c r="CU92" s="310"/>
      <c r="CV92" s="310"/>
      <c r="CW92" s="310"/>
      <c r="CX92" s="310"/>
      <c r="CY92" s="310"/>
      <c r="CZ92" s="310"/>
      <c r="DA92" s="310"/>
      <c r="DB92" s="310"/>
      <c r="DC92" s="310"/>
      <c r="DD92" s="310"/>
      <c r="DE92" s="310"/>
      <c r="DF92" s="310"/>
      <c r="DG92" s="310"/>
      <c r="DH92" s="310"/>
      <c r="DI92" s="310"/>
      <c r="DJ92" s="310"/>
      <c r="DK92" s="310"/>
      <c r="DL92" s="310"/>
      <c r="DM92" s="310"/>
      <c r="DN92" s="310"/>
      <c r="DO92" s="310"/>
      <c r="DP92" s="310"/>
      <c r="DQ92" s="310"/>
      <c r="DR92" s="310"/>
      <c r="DS92" s="310"/>
      <c r="DT92" s="310"/>
      <c r="DU92" s="230">
        <f>DU48</f>
        <v>0.65</v>
      </c>
      <c r="DV92" s="230">
        <f>DV91</f>
        <v>1.2</v>
      </c>
      <c r="DW92" s="300" t="e">
        <v>#N/A</v>
      </c>
      <c r="DX92" s="300" t="e">
        <v>#N/A</v>
      </c>
      <c r="DY92" s="454"/>
      <c r="DZ92" s="310"/>
      <c r="EA92" s="310"/>
      <c r="EB92" s="310"/>
      <c r="EC92" s="310"/>
      <c r="ED92" s="310"/>
      <c r="EE92" s="310"/>
      <c r="EF92" s="310"/>
      <c r="EG92" s="310"/>
      <c r="EH92" s="310"/>
      <c r="EI92" s="338">
        <v>21</v>
      </c>
      <c r="EJ92" s="338" t="b">
        <f t="shared" si="127"/>
        <v>0</v>
      </c>
      <c r="EK92" s="281" t="e">
        <f t="shared" si="128"/>
        <v>#N/A</v>
      </c>
      <c r="EL92" s="281" t="e">
        <f t="shared" si="129"/>
        <v>#N/A</v>
      </c>
      <c r="EM92" s="310"/>
      <c r="EN92" s="280">
        <f>$EN$83</f>
        <v>0.13400000000000001</v>
      </c>
      <c r="EO92" s="280">
        <f>EO91</f>
        <v>0.78499999999999992</v>
      </c>
      <c r="EP92" s="310"/>
      <c r="EQ92" s="310"/>
      <c r="ER92" s="310"/>
      <c r="ES92" s="310"/>
      <c r="ET92" s="310"/>
      <c r="EU92" s="310"/>
      <c r="EV92" s="310"/>
      <c r="EW92" s="310"/>
      <c r="EX92" s="310"/>
      <c r="EY92" s="310"/>
      <c r="EZ92" s="310"/>
      <c r="FA92" s="310"/>
      <c r="FB92" s="310"/>
      <c r="FC92" s="310"/>
      <c r="FD92" s="310"/>
      <c r="FE92" s="310"/>
      <c r="FF92" s="310"/>
      <c r="FG92" s="310"/>
      <c r="FH92" s="310"/>
      <c r="FI92" s="310"/>
      <c r="FJ92" s="310"/>
      <c r="FK92" s="310"/>
      <c r="FL92" s="310"/>
      <c r="FM92" s="310"/>
      <c r="FN92" s="310"/>
      <c r="FO92" s="310"/>
      <c r="FP92" s="310"/>
      <c r="FQ92" s="310"/>
      <c r="FR92" s="310"/>
      <c r="FS92" s="310"/>
      <c r="FT92" s="310"/>
      <c r="FU92" s="310"/>
      <c r="FV92" s="310"/>
      <c r="FW92" s="310"/>
      <c r="FX92" s="310"/>
      <c r="FY92" s="310"/>
      <c r="FZ92" s="310"/>
      <c r="GA92" s="310"/>
      <c r="GB92" s="310"/>
      <c r="GC92" s="310"/>
      <c r="GD92" s="310"/>
      <c r="GE92" s="310"/>
      <c r="GF92" s="310"/>
      <c r="GG92" s="310"/>
      <c r="GH92" s="310"/>
      <c r="GI92" s="310"/>
      <c r="GJ92" s="310"/>
      <c r="GK92" s="310"/>
      <c r="GL92" s="310"/>
      <c r="GM92" s="310"/>
      <c r="GN92" s="310"/>
      <c r="GO92" s="310"/>
      <c r="GP92" s="310"/>
      <c r="GQ92" s="310"/>
      <c r="GR92" s="310"/>
      <c r="GS92" s="310"/>
      <c r="GT92" s="310"/>
      <c r="GU92" s="310"/>
      <c r="GV92" s="310"/>
      <c r="GW92" s="310"/>
      <c r="GX92" s="310"/>
      <c r="GY92" s="310"/>
      <c r="GZ92" s="310"/>
      <c r="HA92" s="310"/>
      <c r="HB92" s="310"/>
      <c r="HC92" s="310"/>
      <c r="HD92" s="310"/>
      <c r="HE92" s="310"/>
      <c r="HF92" s="310"/>
      <c r="HG92" s="310"/>
      <c r="HH92" s="310"/>
      <c r="HI92" s="310"/>
      <c r="HJ92" s="310"/>
      <c r="HK92" s="342">
        <v>78</v>
      </c>
      <c r="HL92" s="235" t="e">
        <f t="shared" si="139"/>
        <v>#N/A</v>
      </c>
      <c r="HM92" s="235" t="e">
        <f t="shared" si="140"/>
        <v>#N/A</v>
      </c>
      <c r="HN92" s="310"/>
      <c r="HO92" s="310"/>
      <c r="HP92" s="235" t="e">
        <f t="shared" si="141"/>
        <v>#N/A</v>
      </c>
      <c r="HQ92" s="235" t="e">
        <f t="shared" si="142"/>
        <v>#N/A</v>
      </c>
      <c r="HR92" s="310"/>
      <c r="HS92" s="310"/>
      <c r="HT92" s="235" t="e">
        <f t="shared" si="143"/>
        <v>#N/A</v>
      </c>
      <c r="HU92" s="235" t="e">
        <f t="shared" si="144"/>
        <v>#N/A</v>
      </c>
      <c r="HV92" s="310"/>
      <c r="HW92" s="310"/>
      <c r="HX92" s="235" t="e">
        <f t="shared" si="145"/>
        <v>#N/A</v>
      </c>
      <c r="HY92" s="235" t="e">
        <f t="shared" si="146"/>
        <v>#N/A</v>
      </c>
      <c r="HZ92" s="310"/>
      <c r="IA92" s="310"/>
      <c r="IB92" s="235" t="e">
        <f t="shared" si="147"/>
        <v>#N/A</v>
      </c>
      <c r="IC92" s="235" t="e">
        <f t="shared" si="148"/>
        <v>#N/A</v>
      </c>
      <c r="ID92" s="310"/>
      <c r="IE92" s="342">
        <v>78</v>
      </c>
      <c r="IF92" s="262" t="e">
        <f t="shared" si="149"/>
        <v>#N/A</v>
      </c>
      <c r="IG92" s="262" t="e">
        <f t="shared" si="150"/>
        <v>#N/A</v>
      </c>
      <c r="IH92" s="390"/>
      <c r="II92" s="390"/>
      <c r="IJ92" s="262" t="e">
        <f t="shared" si="151"/>
        <v>#N/A</v>
      </c>
      <c r="IK92" s="262" t="e">
        <f t="shared" si="152"/>
        <v>#N/A</v>
      </c>
      <c r="IL92" s="390"/>
      <c r="IM92" s="390"/>
      <c r="IN92" s="262" t="e">
        <f t="shared" si="153"/>
        <v>#N/A</v>
      </c>
      <c r="IO92" s="262" t="e">
        <f t="shared" si="154"/>
        <v>#N/A</v>
      </c>
      <c r="IP92" s="390"/>
      <c r="IQ92" s="390"/>
      <c r="IR92" s="262" t="e">
        <f t="shared" si="155"/>
        <v>#N/A</v>
      </c>
      <c r="IS92" s="262" t="e">
        <f t="shared" si="156"/>
        <v>#N/A</v>
      </c>
      <c r="IT92" s="390"/>
      <c r="IU92" s="390"/>
      <c r="IV92" s="262" t="e">
        <f t="shared" si="157"/>
        <v>#N/A</v>
      </c>
      <c r="IW92" s="262" t="e">
        <f t="shared" si="158"/>
        <v>#N/A</v>
      </c>
      <c r="IX92" s="310"/>
      <c r="IY92" s="310"/>
      <c r="IZ92" s="310"/>
      <c r="JA92" s="310"/>
      <c r="JB92" s="313" t="s">
        <v>325</v>
      </c>
      <c r="JC92" s="234" t="e">
        <f>IZ89-$IZ$62</f>
        <v>#N/A</v>
      </c>
      <c r="JD92" s="234" t="e">
        <f>JA89</f>
        <v>#N/A</v>
      </c>
      <c r="JE92" s="310"/>
      <c r="JF92" s="310"/>
      <c r="JG92" s="310"/>
      <c r="JH92" s="310"/>
      <c r="JI92" s="313" t="s">
        <v>325</v>
      </c>
      <c r="JJ92" s="265" t="e">
        <f>JG89-$IZ$62</f>
        <v>#N/A</v>
      </c>
      <c r="JK92" s="265" t="e">
        <f>JH89</f>
        <v>#N/A</v>
      </c>
      <c r="JL92" s="310"/>
      <c r="JM92" s="310"/>
      <c r="JN92" s="261" t="e">
        <f t="shared" si="159"/>
        <v>#N/A</v>
      </c>
      <c r="JO92" s="261" t="e">
        <f t="shared" si="160"/>
        <v>#N/A</v>
      </c>
      <c r="JP92" s="310"/>
      <c r="JQ92" s="310"/>
      <c r="JR92" s="261" t="e">
        <f t="shared" si="165"/>
        <v>#N/A</v>
      </c>
      <c r="JS92" s="261" t="e">
        <f t="shared" si="166"/>
        <v>#N/A</v>
      </c>
      <c r="JT92" s="310"/>
      <c r="JU92" s="310"/>
      <c r="JV92" s="261" t="e">
        <f t="shared" si="161"/>
        <v>#N/A</v>
      </c>
      <c r="JW92" s="261" t="e">
        <f t="shared" si="162"/>
        <v>#N/A</v>
      </c>
      <c r="JX92" s="310"/>
      <c r="JY92" s="311"/>
      <c r="JZ92" s="311"/>
      <c r="KA92" s="311"/>
      <c r="KB92" s="313" t="s">
        <v>395</v>
      </c>
      <c r="KC92" s="242">
        <f>KC91</f>
        <v>0.85</v>
      </c>
      <c r="KD92" s="242">
        <f>KD87</f>
        <v>0.57499999999999996</v>
      </c>
      <c r="KE92" s="310"/>
      <c r="KF92" s="310"/>
      <c r="KG92" s="310"/>
      <c r="KH92" s="310"/>
      <c r="KI92" s="310"/>
      <c r="KJ92" s="310"/>
      <c r="KK92" s="310"/>
      <c r="KL92" s="310"/>
      <c r="KM92" s="310"/>
      <c r="KN92" s="310"/>
      <c r="KO92" s="310"/>
      <c r="KP92" s="310"/>
      <c r="KQ92" s="310"/>
      <c r="KR92" s="310"/>
      <c r="KS92" s="310"/>
      <c r="KT92" s="310"/>
      <c r="KU92" s="310"/>
      <c r="KV92" s="310"/>
      <c r="KW92" s="310"/>
      <c r="KX92" s="310"/>
      <c r="KY92" s="310"/>
      <c r="KZ92" s="310"/>
      <c r="LA92" s="310"/>
      <c r="LB92" s="310"/>
      <c r="LC92" s="310"/>
      <c r="LD92" s="310"/>
      <c r="LE92" s="310"/>
      <c r="LF92" s="310"/>
      <c r="LG92" s="310"/>
      <c r="LH92" s="310"/>
      <c r="LI92" s="310"/>
      <c r="LJ92" s="310"/>
      <c r="LK92" s="310"/>
      <c r="LL92" s="310"/>
      <c r="LM92" s="310"/>
      <c r="LN92" s="310"/>
      <c r="LO92" s="310"/>
      <c r="LP92" s="310"/>
      <c r="LQ92" s="310"/>
      <c r="LR92" s="310"/>
      <c r="LS92" s="310"/>
      <c r="LT92" s="310"/>
      <c r="LU92" s="310"/>
      <c r="LV92" s="310"/>
      <c r="LW92" s="310"/>
      <c r="LX92" s="310"/>
      <c r="LY92" s="310"/>
      <c r="LZ92" s="310"/>
      <c r="MA92" s="310"/>
      <c r="MB92" s="310"/>
      <c r="MC92" s="310"/>
      <c r="MD92" s="310"/>
      <c r="ME92" s="310"/>
      <c r="MF92" s="310"/>
      <c r="MG92" s="310"/>
      <c r="MH92" s="310"/>
      <c r="MI92" s="310"/>
      <c r="MJ92" s="310"/>
      <c r="MK92" s="310"/>
      <c r="ML92" s="310"/>
      <c r="MM92" s="310"/>
      <c r="MN92" s="310"/>
      <c r="MO92" s="310"/>
      <c r="MP92" s="310"/>
      <c r="MQ92" s="310"/>
      <c r="MR92" s="310"/>
      <c r="MS92" s="310"/>
      <c r="MT92" s="310"/>
      <c r="MU92" s="310"/>
      <c r="MV92" s="310"/>
      <c r="MW92" s="310"/>
      <c r="MX92" s="310"/>
      <c r="MY92" s="310"/>
      <c r="MZ92" s="310"/>
      <c r="NA92" s="310"/>
      <c r="NB92" s="310"/>
      <c r="NC92" s="310"/>
      <c r="ND92" s="310"/>
      <c r="NE92" s="310"/>
      <c r="NF92" s="310"/>
      <c r="NG92" s="310"/>
      <c r="NH92" s="310"/>
      <c r="NI92" s="310"/>
      <c r="NJ92" s="310"/>
      <c r="NK92" s="310"/>
      <c r="NL92" s="310"/>
      <c r="NM92" s="310"/>
      <c r="NN92" s="310"/>
      <c r="NO92" s="310"/>
      <c r="NP92" s="310"/>
      <c r="NQ92" s="310"/>
      <c r="NR92" s="310"/>
      <c r="NS92" s="310"/>
      <c r="NT92" s="310"/>
      <c r="NU92" s="310"/>
      <c r="NV92" s="310"/>
      <c r="NW92" s="310"/>
      <c r="NX92" s="310"/>
      <c r="NY92" s="310"/>
      <c r="NZ92" s="310"/>
      <c r="OA92" s="310"/>
      <c r="OB92" s="310"/>
      <c r="OC92" s="310"/>
      <c r="OD92" s="310"/>
      <c r="OE92" s="310"/>
      <c r="OF92" s="310"/>
      <c r="OG92" s="310"/>
      <c r="OH92" s="310"/>
      <c r="OI92" s="310"/>
      <c r="OJ92" s="310"/>
      <c r="OK92" s="310"/>
      <c r="OL92" s="310"/>
      <c r="OM92" s="310"/>
      <c r="ON92" s="310"/>
      <c r="OO92" s="310"/>
      <c r="OP92" s="310"/>
      <c r="OQ92" s="310"/>
      <c r="OR92" s="310"/>
      <c r="OS92" s="310"/>
      <c r="OT92" s="310"/>
      <c r="OU92" s="310"/>
      <c r="OV92" s="310"/>
      <c r="OW92" s="310"/>
      <c r="OX92" s="310"/>
      <c r="OY92" s="310"/>
      <c r="OZ92" s="310"/>
      <c r="PA92" s="310"/>
      <c r="PB92" s="310"/>
      <c r="PC92" s="310"/>
      <c r="PD92" s="310"/>
      <c r="PE92" s="310"/>
      <c r="PF92" s="310"/>
      <c r="PG92" s="310"/>
      <c r="PH92" s="310"/>
      <c r="PI92" s="310"/>
      <c r="PJ92" s="310"/>
      <c r="PK92" s="310"/>
      <c r="PL92" s="310"/>
      <c r="PM92" s="310"/>
      <c r="PN92" s="310"/>
      <c r="PO92" s="310"/>
      <c r="PP92" s="310"/>
      <c r="PQ92" s="310"/>
      <c r="PR92" s="310"/>
      <c r="PS92" s="342">
        <v>78</v>
      </c>
      <c r="PT92" s="261" t="e">
        <f t="shared" si="163"/>
        <v>#N/A</v>
      </c>
      <c r="PU92" s="261" t="e">
        <f t="shared" si="164"/>
        <v>#N/A</v>
      </c>
      <c r="PV92" s="310"/>
      <c r="PW92" s="310"/>
      <c r="PX92" s="310"/>
      <c r="PY92" s="310"/>
      <c r="PZ92" s="310"/>
      <c r="QA92" s="310"/>
      <c r="QB92" s="310"/>
      <c r="QC92" s="310"/>
      <c r="QD92" s="310"/>
      <c r="QE92" s="310"/>
      <c r="QF92" s="310"/>
      <c r="QG92" s="310"/>
      <c r="QH92" s="310"/>
      <c r="QI92" s="310"/>
      <c r="QJ92" s="310"/>
      <c r="QK92" s="310"/>
      <c r="QL92" s="310"/>
      <c r="QM92" s="310"/>
      <c r="QN92" s="310"/>
      <c r="QO92" s="310"/>
      <c r="QP92" s="310"/>
      <c r="QQ92" s="310"/>
      <c r="QR92" s="310"/>
      <c r="QS92" s="310"/>
      <c r="QT92" s="310"/>
      <c r="QU92" s="310"/>
      <c r="QV92" s="310"/>
      <c r="QW92" s="310"/>
      <c r="QX92" s="310"/>
      <c r="QY92" s="310"/>
      <c r="QZ92" s="310"/>
      <c r="RA92" s="310"/>
      <c r="RB92" s="310"/>
      <c r="RC92" s="310"/>
      <c r="RD92" s="310"/>
      <c r="RE92" s="310"/>
      <c r="RF92" s="310"/>
      <c r="RG92" s="310"/>
      <c r="RH92" s="310"/>
      <c r="RI92" s="310"/>
      <c r="RJ92" s="310"/>
      <c r="RK92" s="310"/>
      <c r="RL92" s="310"/>
      <c r="RM92" s="310"/>
      <c r="RN92" s="310"/>
      <c r="RO92" s="310"/>
      <c r="RP92" s="310"/>
      <c r="RQ92" s="310"/>
      <c r="RR92" s="310"/>
      <c r="RS92" s="310"/>
      <c r="RT92" s="310"/>
      <c r="RU92" s="310"/>
      <c r="RV92" s="310"/>
      <c r="RW92" s="310"/>
      <c r="RX92" s="310"/>
      <c r="RY92" s="310"/>
      <c r="RZ92" s="310"/>
      <c r="SA92" s="310"/>
      <c r="SB92" s="310"/>
      <c r="SC92" s="310"/>
      <c r="SD92" s="310"/>
      <c r="SE92" s="310"/>
      <c r="SF92" s="310"/>
      <c r="SG92" s="310"/>
      <c r="SH92" s="310"/>
      <c r="SI92" s="310"/>
      <c r="SJ92" s="310"/>
      <c r="SK92" s="310"/>
      <c r="SL92" s="310"/>
      <c r="SM92" s="310"/>
      <c r="SN92" s="310"/>
      <c r="SO92" s="220"/>
      <c r="SP92" s="220"/>
      <c r="SQ92" s="220"/>
      <c r="SR92" s="220"/>
      <c r="SS92" s="220"/>
      <c r="ST92" s="220"/>
      <c r="SU92" s="220"/>
      <c r="SV92" s="220"/>
      <c r="SW92" s="220"/>
      <c r="SX92" s="220"/>
      <c r="SY92" s="220"/>
      <c r="SZ92" s="220"/>
      <c r="TA92" s="220"/>
      <c r="TB92" s="220"/>
      <c r="TC92" s="220"/>
      <c r="TD92" s="220"/>
      <c r="TE92" s="220"/>
      <c r="TF92" s="220"/>
      <c r="TG92" s="220"/>
      <c r="TH92" s="220"/>
      <c r="TI92" s="220"/>
      <c r="TJ92" s="220"/>
      <c r="TK92" s="220"/>
      <c r="TL92" s="220"/>
      <c r="TM92" s="220"/>
      <c r="TN92" s="220"/>
      <c r="TO92" s="220"/>
      <c r="TP92" s="220"/>
      <c r="TQ92" s="220"/>
      <c r="TR92" s="220"/>
      <c r="TS92" s="220"/>
      <c r="TT92" s="220"/>
      <c r="TU92" s="220"/>
      <c r="TV92" s="220"/>
      <c r="TW92" s="220"/>
      <c r="TX92" s="220"/>
      <c r="TY92" s="220"/>
      <c r="TZ92" s="220"/>
      <c r="UA92" s="220"/>
      <c r="UB92" s="220"/>
      <c r="UC92" s="220"/>
      <c r="UD92" s="220"/>
      <c r="UE92" s="220"/>
      <c r="UF92" s="220"/>
      <c r="UG92" s="220"/>
      <c r="UH92" s="220"/>
      <c r="UI92" s="220"/>
      <c r="UJ92" s="220"/>
      <c r="UK92" s="216"/>
      <c r="UL92" s="216"/>
      <c r="UM92" s="216"/>
      <c r="UN92" s="216"/>
      <c r="UO92" s="216"/>
      <c r="UP92" s="216"/>
      <c r="UQ92" s="216"/>
      <c r="UR92" s="216"/>
      <c r="US92" s="216"/>
      <c r="UT92" s="216"/>
      <c r="UU92" s="216"/>
      <c r="UV92" s="216"/>
      <c r="UW92" s="216"/>
      <c r="UX92" s="216"/>
      <c r="UY92" s="216"/>
      <c r="UZ92" s="216"/>
      <c r="VA92" s="216"/>
    </row>
    <row r="93" spans="1:573" s="4" customFormat="1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5"/>
      <c r="AM93" s="45"/>
      <c r="AN93" s="45"/>
      <c r="AO93" s="45"/>
      <c r="AP93" s="310"/>
      <c r="AQ93" s="310"/>
      <c r="AR93" s="310"/>
      <c r="AS93" s="310"/>
      <c r="AT93" s="310"/>
      <c r="AU93" s="310"/>
      <c r="AV93" s="310"/>
      <c r="AW93" s="310"/>
      <c r="AX93" s="310"/>
      <c r="AY93" s="310"/>
      <c r="AZ93" s="310"/>
      <c r="BA93" s="310"/>
      <c r="BB93" s="485" t="s">
        <v>246</v>
      </c>
      <c r="BC93" s="486" t="e">
        <f>IF(BL7=TRUE,ABS(O40),#N/A)</f>
        <v>#N/A</v>
      </c>
      <c r="BD93" s="487">
        <f>INDEX(H44:H45,MATCH(BE93,M44:M45,0))-(O13/2)</f>
        <v>-0.85000000000000009</v>
      </c>
      <c r="BE93" s="488">
        <f>MAX(M44:N45)</f>
        <v>36</v>
      </c>
      <c r="BF93" s="421" t="e">
        <f>OG42/1000</f>
        <v>#N/A</v>
      </c>
      <c r="BG93" s="338"/>
      <c r="BH93" s="338"/>
      <c r="BI93" s="338"/>
      <c r="BJ93" s="307" t="e">
        <f>IF(BL9=TRUE,LD38,#N/A)</f>
        <v>#N/A</v>
      </c>
      <c r="BK93" s="421">
        <f>OG12</f>
        <v>16.2</v>
      </c>
      <c r="BL93" s="338"/>
      <c r="BM93" s="380" cm="1">
        <f t="array" ref="BM93:BM94">CHOOSE(
MATCH(BB91,{"F1","F2x","F2y","F3","F4","F5"},0),
BC93:BC94,
BF93:BF94,
BI93:BI94,
BJ93:BJ94,
BK93:BK94,
BK93:BK94
)</f>
        <v>16.2</v>
      </c>
      <c r="BN93" s="485"/>
      <c r="BO93" s="310"/>
      <c r="BP93" s="310"/>
      <c r="BQ93" s="310"/>
      <c r="BR93" s="310"/>
      <c r="BS93" s="310"/>
      <c r="BT93" s="310"/>
      <c r="BU93" s="310"/>
      <c r="BV93" s="310"/>
      <c r="BW93" s="310"/>
      <c r="BX93" s="310"/>
      <c r="BY93" s="310"/>
      <c r="BZ93" s="310"/>
      <c r="CA93" s="310"/>
      <c r="CB93" s="310"/>
      <c r="CC93" s="310"/>
      <c r="CD93" s="230" t="e">
        <v>#N/A</v>
      </c>
      <c r="CE93" s="230" t="e">
        <v>#N/A</v>
      </c>
      <c r="CF93" s="310"/>
      <c r="CG93" s="310"/>
      <c r="CH93" s="310"/>
      <c r="CI93" s="310"/>
      <c r="CJ93" s="310"/>
      <c r="CK93" s="310"/>
      <c r="CL93" s="310"/>
      <c r="CM93" s="310"/>
      <c r="CN93" s="310"/>
      <c r="CO93" s="310"/>
      <c r="CP93" s="310"/>
      <c r="CQ93" s="310"/>
      <c r="CR93" s="310"/>
      <c r="CS93" s="310"/>
      <c r="CT93" s="310"/>
      <c r="CU93" s="310"/>
      <c r="CV93" s="310"/>
      <c r="CW93" s="310"/>
      <c r="CX93" s="310"/>
      <c r="CY93" s="310"/>
      <c r="CZ93" s="310"/>
      <c r="DA93" s="310"/>
      <c r="DB93" s="310"/>
      <c r="DC93" s="310"/>
      <c r="DD93" s="310"/>
      <c r="DE93" s="310"/>
      <c r="DF93" s="310"/>
      <c r="DG93" s="310"/>
      <c r="DH93" s="310"/>
      <c r="DI93" s="310"/>
      <c r="DJ93" s="310"/>
      <c r="DK93" s="310"/>
      <c r="DL93" s="310"/>
      <c r="DM93" s="310"/>
      <c r="DN93" s="310"/>
      <c r="DO93" s="310"/>
      <c r="DP93" s="310"/>
      <c r="DQ93" s="310"/>
      <c r="DR93" s="310"/>
      <c r="DS93" s="310"/>
      <c r="DT93" s="310"/>
      <c r="DU93" s="230">
        <f>DU92</f>
        <v>0.65</v>
      </c>
      <c r="DV93" s="230">
        <f>DV89</f>
        <v>0.65</v>
      </c>
      <c r="DW93" s="300" t="e">
        <v>#N/A</v>
      </c>
      <c r="DX93" s="300" t="e">
        <v>#N/A</v>
      </c>
      <c r="DY93" s="310"/>
      <c r="DZ93" s="310"/>
      <c r="EA93" s="310"/>
      <c r="EB93" s="310"/>
      <c r="EC93" s="310"/>
      <c r="ED93" s="310"/>
      <c r="EE93" s="310"/>
      <c r="EF93" s="310"/>
      <c r="EG93" s="310"/>
      <c r="EH93" s="310"/>
      <c r="EI93" s="338">
        <v>22</v>
      </c>
      <c r="EJ93" s="338" t="b">
        <f t="shared" si="127"/>
        <v>0</v>
      </c>
      <c r="EK93" s="281" t="e">
        <f t="shared" si="128"/>
        <v>#N/A</v>
      </c>
      <c r="EL93" s="281" t="e">
        <f t="shared" si="129"/>
        <v>#N/A</v>
      </c>
      <c r="EM93" s="310"/>
      <c r="EN93" s="280" t="e">
        <v>#N/A</v>
      </c>
      <c r="EO93" s="280" t="e">
        <v>#N/A</v>
      </c>
      <c r="EP93" s="310"/>
      <c r="EQ93" s="310"/>
      <c r="ER93" s="310"/>
      <c r="ES93" s="310"/>
      <c r="ET93" s="310"/>
      <c r="EU93" s="310"/>
      <c r="EV93" s="310"/>
      <c r="EW93" s="310"/>
      <c r="EX93" s="310"/>
      <c r="EY93" s="310"/>
      <c r="EZ93" s="310"/>
      <c r="FA93" s="310"/>
      <c r="FB93" s="310"/>
      <c r="FC93" s="310"/>
      <c r="FD93" s="310"/>
      <c r="FE93" s="310"/>
      <c r="FF93" s="310"/>
      <c r="FG93" s="310"/>
      <c r="FH93" s="310"/>
      <c r="FI93" s="310"/>
      <c r="FJ93" s="310"/>
      <c r="FK93" s="310"/>
      <c r="FL93" s="310"/>
      <c r="FM93" s="310"/>
      <c r="FN93" s="310"/>
      <c r="FO93" s="310"/>
      <c r="FP93" s="310"/>
      <c r="FQ93" s="310"/>
      <c r="FR93" s="310"/>
      <c r="FS93" s="310"/>
      <c r="FT93" s="310"/>
      <c r="FU93" s="310"/>
      <c r="FV93" s="310"/>
      <c r="FW93" s="310"/>
      <c r="FX93" s="310"/>
      <c r="FY93" s="310"/>
      <c r="FZ93" s="310"/>
      <c r="GA93" s="310"/>
      <c r="GB93" s="310"/>
      <c r="GC93" s="310"/>
      <c r="GD93" s="310"/>
      <c r="GE93" s="310"/>
      <c r="GF93" s="310"/>
      <c r="GG93" s="310"/>
      <c r="GH93" s="310"/>
      <c r="GI93" s="310"/>
      <c r="GJ93" s="310"/>
      <c r="GK93" s="310"/>
      <c r="GL93" s="310"/>
      <c r="GM93" s="310"/>
      <c r="GN93" s="310"/>
      <c r="GO93" s="310"/>
      <c r="GP93" s="310"/>
      <c r="GQ93" s="310"/>
      <c r="GR93" s="310"/>
      <c r="GS93" s="310"/>
      <c r="GT93" s="310"/>
      <c r="GU93" s="310"/>
      <c r="GV93" s="310"/>
      <c r="GW93" s="310"/>
      <c r="GX93" s="310"/>
      <c r="GY93" s="310"/>
      <c r="GZ93" s="310"/>
      <c r="HA93" s="310"/>
      <c r="HB93" s="310"/>
      <c r="HC93" s="310"/>
      <c r="HD93" s="310"/>
      <c r="HE93" s="310"/>
      <c r="HF93" s="310"/>
      <c r="HG93" s="310"/>
      <c r="HH93" s="310"/>
      <c r="HI93" s="310"/>
      <c r="HJ93" s="310"/>
      <c r="HK93" s="342">
        <v>79</v>
      </c>
      <c r="HL93" s="235" t="e">
        <f t="shared" si="139"/>
        <v>#N/A</v>
      </c>
      <c r="HM93" s="235" t="e">
        <f t="shared" si="140"/>
        <v>#N/A</v>
      </c>
      <c r="HN93" s="310"/>
      <c r="HO93" s="310"/>
      <c r="HP93" s="235" t="e">
        <f t="shared" si="141"/>
        <v>#N/A</v>
      </c>
      <c r="HQ93" s="235" t="e">
        <f t="shared" si="142"/>
        <v>#N/A</v>
      </c>
      <c r="HR93" s="310"/>
      <c r="HS93" s="310"/>
      <c r="HT93" s="235" t="e">
        <f t="shared" si="143"/>
        <v>#N/A</v>
      </c>
      <c r="HU93" s="235" t="e">
        <f t="shared" si="144"/>
        <v>#N/A</v>
      </c>
      <c r="HV93" s="310"/>
      <c r="HW93" s="310"/>
      <c r="HX93" s="235" t="e">
        <f t="shared" si="145"/>
        <v>#N/A</v>
      </c>
      <c r="HY93" s="235" t="e">
        <f t="shared" si="146"/>
        <v>#N/A</v>
      </c>
      <c r="HZ93" s="310"/>
      <c r="IA93" s="310"/>
      <c r="IB93" s="235" t="e">
        <f t="shared" si="147"/>
        <v>#N/A</v>
      </c>
      <c r="IC93" s="235" t="e">
        <f t="shared" si="148"/>
        <v>#N/A</v>
      </c>
      <c r="ID93" s="310"/>
      <c r="IE93" s="342">
        <v>79</v>
      </c>
      <c r="IF93" s="262" t="e">
        <f t="shared" si="149"/>
        <v>#N/A</v>
      </c>
      <c r="IG93" s="262" t="e">
        <f t="shared" si="150"/>
        <v>#N/A</v>
      </c>
      <c r="IH93" s="390"/>
      <c r="II93" s="390"/>
      <c r="IJ93" s="262" t="e">
        <f t="shared" si="151"/>
        <v>#N/A</v>
      </c>
      <c r="IK93" s="262" t="e">
        <f t="shared" si="152"/>
        <v>#N/A</v>
      </c>
      <c r="IL93" s="390"/>
      <c r="IM93" s="390"/>
      <c r="IN93" s="262" t="e">
        <f t="shared" si="153"/>
        <v>#N/A</v>
      </c>
      <c r="IO93" s="262" t="e">
        <f t="shared" si="154"/>
        <v>#N/A</v>
      </c>
      <c r="IP93" s="390"/>
      <c r="IQ93" s="390"/>
      <c r="IR93" s="262" t="e">
        <f t="shared" si="155"/>
        <v>#N/A</v>
      </c>
      <c r="IS93" s="262" t="e">
        <f t="shared" si="156"/>
        <v>#N/A</v>
      </c>
      <c r="IT93" s="390"/>
      <c r="IU93" s="390"/>
      <c r="IV93" s="262" t="e">
        <f t="shared" si="157"/>
        <v>#N/A</v>
      </c>
      <c r="IW93" s="262" t="e">
        <f t="shared" si="158"/>
        <v>#N/A</v>
      </c>
      <c r="IX93" s="310"/>
      <c r="IY93" s="310"/>
      <c r="IZ93" s="310"/>
      <c r="JA93" s="310"/>
      <c r="JB93" s="313" t="s">
        <v>326</v>
      </c>
      <c r="JC93" s="228" t="e">
        <f>JC87</f>
        <v>#N/A</v>
      </c>
      <c r="JD93" s="228" t="e">
        <f>JD87</f>
        <v>#N/A</v>
      </c>
      <c r="JE93" s="310"/>
      <c r="JF93" s="310"/>
      <c r="JG93" s="310"/>
      <c r="JH93" s="310"/>
      <c r="JI93" s="313" t="s">
        <v>326</v>
      </c>
      <c r="JJ93" s="242" t="e">
        <f>JJ87</f>
        <v>#N/A</v>
      </c>
      <c r="JK93" s="242" t="e">
        <f>JK87</f>
        <v>#N/A</v>
      </c>
      <c r="JL93" s="310"/>
      <c r="JM93" s="310"/>
      <c r="JN93" s="261" t="e">
        <f t="shared" si="159"/>
        <v>#N/A</v>
      </c>
      <c r="JO93" s="261" t="e">
        <f t="shared" si="160"/>
        <v>#N/A</v>
      </c>
      <c r="JP93" s="310"/>
      <c r="JQ93" s="310"/>
      <c r="JR93" s="261" t="e">
        <f t="shared" si="165"/>
        <v>#N/A</v>
      </c>
      <c r="JS93" s="261" t="e">
        <f t="shared" si="166"/>
        <v>#N/A</v>
      </c>
      <c r="JT93" s="310"/>
      <c r="JU93" s="310"/>
      <c r="JV93" s="261" t="e">
        <f t="shared" si="161"/>
        <v>#N/A</v>
      </c>
      <c r="JW93" s="261" t="e">
        <f t="shared" si="162"/>
        <v>#N/A</v>
      </c>
      <c r="JX93" s="310"/>
      <c r="JY93" s="311"/>
      <c r="JZ93" s="311"/>
      <c r="KA93" s="311"/>
      <c r="KB93" s="313" t="s">
        <v>396</v>
      </c>
      <c r="KC93" s="242">
        <f>JZ83-$IZ$112/2</f>
        <v>0.95</v>
      </c>
      <c r="KD93" s="266">
        <f>KD86</f>
        <v>0.60499999999999998</v>
      </c>
      <c r="KE93" s="310"/>
      <c r="KF93" s="310"/>
      <c r="KG93" s="310"/>
      <c r="KH93" s="310"/>
      <c r="KI93" s="310"/>
      <c r="KJ93" s="310"/>
      <c r="KK93" s="310"/>
      <c r="KL93" s="310"/>
      <c r="KM93" s="310"/>
      <c r="KN93" s="310"/>
      <c r="KO93" s="310"/>
      <c r="KP93" s="310"/>
      <c r="KQ93" s="310"/>
      <c r="KR93" s="310"/>
      <c r="KS93" s="310"/>
      <c r="KT93" s="310"/>
      <c r="KU93" s="310"/>
      <c r="KV93" s="310"/>
      <c r="KW93" s="310"/>
      <c r="KX93" s="310"/>
      <c r="KY93" s="310"/>
      <c r="KZ93" s="310"/>
      <c r="LA93" s="310"/>
      <c r="LB93" s="310"/>
      <c r="LC93" s="310"/>
      <c r="LD93" s="310"/>
      <c r="LE93" s="310"/>
      <c r="LF93" s="310"/>
      <c r="LG93" s="310"/>
      <c r="LH93" s="310"/>
      <c r="LI93" s="310"/>
      <c r="LJ93" s="310"/>
      <c r="LK93" s="310"/>
      <c r="LL93" s="310"/>
      <c r="LM93" s="310"/>
      <c r="LN93" s="310"/>
      <c r="LO93" s="310"/>
      <c r="LP93" s="310"/>
      <c r="LQ93" s="310"/>
      <c r="LR93" s="310"/>
      <c r="LS93" s="310"/>
      <c r="LT93" s="310"/>
      <c r="LU93" s="310"/>
      <c r="LV93" s="310"/>
      <c r="LW93" s="310"/>
      <c r="LX93" s="310"/>
      <c r="LY93" s="310"/>
      <c r="LZ93" s="310"/>
      <c r="MA93" s="310"/>
      <c r="MB93" s="310"/>
      <c r="MC93" s="310"/>
      <c r="MD93" s="310"/>
      <c r="ME93" s="310"/>
      <c r="MF93" s="310"/>
      <c r="MG93" s="310"/>
      <c r="MH93" s="310"/>
      <c r="MI93" s="310"/>
      <c r="MJ93" s="310"/>
      <c r="MK93" s="310"/>
      <c r="ML93" s="310"/>
      <c r="MM93" s="310"/>
      <c r="MN93" s="310"/>
      <c r="MO93" s="310"/>
      <c r="MP93" s="310"/>
      <c r="MQ93" s="310"/>
      <c r="MR93" s="310"/>
      <c r="MS93" s="310"/>
      <c r="MT93" s="310"/>
      <c r="MU93" s="310"/>
      <c r="MV93" s="310"/>
      <c r="MW93" s="310"/>
      <c r="MX93" s="310"/>
      <c r="MY93" s="310"/>
      <c r="MZ93" s="310"/>
      <c r="NA93" s="310"/>
      <c r="NB93" s="310"/>
      <c r="NC93" s="310"/>
      <c r="ND93" s="310"/>
      <c r="NE93" s="310"/>
      <c r="NF93" s="310"/>
      <c r="NG93" s="310"/>
      <c r="NH93" s="310"/>
      <c r="NI93" s="310"/>
      <c r="NJ93" s="310"/>
      <c r="NK93" s="310"/>
      <c r="NL93" s="310"/>
      <c r="NM93" s="310"/>
      <c r="NN93" s="310"/>
      <c r="NO93" s="310"/>
      <c r="NP93" s="310"/>
      <c r="NQ93" s="310"/>
      <c r="NR93" s="310"/>
      <c r="NS93" s="310"/>
      <c r="NT93" s="310"/>
      <c r="NU93" s="310"/>
      <c r="NV93" s="310"/>
      <c r="NW93" s="310"/>
      <c r="NX93" s="310"/>
      <c r="NY93" s="310"/>
      <c r="NZ93" s="310"/>
      <c r="OA93" s="310"/>
      <c r="OB93" s="310"/>
      <c r="OC93" s="310"/>
      <c r="OD93" s="310"/>
      <c r="OE93" s="310"/>
      <c r="OF93" s="310"/>
      <c r="OG93" s="310"/>
      <c r="OH93" s="310"/>
      <c r="OI93" s="310"/>
      <c r="OJ93" s="310"/>
      <c r="OK93" s="310"/>
      <c r="OL93" s="310"/>
      <c r="OM93" s="310"/>
      <c r="ON93" s="310"/>
      <c r="OO93" s="310"/>
      <c r="OP93" s="310"/>
      <c r="OQ93" s="310"/>
      <c r="OR93" s="310"/>
      <c r="OS93" s="310"/>
      <c r="OT93" s="310"/>
      <c r="OU93" s="310"/>
      <c r="OV93" s="310"/>
      <c r="OW93" s="310"/>
      <c r="OX93" s="310"/>
      <c r="OY93" s="310"/>
      <c r="OZ93" s="310"/>
      <c r="PA93" s="310"/>
      <c r="PB93" s="310"/>
      <c r="PC93" s="310"/>
      <c r="PD93" s="310"/>
      <c r="PE93" s="310"/>
      <c r="PF93" s="310"/>
      <c r="PG93" s="310"/>
      <c r="PH93" s="310"/>
      <c r="PI93" s="310"/>
      <c r="PJ93" s="310"/>
      <c r="PK93" s="310"/>
      <c r="PL93" s="310"/>
      <c r="PM93" s="310"/>
      <c r="PN93" s="310"/>
      <c r="PO93" s="310"/>
      <c r="PP93" s="310"/>
      <c r="PQ93" s="310"/>
      <c r="PR93" s="310"/>
      <c r="PS93" s="342">
        <v>79</v>
      </c>
      <c r="PT93" s="261" t="e">
        <f t="shared" si="163"/>
        <v>#N/A</v>
      </c>
      <c r="PU93" s="261" t="e">
        <f t="shared" si="164"/>
        <v>#N/A</v>
      </c>
      <c r="PV93" s="310"/>
      <c r="PW93" s="310"/>
      <c r="PX93" s="310"/>
      <c r="PY93" s="310"/>
      <c r="PZ93" s="310"/>
      <c r="QA93" s="310"/>
      <c r="QB93" s="310"/>
      <c r="QC93" s="310"/>
      <c r="QD93" s="310"/>
      <c r="QE93" s="310"/>
      <c r="QF93" s="310"/>
      <c r="QG93" s="310"/>
      <c r="QH93" s="310"/>
      <c r="QI93" s="310"/>
      <c r="QJ93" s="310"/>
      <c r="QK93" s="310"/>
      <c r="QL93" s="310"/>
      <c r="QM93" s="310"/>
      <c r="QN93" s="310"/>
      <c r="QO93" s="310"/>
      <c r="QP93" s="310"/>
      <c r="QQ93" s="310"/>
      <c r="QR93" s="310"/>
      <c r="QS93" s="310"/>
      <c r="QT93" s="310"/>
      <c r="QU93" s="310"/>
      <c r="QV93" s="310"/>
      <c r="QW93" s="310"/>
      <c r="QX93" s="310"/>
      <c r="QY93" s="310"/>
      <c r="QZ93" s="310"/>
      <c r="RA93" s="310"/>
      <c r="RB93" s="310"/>
      <c r="RC93" s="310"/>
      <c r="RD93" s="310"/>
      <c r="RE93" s="310"/>
      <c r="RF93" s="310"/>
      <c r="RG93" s="310"/>
      <c r="RH93" s="310"/>
      <c r="RI93" s="310"/>
      <c r="RJ93" s="310"/>
      <c r="RK93" s="310"/>
      <c r="RL93" s="310"/>
      <c r="RM93" s="310"/>
      <c r="RN93" s="310"/>
      <c r="RO93" s="310"/>
      <c r="RP93" s="310"/>
      <c r="RQ93" s="310"/>
      <c r="RR93" s="310"/>
      <c r="RS93" s="310"/>
      <c r="RT93" s="310"/>
      <c r="RU93" s="310"/>
      <c r="RV93" s="310"/>
      <c r="RW93" s="310"/>
      <c r="RX93" s="310"/>
      <c r="RY93" s="310"/>
      <c r="RZ93" s="310"/>
      <c r="SA93" s="310"/>
      <c r="SB93" s="310"/>
      <c r="SC93" s="310"/>
      <c r="SD93" s="310"/>
      <c r="SE93" s="310"/>
      <c r="SF93" s="310"/>
      <c r="SG93" s="310"/>
      <c r="SH93" s="310"/>
      <c r="SI93" s="310"/>
      <c r="SJ93" s="310"/>
      <c r="SK93" s="310"/>
      <c r="SL93" s="310"/>
      <c r="SM93" s="310"/>
      <c r="SN93" s="310"/>
      <c r="SO93" s="220"/>
      <c r="SP93" s="220"/>
      <c r="SQ93" s="220"/>
      <c r="SR93" s="220"/>
      <c r="SS93" s="220"/>
      <c r="ST93" s="220"/>
      <c r="SU93" s="220"/>
      <c r="SV93" s="220"/>
      <c r="SW93" s="220"/>
      <c r="SX93" s="220"/>
      <c r="SY93" s="220"/>
      <c r="SZ93" s="220"/>
      <c r="TA93" s="220"/>
      <c r="TB93" s="220"/>
      <c r="TC93" s="220"/>
      <c r="TD93" s="220"/>
      <c r="TE93" s="220"/>
      <c r="TF93" s="220"/>
      <c r="TG93" s="220"/>
      <c r="TH93" s="220"/>
      <c r="TI93" s="220"/>
      <c r="TJ93" s="220"/>
      <c r="TK93" s="220"/>
      <c r="TL93" s="220"/>
      <c r="TM93" s="220"/>
      <c r="TN93" s="220"/>
      <c r="TO93" s="220"/>
      <c r="TP93" s="220"/>
      <c r="TQ93" s="220"/>
      <c r="TR93" s="220"/>
      <c r="TS93" s="220"/>
      <c r="TT93" s="220"/>
      <c r="TU93" s="220"/>
      <c r="TV93" s="220"/>
      <c r="TW93" s="220"/>
      <c r="TX93" s="220"/>
      <c r="TY93" s="220"/>
      <c r="TZ93" s="220"/>
      <c r="UA93" s="220"/>
      <c r="UB93" s="220"/>
      <c r="UC93" s="220"/>
      <c r="UD93" s="220"/>
      <c r="UE93" s="220"/>
      <c r="UF93" s="220"/>
      <c r="UG93" s="220"/>
      <c r="UH93" s="220"/>
      <c r="UI93" s="220"/>
      <c r="UJ93" s="220"/>
      <c r="UK93" s="216"/>
      <c r="UL93" s="216"/>
      <c r="UM93" s="216"/>
      <c r="UN93" s="216"/>
      <c r="UO93" s="216"/>
      <c r="UP93" s="216"/>
      <c r="UQ93" s="216"/>
      <c r="UR93" s="216"/>
      <c r="US93" s="216"/>
      <c r="UT93" s="216"/>
      <c r="UU93" s="216"/>
      <c r="UV93" s="216"/>
      <c r="UW93" s="216"/>
      <c r="UX93" s="216"/>
      <c r="UY93" s="216"/>
      <c r="UZ93" s="216"/>
      <c r="VA93" s="216"/>
    </row>
    <row r="94" spans="1:573" s="4" customFormat="1" x14ac:dyDescent="0.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5"/>
      <c r="AM94" s="45"/>
      <c r="AN94" s="45"/>
      <c r="AO94" s="45"/>
      <c r="AP94" s="310"/>
      <c r="AQ94" s="310"/>
      <c r="AR94" s="310"/>
      <c r="AS94" s="310"/>
      <c r="AT94" s="310"/>
      <c r="AU94" s="310"/>
      <c r="AV94" s="310"/>
      <c r="AW94" s="310"/>
      <c r="AX94" s="310"/>
      <c r="AY94" s="310"/>
      <c r="AZ94" s="310"/>
      <c r="BA94" s="310"/>
      <c r="BB94" s="328" t="s">
        <v>247</v>
      </c>
      <c r="BC94" s="489" t="e">
        <f>IF(BL7=TRUE,ABS(O41),#N/A)</f>
        <v>#N/A</v>
      </c>
      <c r="BD94" s="328"/>
      <c r="BE94" s="490"/>
      <c r="BF94" s="338"/>
      <c r="BG94" s="416">
        <f>INDEX(I44:I45,MATCH(BE93,M44:M45,0))-(O13/2)</f>
        <v>-1.0349999999999999</v>
      </c>
      <c r="BH94" s="488">
        <f>MAX(M44:N45)</f>
        <v>36</v>
      </c>
      <c r="BI94" s="421" t="e">
        <f>OG39/1000</f>
        <v>#N/A</v>
      </c>
      <c r="BJ94" s="306" t="e">
        <f>IF(BL9=TRUE,LD38,#N/A)</f>
        <v>#N/A</v>
      </c>
      <c r="BK94" s="446">
        <f>OG9</f>
        <v>0</v>
      </c>
      <c r="BL94" s="328"/>
      <c r="BM94" s="391">
        <v>0</v>
      </c>
      <c r="BN94" s="328"/>
      <c r="BO94" s="310"/>
      <c r="BP94" s="310"/>
      <c r="BQ94" s="310"/>
      <c r="BR94" s="310"/>
      <c r="BS94" s="310"/>
      <c r="BT94" s="310"/>
      <c r="BU94" s="310"/>
      <c r="BV94" s="310"/>
      <c r="BW94" s="310"/>
      <c r="BX94" s="310"/>
      <c r="BY94" s="310"/>
      <c r="BZ94" s="310"/>
      <c r="CA94" s="310"/>
      <c r="CB94" s="310"/>
      <c r="CC94" s="310"/>
      <c r="CD94" s="230" t="e">
        <v>#N/A</v>
      </c>
      <c r="CE94" s="230" t="e">
        <v>#N/A</v>
      </c>
      <c r="CF94" s="310"/>
      <c r="CG94" s="310"/>
      <c r="CH94" s="310"/>
      <c r="CI94" s="310"/>
      <c r="CJ94" s="310"/>
      <c r="CK94" s="310"/>
      <c r="CL94" s="310"/>
      <c r="CM94" s="310"/>
      <c r="CN94" s="310"/>
      <c r="CO94" s="310"/>
      <c r="CP94" s="310"/>
      <c r="CQ94" s="310"/>
      <c r="CR94" s="310"/>
      <c r="CS94" s="310"/>
      <c r="CT94" s="310"/>
      <c r="CU94" s="310"/>
      <c r="CV94" s="310"/>
      <c r="CW94" s="310"/>
      <c r="CX94" s="310"/>
      <c r="CY94" s="310"/>
      <c r="CZ94" s="310"/>
      <c r="DA94" s="310"/>
      <c r="DB94" s="310"/>
      <c r="DC94" s="310"/>
      <c r="DD94" s="310"/>
      <c r="DE94" s="310"/>
      <c r="DF94" s="310"/>
      <c r="DG94" s="310"/>
      <c r="DH94" s="310"/>
      <c r="DI94" s="310"/>
      <c r="DJ94" s="310"/>
      <c r="DK94" s="310"/>
      <c r="DL94" s="310"/>
      <c r="DM94" s="310"/>
      <c r="DN94" s="310"/>
      <c r="DO94" s="310"/>
      <c r="DP94" s="310"/>
      <c r="DQ94" s="310"/>
      <c r="DR94" s="310"/>
      <c r="DS94" s="310"/>
      <c r="DT94" s="310"/>
      <c r="DU94" s="230" t="e">
        <v>#N/A</v>
      </c>
      <c r="DV94" s="230" t="e">
        <v>#N/A</v>
      </c>
      <c r="DW94" s="300" t="e">
        <v>#N/A</v>
      </c>
      <c r="DX94" s="300" t="e">
        <v>#N/A</v>
      </c>
      <c r="DY94" s="310"/>
      <c r="DZ94" s="310"/>
      <c r="EA94" s="310"/>
      <c r="EB94" s="310"/>
      <c r="EC94" s="310"/>
      <c r="ED94" s="310"/>
      <c r="EE94" s="310"/>
      <c r="EF94" s="310"/>
      <c r="EG94" s="310"/>
      <c r="EH94" s="310"/>
      <c r="EI94" s="338">
        <v>23</v>
      </c>
      <c r="EJ94" s="338" t="b">
        <f t="shared" si="127"/>
        <v>0</v>
      </c>
      <c r="EK94" s="281" t="e">
        <f t="shared" si="128"/>
        <v>#N/A</v>
      </c>
      <c r="EL94" s="281" t="e">
        <f t="shared" si="129"/>
        <v>#N/A</v>
      </c>
      <c r="EM94" s="310"/>
      <c r="EN94" s="280">
        <f>$EN$82</f>
        <v>-0.13400000000000001</v>
      </c>
      <c r="EO94" s="280">
        <f>EO91+0.2</f>
        <v>0.98499999999999988</v>
      </c>
      <c r="EP94" s="310"/>
      <c r="EQ94" s="310"/>
      <c r="ER94" s="310"/>
      <c r="ES94" s="310"/>
      <c r="ET94" s="310"/>
      <c r="EU94" s="310"/>
      <c r="EV94" s="310"/>
      <c r="EW94" s="310"/>
      <c r="EX94" s="310"/>
      <c r="EY94" s="310"/>
      <c r="EZ94" s="310"/>
      <c r="FA94" s="310"/>
      <c r="FB94" s="310"/>
      <c r="FC94" s="310"/>
      <c r="FD94" s="310"/>
      <c r="FE94" s="310"/>
      <c r="FF94" s="310"/>
      <c r="FG94" s="310"/>
      <c r="FH94" s="310"/>
      <c r="FI94" s="310"/>
      <c r="FJ94" s="310"/>
      <c r="FK94" s="310"/>
      <c r="FL94" s="310"/>
      <c r="FM94" s="310"/>
      <c r="FN94" s="310"/>
      <c r="FO94" s="310"/>
      <c r="FP94" s="310"/>
      <c r="FQ94" s="310"/>
      <c r="FR94" s="310"/>
      <c r="FS94" s="310"/>
      <c r="FT94" s="310"/>
      <c r="FU94" s="310"/>
      <c r="FV94" s="310"/>
      <c r="FW94" s="310"/>
      <c r="FX94" s="310"/>
      <c r="FY94" s="310"/>
      <c r="FZ94" s="310"/>
      <c r="GA94" s="310"/>
      <c r="GB94" s="310"/>
      <c r="GC94" s="310"/>
      <c r="GD94" s="310"/>
      <c r="GE94" s="310"/>
      <c r="GF94" s="310"/>
      <c r="GG94" s="310"/>
      <c r="GH94" s="310"/>
      <c r="GI94" s="310"/>
      <c r="GJ94" s="310"/>
      <c r="GK94" s="310"/>
      <c r="GL94" s="310"/>
      <c r="GM94" s="310"/>
      <c r="GN94" s="310"/>
      <c r="GO94" s="310"/>
      <c r="GP94" s="310"/>
      <c r="GQ94" s="310"/>
      <c r="GR94" s="310"/>
      <c r="GS94" s="310"/>
      <c r="GT94" s="310"/>
      <c r="GU94" s="310"/>
      <c r="GV94" s="310"/>
      <c r="GW94" s="310"/>
      <c r="GX94" s="310"/>
      <c r="GY94" s="310"/>
      <c r="GZ94" s="310"/>
      <c r="HA94" s="310"/>
      <c r="HB94" s="310"/>
      <c r="HC94" s="310"/>
      <c r="HD94" s="310"/>
      <c r="HE94" s="310"/>
      <c r="HF94" s="310"/>
      <c r="HG94" s="310"/>
      <c r="HH94" s="310"/>
      <c r="HI94" s="310"/>
      <c r="HJ94" s="310"/>
      <c r="HK94" s="342">
        <v>80</v>
      </c>
      <c r="HL94" s="235" t="e">
        <f t="shared" si="139"/>
        <v>#N/A</v>
      </c>
      <c r="HM94" s="235" t="e">
        <f t="shared" si="140"/>
        <v>#N/A</v>
      </c>
      <c r="HN94" s="310"/>
      <c r="HO94" s="310"/>
      <c r="HP94" s="235" t="e">
        <f t="shared" si="141"/>
        <v>#N/A</v>
      </c>
      <c r="HQ94" s="235" t="e">
        <f t="shared" si="142"/>
        <v>#N/A</v>
      </c>
      <c r="HR94" s="310"/>
      <c r="HS94" s="310"/>
      <c r="HT94" s="235" t="e">
        <f t="shared" si="143"/>
        <v>#N/A</v>
      </c>
      <c r="HU94" s="235" t="e">
        <f t="shared" si="144"/>
        <v>#N/A</v>
      </c>
      <c r="HV94" s="310"/>
      <c r="HW94" s="310"/>
      <c r="HX94" s="235" t="e">
        <f t="shared" si="145"/>
        <v>#N/A</v>
      </c>
      <c r="HY94" s="235" t="e">
        <f t="shared" si="146"/>
        <v>#N/A</v>
      </c>
      <c r="HZ94" s="310"/>
      <c r="IA94" s="310"/>
      <c r="IB94" s="235" t="e">
        <f t="shared" si="147"/>
        <v>#N/A</v>
      </c>
      <c r="IC94" s="235" t="e">
        <f t="shared" si="148"/>
        <v>#N/A</v>
      </c>
      <c r="ID94" s="310"/>
      <c r="IE94" s="342">
        <v>80</v>
      </c>
      <c r="IF94" s="262" t="e">
        <f t="shared" si="149"/>
        <v>#N/A</v>
      </c>
      <c r="IG94" s="262" t="e">
        <f t="shared" si="150"/>
        <v>#N/A</v>
      </c>
      <c r="IH94" s="390"/>
      <c r="II94" s="390"/>
      <c r="IJ94" s="262" t="e">
        <f t="shared" si="151"/>
        <v>#N/A</v>
      </c>
      <c r="IK94" s="262" t="e">
        <f t="shared" si="152"/>
        <v>#N/A</v>
      </c>
      <c r="IL94" s="390"/>
      <c r="IM94" s="390"/>
      <c r="IN94" s="262" t="e">
        <f t="shared" si="153"/>
        <v>#N/A</v>
      </c>
      <c r="IO94" s="262" t="e">
        <f t="shared" si="154"/>
        <v>#N/A</v>
      </c>
      <c r="IP94" s="390"/>
      <c r="IQ94" s="390"/>
      <c r="IR94" s="262" t="e">
        <f t="shared" si="155"/>
        <v>#N/A</v>
      </c>
      <c r="IS94" s="262" t="e">
        <f t="shared" si="156"/>
        <v>#N/A</v>
      </c>
      <c r="IT94" s="390"/>
      <c r="IU94" s="390"/>
      <c r="IV94" s="262" t="e">
        <f t="shared" si="157"/>
        <v>#N/A</v>
      </c>
      <c r="IW94" s="262" t="e">
        <f t="shared" si="158"/>
        <v>#N/A</v>
      </c>
      <c r="IX94" s="310"/>
      <c r="IY94" s="310"/>
      <c r="IZ94" s="310"/>
      <c r="JA94" s="310"/>
      <c r="JB94" s="310"/>
      <c r="JC94" s="230" t="e">
        <v>#N/A</v>
      </c>
      <c r="JD94" s="230" t="e">
        <v>#N/A</v>
      </c>
      <c r="JE94" s="310"/>
      <c r="JF94" s="310"/>
      <c r="JG94" s="310"/>
      <c r="JH94" s="310"/>
      <c r="JI94" s="310"/>
      <c r="JJ94" s="264" t="e">
        <v>#N/A</v>
      </c>
      <c r="JK94" s="264" t="e">
        <v>#N/A</v>
      </c>
      <c r="JL94" s="310"/>
      <c r="JM94" s="310"/>
      <c r="JN94" s="261" t="e">
        <f t="shared" si="159"/>
        <v>#N/A</v>
      </c>
      <c r="JO94" s="261" t="e">
        <f t="shared" si="160"/>
        <v>#N/A</v>
      </c>
      <c r="JP94" s="310"/>
      <c r="JQ94" s="310"/>
      <c r="JR94" s="261" t="e">
        <f t="shared" si="165"/>
        <v>#N/A</v>
      </c>
      <c r="JS94" s="261" t="e">
        <f t="shared" si="166"/>
        <v>#N/A</v>
      </c>
      <c r="JT94" s="310"/>
      <c r="JU94" s="310"/>
      <c r="JV94" s="261" t="e">
        <f t="shared" si="161"/>
        <v>#N/A</v>
      </c>
      <c r="JW94" s="261" t="e">
        <f t="shared" si="162"/>
        <v>#N/A</v>
      </c>
      <c r="JX94" s="310"/>
      <c r="JY94" s="311"/>
      <c r="JZ94" s="311"/>
      <c r="KA94" s="311"/>
      <c r="KB94" s="313" t="s">
        <v>397</v>
      </c>
      <c r="KC94" s="242">
        <f>KC93</f>
        <v>0.95</v>
      </c>
      <c r="KD94" s="265">
        <f>KD85</f>
        <v>0.69500000000000006</v>
      </c>
      <c r="KE94" s="310"/>
      <c r="KF94" s="310"/>
      <c r="KG94" s="310"/>
      <c r="KH94" s="310"/>
      <c r="KI94" s="310"/>
      <c r="KJ94" s="310"/>
      <c r="KK94" s="310"/>
      <c r="KL94" s="310"/>
      <c r="KM94" s="310"/>
      <c r="KN94" s="310"/>
      <c r="KO94" s="310"/>
      <c r="KP94" s="310"/>
      <c r="KQ94" s="310"/>
      <c r="KR94" s="310"/>
      <c r="KS94" s="310"/>
      <c r="KT94" s="310"/>
      <c r="KU94" s="310"/>
      <c r="KV94" s="310"/>
      <c r="KW94" s="310"/>
      <c r="KX94" s="310"/>
      <c r="KY94" s="310"/>
      <c r="KZ94" s="310"/>
      <c r="LA94" s="310"/>
      <c r="LB94" s="310"/>
      <c r="LC94" s="310"/>
      <c r="LD94" s="310"/>
      <c r="LE94" s="310"/>
      <c r="LF94" s="310"/>
      <c r="LG94" s="310"/>
      <c r="LH94" s="310"/>
      <c r="LI94" s="310"/>
      <c r="LJ94" s="310"/>
      <c r="LK94" s="310"/>
      <c r="LL94" s="310"/>
      <c r="LM94" s="310"/>
      <c r="LN94" s="310"/>
      <c r="LO94" s="310"/>
      <c r="LP94" s="310"/>
      <c r="LQ94" s="310"/>
      <c r="LR94" s="310"/>
      <c r="LS94" s="310"/>
      <c r="LT94" s="310"/>
      <c r="LU94" s="310"/>
      <c r="LV94" s="310"/>
      <c r="LW94" s="310"/>
      <c r="LX94" s="310"/>
      <c r="LY94" s="310"/>
      <c r="LZ94" s="310"/>
      <c r="MA94" s="310"/>
      <c r="MB94" s="310"/>
      <c r="MC94" s="310"/>
      <c r="MD94" s="310"/>
      <c r="ME94" s="310"/>
      <c r="MF94" s="310"/>
      <c r="MG94" s="310"/>
      <c r="MH94" s="310"/>
      <c r="MI94" s="310"/>
      <c r="MJ94" s="310"/>
      <c r="MK94" s="310"/>
      <c r="ML94" s="310"/>
      <c r="MM94" s="310"/>
      <c r="MN94" s="310"/>
      <c r="MO94" s="310"/>
      <c r="MP94" s="310"/>
      <c r="MQ94" s="310"/>
      <c r="MR94" s="310"/>
      <c r="MS94" s="310"/>
      <c r="MT94" s="310"/>
      <c r="MU94" s="310"/>
      <c r="MV94" s="310"/>
      <c r="MW94" s="310"/>
      <c r="MX94" s="310"/>
      <c r="MY94" s="310"/>
      <c r="MZ94" s="310"/>
      <c r="NA94" s="310"/>
      <c r="NB94" s="310"/>
      <c r="NC94" s="310"/>
      <c r="ND94" s="310"/>
      <c r="NE94" s="310"/>
      <c r="NF94" s="310"/>
      <c r="NG94" s="310"/>
      <c r="NH94" s="310"/>
      <c r="NI94" s="310"/>
      <c r="NJ94" s="310"/>
      <c r="NK94" s="310"/>
      <c r="NL94" s="310"/>
      <c r="NM94" s="310"/>
      <c r="NN94" s="310"/>
      <c r="NO94" s="310"/>
      <c r="NP94" s="310"/>
      <c r="NQ94" s="310"/>
      <c r="NR94" s="310"/>
      <c r="NS94" s="310"/>
      <c r="NT94" s="310"/>
      <c r="NU94" s="310"/>
      <c r="NV94" s="310"/>
      <c r="NW94" s="310"/>
      <c r="NX94" s="310"/>
      <c r="NY94" s="310"/>
      <c r="NZ94" s="310"/>
      <c r="OA94" s="310"/>
      <c r="OB94" s="310"/>
      <c r="OC94" s="310"/>
      <c r="OD94" s="310"/>
      <c r="OE94" s="310"/>
      <c r="OF94" s="310"/>
      <c r="OG94" s="310"/>
      <c r="OH94" s="310"/>
      <c r="OI94" s="310"/>
      <c r="OJ94" s="310"/>
      <c r="OK94" s="310"/>
      <c r="OL94" s="310"/>
      <c r="OM94" s="310"/>
      <c r="ON94" s="310"/>
      <c r="OO94" s="310"/>
      <c r="OP94" s="310"/>
      <c r="OQ94" s="310"/>
      <c r="OR94" s="310"/>
      <c r="OS94" s="310"/>
      <c r="OT94" s="310"/>
      <c r="OU94" s="310"/>
      <c r="OV94" s="310"/>
      <c r="OW94" s="310"/>
      <c r="OX94" s="310"/>
      <c r="OY94" s="310"/>
      <c r="OZ94" s="310"/>
      <c r="PA94" s="310"/>
      <c r="PB94" s="310"/>
      <c r="PC94" s="310"/>
      <c r="PD94" s="310"/>
      <c r="PE94" s="310"/>
      <c r="PF94" s="310"/>
      <c r="PG94" s="310"/>
      <c r="PH94" s="310"/>
      <c r="PI94" s="310"/>
      <c r="PJ94" s="310"/>
      <c r="PK94" s="310"/>
      <c r="PL94" s="310"/>
      <c r="PM94" s="310"/>
      <c r="PN94" s="310"/>
      <c r="PO94" s="310"/>
      <c r="PP94" s="310"/>
      <c r="PQ94" s="310"/>
      <c r="PR94" s="310"/>
      <c r="PS94" s="342">
        <v>80</v>
      </c>
      <c r="PT94" s="261" t="e">
        <f t="shared" si="163"/>
        <v>#N/A</v>
      </c>
      <c r="PU94" s="261" t="e">
        <f t="shared" si="164"/>
        <v>#N/A</v>
      </c>
      <c r="PV94" s="310"/>
      <c r="PW94" s="310"/>
      <c r="PX94" s="310"/>
      <c r="PY94" s="310"/>
      <c r="PZ94" s="310"/>
      <c r="QA94" s="310"/>
      <c r="QB94" s="310"/>
      <c r="QC94" s="310"/>
      <c r="QD94" s="310"/>
      <c r="QE94" s="310"/>
      <c r="QF94" s="310"/>
      <c r="QG94" s="310"/>
      <c r="QH94" s="310"/>
      <c r="QI94" s="310"/>
      <c r="QJ94" s="310"/>
      <c r="QK94" s="310"/>
      <c r="QL94" s="310"/>
      <c r="QM94" s="310"/>
      <c r="QN94" s="310"/>
      <c r="QO94" s="310"/>
      <c r="QP94" s="310"/>
      <c r="QQ94" s="310"/>
      <c r="QR94" s="310"/>
      <c r="QS94" s="310"/>
      <c r="QT94" s="310"/>
      <c r="QU94" s="310"/>
      <c r="QV94" s="310"/>
      <c r="QW94" s="310"/>
      <c r="QX94" s="310"/>
      <c r="QY94" s="310"/>
      <c r="QZ94" s="310"/>
      <c r="RA94" s="310"/>
      <c r="RB94" s="310"/>
      <c r="RC94" s="310"/>
      <c r="RD94" s="310"/>
      <c r="RE94" s="310"/>
      <c r="RF94" s="310"/>
      <c r="RG94" s="310"/>
      <c r="RH94" s="310"/>
      <c r="RI94" s="310"/>
      <c r="RJ94" s="310"/>
      <c r="RK94" s="310"/>
      <c r="RL94" s="310"/>
      <c r="RM94" s="310"/>
      <c r="RN94" s="310"/>
      <c r="RO94" s="310"/>
      <c r="RP94" s="310"/>
      <c r="RQ94" s="310"/>
      <c r="RR94" s="310"/>
      <c r="RS94" s="310"/>
      <c r="RT94" s="310"/>
      <c r="RU94" s="310"/>
      <c r="RV94" s="310"/>
      <c r="RW94" s="310"/>
      <c r="RX94" s="310"/>
      <c r="RY94" s="310"/>
      <c r="RZ94" s="310"/>
      <c r="SA94" s="310"/>
      <c r="SB94" s="310"/>
      <c r="SC94" s="310"/>
      <c r="SD94" s="310"/>
      <c r="SE94" s="310"/>
      <c r="SF94" s="310"/>
      <c r="SG94" s="310"/>
      <c r="SH94" s="310"/>
      <c r="SI94" s="310"/>
      <c r="SJ94" s="310"/>
      <c r="SK94" s="310"/>
      <c r="SL94" s="310"/>
      <c r="SM94" s="310"/>
      <c r="SN94" s="310"/>
      <c r="SO94" s="220"/>
      <c r="SP94" s="220"/>
      <c r="SQ94" s="220"/>
      <c r="SR94" s="220"/>
      <c r="SS94" s="220"/>
      <c r="ST94" s="220"/>
      <c r="SU94" s="220"/>
      <c r="SV94" s="220"/>
      <c r="SW94" s="220"/>
      <c r="SX94" s="220"/>
      <c r="SY94" s="220"/>
      <c r="SZ94" s="220"/>
      <c r="TA94" s="220"/>
      <c r="TB94" s="220"/>
      <c r="TC94" s="220"/>
      <c r="TD94" s="220"/>
      <c r="TE94" s="220"/>
      <c r="TF94" s="220"/>
      <c r="TG94" s="220"/>
      <c r="TH94" s="220"/>
      <c r="TI94" s="220"/>
      <c r="TJ94" s="220"/>
      <c r="TK94" s="220"/>
      <c r="TL94" s="220"/>
      <c r="TM94" s="220"/>
      <c r="TN94" s="220"/>
      <c r="TO94" s="220"/>
      <c r="TP94" s="220"/>
      <c r="TQ94" s="220"/>
      <c r="TR94" s="220"/>
      <c r="TS94" s="220"/>
      <c r="TT94" s="220"/>
      <c r="TU94" s="220"/>
      <c r="TV94" s="220"/>
      <c r="TW94" s="220"/>
      <c r="TX94" s="220"/>
      <c r="TY94" s="220"/>
      <c r="TZ94" s="220"/>
      <c r="UA94" s="220"/>
      <c r="UB94" s="220"/>
      <c r="UC94" s="220"/>
      <c r="UD94" s="220"/>
      <c r="UE94" s="220"/>
      <c r="UF94" s="220"/>
      <c r="UG94" s="220"/>
      <c r="UH94" s="220"/>
      <c r="UI94" s="220"/>
      <c r="UJ94" s="220"/>
      <c r="UK94" s="216"/>
      <c r="UL94" s="216"/>
      <c r="UM94" s="216"/>
      <c r="UN94" s="216"/>
      <c r="UO94" s="216"/>
      <c r="UP94" s="216"/>
      <c r="UQ94" s="216"/>
      <c r="UR94" s="216"/>
      <c r="US94" s="216"/>
      <c r="UT94" s="216"/>
      <c r="UU94" s="216"/>
      <c r="UV94" s="216"/>
      <c r="UW94" s="216"/>
      <c r="UX94" s="216"/>
      <c r="UY94" s="216"/>
      <c r="UZ94" s="216"/>
      <c r="VA94" s="216"/>
    </row>
    <row r="95" spans="1:573" s="4" customFormat="1" x14ac:dyDescent="0.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5"/>
      <c r="AM95" s="45"/>
      <c r="AN95" s="45"/>
      <c r="AO95" s="45"/>
      <c r="AP95" s="310"/>
      <c r="AQ95" s="310"/>
      <c r="AR95" s="310"/>
      <c r="AS95" s="310"/>
      <c r="AT95" s="310"/>
      <c r="AU95" s="310"/>
      <c r="AV95" s="310"/>
      <c r="AW95" s="310"/>
      <c r="AX95" s="310"/>
      <c r="AY95" s="310"/>
      <c r="AZ95" s="310"/>
      <c r="BA95" s="310"/>
      <c r="BB95" s="310"/>
      <c r="BC95" s="310"/>
      <c r="BD95" s="310"/>
      <c r="BE95" s="310"/>
      <c r="BF95" s="310"/>
      <c r="BG95" s="310"/>
      <c r="BH95" s="310"/>
      <c r="BI95" s="310"/>
      <c r="BJ95" s="310"/>
      <c r="BK95" s="310"/>
      <c r="BL95" s="310"/>
      <c r="BM95" s="310"/>
      <c r="BN95" s="310"/>
      <c r="BO95" s="310"/>
      <c r="BP95" s="310"/>
      <c r="BQ95" s="310"/>
      <c r="BR95" s="310"/>
      <c r="BS95" s="310"/>
      <c r="BT95" s="310"/>
      <c r="BU95" s="310"/>
      <c r="BV95" s="310"/>
      <c r="BW95" s="310"/>
      <c r="BX95" s="310"/>
      <c r="BY95" s="310"/>
      <c r="BZ95" s="310"/>
      <c r="CA95" s="310"/>
      <c r="CB95" s="310"/>
      <c r="CC95" s="310"/>
      <c r="CD95" s="230" t="e">
        <v>#N/A</v>
      </c>
      <c r="CE95" s="230" t="e">
        <v>#N/A</v>
      </c>
      <c r="CF95" s="310"/>
      <c r="CG95" s="310"/>
      <c r="CH95" s="310"/>
      <c r="CI95" s="310"/>
      <c r="CJ95" s="310"/>
      <c r="CK95" s="310"/>
      <c r="CL95" s="310"/>
      <c r="CM95" s="310"/>
      <c r="CN95" s="310"/>
      <c r="CO95" s="310"/>
      <c r="CP95" s="310"/>
      <c r="CQ95" s="310"/>
      <c r="CR95" s="310"/>
      <c r="CS95" s="310"/>
      <c r="CT95" s="310"/>
      <c r="CU95" s="310"/>
      <c r="CV95" s="310"/>
      <c r="CW95" s="310"/>
      <c r="CX95" s="310"/>
      <c r="CY95" s="310"/>
      <c r="CZ95" s="310"/>
      <c r="DA95" s="310"/>
      <c r="DB95" s="310"/>
      <c r="DC95" s="310"/>
      <c r="DD95" s="310"/>
      <c r="DE95" s="310"/>
      <c r="DF95" s="310"/>
      <c r="DG95" s="310"/>
      <c r="DH95" s="310"/>
      <c r="DI95" s="310"/>
      <c r="DJ95" s="310"/>
      <c r="DK95" s="310"/>
      <c r="DL95" s="310"/>
      <c r="DM95" s="310"/>
      <c r="DN95" s="310"/>
      <c r="DO95" s="310"/>
      <c r="DP95" s="310"/>
      <c r="DQ95" s="310"/>
      <c r="DR95" s="310"/>
      <c r="DS95" s="310"/>
      <c r="DT95" s="310"/>
      <c r="DU95" s="230">
        <f>DU92</f>
        <v>0.65</v>
      </c>
      <c r="DV95" s="230">
        <f>DV92</f>
        <v>1.2</v>
      </c>
      <c r="DW95" s="300" t="e">
        <v>#N/A</v>
      </c>
      <c r="DX95" s="300" t="e">
        <v>#N/A</v>
      </c>
      <c r="DY95" s="310"/>
      <c r="DZ95" s="310"/>
      <c r="EA95" s="310"/>
      <c r="EB95" s="310"/>
      <c r="EC95" s="310"/>
      <c r="ED95" s="310"/>
      <c r="EE95" s="310"/>
      <c r="EF95" s="310"/>
      <c r="EG95" s="310"/>
      <c r="EH95" s="310"/>
      <c r="EI95" s="338">
        <v>24</v>
      </c>
      <c r="EJ95" s="338" t="b">
        <f t="shared" si="127"/>
        <v>0</v>
      </c>
      <c r="EK95" s="281" t="e">
        <f t="shared" si="128"/>
        <v>#N/A</v>
      </c>
      <c r="EL95" s="281" t="e">
        <f t="shared" si="129"/>
        <v>#N/A</v>
      </c>
      <c r="EM95" s="310"/>
      <c r="EN95" s="280">
        <f>$EN$83</f>
        <v>0.13400000000000001</v>
      </c>
      <c r="EO95" s="280">
        <f>EO94</f>
        <v>0.98499999999999988</v>
      </c>
      <c r="EP95" s="310"/>
      <c r="EQ95" s="310"/>
      <c r="ER95" s="310"/>
      <c r="ES95" s="310"/>
      <c r="ET95" s="310"/>
      <c r="EU95" s="310"/>
      <c r="EV95" s="310"/>
      <c r="EW95" s="310"/>
      <c r="EX95" s="310"/>
      <c r="EY95" s="310"/>
      <c r="EZ95" s="310"/>
      <c r="FA95" s="310"/>
      <c r="FB95" s="310"/>
      <c r="FC95" s="310"/>
      <c r="FD95" s="310"/>
      <c r="FE95" s="310"/>
      <c r="FF95" s="310"/>
      <c r="FG95" s="310"/>
      <c r="FH95" s="310"/>
      <c r="FI95" s="310"/>
      <c r="FJ95" s="310"/>
      <c r="FK95" s="310"/>
      <c r="FL95" s="310"/>
      <c r="FM95" s="310"/>
      <c r="FN95" s="310"/>
      <c r="FO95" s="310"/>
      <c r="FP95" s="310"/>
      <c r="FQ95" s="310"/>
      <c r="FR95" s="310"/>
      <c r="FS95" s="310"/>
      <c r="FT95" s="310"/>
      <c r="FU95" s="310"/>
      <c r="FV95" s="310"/>
      <c r="FW95" s="310"/>
      <c r="FX95" s="310"/>
      <c r="FY95" s="310"/>
      <c r="FZ95" s="310"/>
      <c r="GA95" s="310"/>
      <c r="GB95" s="310"/>
      <c r="GC95" s="310"/>
      <c r="GD95" s="310"/>
      <c r="GE95" s="310"/>
      <c r="GF95" s="310"/>
      <c r="GG95" s="310"/>
      <c r="GH95" s="310"/>
      <c r="GI95" s="310"/>
      <c r="GJ95" s="310"/>
      <c r="GK95" s="310"/>
      <c r="GL95" s="310"/>
      <c r="GM95" s="310"/>
      <c r="GN95" s="310"/>
      <c r="GO95" s="310"/>
      <c r="GP95" s="310"/>
      <c r="GQ95" s="310"/>
      <c r="GR95" s="310"/>
      <c r="GS95" s="310"/>
      <c r="GT95" s="310"/>
      <c r="GU95" s="310"/>
      <c r="GV95" s="310"/>
      <c r="GW95" s="310"/>
      <c r="GX95" s="310"/>
      <c r="GY95" s="310"/>
      <c r="GZ95" s="310"/>
      <c r="HA95" s="310"/>
      <c r="HB95" s="310"/>
      <c r="HC95" s="310"/>
      <c r="HD95" s="310"/>
      <c r="HE95" s="310"/>
      <c r="HF95" s="310"/>
      <c r="HG95" s="310"/>
      <c r="HH95" s="310"/>
      <c r="HI95" s="310"/>
      <c r="HJ95" s="310"/>
      <c r="HK95" s="342">
        <v>81</v>
      </c>
      <c r="HL95" s="235" t="e">
        <f t="shared" si="139"/>
        <v>#N/A</v>
      </c>
      <c r="HM95" s="235" t="e">
        <f t="shared" si="140"/>
        <v>#N/A</v>
      </c>
      <c r="HN95" s="310"/>
      <c r="HO95" s="310"/>
      <c r="HP95" s="235" t="e">
        <f t="shared" si="141"/>
        <v>#N/A</v>
      </c>
      <c r="HQ95" s="235" t="e">
        <f t="shared" si="142"/>
        <v>#N/A</v>
      </c>
      <c r="HR95" s="310"/>
      <c r="HS95" s="310"/>
      <c r="HT95" s="235" t="e">
        <f t="shared" si="143"/>
        <v>#N/A</v>
      </c>
      <c r="HU95" s="235" t="e">
        <f t="shared" si="144"/>
        <v>#N/A</v>
      </c>
      <c r="HV95" s="310"/>
      <c r="HW95" s="310"/>
      <c r="HX95" s="235" t="e">
        <f t="shared" si="145"/>
        <v>#N/A</v>
      </c>
      <c r="HY95" s="235" t="e">
        <f t="shared" si="146"/>
        <v>#N/A</v>
      </c>
      <c r="HZ95" s="310"/>
      <c r="IA95" s="310"/>
      <c r="IB95" s="235" t="e">
        <f t="shared" si="147"/>
        <v>#N/A</v>
      </c>
      <c r="IC95" s="235" t="e">
        <f t="shared" si="148"/>
        <v>#N/A</v>
      </c>
      <c r="ID95" s="310"/>
      <c r="IE95" s="342">
        <v>81</v>
      </c>
      <c r="IF95" s="262" t="e">
        <f t="shared" si="149"/>
        <v>#N/A</v>
      </c>
      <c r="IG95" s="262" t="e">
        <f t="shared" si="150"/>
        <v>#N/A</v>
      </c>
      <c r="IH95" s="390"/>
      <c r="II95" s="390"/>
      <c r="IJ95" s="262" t="e">
        <f t="shared" si="151"/>
        <v>#N/A</v>
      </c>
      <c r="IK95" s="262" t="e">
        <f t="shared" si="152"/>
        <v>#N/A</v>
      </c>
      <c r="IL95" s="390"/>
      <c r="IM95" s="390"/>
      <c r="IN95" s="262" t="e">
        <f t="shared" si="153"/>
        <v>#N/A</v>
      </c>
      <c r="IO95" s="262" t="e">
        <f t="shared" si="154"/>
        <v>#N/A</v>
      </c>
      <c r="IP95" s="390"/>
      <c r="IQ95" s="390"/>
      <c r="IR95" s="262" t="e">
        <f t="shared" si="155"/>
        <v>#N/A</v>
      </c>
      <c r="IS95" s="262" t="e">
        <f t="shared" si="156"/>
        <v>#N/A</v>
      </c>
      <c r="IT95" s="390"/>
      <c r="IU95" s="390"/>
      <c r="IV95" s="262" t="e">
        <f t="shared" si="157"/>
        <v>#N/A</v>
      </c>
      <c r="IW95" s="262" t="e">
        <f t="shared" si="158"/>
        <v>#N/A</v>
      </c>
      <c r="IX95" s="310"/>
      <c r="IY95" s="342" t="s">
        <v>353</v>
      </c>
      <c r="IZ95" s="328" t="s">
        <v>386</v>
      </c>
      <c r="JA95" s="338" t="b">
        <f>AND($GY$6&gt;=$GX$21,$GY$6&lt;=$GX$27,$BM$11=TRUE)</f>
        <v>0</v>
      </c>
      <c r="JB95" s="313" t="s">
        <v>106</v>
      </c>
      <c r="JC95" s="228" t="e">
        <f>IZ97-$IZ$62/2</f>
        <v>#N/A</v>
      </c>
      <c r="JD95" s="228" t="e">
        <f>JA97+$IZ$61/2</f>
        <v>#N/A</v>
      </c>
      <c r="JE95" s="310"/>
      <c r="JF95" s="342" t="s">
        <v>353</v>
      </c>
      <c r="JG95" s="328" t="s">
        <v>386</v>
      </c>
      <c r="JH95" s="338" t="b">
        <f>IF(CP13=TRUE,AND($GY$6&gt;=$GX$21,$GY$6&lt;=$GX$27,$BM$11=TRUE,$BE$7=TRUE,CU11=TRUE),FALSE)</f>
        <v>0</v>
      </c>
      <c r="JI95" s="313" t="s">
        <v>106</v>
      </c>
      <c r="JJ95" s="242" t="e">
        <f>JG97-$IZ$62/2</f>
        <v>#N/A</v>
      </c>
      <c r="JK95" s="242" t="e">
        <f>JH97+$IZ$61/2</f>
        <v>#N/A</v>
      </c>
      <c r="JL95" s="310"/>
      <c r="JM95" s="310"/>
      <c r="JN95" s="261" t="e">
        <f t="shared" si="159"/>
        <v>#N/A</v>
      </c>
      <c r="JO95" s="261" t="e">
        <f t="shared" si="160"/>
        <v>#N/A</v>
      </c>
      <c r="JP95" s="310"/>
      <c r="JQ95" s="310"/>
      <c r="JR95" s="261" t="e">
        <f t="shared" si="165"/>
        <v>#N/A</v>
      </c>
      <c r="JS95" s="261" t="e">
        <f t="shared" si="166"/>
        <v>#N/A</v>
      </c>
      <c r="JT95" s="310"/>
      <c r="JU95" s="310"/>
      <c r="JV95" s="261" t="e">
        <f t="shared" si="161"/>
        <v>#N/A</v>
      </c>
      <c r="JW95" s="261" t="e">
        <f t="shared" si="162"/>
        <v>#N/A</v>
      </c>
      <c r="JX95" s="310"/>
      <c r="JY95" s="311"/>
      <c r="JZ95" s="311"/>
      <c r="KA95" s="311"/>
      <c r="KB95" s="313" t="s">
        <v>398</v>
      </c>
      <c r="KC95" s="242">
        <f>JZ83-$IZ$108/2</f>
        <v>0.85</v>
      </c>
      <c r="KD95" s="266">
        <f>KD84</f>
        <v>0.72500000000000009</v>
      </c>
      <c r="KE95" s="310"/>
      <c r="KF95" s="310"/>
      <c r="KG95" s="310"/>
      <c r="KH95" s="310"/>
      <c r="KI95" s="310"/>
      <c r="KJ95" s="310"/>
      <c r="KK95" s="310"/>
      <c r="KL95" s="310"/>
      <c r="KM95" s="310"/>
      <c r="KN95" s="310"/>
      <c r="KO95" s="310"/>
      <c r="KP95" s="310"/>
      <c r="KQ95" s="310"/>
      <c r="KR95" s="310"/>
      <c r="KS95" s="310"/>
      <c r="KT95" s="310"/>
      <c r="KU95" s="310"/>
      <c r="KV95" s="310"/>
      <c r="KW95" s="310"/>
      <c r="KX95" s="310"/>
      <c r="KY95" s="310"/>
      <c r="KZ95" s="310"/>
      <c r="LA95" s="310"/>
      <c r="LB95" s="310"/>
      <c r="LC95" s="310"/>
      <c r="LD95" s="310"/>
      <c r="LE95" s="310"/>
      <c r="LF95" s="310"/>
      <c r="LG95" s="310"/>
      <c r="LH95" s="310"/>
      <c r="LI95" s="310"/>
      <c r="LJ95" s="310"/>
      <c r="LK95" s="310"/>
      <c r="LL95" s="310"/>
      <c r="LM95" s="310"/>
      <c r="LN95" s="310"/>
      <c r="LO95" s="310"/>
      <c r="LP95" s="310"/>
      <c r="LQ95" s="310"/>
      <c r="LR95" s="310"/>
      <c r="LS95" s="310"/>
      <c r="LT95" s="310"/>
      <c r="LU95" s="310"/>
      <c r="LV95" s="310"/>
      <c r="LW95" s="310"/>
      <c r="LX95" s="310"/>
      <c r="LY95" s="310"/>
      <c r="LZ95" s="310"/>
      <c r="MA95" s="310"/>
      <c r="MB95" s="310"/>
      <c r="MC95" s="310"/>
      <c r="MD95" s="310"/>
      <c r="ME95" s="310"/>
      <c r="MF95" s="310"/>
      <c r="MG95" s="310"/>
      <c r="MH95" s="310"/>
      <c r="MI95" s="310"/>
      <c r="MJ95" s="310"/>
      <c r="MK95" s="310"/>
      <c r="ML95" s="310"/>
      <c r="MM95" s="310"/>
      <c r="MN95" s="310"/>
      <c r="MO95" s="310"/>
      <c r="MP95" s="310"/>
      <c r="MQ95" s="310"/>
      <c r="MR95" s="310"/>
      <c r="MS95" s="310"/>
      <c r="MT95" s="310"/>
      <c r="MU95" s="310"/>
      <c r="MV95" s="310"/>
      <c r="MW95" s="310"/>
      <c r="MX95" s="310"/>
      <c r="MY95" s="310"/>
      <c r="MZ95" s="310"/>
      <c r="NA95" s="310"/>
      <c r="NB95" s="310"/>
      <c r="NC95" s="310"/>
      <c r="ND95" s="310"/>
      <c r="NE95" s="310"/>
      <c r="NF95" s="310"/>
      <c r="NG95" s="310"/>
      <c r="NH95" s="310"/>
      <c r="NI95" s="310"/>
      <c r="NJ95" s="310"/>
      <c r="NK95" s="310"/>
      <c r="NL95" s="310"/>
      <c r="NM95" s="310"/>
      <c r="NN95" s="310"/>
      <c r="NO95" s="310"/>
      <c r="NP95" s="310"/>
      <c r="NQ95" s="310"/>
      <c r="NR95" s="310"/>
      <c r="NS95" s="310"/>
      <c r="NT95" s="310"/>
      <c r="NU95" s="310"/>
      <c r="NV95" s="310"/>
      <c r="NW95" s="310"/>
      <c r="NX95" s="310"/>
      <c r="NY95" s="310"/>
      <c r="NZ95" s="310"/>
      <c r="OA95" s="310"/>
      <c r="OB95" s="310"/>
      <c r="OC95" s="310"/>
      <c r="OD95" s="310"/>
      <c r="OE95" s="310"/>
      <c r="OF95" s="310"/>
      <c r="OG95" s="310"/>
      <c r="OH95" s="310"/>
      <c r="OI95" s="310"/>
      <c r="OJ95" s="310"/>
      <c r="OK95" s="310"/>
      <c r="OL95" s="310"/>
      <c r="OM95" s="310"/>
      <c r="ON95" s="310"/>
      <c r="OO95" s="310"/>
      <c r="OP95" s="310"/>
      <c r="OQ95" s="310"/>
      <c r="OR95" s="310"/>
      <c r="OS95" s="310"/>
      <c r="OT95" s="310"/>
      <c r="OU95" s="310"/>
      <c r="OV95" s="310"/>
      <c r="OW95" s="310"/>
      <c r="OX95" s="310"/>
      <c r="OY95" s="310"/>
      <c r="OZ95" s="310"/>
      <c r="PA95" s="310"/>
      <c r="PB95" s="310"/>
      <c r="PC95" s="310"/>
      <c r="PD95" s="310"/>
      <c r="PE95" s="310"/>
      <c r="PF95" s="310"/>
      <c r="PG95" s="310"/>
      <c r="PH95" s="310"/>
      <c r="PI95" s="310"/>
      <c r="PJ95" s="310"/>
      <c r="PK95" s="310"/>
      <c r="PL95" s="310"/>
      <c r="PM95" s="310"/>
      <c r="PN95" s="310"/>
      <c r="PO95" s="310"/>
      <c r="PP95" s="310"/>
      <c r="PQ95" s="310"/>
      <c r="PR95" s="310"/>
      <c r="PS95" s="342">
        <v>81</v>
      </c>
      <c r="PT95" s="261" t="e">
        <f t="shared" si="163"/>
        <v>#N/A</v>
      </c>
      <c r="PU95" s="261" t="e">
        <f t="shared" si="164"/>
        <v>#N/A</v>
      </c>
      <c r="PV95" s="310"/>
      <c r="PW95" s="310"/>
      <c r="PX95" s="310"/>
      <c r="PY95" s="310"/>
      <c r="PZ95" s="310"/>
      <c r="QA95" s="310"/>
      <c r="QB95" s="310"/>
      <c r="QC95" s="310"/>
      <c r="QD95" s="310"/>
      <c r="QE95" s="310"/>
      <c r="QF95" s="310"/>
      <c r="QG95" s="310"/>
      <c r="QH95" s="310"/>
      <c r="QI95" s="310"/>
      <c r="QJ95" s="310"/>
      <c r="QK95" s="310"/>
      <c r="QL95" s="310"/>
      <c r="QM95" s="310"/>
      <c r="QN95" s="310"/>
      <c r="QO95" s="310"/>
      <c r="QP95" s="310"/>
      <c r="QQ95" s="310"/>
      <c r="QR95" s="310"/>
      <c r="QS95" s="310"/>
      <c r="QT95" s="310"/>
      <c r="QU95" s="310"/>
      <c r="QV95" s="310"/>
      <c r="QW95" s="310"/>
      <c r="QX95" s="310"/>
      <c r="QY95" s="310"/>
      <c r="QZ95" s="310"/>
      <c r="RA95" s="310"/>
      <c r="RB95" s="310"/>
      <c r="RC95" s="310"/>
      <c r="RD95" s="310"/>
      <c r="RE95" s="310"/>
      <c r="RF95" s="310"/>
      <c r="RG95" s="310"/>
      <c r="RH95" s="310"/>
      <c r="RI95" s="310"/>
      <c r="RJ95" s="310"/>
      <c r="RK95" s="310"/>
      <c r="RL95" s="310"/>
      <c r="RM95" s="310"/>
      <c r="RN95" s="310"/>
      <c r="RO95" s="310"/>
      <c r="RP95" s="310"/>
      <c r="RQ95" s="310"/>
      <c r="RR95" s="310"/>
      <c r="RS95" s="310"/>
      <c r="RT95" s="310"/>
      <c r="RU95" s="310"/>
      <c r="RV95" s="310"/>
      <c r="RW95" s="310"/>
      <c r="RX95" s="310"/>
      <c r="RY95" s="310"/>
      <c r="RZ95" s="310"/>
      <c r="SA95" s="310"/>
      <c r="SB95" s="310"/>
      <c r="SC95" s="310"/>
      <c r="SD95" s="310"/>
      <c r="SE95" s="310"/>
      <c r="SF95" s="310"/>
      <c r="SG95" s="310"/>
      <c r="SH95" s="310"/>
      <c r="SI95" s="310"/>
      <c r="SJ95" s="310"/>
      <c r="SK95" s="310"/>
      <c r="SL95" s="310"/>
      <c r="SM95" s="310"/>
      <c r="SN95" s="310"/>
      <c r="SO95" s="220"/>
      <c r="SP95" s="220"/>
      <c r="SQ95" s="220"/>
      <c r="SR95" s="220"/>
      <c r="SS95" s="220"/>
      <c r="ST95" s="220"/>
      <c r="SU95" s="220"/>
      <c r="SV95" s="220"/>
      <c r="SW95" s="220"/>
      <c r="SX95" s="220"/>
      <c r="SY95" s="220"/>
      <c r="SZ95" s="220"/>
      <c r="TA95" s="220"/>
      <c r="TB95" s="220"/>
      <c r="TC95" s="220"/>
      <c r="TD95" s="220"/>
      <c r="TE95" s="220"/>
      <c r="TF95" s="220"/>
      <c r="TG95" s="220"/>
      <c r="TH95" s="220"/>
      <c r="TI95" s="220"/>
      <c r="TJ95" s="220"/>
      <c r="TK95" s="220"/>
      <c r="TL95" s="220"/>
      <c r="TM95" s="220"/>
      <c r="TN95" s="220"/>
      <c r="TO95" s="220"/>
      <c r="TP95" s="220"/>
      <c r="TQ95" s="220"/>
      <c r="TR95" s="220"/>
      <c r="TS95" s="220"/>
      <c r="TT95" s="220"/>
      <c r="TU95" s="220"/>
      <c r="TV95" s="220"/>
      <c r="TW95" s="220"/>
      <c r="TX95" s="220"/>
      <c r="TY95" s="220"/>
      <c r="TZ95" s="220"/>
      <c r="UA95" s="220"/>
      <c r="UB95" s="220"/>
      <c r="UC95" s="220"/>
      <c r="UD95" s="220"/>
      <c r="UE95" s="220"/>
      <c r="UF95" s="220"/>
      <c r="UG95" s="220"/>
      <c r="UH95" s="220"/>
      <c r="UI95" s="220"/>
      <c r="UJ95" s="220"/>
      <c r="UK95" s="216"/>
      <c r="UL95" s="216"/>
      <c r="UM95" s="216"/>
      <c r="UN95" s="216"/>
      <c r="UO95" s="216"/>
      <c r="UP95" s="216"/>
      <c r="UQ95" s="216"/>
      <c r="UR95" s="216"/>
      <c r="US95" s="216"/>
      <c r="UT95" s="216"/>
      <c r="UU95" s="216"/>
      <c r="UV95" s="216"/>
      <c r="UW95" s="216"/>
      <c r="UX95" s="216"/>
      <c r="UY95" s="216"/>
      <c r="UZ95" s="216"/>
      <c r="VA95" s="216"/>
    </row>
    <row r="96" spans="1:573" s="4" customFormat="1" x14ac:dyDescent="0.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5"/>
      <c r="AM96" s="45"/>
      <c r="AN96" s="45"/>
      <c r="AO96" s="45"/>
      <c r="AP96" s="310"/>
      <c r="AQ96" s="310"/>
      <c r="AR96" s="310"/>
      <c r="AS96" s="310"/>
      <c r="AT96" s="310"/>
      <c r="AU96" s="310"/>
      <c r="AV96" s="310"/>
      <c r="AW96" s="310"/>
      <c r="AX96" s="310"/>
      <c r="AY96" s="310"/>
      <c r="AZ96" s="310"/>
      <c r="BA96" s="310"/>
      <c r="BB96" s="310"/>
      <c r="BC96" s="310"/>
      <c r="BD96" s="310"/>
      <c r="BE96" s="310"/>
      <c r="BF96" s="310"/>
      <c r="BG96" s="310"/>
      <c r="BH96" s="310"/>
      <c r="BI96" s="310"/>
      <c r="BJ96" s="310"/>
      <c r="BK96" s="310"/>
      <c r="BL96" s="310"/>
      <c r="BM96" s="310"/>
      <c r="BN96" s="310"/>
      <c r="BO96" s="310"/>
      <c r="BP96" s="310"/>
      <c r="BQ96" s="310"/>
      <c r="BR96" s="310"/>
      <c r="BS96" s="310"/>
      <c r="BT96" s="310"/>
      <c r="BU96" s="310"/>
      <c r="BV96" s="310"/>
      <c r="BW96" s="310"/>
      <c r="BX96" s="310"/>
      <c r="BY96" s="310"/>
      <c r="BZ96" s="310"/>
      <c r="CA96" s="310"/>
      <c r="CB96" s="310"/>
      <c r="CC96" s="310"/>
      <c r="CD96" s="230" t="e">
        <v>#N/A</v>
      </c>
      <c r="CE96" s="230" t="e">
        <v>#N/A</v>
      </c>
      <c r="CF96" s="310"/>
      <c r="CG96" s="310"/>
      <c r="CH96" s="310"/>
      <c r="CI96" s="310"/>
      <c r="CJ96" s="310"/>
      <c r="CK96" s="310"/>
      <c r="CL96" s="310"/>
      <c r="CM96" s="310"/>
      <c r="CN96" s="310"/>
      <c r="CO96" s="310"/>
      <c r="CP96" s="310"/>
      <c r="CQ96" s="310"/>
      <c r="CR96" s="310"/>
      <c r="CS96" s="310"/>
      <c r="CT96" s="310"/>
      <c r="CU96" s="310"/>
      <c r="CV96" s="310"/>
      <c r="CW96" s="310"/>
      <c r="CX96" s="310"/>
      <c r="CY96" s="310"/>
      <c r="CZ96" s="310"/>
      <c r="DA96" s="310"/>
      <c r="DB96" s="310"/>
      <c r="DC96" s="310"/>
      <c r="DD96" s="310"/>
      <c r="DE96" s="310"/>
      <c r="DF96" s="310"/>
      <c r="DG96" s="310"/>
      <c r="DH96" s="310"/>
      <c r="DI96" s="310"/>
      <c r="DJ96" s="310"/>
      <c r="DK96" s="310"/>
      <c r="DL96" s="310"/>
      <c r="DM96" s="310"/>
      <c r="DN96" s="310"/>
      <c r="DO96" s="310"/>
      <c r="DP96" s="310"/>
      <c r="DQ96" s="310"/>
      <c r="DR96" s="310"/>
      <c r="DS96" s="310"/>
      <c r="DT96" s="310"/>
      <c r="DU96" s="230">
        <f>DR79</f>
        <v>0.95</v>
      </c>
      <c r="DV96" s="230">
        <f>DV95</f>
        <v>1.2</v>
      </c>
      <c r="DW96" s="300" t="e">
        <v>#N/A</v>
      </c>
      <c r="DX96" s="300" t="e">
        <v>#N/A</v>
      </c>
      <c r="DY96" s="310"/>
      <c r="DZ96" s="310"/>
      <c r="EA96" s="310"/>
      <c r="EB96" s="310"/>
      <c r="EC96" s="310"/>
      <c r="ED96" s="310"/>
      <c r="EE96" s="310"/>
      <c r="EF96" s="310"/>
      <c r="EG96" s="310"/>
      <c r="EH96" s="310"/>
      <c r="EI96" s="338">
        <v>25</v>
      </c>
      <c r="EJ96" s="338" t="b">
        <f t="shared" si="127"/>
        <v>0</v>
      </c>
      <c r="EK96" s="281" t="e">
        <f t="shared" si="128"/>
        <v>#N/A</v>
      </c>
      <c r="EL96" s="281" t="e">
        <f t="shared" si="129"/>
        <v>#N/A</v>
      </c>
      <c r="EM96" s="310"/>
      <c r="EN96" s="310"/>
      <c r="EO96" s="310"/>
      <c r="EP96" s="310"/>
      <c r="EQ96" s="310"/>
      <c r="ER96" s="310"/>
      <c r="ES96" s="310"/>
      <c r="ET96" s="310"/>
      <c r="EU96" s="310"/>
      <c r="EV96" s="310"/>
      <c r="EW96" s="310"/>
      <c r="EX96" s="310"/>
      <c r="EY96" s="310"/>
      <c r="EZ96" s="310"/>
      <c r="FA96" s="310"/>
      <c r="FB96" s="310"/>
      <c r="FC96" s="310"/>
      <c r="FD96" s="310"/>
      <c r="FE96" s="310"/>
      <c r="FF96" s="310"/>
      <c r="FG96" s="310"/>
      <c r="FH96" s="310"/>
      <c r="FI96" s="310"/>
      <c r="FJ96" s="310"/>
      <c r="FK96" s="310"/>
      <c r="FL96" s="310"/>
      <c r="FM96" s="310"/>
      <c r="FN96" s="310"/>
      <c r="FO96" s="310"/>
      <c r="FP96" s="310"/>
      <c r="FQ96" s="310"/>
      <c r="FR96" s="310"/>
      <c r="FS96" s="310"/>
      <c r="FT96" s="310"/>
      <c r="FU96" s="310"/>
      <c r="FV96" s="310"/>
      <c r="FW96" s="310"/>
      <c r="FX96" s="310"/>
      <c r="FY96" s="310"/>
      <c r="FZ96" s="310"/>
      <c r="GA96" s="310"/>
      <c r="GB96" s="310"/>
      <c r="GC96" s="310"/>
      <c r="GD96" s="310"/>
      <c r="GE96" s="310"/>
      <c r="GF96" s="310"/>
      <c r="GG96" s="310"/>
      <c r="GH96" s="310"/>
      <c r="GI96" s="310"/>
      <c r="GJ96" s="310"/>
      <c r="GK96" s="310"/>
      <c r="GL96" s="310"/>
      <c r="GM96" s="310"/>
      <c r="GN96" s="310"/>
      <c r="GO96" s="310"/>
      <c r="GP96" s="310"/>
      <c r="GQ96" s="310"/>
      <c r="GR96" s="310"/>
      <c r="GS96" s="310"/>
      <c r="GT96" s="310"/>
      <c r="GU96" s="310"/>
      <c r="GV96" s="310"/>
      <c r="GW96" s="310"/>
      <c r="GX96" s="310"/>
      <c r="GY96" s="310"/>
      <c r="GZ96" s="310"/>
      <c r="HA96" s="310"/>
      <c r="HB96" s="310"/>
      <c r="HC96" s="310"/>
      <c r="HD96" s="310"/>
      <c r="HE96" s="310"/>
      <c r="HF96" s="310"/>
      <c r="HG96" s="310"/>
      <c r="HH96" s="310"/>
      <c r="HI96" s="310"/>
      <c r="HJ96" s="310"/>
      <c r="HK96" s="342">
        <v>82</v>
      </c>
      <c r="HL96" s="235" t="e">
        <f t="shared" si="139"/>
        <v>#N/A</v>
      </c>
      <c r="HM96" s="235" t="e">
        <f t="shared" si="140"/>
        <v>#N/A</v>
      </c>
      <c r="HN96" s="310"/>
      <c r="HO96" s="310"/>
      <c r="HP96" s="235" t="e">
        <f t="shared" si="141"/>
        <v>#N/A</v>
      </c>
      <c r="HQ96" s="235" t="e">
        <f t="shared" si="142"/>
        <v>#N/A</v>
      </c>
      <c r="HR96" s="310"/>
      <c r="HS96" s="310"/>
      <c r="HT96" s="235" t="e">
        <f t="shared" si="143"/>
        <v>#N/A</v>
      </c>
      <c r="HU96" s="235" t="e">
        <f t="shared" si="144"/>
        <v>#N/A</v>
      </c>
      <c r="HV96" s="310"/>
      <c r="HW96" s="310"/>
      <c r="HX96" s="235" t="e">
        <f t="shared" si="145"/>
        <v>#N/A</v>
      </c>
      <c r="HY96" s="235" t="e">
        <f t="shared" si="146"/>
        <v>#N/A</v>
      </c>
      <c r="HZ96" s="310"/>
      <c r="IA96" s="310"/>
      <c r="IB96" s="235" t="e">
        <f t="shared" si="147"/>
        <v>#N/A</v>
      </c>
      <c r="IC96" s="235" t="e">
        <f t="shared" si="148"/>
        <v>#N/A</v>
      </c>
      <c r="ID96" s="310"/>
      <c r="IE96" s="342">
        <v>82</v>
      </c>
      <c r="IF96" s="262" t="e">
        <f t="shared" si="149"/>
        <v>#N/A</v>
      </c>
      <c r="IG96" s="262" t="e">
        <f t="shared" si="150"/>
        <v>#N/A</v>
      </c>
      <c r="IH96" s="390"/>
      <c r="II96" s="390"/>
      <c r="IJ96" s="262" t="e">
        <f t="shared" si="151"/>
        <v>#N/A</v>
      </c>
      <c r="IK96" s="262" t="e">
        <f t="shared" si="152"/>
        <v>#N/A</v>
      </c>
      <c r="IL96" s="390"/>
      <c r="IM96" s="390"/>
      <c r="IN96" s="262" t="e">
        <f t="shared" si="153"/>
        <v>#N/A</v>
      </c>
      <c r="IO96" s="262" t="e">
        <f t="shared" si="154"/>
        <v>#N/A</v>
      </c>
      <c r="IP96" s="390"/>
      <c r="IQ96" s="390"/>
      <c r="IR96" s="262" t="e">
        <f t="shared" si="155"/>
        <v>#N/A</v>
      </c>
      <c r="IS96" s="262" t="e">
        <f t="shared" si="156"/>
        <v>#N/A</v>
      </c>
      <c r="IT96" s="390"/>
      <c r="IU96" s="390"/>
      <c r="IV96" s="262" t="e">
        <f t="shared" si="157"/>
        <v>#N/A</v>
      </c>
      <c r="IW96" s="262" t="e">
        <f t="shared" si="158"/>
        <v>#N/A</v>
      </c>
      <c r="IX96" s="310"/>
      <c r="IY96" s="342" t="s">
        <v>355</v>
      </c>
      <c r="IZ96" s="342" t="s">
        <v>48</v>
      </c>
      <c r="JA96" s="342" t="s">
        <v>49</v>
      </c>
      <c r="JB96" s="313" t="s">
        <v>144</v>
      </c>
      <c r="JC96" s="228" t="e">
        <f>IZ97+$IZ$62/2</f>
        <v>#N/A</v>
      </c>
      <c r="JD96" s="228" t="e">
        <f>JD95</f>
        <v>#N/A</v>
      </c>
      <c r="JE96" s="310"/>
      <c r="JF96" s="342" t="s">
        <v>355</v>
      </c>
      <c r="JG96" s="342" t="s">
        <v>48</v>
      </c>
      <c r="JH96" s="342" t="s">
        <v>49</v>
      </c>
      <c r="JI96" s="313" t="s">
        <v>144</v>
      </c>
      <c r="JJ96" s="242" t="e">
        <f>JG97+$IZ$62/2</f>
        <v>#N/A</v>
      </c>
      <c r="JK96" s="242" t="e">
        <f>JK95</f>
        <v>#N/A</v>
      </c>
      <c r="JL96" s="310"/>
      <c r="JM96" s="310"/>
      <c r="JN96" s="261" t="e">
        <f t="shared" si="159"/>
        <v>#N/A</v>
      </c>
      <c r="JO96" s="261" t="e">
        <f t="shared" si="160"/>
        <v>#N/A</v>
      </c>
      <c r="JP96" s="310"/>
      <c r="JQ96" s="310"/>
      <c r="JR96" s="261" t="e">
        <f t="shared" si="165"/>
        <v>#N/A</v>
      </c>
      <c r="JS96" s="261" t="e">
        <f t="shared" si="166"/>
        <v>#N/A</v>
      </c>
      <c r="JT96" s="310"/>
      <c r="JU96" s="310"/>
      <c r="JV96" s="261" t="e">
        <f t="shared" si="161"/>
        <v>#N/A</v>
      </c>
      <c r="JW96" s="261" t="e">
        <f t="shared" si="162"/>
        <v>#N/A</v>
      </c>
      <c r="JX96" s="310"/>
      <c r="JY96" s="311"/>
      <c r="JZ96" s="311"/>
      <c r="KA96" s="311"/>
      <c r="KB96" s="313" t="s">
        <v>399</v>
      </c>
      <c r="KC96" s="242">
        <f>KC95</f>
        <v>0.85</v>
      </c>
      <c r="KD96" s="242">
        <f>KD83</f>
        <v>0.78500000000000003</v>
      </c>
      <c r="KE96" s="310"/>
      <c r="KF96" s="310"/>
      <c r="KG96" s="310"/>
      <c r="KH96" s="310"/>
      <c r="KI96" s="310"/>
      <c r="KJ96" s="310"/>
      <c r="KK96" s="310"/>
      <c r="KL96" s="310"/>
      <c r="KM96" s="310"/>
      <c r="KN96" s="310"/>
      <c r="KO96" s="310"/>
      <c r="KP96" s="310"/>
      <c r="KQ96" s="310"/>
      <c r="KR96" s="310"/>
      <c r="KS96" s="310"/>
      <c r="KT96" s="310"/>
      <c r="KU96" s="310"/>
      <c r="KV96" s="310"/>
      <c r="KW96" s="310"/>
      <c r="KX96" s="310"/>
      <c r="KY96" s="310"/>
      <c r="KZ96" s="310"/>
      <c r="LA96" s="310"/>
      <c r="LB96" s="310"/>
      <c r="LC96" s="310"/>
      <c r="LD96" s="310"/>
      <c r="LE96" s="310"/>
      <c r="LF96" s="310"/>
      <c r="LG96" s="310"/>
      <c r="LH96" s="310"/>
      <c r="LI96" s="310"/>
      <c r="LJ96" s="310"/>
      <c r="LK96" s="310"/>
      <c r="LL96" s="310"/>
      <c r="LM96" s="310"/>
      <c r="LN96" s="310"/>
      <c r="LO96" s="310"/>
      <c r="LP96" s="310"/>
      <c r="LQ96" s="310"/>
      <c r="LR96" s="310"/>
      <c r="LS96" s="310"/>
      <c r="LT96" s="310"/>
      <c r="LU96" s="310"/>
      <c r="LV96" s="310"/>
      <c r="LW96" s="310"/>
      <c r="LX96" s="310"/>
      <c r="LY96" s="310"/>
      <c r="LZ96" s="310"/>
      <c r="MA96" s="310"/>
      <c r="MB96" s="310"/>
      <c r="MC96" s="310"/>
      <c r="MD96" s="310"/>
      <c r="ME96" s="310"/>
      <c r="MF96" s="310"/>
      <c r="MG96" s="310"/>
      <c r="MH96" s="310"/>
      <c r="MI96" s="310"/>
      <c r="MJ96" s="310"/>
      <c r="MK96" s="310"/>
      <c r="ML96" s="310"/>
      <c r="MM96" s="310"/>
      <c r="MN96" s="310"/>
      <c r="MO96" s="310"/>
      <c r="MP96" s="310"/>
      <c r="MQ96" s="310"/>
      <c r="MR96" s="310"/>
      <c r="MS96" s="310"/>
      <c r="MT96" s="310"/>
      <c r="MU96" s="310"/>
      <c r="MV96" s="310"/>
      <c r="MW96" s="310"/>
      <c r="MX96" s="310"/>
      <c r="MY96" s="310"/>
      <c r="MZ96" s="310"/>
      <c r="NA96" s="310"/>
      <c r="NB96" s="310"/>
      <c r="NC96" s="310"/>
      <c r="ND96" s="310"/>
      <c r="NE96" s="310"/>
      <c r="NF96" s="310"/>
      <c r="NG96" s="310"/>
      <c r="NH96" s="310"/>
      <c r="NI96" s="310"/>
      <c r="NJ96" s="310"/>
      <c r="NK96" s="310"/>
      <c r="NL96" s="310"/>
      <c r="NM96" s="310"/>
      <c r="NN96" s="310"/>
      <c r="NO96" s="310"/>
      <c r="NP96" s="310"/>
      <c r="NQ96" s="310"/>
      <c r="NR96" s="310"/>
      <c r="NS96" s="310"/>
      <c r="NT96" s="310"/>
      <c r="NU96" s="310"/>
      <c r="NV96" s="310"/>
      <c r="NW96" s="310"/>
      <c r="NX96" s="310"/>
      <c r="NY96" s="310"/>
      <c r="NZ96" s="310"/>
      <c r="OA96" s="310"/>
      <c r="OB96" s="310"/>
      <c r="OC96" s="310"/>
      <c r="OD96" s="310"/>
      <c r="OE96" s="310"/>
      <c r="OF96" s="310"/>
      <c r="OG96" s="310"/>
      <c r="OH96" s="310"/>
      <c r="OI96" s="310"/>
      <c r="OJ96" s="310"/>
      <c r="OK96" s="310"/>
      <c r="OL96" s="310"/>
      <c r="OM96" s="310"/>
      <c r="ON96" s="310"/>
      <c r="OO96" s="310"/>
      <c r="OP96" s="310"/>
      <c r="OQ96" s="310"/>
      <c r="OR96" s="310"/>
      <c r="OS96" s="310"/>
      <c r="OT96" s="310"/>
      <c r="OU96" s="310"/>
      <c r="OV96" s="310"/>
      <c r="OW96" s="310"/>
      <c r="OX96" s="310"/>
      <c r="OY96" s="310"/>
      <c r="OZ96" s="310"/>
      <c r="PA96" s="310"/>
      <c r="PB96" s="310"/>
      <c r="PC96" s="310"/>
      <c r="PD96" s="310"/>
      <c r="PE96" s="310"/>
      <c r="PF96" s="310"/>
      <c r="PG96" s="310"/>
      <c r="PH96" s="310"/>
      <c r="PI96" s="310"/>
      <c r="PJ96" s="310"/>
      <c r="PK96" s="310"/>
      <c r="PL96" s="310"/>
      <c r="PM96" s="310"/>
      <c r="PN96" s="310"/>
      <c r="PO96" s="310"/>
      <c r="PP96" s="310"/>
      <c r="PQ96" s="310"/>
      <c r="PR96" s="310"/>
      <c r="PS96" s="342">
        <v>82</v>
      </c>
      <c r="PT96" s="261" t="e">
        <f t="shared" si="163"/>
        <v>#N/A</v>
      </c>
      <c r="PU96" s="261" t="e">
        <f t="shared" si="164"/>
        <v>#N/A</v>
      </c>
      <c r="PV96" s="310"/>
      <c r="PW96" s="310"/>
      <c r="PX96" s="310"/>
      <c r="PY96" s="310"/>
      <c r="PZ96" s="310"/>
      <c r="QA96" s="310"/>
      <c r="QB96" s="310"/>
      <c r="QC96" s="310"/>
      <c r="QD96" s="310"/>
      <c r="QE96" s="310"/>
      <c r="QF96" s="310"/>
      <c r="QG96" s="310"/>
      <c r="QH96" s="310"/>
      <c r="QI96" s="310"/>
      <c r="QJ96" s="310"/>
      <c r="QK96" s="310"/>
      <c r="QL96" s="310"/>
      <c r="QM96" s="310"/>
      <c r="QN96" s="310"/>
      <c r="QO96" s="310"/>
      <c r="QP96" s="310"/>
      <c r="QQ96" s="310"/>
      <c r="QR96" s="310"/>
      <c r="QS96" s="310"/>
      <c r="QT96" s="310"/>
      <c r="QU96" s="310"/>
      <c r="QV96" s="310"/>
      <c r="QW96" s="310"/>
      <c r="QX96" s="310"/>
      <c r="QY96" s="310"/>
      <c r="QZ96" s="310"/>
      <c r="RA96" s="310"/>
      <c r="RB96" s="310"/>
      <c r="RC96" s="310"/>
      <c r="RD96" s="310"/>
      <c r="RE96" s="310"/>
      <c r="RF96" s="310"/>
      <c r="RG96" s="310"/>
      <c r="RH96" s="310"/>
      <c r="RI96" s="310"/>
      <c r="RJ96" s="310"/>
      <c r="RK96" s="310"/>
      <c r="RL96" s="310"/>
      <c r="RM96" s="310"/>
      <c r="RN96" s="310"/>
      <c r="RO96" s="310"/>
      <c r="RP96" s="310"/>
      <c r="RQ96" s="310"/>
      <c r="RR96" s="310"/>
      <c r="RS96" s="310"/>
      <c r="RT96" s="310"/>
      <c r="RU96" s="310"/>
      <c r="RV96" s="310"/>
      <c r="RW96" s="310"/>
      <c r="RX96" s="310"/>
      <c r="RY96" s="310"/>
      <c r="RZ96" s="310"/>
      <c r="SA96" s="310"/>
      <c r="SB96" s="310"/>
      <c r="SC96" s="310"/>
      <c r="SD96" s="310"/>
      <c r="SE96" s="310"/>
      <c r="SF96" s="310"/>
      <c r="SG96" s="310"/>
      <c r="SH96" s="310"/>
      <c r="SI96" s="310"/>
      <c r="SJ96" s="310"/>
      <c r="SK96" s="310"/>
      <c r="SL96" s="310"/>
      <c r="SM96" s="310"/>
      <c r="SN96" s="310"/>
      <c r="SO96" s="220"/>
      <c r="SP96" s="220"/>
      <c r="SQ96" s="220"/>
      <c r="SR96" s="220"/>
      <c r="SS96" s="220"/>
      <c r="ST96" s="220"/>
      <c r="SU96" s="220"/>
      <c r="SV96" s="220"/>
      <c r="SW96" s="220"/>
      <c r="SX96" s="220"/>
      <c r="SY96" s="220"/>
      <c r="SZ96" s="220"/>
      <c r="TA96" s="220"/>
      <c r="TB96" s="220"/>
      <c r="TC96" s="220"/>
      <c r="TD96" s="220"/>
      <c r="TE96" s="220"/>
      <c r="TF96" s="220"/>
      <c r="TG96" s="220"/>
      <c r="TH96" s="220"/>
      <c r="TI96" s="220"/>
      <c r="TJ96" s="220"/>
      <c r="TK96" s="220"/>
      <c r="TL96" s="220"/>
      <c r="TM96" s="220"/>
      <c r="TN96" s="220"/>
      <c r="TO96" s="220"/>
      <c r="TP96" s="220"/>
      <c r="TQ96" s="220"/>
      <c r="TR96" s="220"/>
      <c r="TS96" s="220"/>
      <c r="TT96" s="220"/>
      <c r="TU96" s="220"/>
      <c r="TV96" s="220"/>
      <c r="TW96" s="220"/>
      <c r="TX96" s="220"/>
      <c r="TY96" s="220"/>
      <c r="TZ96" s="220"/>
      <c r="UA96" s="220"/>
      <c r="UB96" s="220"/>
      <c r="UC96" s="220"/>
      <c r="UD96" s="220"/>
      <c r="UE96" s="220"/>
      <c r="UF96" s="220"/>
      <c r="UG96" s="220"/>
      <c r="UH96" s="220"/>
      <c r="UI96" s="220"/>
      <c r="UJ96" s="220"/>
      <c r="UK96" s="216"/>
      <c r="UL96" s="216"/>
      <c r="UM96" s="216"/>
      <c r="UN96" s="216"/>
      <c r="UO96" s="216"/>
      <c r="UP96" s="216"/>
      <c r="UQ96" s="216"/>
      <c r="UR96" s="216"/>
      <c r="US96" s="216"/>
      <c r="UT96" s="216"/>
      <c r="UU96" s="216"/>
      <c r="UV96" s="216"/>
      <c r="UW96" s="216"/>
      <c r="UX96" s="216"/>
      <c r="UY96" s="216"/>
      <c r="UZ96" s="216"/>
      <c r="VA96" s="216"/>
    </row>
    <row r="97" spans="1:573" s="4" customFormat="1" x14ac:dyDescent="0.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5"/>
      <c r="AM97" s="45"/>
      <c r="AN97" s="45"/>
      <c r="AO97" s="45"/>
      <c r="AP97" s="310"/>
      <c r="AQ97" s="310"/>
      <c r="AR97" s="310"/>
      <c r="AS97" s="310"/>
      <c r="AT97" s="310"/>
      <c r="AU97" s="310"/>
      <c r="AV97" s="310"/>
      <c r="AW97" s="310"/>
      <c r="AX97" s="310"/>
      <c r="AY97" s="310"/>
      <c r="AZ97" s="310"/>
      <c r="BA97" s="310"/>
      <c r="BB97" s="338" t="str">
        <f>IF(BK6=1,"F1",IF(BK6=2,IF(AY15=TRUE,"F2x","F2y"),IF(BK6=3,"F3",IF(BK6=4,"F4","F5"))))</f>
        <v>F5</v>
      </c>
      <c r="BC97" s="328" t="s">
        <v>13</v>
      </c>
      <c r="BD97" s="328" t="s">
        <v>234</v>
      </c>
      <c r="BE97" s="328" t="s">
        <v>235</v>
      </c>
      <c r="BF97" s="328" t="s">
        <v>24</v>
      </c>
      <c r="BG97" s="328" t="s">
        <v>29</v>
      </c>
      <c r="BH97" s="328" t="s">
        <v>34</v>
      </c>
      <c r="BI97" s="328" t="s">
        <v>238</v>
      </c>
      <c r="BJ97" s="310" t="b">
        <v>1</v>
      </c>
      <c r="BK97" s="310" t="b">
        <v>0</v>
      </c>
      <c r="BL97" s="310"/>
      <c r="BM97" s="310"/>
      <c r="BN97" s="310"/>
      <c r="BO97" s="310"/>
      <c r="BP97" s="310"/>
      <c r="BQ97" s="310"/>
      <c r="BR97" s="310"/>
      <c r="BS97" s="310"/>
      <c r="BT97" s="310"/>
      <c r="BU97" s="310"/>
      <c r="BV97" s="310"/>
      <c r="BW97" s="310"/>
      <c r="BX97" s="310"/>
      <c r="BY97" s="310"/>
      <c r="BZ97" s="310"/>
      <c r="CA97" s="310"/>
      <c r="CB97" s="310"/>
      <c r="CC97" s="310"/>
      <c r="CD97" s="310" t="e">
        <v>#N/A</v>
      </c>
      <c r="CE97" s="230" t="e">
        <v>#N/A</v>
      </c>
      <c r="CF97" s="310"/>
      <c r="CG97" s="310"/>
      <c r="CH97" s="310"/>
      <c r="CI97" s="310"/>
      <c r="CJ97" s="310"/>
      <c r="CK97" s="310"/>
      <c r="CL97" s="310"/>
      <c r="CM97" s="310"/>
      <c r="CN97" s="310"/>
      <c r="CO97" s="310"/>
      <c r="CP97" s="310"/>
      <c r="CQ97" s="310"/>
      <c r="CR97" s="310"/>
      <c r="CS97" s="310"/>
      <c r="CT97" s="310"/>
      <c r="CU97" s="310"/>
      <c r="CV97" s="310"/>
      <c r="CW97" s="310"/>
      <c r="CX97" s="310"/>
      <c r="CY97" s="310"/>
      <c r="CZ97" s="310"/>
      <c r="DA97" s="310"/>
      <c r="DB97" s="310"/>
      <c r="DC97" s="310"/>
      <c r="DD97" s="310"/>
      <c r="DE97" s="310"/>
      <c r="DF97" s="310"/>
      <c r="DG97" s="310"/>
      <c r="DH97" s="310"/>
      <c r="DI97" s="310"/>
      <c r="DJ97" s="310"/>
      <c r="DK97" s="310"/>
      <c r="DL97" s="310"/>
      <c r="DM97" s="310"/>
      <c r="DN97" s="310"/>
      <c r="DO97" s="310"/>
      <c r="DP97" s="310"/>
      <c r="DQ97" s="310"/>
      <c r="DR97" s="310"/>
      <c r="DS97" s="310"/>
      <c r="DT97" s="310"/>
      <c r="DU97" s="230" t="e">
        <v>#N/A</v>
      </c>
      <c r="DV97" s="230" t="e">
        <v>#N/A</v>
      </c>
      <c r="DW97" s="300" t="e">
        <v>#N/A</v>
      </c>
      <c r="DX97" s="300" t="e">
        <v>#N/A</v>
      </c>
      <c r="DY97" s="310"/>
      <c r="DZ97" s="310"/>
      <c r="EA97" s="310"/>
      <c r="EB97" s="310"/>
      <c r="EC97" s="310"/>
      <c r="ED97" s="310"/>
      <c r="EE97" s="310"/>
      <c r="EF97" s="310"/>
      <c r="EG97" s="310"/>
      <c r="EH97" s="310"/>
      <c r="EI97" s="338">
        <v>26</v>
      </c>
      <c r="EJ97" s="338" t="b">
        <f t="shared" si="127"/>
        <v>0</v>
      </c>
      <c r="EK97" s="281" t="e">
        <f t="shared" si="128"/>
        <v>#N/A</v>
      </c>
      <c r="EL97" s="281" t="e">
        <f t="shared" si="129"/>
        <v>#N/A</v>
      </c>
      <c r="EM97" s="310"/>
      <c r="EN97" s="310"/>
      <c r="EO97" s="310"/>
      <c r="EP97" s="310"/>
      <c r="EQ97" s="310"/>
      <c r="ER97" s="310"/>
      <c r="ES97" s="310"/>
      <c r="ET97" s="310"/>
      <c r="EU97" s="310"/>
      <c r="EV97" s="310"/>
      <c r="EW97" s="310"/>
      <c r="EX97" s="310"/>
      <c r="EY97" s="310"/>
      <c r="EZ97" s="310"/>
      <c r="FA97" s="310"/>
      <c r="FB97" s="310"/>
      <c r="FC97" s="310"/>
      <c r="FD97" s="310"/>
      <c r="FE97" s="310"/>
      <c r="FF97" s="310"/>
      <c r="FG97" s="310"/>
      <c r="FH97" s="310"/>
      <c r="FI97" s="310"/>
      <c r="FJ97" s="310"/>
      <c r="FK97" s="310"/>
      <c r="FL97" s="310"/>
      <c r="FM97" s="310"/>
      <c r="FN97" s="310"/>
      <c r="FO97" s="310"/>
      <c r="FP97" s="310"/>
      <c r="FQ97" s="310"/>
      <c r="FR97" s="310"/>
      <c r="FS97" s="310"/>
      <c r="FT97" s="310"/>
      <c r="FU97" s="310"/>
      <c r="FV97" s="310"/>
      <c r="FW97" s="310"/>
      <c r="FX97" s="310"/>
      <c r="FY97" s="310"/>
      <c r="FZ97" s="310"/>
      <c r="GA97" s="310"/>
      <c r="GB97" s="310"/>
      <c r="GC97" s="310"/>
      <c r="GD97" s="310"/>
      <c r="GE97" s="310"/>
      <c r="GF97" s="310"/>
      <c r="GG97" s="310"/>
      <c r="GH97" s="310"/>
      <c r="GI97" s="310"/>
      <c r="GJ97" s="310"/>
      <c r="GK97" s="310"/>
      <c r="GL97" s="310"/>
      <c r="GM97" s="310"/>
      <c r="GN97" s="310"/>
      <c r="GO97" s="310"/>
      <c r="GP97" s="310"/>
      <c r="GQ97" s="310"/>
      <c r="GR97" s="310"/>
      <c r="GS97" s="310"/>
      <c r="GT97" s="310"/>
      <c r="GU97" s="310"/>
      <c r="GV97" s="310"/>
      <c r="GW97" s="310"/>
      <c r="GX97" s="310"/>
      <c r="GY97" s="310"/>
      <c r="GZ97" s="310"/>
      <c r="HA97" s="310"/>
      <c r="HB97" s="310"/>
      <c r="HC97" s="310"/>
      <c r="HD97" s="310"/>
      <c r="HE97" s="310"/>
      <c r="HF97" s="310"/>
      <c r="HG97" s="310"/>
      <c r="HH97" s="310"/>
      <c r="HI97" s="310"/>
      <c r="HJ97" s="310"/>
      <c r="HK97" s="342">
        <v>83</v>
      </c>
      <c r="HL97" s="235" t="e">
        <f t="shared" si="139"/>
        <v>#N/A</v>
      </c>
      <c r="HM97" s="235" t="e">
        <f t="shared" si="140"/>
        <v>#N/A</v>
      </c>
      <c r="HN97" s="310"/>
      <c r="HO97" s="310"/>
      <c r="HP97" s="235" t="e">
        <f t="shared" si="141"/>
        <v>#N/A</v>
      </c>
      <c r="HQ97" s="235" t="e">
        <f t="shared" si="142"/>
        <v>#N/A</v>
      </c>
      <c r="HR97" s="310"/>
      <c r="HS97" s="310"/>
      <c r="HT97" s="235" t="e">
        <f t="shared" si="143"/>
        <v>#N/A</v>
      </c>
      <c r="HU97" s="235" t="e">
        <f t="shared" si="144"/>
        <v>#N/A</v>
      </c>
      <c r="HV97" s="310"/>
      <c r="HW97" s="310"/>
      <c r="HX97" s="235" t="e">
        <f t="shared" si="145"/>
        <v>#N/A</v>
      </c>
      <c r="HY97" s="235" t="e">
        <f t="shared" si="146"/>
        <v>#N/A</v>
      </c>
      <c r="HZ97" s="310"/>
      <c r="IA97" s="310"/>
      <c r="IB97" s="235" t="e">
        <f t="shared" si="147"/>
        <v>#N/A</v>
      </c>
      <c r="IC97" s="235" t="e">
        <f t="shared" si="148"/>
        <v>#N/A</v>
      </c>
      <c r="ID97" s="310"/>
      <c r="IE97" s="342">
        <v>83</v>
      </c>
      <c r="IF97" s="262" t="e">
        <f t="shared" si="149"/>
        <v>#N/A</v>
      </c>
      <c r="IG97" s="262" t="e">
        <f t="shared" si="150"/>
        <v>#N/A</v>
      </c>
      <c r="IH97" s="390"/>
      <c r="II97" s="390"/>
      <c r="IJ97" s="262" t="e">
        <f t="shared" si="151"/>
        <v>#N/A</v>
      </c>
      <c r="IK97" s="262" t="e">
        <f t="shared" si="152"/>
        <v>#N/A</v>
      </c>
      <c r="IL97" s="390"/>
      <c r="IM97" s="390"/>
      <c r="IN97" s="262" t="e">
        <f t="shared" si="153"/>
        <v>#N/A</v>
      </c>
      <c r="IO97" s="262" t="e">
        <f t="shared" si="154"/>
        <v>#N/A</v>
      </c>
      <c r="IP97" s="390"/>
      <c r="IQ97" s="390"/>
      <c r="IR97" s="262" t="e">
        <f t="shared" si="155"/>
        <v>#N/A</v>
      </c>
      <c r="IS97" s="262" t="e">
        <f t="shared" si="156"/>
        <v>#N/A</v>
      </c>
      <c r="IT97" s="390"/>
      <c r="IU97" s="390"/>
      <c r="IV97" s="262" t="e">
        <f t="shared" si="157"/>
        <v>#N/A</v>
      </c>
      <c r="IW97" s="262" t="e">
        <f t="shared" si="158"/>
        <v>#N/A</v>
      </c>
      <c r="IX97" s="310"/>
      <c r="IY97" s="313" t="s">
        <v>72</v>
      </c>
      <c r="IZ97" s="362" t="e">
        <f>IF(JA95=TRUE,$M$23,#N/A)</f>
        <v>#N/A</v>
      </c>
      <c r="JA97" s="362" t="e">
        <f>IF(JA95=TRUE,$J$23,#N/A)</f>
        <v>#N/A</v>
      </c>
      <c r="JB97" s="313" t="s">
        <v>149</v>
      </c>
      <c r="JC97" s="234" t="e">
        <f>IZ97+$IZ$62</f>
        <v>#N/A</v>
      </c>
      <c r="JD97" s="234" t="e">
        <f>JA97</f>
        <v>#N/A</v>
      </c>
      <c r="JE97" s="310"/>
      <c r="JF97" s="313" t="s">
        <v>72</v>
      </c>
      <c r="JG97" s="362" t="e">
        <f>IF(JH95=TRUE,$J$30,#N/A)</f>
        <v>#N/A</v>
      </c>
      <c r="JH97" s="363" t="e">
        <f>IF(JH95=TRUE,$H$30,#N/A)</f>
        <v>#N/A</v>
      </c>
      <c r="JI97" s="313" t="s">
        <v>149</v>
      </c>
      <c r="JJ97" s="265" t="e">
        <f>JG97+$IZ$62</f>
        <v>#N/A</v>
      </c>
      <c r="JK97" s="265" t="e">
        <f>JH97</f>
        <v>#N/A</v>
      </c>
      <c r="JL97" s="310"/>
      <c r="JM97" s="310"/>
      <c r="JN97" s="261" t="e">
        <f t="shared" si="159"/>
        <v>#N/A</v>
      </c>
      <c r="JO97" s="261" t="e">
        <f t="shared" si="160"/>
        <v>#N/A</v>
      </c>
      <c r="JP97" s="310"/>
      <c r="JQ97" s="310"/>
      <c r="JR97" s="261" t="e">
        <f t="shared" si="165"/>
        <v>#N/A</v>
      </c>
      <c r="JS97" s="261" t="e">
        <f t="shared" si="166"/>
        <v>#N/A</v>
      </c>
      <c r="JT97" s="310"/>
      <c r="JU97" s="310"/>
      <c r="JV97" s="261" t="e">
        <f t="shared" si="161"/>
        <v>#N/A</v>
      </c>
      <c r="JW97" s="261" t="e">
        <f t="shared" si="162"/>
        <v>#N/A</v>
      </c>
      <c r="JX97" s="310"/>
      <c r="JY97" s="311"/>
      <c r="JZ97" s="311"/>
      <c r="KA97" s="311"/>
      <c r="KB97" s="313" t="s">
        <v>400</v>
      </c>
      <c r="KC97" s="242">
        <f>KC81</f>
        <v>0.86499999999999999</v>
      </c>
      <c r="KD97" s="242">
        <f>KD81</f>
        <v>0.8</v>
      </c>
      <c r="KE97" s="310"/>
      <c r="KF97" s="310"/>
      <c r="KG97" s="310"/>
      <c r="KH97" s="310"/>
      <c r="KI97" s="310"/>
      <c r="KJ97" s="310"/>
      <c r="KK97" s="310"/>
      <c r="KL97" s="310"/>
      <c r="KM97" s="310"/>
      <c r="KN97" s="310"/>
      <c r="KO97" s="310"/>
      <c r="KP97" s="310"/>
      <c r="KQ97" s="310"/>
      <c r="KR97" s="310"/>
      <c r="KS97" s="310"/>
      <c r="KT97" s="310"/>
      <c r="KU97" s="310"/>
      <c r="KV97" s="310"/>
      <c r="KW97" s="310"/>
      <c r="KX97" s="310"/>
      <c r="KY97" s="310"/>
      <c r="KZ97" s="310"/>
      <c r="LA97" s="310"/>
      <c r="LB97" s="310"/>
      <c r="LC97" s="310"/>
      <c r="LD97" s="310"/>
      <c r="LE97" s="310"/>
      <c r="LF97" s="310"/>
      <c r="LG97" s="310"/>
      <c r="LH97" s="310"/>
      <c r="LI97" s="310"/>
      <c r="LJ97" s="310"/>
      <c r="LK97" s="310"/>
      <c r="LL97" s="310"/>
      <c r="LM97" s="310"/>
      <c r="LN97" s="310"/>
      <c r="LO97" s="310"/>
      <c r="LP97" s="310"/>
      <c r="LQ97" s="310"/>
      <c r="LR97" s="310"/>
      <c r="LS97" s="310"/>
      <c r="LT97" s="310"/>
      <c r="LU97" s="310"/>
      <c r="LV97" s="310"/>
      <c r="LW97" s="310"/>
      <c r="LX97" s="310"/>
      <c r="LY97" s="310"/>
      <c r="LZ97" s="310"/>
      <c r="MA97" s="310"/>
      <c r="MB97" s="310"/>
      <c r="MC97" s="310"/>
      <c r="MD97" s="310"/>
      <c r="ME97" s="310"/>
      <c r="MF97" s="310"/>
      <c r="MG97" s="310"/>
      <c r="MH97" s="310"/>
      <c r="MI97" s="310"/>
      <c r="MJ97" s="310"/>
      <c r="MK97" s="310"/>
      <c r="ML97" s="310"/>
      <c r="MM97" s="310"/>
      <c r="MN97" s="310"/>
      <c r="MO97" s="310"/>
      <c r="MP97" s="310"/>
      <c r="MQ97" s="310"/>
      <c r="MR97" s="310"/>
      <c r="MS97" s="310"/>
      <c r="MT97" s="310"/>
      <c r="MU97" s="310"/>
      <c r="MV97" s="310"/>
      <c r="MW97" s="310"/>
      <c r="MX97" s="310"/>
      <c r="MY97" s="310"/>
      <c r="MZ97" s="310"/>
      <c r="NA97" s="310"/>
      <c r="NB97" s="310"/>
      <c r="NC97" s="310"/>
      <c r="ND97" s="310"/>
      <c r="NE97" s="310"/>
      <c r="NF97" s="310"/>
      <c r="NG97" s="310"/>
      <c r="NH97" s="310"/>
      <c r="NI97" s="310"/>
      <c r="NJ97" s="310"/>
      <c r="NK97" s="310"/>
      <c r="NL97" s="310"/>
      <c r="NM97" s="310"/>
      <c r="NN97" s="310"/>
      <c r="NO97" s="310"/>
      <c r="NP97" s="310"/>
      <c r="NQ97" s="310"/>
      <c r="NR97" s="310"/>
      <c r="NS97" s="310"/>
      <c r="NT97" s="310"/>
      <c r="NU97" s="310"/>
      <c r="NV97" s="310"/>
      <c r="NW97" s="310"/>
      <c r="NX97" s="310"/>
      <c r="NY97" s="310"/>
      <c r="NZ97" s="310"/>
      <c r="OA97" s="310"/>
      <c r="OB97" s="310"/>
      <c r="OC97" s="310"/>
      <c r="OD97" s="310"/>
      <c r="OE97" s="310"/>
      <c r="OF97" s="310"/>
      <c r="OG97" s="310"/>
      <c r="OH97" s="310"/>
      <c r="OI97" s="310"/>
      <c r="OJ97" s="310"/>
      <c r="OK97" s="310"/>
      <c r="OL97" s="310"/>
      <c r="OM97" s="310"/>
      <c r="ON97" s="310"/>
      <c r="OO97" s="310"/>
      <c r="OP97" s="310"/>
      <c r="OQ97" s="310"/>
      <c r="OR97" s="310"/>
      <c r="OS97" s="310"/>
      <c r="OT97" s="310"/>
      <c r="OU97" s="310"/>
      <c r="OV97" s="310"/>
      <c r="OW97" s="310"/>
      <c r="OX97" s="310"/>
      <c r="OY97" s="310"/>
      <c r="OZ97" s="310"/>
      <c r="PA97" s="310"/>
      <c r="PB97" s="310"/>
      <c r="PC97" s="310"/>
      <c r="PD97" s="310"/>
      <c r="PE97" s="310"/>
      <c r="PF97" s="310"/>
      <c r="PG97" s="310"/>
      <c r="PH97" s="310"/>
      <c r="PI97" s="310"/>
      <c r="PJ97" s="310"/>
      <c r="PK97" s="310"/>
      <c r="PL97" s="310"/>
      <c r="PM97" s="310"/>
      <c r="PN97" s="310"/>
      <c r="PO97" s="310"/>
      <c r="PP97" s="310"/>
      <c r="PQ97" s="310"/>
      <c r="PR97" s="310"/>
      <c r="PS97" s="342">
        <v>83</v>
      </c>
      <c r="PT97" s="261" t="e">
        <f t="shared" si="163"/>
        <v>#N/A</v>
      </c>
      <c r="PU97" s="261" t="e">
        <f t="shared" si="164"/>
        <v>#N/A</v>
      </c>
      <c r="PV97" s="310"/>
      <c r="PW97" s="310"/>
      <c r="PX97" s="310"/>
      <c r="PY97" s="310"/>
      <c r="PZ97" s="310"/>
      <c r="QA97" s="310"/>
      <c r="QB97" s="310"/>
      <c r="QC97" s="310"/>
      <c r="QD97" s="310"/>
      <c r="QE97" s="310"/>
      <c r="QF97" s="310"/>
      <c r="QG97" s="310"/>
      <c r="QH97" s="310"/>
      <c r="QI97" s="310"/>
      <c r="QJ97" s="310"/>
      <c r="QK97" s="310"/>
      <c r="QL97" s="310"/>
      <c r="QM97" s="310"/>
      <c r="QN97" s="310"/>
      <c r="QO97" s="310"/>
      <c r="QP97" s="310"/>
      <c r="QQ97" s="310"/>
      <c r="QR97" s="310"/>
      <c r="QS97" s="310"/>
      <c r="QT97" s="310"/>
      <c r="QU97" s="310"/>
      <c r="QV97" s="310"/>
      <c r="QW97" s="310"/>
      <c r="QX97" s="310"/>
      <c r="QY97" s="310"/>
      <c r="QZ97" s="310"/>
      <c r="RA97" s="310"/>
      <c r="RB97" s="310"/>
      <c r="RC97" s="310"/>
      <c r="RD97" s="310"/>
      <c r="RE97" s="310"/>
      <c r="RF97" s="310"/>
      <c r="RG97" s="310"/>
      <c r="RH97" s="310"/>
      <c r="RI97" s="310"/>
      <c r="RJ97" s="310"/>
      <c r="RK97" s="310"/>
      <c r="RL97" s="310"/>
      <c r="RM97" s="310"/>
      <c r="RN97" s="310"/>
      <c r="RO97" s="310"/>
      <c r="RP97" s="310"/>
      <c r="RQ97" s="310"/>
      <c r="RR97" s="310"/>
      <c r="RS97" s="310"/>
      <c r="RT97" s="310"/>
      <c r="RU97" s="310"/>
      <c r="RV97" s="310"/>
      <c r="RW97" s="310"/>
      <c r="RX97" s="310"/>
      <c r="RY97" s="310"/>
      <c r="RZ97" s="310"/>
      <c r="SA97" s="310"/>
      <c r="SB97" s="310"/>
      <c r="SC97" s="310"/>
      <c r="SD97" s="310"/>
      <c r="SE97" s="310"/>
      <c r="SF97" s="310"/>
      <c r="SG97" s="310"/>
      <c r="SH97" s="310"/>
      <c r="SI97" s="310"/>
      <c r="SJ97" s="310"/>
      <c r="SK97" s="310"/>
      <c r="SL97" s="310"/>
      <c r="SM97" s="310"/>
      <c r="SN97" s="310"/>
      <c r="SO97" s="220"/>
      <c r="SP97" s="220"/>
      <c r="SQ97" s="220"/>
      <c r="SR97" s="220"/>
      <c r="SS97" s="220"/>
      <c r="ST97" s="220"/>
      <c r="SU97" s="220"/>
      <c r="SV97" s="220"/>
      <c r="SW97" s="220"/>
      <c r="SX97" s="220"/>
      <c r="SY97" s="220"/>
      <c r="SZ97" s="220"/>
      <c r="TA97" s="220"/>
      <c r="TB97" s="220"/>
      <c r="TC97" s="220"/>
      <c r="TD97" s="220"/>
      <c r="TE97" s="220"/>
      <c r="TF97" s="220"/>
      <c r="TG97" s="220"/>
      <c r="TH97" s="220"/>
      <c r="TI97" s="220"/>
      <c r="TJ97" s="220"/>
      <c r="TK97" s="220"/>
      <c r="TL97" s="220"/>
      <c r="TM97" s="220"/>
      <c r="TN97" s="220"/>
      <c r="TO97" s="220"/>
      <c r="TP97" s="220"/>
      <c r="TQ97" s="220"/>
      <c r="TR97" s="220"/>
      <c r="TS97" s="220"/>
      <c r="TT97" s="220"/>
      <c r="TU97" s="220"/>
      <c r="TV97" s="220"/>
      <c r="TW97" s="220"/>
      <c r="TX97" s="220"/>
      <c r="TY97" s="220"/>
      <c r="TZ97" s="220"/>
      <c r="UA97" s="220"/>
      <c r="UB97" s="220"/>
      <c r="UC97" s="220"/>
      <c r="UD97" s="220"/>
      <c r="UE97" s="220"/>
      <c r="UF97" s="220"/>
      <c r="UG97" s="220"/>
      <c r="UH97" s="220"/>
      <c r="UI97" s="220"/>
      <c r="UJ97" s="220"/>
      <c r="UK97" s="216"/>
      <c r="UL97" s="216"/>
      <c r="UM97" s="216"/>
      <c r="UN97" s="216"/>
      <c r="UO97" s="216"/>
      <c r="UP97" s="216"/>
      <c r="UQ97" s="216"/>
      <c r="UR97" s="216"/>
      <c r="US97" s="216"/>
      <c r="UT97" s="216"/>
      <c r="UU97" s="216"/>
      <c r="UV97" s="216"/>
      <c r="UW97" s="216"/>
      <c r="UX97" s="216"/>
      <c r="UY97" s="216"/>
      <c r="UZ97" s="216"/>
      <c r="VA97" s="216"/>
    </row>
    <row r="98" spans="1:573" s="4" customFormat="1" x14ac:dyDescent="0.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5"/>
      <c r="AM98" s="45"/>
      <c r="AN98" s="45"/>
      <c r="AO98" s="45"/>
      <c r="AP98" s="310"/>
      <c r="AQ98" s="310"/>
      <c r="AR98" s="310"/>
      <c r="AS98" s="310"/>
      <c r="AT98" s="310"/>
      <c r="AU98" s="310"/>
      <c r="AV98" s="310"/>
      <c r="AW98" s="310"/>
      <c r="AX98" s="310"/>
      <c r="AY98" s="310"/>
      <c r="AZ98" s="310"/>
      <c r="BA98" s="310"/>
      <c r="BB98" s="328" t="s">
        <v>266</v>
      </c>
      <c r="BC98" s="338"/>
      <c r="BD98" s="338" t="e">
        <f>ROUNDUP(CW50,3)</f>
        <v>#N/A</v>
      </c>
      <c r="BE98" s="338" t="e">
        <f>CQ49</f>
        <v>#N/A</v>
      </c>
      <c r="BF98" s="338"/>
      <c r="BG98" s="336">
        <f>EL15</f>
        <v>0.3</v>
      </c>
      <c r="BH98" s="338"/>
      <c r="BI98" s="338" cm="1">
        <f t="array" ref="BI98:BI101">CHOOSE(
MATCH(BB60,{"F1","F2x","F2y","F3","F4","F5"},0),
BC98:BC101,
BD98:BD101,
BE98:BE101,
BF98:BF101,
BG98:BG101,
BH98:BH101
)</f>
        <v>0</v>
      </c>
      <c r="BJ98" s="310" t="b">
        <f>IF(BI98&gt;=$BT$7,TRUE,FALSE)</f>
        <v>0</v>
      </c>
      <c r="BK98" s="310" t="b">
        <f>IF(BJ98=$BK$97,TRUE,FALSE)</f>
        <v>1</v>
      </c>
      <c r="BL98" s="310"/>
      <c r="BM98" s="310"/>
      <c r="BN98" s="310"/>
      <c r="BO98" s="310"/>
      <c r="BP98" s="310"/>
      <c r="BQ98" s="310"/>
      <c r="BR98" s="310"/>
      <c r="BS98" s="310"/>
      <c r="BT98" s="310"/>
      <c r="BU98" s="310"/>
      <c r="BV98" s="310"/>
      <c r="BW98" s="310"/>
      <c r="BX98" s="310"/>
      <c r="BY98" s="310"/>
      <c r="BZ98" s="310"/>
      <c r="CA98" s="310"/>
      <c r="CB98" s="310"/>
      <c r="CC98" s="310"/>
      <c r="CD98" s="310" t="e">
        <v>#N/A</v>
      </c>
      <c r="CE98" s="230" t="e">
        <v>#N/A</v>
      </c>
      <c r="CF98" s="310"/>
      <c r="CG98" s="310"/>
      <c r="CH98" s="310"/>
      <c r="CI98" s="310"/>
      <c r="CJ98" s="310"/>
      <c r="CK98" s="310"/>
      <c r="CL98" s="310"/>
      <c r="CM98" s="310"/>
      <c r="CN98" s="310"/>
      <c r="CO98" s="310"/>
      <c r="CP98" s="310"/>
      <c r="CQ98" s="310"/>
      <c r="CR98" s="310"/>
      <c r="CS98" s="310"/>
      <c r="CT98" s="310"/>
      <c r="CU98" s="310"/>
      <c r="CV98" s="310"/>
      <c r="CW98" s="310"/>
      <c r="CX98" s="310"/>
      <c r="CY98" s="310"/>
      <c r="CZ98" s="310"/>
      <c r="DA98" s="310"/>
      <c r="DB98" s="310"/>
      <c r="DC98" s="310"/>
      <c r="DD98" s="310"/>
      <c r="DE98" s="310"/>
      <c r="DF98" s="310"/>
      <c r="DG98" s="310"/>
      <c r="DH98" s="310"/>
      <c r="DI98" s="310"/>
      <c r="DJ98" s="310"/>
      <c r="DK98" s="310"/>
      <c r="DL98" s="310"/>
      <c r="DM98" s="310"/>
      <c r="DN98" s="310"/>
      <c r="DO98" s="310"/>
      <c r="DP98" s="310"/>
      <c r="DQ98" s="310"/>
      <c r="DR98" s="310"/>
      <c r="DS98" s="310"/>
      <c r="DT98" s="310"/>
      <c r="DU98" s="230">
        <f>DU82+DS76/2</f>
        <v>1.2</v>
      </c>
      <c r="DV98" s="230">
        <f>DV82</f>
        <v>0.95</v>
      </c>
      <c r="DW98" s="300" t="e">
        <v>#N/A</v>
      </c>
      <c r="DX98" s="300" t="e">
        <v>#N/A</v>
      </c>
      <c r="DY98" s="310"/>
      <c r="DZ98" s="310"/>
      <c r="EA98" s="310"/>
      <c r="EB98" s="310"/>
      <c r="EC98" s="310"/>
      <c r="ED98" s="310"/>
      <c r="EE98" s="310"/>
      <c r="EF98" s="310"/>
      <c r="EG98" s="310"/>
      <c r="EH98" s="310"/>
      <c r="EI98" s="338">
        <v>27</v>
      </c>
      <c r="EJ98" s="338" t="b">
        <f t="shared" si="127"/>
        <v>0</v>
      </c>
      <c r="EK98" s="281" t="e">
        <f t="shared" si="128"/>
        <v>#N/A</v>
      </c>
      <c r="EL98" s="281" t="e">
        <f t="shared" si="129"/>
        <v>#N/A</v>
      </c>
      <c r="EM98" s="310"/>
      <c r="EN98" s="310" t="s">
        <v>192</v>
      </c>
      <c r="EO98" s="310"/>
      <c r="EP98" s="310"/>
      <c r="EQ98" s="310"/>
      <c r="ER98" s="310"/>
      <c r="ES98" s="310"/>
      <c r="ET98" s="310"/>
      <c r="EU98" s="310"/>
      <c r="EV98" s="310"/>
      <c r="EW98" s="310"/>
      <c r="EX98" s="310"/>
      <c r="EY98" s="310"/>
      <c r="EZ98" s="310"/>
      <c r="FA98" s="310"/>
      <c r="FB98" s="310"/>
      <c r="FC98" s="310"/>
      <c r="FD98" s="310"/>
      <c r="FE98" s="310"/>
      <c r="FF98" s="310"/>
      <c r="FG98" s="310"/>
      <c r="FH98" s="310"/>
      <c r="FI98" s="310"/>
      <c r="FJ98" s="310"/>
      <c r="FK98" s="310"/>
      <c r="FL98" s="310"/>
      <c r="FM98" s="310"/>
      <c r="FN98" s="310"/>
      <c r="FO98" s="310"/>
      <c r="FP98" s="310"/>
      <c r="FQ98" s="310"/>
      <c r="FR98" s="310"/>
      <c r="FS98" s="310"/>
      <c r="FT98" s="310"/>
      <c r="FU98" s="310"/>
      <c r="FV98" s="310"/>
      <c r="FW98" s="310"/>
      <c r="FX98" s="310"/>
      <c r="FY98" s="310"/>
      <c r="FZ98" s="310"/>
      <c r="GA98" s="310"/>
      <c r="GB98" s="310"/>
      <c r="GC98" s="310"/>
      <c r="GD98" s="310"/>
      <c r="GE98" s="310"/>
      <c r="GF98" s="310"/>
      <c r="GG98" s="310"/>
      <c r="GH98" s="310"/>
      <c r="GI98" s="310"/>
      <c r="GJ98" s="310"/>
      <c r="GK98" s="310"/>
      <c r="GL98" s="310"/>
      <c r="GM98" s="310"/>
      <c r="GN98" s="310"/>
      <c r="GO98" s="310"/>
      <c r="GP98" s="310"/>
      <c r="GQ98" s="310"/>
      <c r="GR98" s="310"/>
      <c r="GS98" s="310"/>
      <c r="GT98" s="310"/>
      <c r="GU98" s="310"/>
      <c r="GV98" s="310"/>
      <c r="GW98" s="310"/>
      <c r="GX98" s="310"/>
      <c r="GY98" s="310"/>
      <c r="GZ98" s="310"/>
      <c r="HA98" s="310"/>
      <c r="HB98" s="310"/>
      <c r="HC98" s="310"/>
      <c r="HD98" s="310"/>
      <c r="HE98" s="310"/>
      <c r="HF98" s="310"/>
      <c r="HG98" s="310"/>
      <c r="HH98" s="310"/>
      <c r="HI98" s="310"/>
      <c r="HJ98" s="310"/>
      <c r="HK98" s="342">
        <v>84</v>
      </c>
      <c r="HL98" s="235" t="e">
        <f t="shared" si="139"/>
        <v>#N/A</v>
      </c>
      <c r="HM98" s="235" t="e">
        <f t="shared" si="140"/>
        <v>#N/A</v>
      </c>
      <c r="HN98" s="310"/>
      <c r="HO98" s="310"/>
      <c r="HP98" s="235" t="e">
        <f t="shared" si="141"/>
        <v>#N/A</v>
      </c>
      <c r="HQ98" s="235" t="e">
        <f t="shared" si="142"/>
        <v>#N/A</v>
      </c>
      <c r="HR98" s="310"/>
      <c r="HS98" s="310"/>
      <c r="HT98" s="235" t="e">
        <f t="shared" si="143"/>
        <v>#N/A</v>
      </c>
      <c r="HU98" s="235" t="e">
        <f t="shared" si="144"/>
        <v>#N/A</v>
      </c>
      <c r="HV98" s="310"/>
      <c r="HW98" s="310"/>
      <c r="HX98" s="235" t="e">
        <f t="shared" si="145"/>
        <v>#N/A</v>
      </c>
      <c r="HY98" s="235" t="e">
        <f t="shared" si="146"/>
        <v>#N/A</v>
      </c>
      <c r="HZ98" s="310"/>
      <c r="IA98" s="310"/>
      <c r="IB98" s="235" t="e">
        <f t="shared" si="147"/>
        <v>#N/A</v>
      </c>
      <c r="IC98" s="235" t="e">
        <f t="shared" si="148"/>
        <v>#N/A</v>
      </c>
      <c r="ID98" s="310"/>
      <c r="IE98" s="342">
        <v>84</v>
      </c>
      <c r="IF98" s="262" t="e">
        <f t="shared" si="149"/>
        <v>#N/A</v>
      </c>
      <c r="IG98" s="262" t="e">
        <f t="shared" si="150"/>
        <v>#N/A</v>
      </c>
      <c r="IH98" s="390"/>
      <c r="II98" s="390"/>
      <c r="IJ98" s="262" t="e">
        <f t="shared" si="151"/>
        <v>#N/A</v>
      </c>
      <c r="IK98" s="262" t="e">
        <f t="shared" si="152"/>
        <v>#N/A</v>
      </c>
      <c r="IL98" s="390"/>
      <c r="IM98" s="390"/>
      <c r="IN98" s="262" t="e">
        <f t="shared" si="153"/>
        <v>#N/A</v>
      </c>
      <c r="IO98" s="262" t="e">
        <f t="shared" si="154"/>
        <v>#N/A</v>
      </c>
      <c r="IP98" s="390"/>
      <c r="IQ98" s="390"/>
      <c r="IR98" s="262" t="e">
        <f t="shared" si="155"/>
        <v>#N/A</v>
      </c>
      <c r="IS98" s="262" t="e">
        <f t="shared" si="156"/>
        <v>#N/A</v>
      </c>
      <c r="IT98" s="390"/>
      <c r="IU98" s="390"/>
      <c r="IV98" s="262" t="e">
        <f t="shared" si="157"/>
        <v>#N/A</v>
      </c>
      <c r="IW98" s="262" t="e">
        <f t="shared" si="158"/>
        <v>#N/A</v>
      </c>
      <c r="IX98" s="310"/>
      <c r="IY98" s="310"/>
      <c r="IZ98" s="310"/>
      <c r="JA98" s="310"/>
      <c r="JB98" s="313" t="s">
        <v>152</v>
      </c>
      <c r="JC98" s="228" t="e">
        <f>JC96</f>
        <v>#N/A</v>
      </c>
      <c r="JD98" s="228" t="e">
        <f>JA97-$IZ$61/2</f>
        <v>#N/A</v>
      </c>
      <c r="JE98" s="310"/>
      <c r="JF98" s="310"/>
      <c r="JG98" s="310"/>
      <c r="JH98" s="310"/>
      <c r="JI98" s="313" t="s">
        <v>152</v>
      </c>
      <c r="JJ98" s="242" t="e">
        <f>JJ96</f>
        <v>#N/A</v>
      </c>
      <c r="JK98" s="242" t="e">
        <f>JH97-$IZ$61/2</f>
        <v>#N/A</v>
      </c>
      <c r="JL98" s="310"/>
      <c r="JM98" s="310"/>
      <c r="JN98" s="261" t="e">
        <f t="shared" si="159"/>
        <v>#N/A</v>
      </c>
      <c r="JO98" s="261" t="e">
        <f t="shared" si="160"/>
        <v>#N/A</v>
      </c>
      <c r="JP98" s="310"/>
      <c r="JQ98" s="310"/>
      <c r="JR98" s="261" t="e">
        <f t="shared" si="165"/>
        <v>#N/A</v>
      </c>
      <c r="JS98" s="261" t="e">
        <f t="shared" si="166"/>
        <v>#N/A</v>
      </c>
      <c r="JT98" s="310"/>
      <c r="JU98" s="310"/>
      <c r="JV98" s="261" t="e">
        <f t="shared" si="161"/>
        <v>#N/A</v>
      </c>
      <c r="JW98" s="261" t="e">
        <f t="shared" si="162"/>
        <v>#N/A</v>
      </c>
      <c r="JX98" s="310"/>
      <c r="JY98" s="311"/>
      <c r="JZ98" s="311"/>
      <c r="KA98" s="311"/>
      <c r="KB98" s="311"/>
      <c r="KC98" s="264" t="e">
        <v>#N/A</v>
      </c>
      <c r="KD98" s="264" t="e">
        <v>#N/A</v>
      </c>
      <c r="KE98" s="310"/>
      <c r="KF98" s="310"/>
      <c r="KG98" s="310"/>
      <c r="KH98" s="310"/>
      <c r="KI98" s="310"/>
      <c r="KJ98" s="310"/>
      <c r="KK98" s="310"/>
      <c r="KL98" s="310"/>
      <c r="KM98" s="310"/>
      <c r="KN98" s="310"/>
      <c r="KO98" s="310"/>
      <c r="KP98" s="310"/>
      <c r="KQ98" s="310"/>
      <c r="KR98" s="310"/>
      <c r="KS98" s="310"/>
      <c r="KT98" s="310"/>
      <c r="KU98" s="310"/>
      <c r="KV98" s="310"/>
      <c r="KW98" s="310"/>
      <c r="KX98" s="310"/>
      <c r="KY98" s="310"/>
      <c r="KZ98" s="310"/>
      <c r="LA98" s="310"/>
      <c r="LB98" s="310"/>
      <c r="LC98" s="310"/>
      <c r="LD98" s="310"/>
      <c r="LE98" s="310"/>
      <c r="LF98" s="310"/>
      <c r="LG98" s="310"/>
      <c r="LH98" s="310"/>
      <c r="LI98" s="310"/>
      <c r="LJ98" s="310"/>
      <c r="LK98" s="310"/>
      <c r="LL98" s="310"/>
      <c r="LM98" s="310"/>
      <c r="LN98" s="310"/>
      <c r="LO98" s="310"/>
      <c r="LP98" s="310"/>
      <c r="LQ98" s="310"/>
      <c r="LR98" s="310"/>
      <c r="LS98" s="310"/>
      <c r="LT98" s="310"/>
      <c r="LU98" s="310"/>
      <c r="LV98" s="310"/>
      <c r="LW98" s="310"/>
      <c r="LX98" s="310"/>
      <c r="LY98" s="310"/>
      <c r="LZ98" s="310"/>
      <c r="MA98" s="310"/>
      <c r="MB98" s="310"/>
      <c r="MC98" s="310"/>
      <c r="MD98" s="310"/>
      <c r="ME98" s="310"/>
      <c r="MF98" s="310"/>
      <c r="MG98" s="310"/>
      <c r="MH98" s="310"/>
      <c r="MI98" s="310"/>
      <c r="MJ98" s="310"/>
      <c r="MK98" s="310"/>
      <c r="ML98" s="310"/>
      <c r="MM98" s="310"/>
      <c r="MN98" s="310"/>
      <c r="MO98" s="310"/>
      <c r="MP98" s="310"/>
      <c r="MQ98" s="310"/>
      <c r="MR98" s="310"/>
      <c r="MS98" s="310"/>
      <c r="MT98" s="310"/>
      <c r="MU98" s="310"/>
      <c r="MV98" s="310"/>
      <c r="MW98" s="310"/>
      <c r="MX98" s="310"/>
      <c r="MY98" s="310"/>
      <c r="MZ98" s="310"/>
      <c r="NA98" s="310"/>
      <c r="NB98" s="310"/>
      <c r="NC98" s="310"/>
      <c r="ND98" s="310"/>
      <c r="NE98" s="310"/>
      <c r="NF98" s="310"/>
      <c r="NG98" s="310"/>
      <c r="NH98" s="310"/>
      <c r="NI98" s="310"/>
      <c r="NJ98" s="310"/>
      <c r="NK98" s="310"/>
      <c r="NL98" s="310"/>
      <c r="NM98" s="310"/>
      <c r="NN98" s="310"/>
      <c r="NO98" s="310"/>
      <c r="NP98" s="310"/>
      <c r="NQ98" s="310"/>
      <c r="NR98" s="310"/>
      <c r="NS98" s="310"/>
      <c r="NT98" s="310"/>
      <c r="NU98" s="310"/>
      <c r="NV98" s="310"/>
      <c r="NW98" s="310"/>
      <c r="NX98" s="310"/>
      <c r="NY98" s="310"/>
      <c r="NZ98" s="310"/>
      <c r="OA98" s="310"/>
      <c r="OB98" s="310"/>
      <c r="OC98" s="310"/>
      <c r="OD98" s="310"/>
      <c r="OE98" s="310"/>
      <c r="OF98" s="310"/>
      <c r="OG98" s="310"/>
      <c r="OH98" s="310"/>
      <c r="OI98" s="310"/>
      <c r="OJ98" s="310"/>
      <c r="OK98" s="310"/>
      <c r="OL98" s="310"/>
      <c r="OM98" s="310"/>
      <c r="ON98" s="310"/>
      <c r="OO98" s="310"/>
      <c r="OP98" s="310"/>
      <c r="OQ98" s="310"/>
      <c r="OR98" s="310"/>
      <c r="OS98" s="310"/>
      <c r="OT98" s="310"/>
      <c r="OU98" s="310"/>
      <c r="OV98" s="310"/>
      <c r="OW98" s="310"/>
      <c r="OX98" s="310"/>
      <c r="OY98" s="310"/>
      <c r="OZ98" s="310"/>
      <c r="PA98" s="310"/>
      <c r="PB98" s="310"/>
      <c r="PC98" s="310"/>
      <c r="PD98" s="310"/>
      <c r="PE98" s="310"/>
      <c r="PF98" s="310"/>
      <c r="PG98" s="310"/>
      <c r="PH98" s="310"/>
      <c r="PI98" s="310"/>
      <c r="PJ98" s="310"/>
      <c r="PK98" s="310"/>
      <c r="PL98" s="310"/>
      <c r="PM98" s="310"/>
      <c r="PN98" s="310"/>
      <c r="PO98" s="310"/>
      <c r="PP98" s="310"/>
      <c r="PQ98" s="310"/>
      <c r="PR98" s="310"/>
      <c r="PS98" s="342">
        <v>84</v>
      </c>
      <c r="PT98" s="261" t="e">
        <f t="shared" si="163"/>
        <v>#N/A</v>
      </c>
      <c r="PU98" s="261" t="e">
        <f t="shared" si="164"/>
        <v>#N/A</v>
      </c>
      <c r="PV98" s="310"/>
      <c r="PW98" s="310"/>
      <c r="PX98" s="310"/>
      <c r="PY98" s="310"/>
      <c r="PZ98" s="310"/>
      <c r="QA98" s="310"/>
      <c r="QB98" s="310"/>
      <c r="QC98" s="310"/>
      <c r="QD98" s="310"/>
      <c r="QE98" s="310"/>
      <c r="QF98" s="310"/>
      <c r="QG98" s="310"/>
      <c r="QH98" s="310"/>
      <c r="QI98" s="310"/>
      <c r="QJ98" s="310"/>
      <c r="QK98" s="310"/>
      <c r="QL98" s="310"/>
      <c r="QM98" s="310"/>
      <c r="QN98" s="310"/>
      <c r="QO98" s="310"/>
      <c r="QP98" s="310"/>
      <c r="QQ98" s="310"/>
      <c r="QR98" s="310"/>
      <c r="QS98" s="310"/>
      <c r="QT98" s="310"/>
      <c r="QU98" s="310"/>
      <c r="QV98" s="310"/>
      <c r="QW98" s="310"/>
      <c r="QX98" s="310"/>
      <c r="QY98" s="310"/>
      <c r="QZ98" s="310"/>
      <c r="RA98" s="310"/>
      <c r="RB98" s="310"/>
      <c r="RC98" s="310"/>
      <c r="RD98" s="310"/>
      <c r="RE98" s="310"/>
      <c r="RF98" s="310"/>
      <c r="RG98" s="310"/>
      <c r="RH98" s="310"/>
      <c r="RI98" s="310"/>
      <c r="RJ98" s="310"/>
      <c r="RK98" s="310"/>
      <c r="RL98" s="310"/>
      <c r="RM98" s="310"/>
      <c r="RN98" s="310"/>
      <c r="RO98" s="310"/>
      <c r="RP98" s="310"/>
      <c r="RQ98" s="310"/>
      <c r="RR98" s="310"/>
      <c r="RS98" s="310"/>
      <c r="RT98" s="310"/>
      <c r="RU98" s="310"/>
      <c r="RV98" s="310"/>
      <c r="RW98" s="310"/>
      <c r="RX98" s="310"/>
      <c r="RY98" s="310"/>
      <c r="RZ98" s="310"/>
      <c r="SA98" s="310"/>
      <c r="SB98" s="310"/>
      <c r="SC98" s="310"/>
      <c r="SD98" s="310"/>
      <c r="SE98" s="310"/>
      <c r="SF98" s="310"/>
      <c r="SG98" s="310"/>
      <c r="SH98" s="310"/>
      <c r="SI98" s="310"/>
      <c r="SJ98" s="310"/>
      <c r="SK98" s="310"/>
      <c r="SL98" s="310"/>
      <c r="SM98" s="310"/>
      <c r="SN98" s="310"/>
      <c r="SO98" s="220"/>
      <c r="SP98" s="220"/>
      <c r="SQ98" s="220"/>
      <c r="SR98" s="220"/>
      <c r="SS98" s="220"/>
      <c r="ST98" s="220"/>
      <c r="SU98" s="220"/>
      <c r="SV98" s="220"/>
      <c r="SW98" s="220"/>
      <c r="SX98" s="220"/>
      <c r="SY98" s="220"/>
      <c r="SZ98" s="220"/>
      <c r="TA98" s="220"/>
      <c r="TB98" s="220"/>
      <c r="TC98" s="220"/>
      <c r="TD98" s="220"/>
      <c r="TE98" s="220"/>
      <c r="TF98" s="220"/>
      <c r="TG98" s="220"/>
      <c r="TH98" s="220"/>
      <c r="TI98" s="220"/>
      <c r="TJ98" s="220"/>
      <c r="TK98" s="220"/>
      <c r="TL98" s="220"/>
      <c r="TM98" s="220"/>
      <c r="TN98" s="220"/>
      <c r="TO98" s="220"/>
      <c r="TP98" s="220"/>
      <c r="TQ98" s="220"/>
      <c r="TR98" s="220"/>
      <c r="TS98" s="220"/>
      <c r="TT98" s="220"/>
      <c r="TU98" s="220"/>
      <c r="TV98" s="220"/>
      <c r="TW98" s="220"/>
      <c r="TX98" s="220"/>
      <c r="TY98" s="220"/>
      <c r="TZ98" s="220"/>
      <c r="UA98" s="220"/>
      <c r="UB98" s="220"/>
      <c r="UC98" s="220"/>
      <c r="UD98" s="220"/>
      <c r="UE98" s="220"/>
      <c r="UF98" s="220"/>
      <c r="UG98" s="220"/>
      <c r="UH98" s="220"/>
      <c r="UI98" s="220"/>
      <c r="UJ98" s="220"/>
      <c r="UK98" s="216"/>
      <c r="UL98" s="216"/>
      <c r="UM98" s="216"/>
      <c r="UN98" s="216"/>
      <c r="UO98" s="216"/>
      <c r="UP98" s="216"/>
      <c r="UQ98" s="216"/>
      <c r="UR98" s="216"/>
      <c r="US98" s="216"/>
      <c r="UT98" s="216"/>
      <c r="UU98" s="216"/>
      <c r="UV98" s="216"/>
      <c r="UW98" s="216"/>
      <c r="UX98" s="216"/>
      <c r="UY98" s="216"/>
      <c r="UZ98" s="216"/>
      <c r="VA98" s="216"/>
    </row>
    <row r="99" spans="1:573" s="4" customFormat="1" x14ac:dyDescent="0.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5"/>
      <c r="AM99" s="45"/>
      <c r="AN99" s="45"/>
      <c r="AO99" s="45"/>
      <c r="AP99" s="310"/>
      <c r="AQ99" s="310"/>
      <c r="AR99" s="310"/>
      <c r="AS99" s="310"/>
      <c r="AT99" s="310"/>
      <c r="AU99" s="310"/>
      <c r="AV99" s="310"/>
      <c r="AW99" s="310"/>
      <c r="AX99" s="310"/>
      <c r="AY99" s="310"/>
      <c r="AZ99" s="310"/>
      <c r="BA99" s="310"/>
      <c r="BB99" s="328" t="s">
        <v>267</v>
      </c>
      <c r="BC99" s="338"/>
      <c r="BD99" s="338" t="e">
        <f>ROUNDUP(CW51,3)</f>
        <v>#N/A</v>
      </c>
      <c r="BE99" s="338" t="e">
        <f>CQ50</f>
        <v>#N/A</v>
      </c>
      <c r="BF99" s="338"/>
      <c r="BG99" s="336">
        <f>EL16</f>
        <v>0.3</v>
      </c>
      <c r="BH99" s="338"/>
      <c r="BI99" s="338">
        <v>0</v>
      </c>
      <c r="BJ99" s="310" t="b">
        <f>IF(BI99&gt;=$BT$7,TRUE,FALSE)</f>
        <v>0</v>
      </c>
      <c r="BK99" s="310" t="b">
        <f>IF(BJ99=$BK$97,TRUE,FALSE)</f>
        <v>1</v>
      </c>
      <c r="BL99" s="310"/>
      <c r="BM99" s="310"/>
      <c r="BN99" s="310"/>
      <c r="BO99" s="310"/>
      <c r="BP99" s="310"/>
      <c r="BQ99" s="310"/>
      <c r="BR99" s="310"/>
      <c r="BS99" s="310"/>
      <c r="BT99" s="310"/>
      <c r="BU99" s="310"/>
      <c r="BV99" s="310"/>
      <c r="BW99" s="310"/>
      <c r="BX99" s="310"/>
      <c r="BY99" s="310"/>
      <c r="BZ99" s="310"/>
      <c r="CA99" s="310"/>
      <c r="CB99" s="310"/>
      <c r="CC99" s="310"/>
      <c r="CD99" s="310"/>
      <c r="CE99" s="310"/>
      <c r="CF99" s="310"/>
      <c r="CG99" s="310"/>
      <c r="CH99" s="310"/>
      <c r="CI99" s="310"/>
      <c r="CJ99" s="310"/>
      <c r="CK99" s="310"/>
      <c r="CL99" s="310"/>
      <c r="CM99" s="310"/>
      <c r="CN99" s="310"/>
      <c r="CO99" s="310"/>
      <c r="CP99" s="310"/>
      <c r="CQ99" s="310"/>
      <c r="CR99" s="310"/>
      <c r="CS99" s="310"/>
      <c r="CT99" s="310"/>
      <c r="CU99" s="310"/>
      <c r="CV99" s="310"/>
      <c r="CW99" s="310"/>
      <c r="CX99" s="310"/>
      <c r="CY99" s="310"/>
      <c r="CZ99" s="310"/>
      <c r="DA99" s="310"/>
      <c r="DB99" s="310"/>
      <c r="DC99" s="310"/>
      <c r="DD99" s="310"/>
      <c r="DE99" s="310"/>
      <c r="DF99" s="310"/>
      <c r="DG99" s="310"/>
      <c r="DH99" s="310"/>
      <c r="DI99" s="310"/>
      <c r="DJ99" s="310"/>
      <c r="DK99" s="310"/>
      <c r="DL99" s="310"/>
      <c r="DM99" s="310"/>
      <c r="DN99" s="310"/>
      <c r="DO99" s="310"/>
      <c r="DP99" s="310"/>
      <c r="DQ99" s="310"/>
      <c r="DR99" s="310"/>
      <c r="DS99" s="310"/>
      <c r="DT99" s="310"/>
      <c r="DU99" s="230">
        <f>DU98</f>
        <v>1.2</v>
      </c>
      <c r="DV99" s="230">
        <f>DV49</f>
        <v>0.65</v>
      </c>
      <c r="DW99" s="300" t="e">
        <v>#N/A</v>
      </c>
      <c r="DX99" s="300" t="e">
        <v>#N/A</v>
      </c>
      <c r="DY99" s="310"/>
      <c r="DZ99" s="310"/>
      <c r="EA99" s="310"/>
      <c r="EB99" s="310"/>
      <c r="EC99" s="310"/>
      <c r="ED99" s="310"/>
      <c r="EE99" s="310"/>
      <c r="EF99" s="310"/>
      <c r="EG99" s="310"/>
      <c r="EH99" s="310"/>
      <c r="EI99" s="338">
        <v>28</v>
      </c>
      <c r="EJ99" s="338" t="b">
        <f t="shared" si="127"/>
        <v>0</v>
      </c>
      <c r="EK99" s="281" t="e">
        <f t="shared" si="128"/>
        <v>#N/A</v>
      </c>
      <c r="EL99" s="281" t="e">
        <f t="shared" si="129"/>
        <v>#N/A</v>
      </c>
      <c r="EM99" s="310"/>
      <c r="EN99" s="310" t="s">
        <v>48</v>
      </c>
      <c r="EO99" s="310" t="s">
        <v>49</v>
      </c>
      <c r="EP99" s="310"/>
      <c r="EQ99" s="310"/>
      <c r="ER99" s="310"/>
      <c r="ES99" s="310"/>
      <c r="ET99" s="310"/>
      <c r="EU99" s="310"/>
      <c r="EV99" s="310"/>
      <c r="EW99" s="310"/>
      <c r="EX99" s="310"/>
      <c r="EY99" s="310"/>
      <c r="EZ99" s="310"/>
      <c r="FA99" s="310"/>
      <c r="FB99" s="310"/>
      <c r="FC99" s="310"/>
      <c r="FD99" s="310"/>
      <c r="FE99" s="310"/>
      <c r="FF99" s="310"/>
      <c r="FG99" s="310"/>
      <c r="FH99" s="310"/>
      <c r="FI99" s="310"/>
      <c r="FJ99" s="310"/>
      <c r="FK99" s="310"/>
      <c r="FL99" s="310"/>
      <c r="FM99" s="310"/>
      <c r="FN99" s="310"/>
      <c r="FO99" s="310"/>
      <c r="FP99" s="310"/>
      <c r="FQ99" s="310"/>
      <c r="FR99" s="310"/>
      <c r="FS99" s="310"/>
      <c r="FT99" s="310"/>
      <c r="FU99" s="310"/>
      <c r="FV99" s="310"/>
      <c r="FW99" s="310"/>
      <c r="FX99" s="310"/>
      <c r="FY99" s="310"/>
      <c r="FZ99" s="310"/>
      <c r="GA99" s="310"/>
      <c r="GB99" s="310"/>
      <c r="GC99" s="310"/>
      <c r="GD99" s="310"/>
      <c r="GE99" s="310"/>
      <c r="GF99" s="310"/>
      <c r="GG99" s="310"/>
      <c r="GH99" s="310"/>
      <c r="GI99" s="310"/>
      <c r="GJ99" s="310"/>
      <c r="GK99" s="310"/>
      <c r="GL99" s="310"/>
      <c r="GM99" s="310"/>
      <c r="GN99" s="310"/>
      <c r="GO99" s="310"/>
      <c r="GP99" s="310"/>
      <c r="GQ99" s="310"/>
      <c r="GR99" s="310"/>
      <c r="GS99" s="310"/>
      <c r="GT99" s="310"/>
      <c r="GU99" s="310"/>
      <c r="GV99" s="310"/>
      <c r="GW99" s="310"/>
      <c r="GX99" s="310"/>
      <c r="GY99" s="310"/>
      <c r="GZ99" s="310"/>
      <c r="HA99" s="310"/>
      <c r="HB99" s="310"/>
      <c r="HC99" s="310"/>
      <c r="HD99" s="310"/>
      <c r="HE99" s="310"/>
      <c r="HF99" s="310"/>
      <c r="HG99" s="310"/>
      <c r="HH99" s="310"/>
      <c r="HI99" s="310"/>
      <c r="HJ99" s="310"/>
      <c r="HK99" s="342">
        <v>85</v>
      </c>
      <c r="HL99" s="235" t="e">
        <f t="shared" si="139"/>
        <v>#N/A</v>
      </c>
      <c r="HM99" s="235" t="e">
        <f t="shared" si="140"/>
        <v>#N/A</v>
      </c>
      <c r="HN99" s="310"/>
      <c r="HO99" s="310"/>
      <c r="HP99" s="235" t="e">
        <f t="shared" si="141"/>
        <v>#N/A</v>
      </c>
      <c r="HQ99" s="235" t="e">
        <f t="shared" si="142"/>
        <v>#N/A</v>
      </c>
      <c r="HR99" s="310"/>
      <c r="HS99" s="310"/>
      <c r="HT99" s="235" t="e">
        <f t="shared" si="143"/>
        <v>#N/A</v>
      </c>
      <c r="HU99" s="235" t="e">
        <f t="shared" si="144"/>
        <v>#N/A</v>
      </c>
      <c r="HV99" s="310"/>
      <c r="HW99" s="310"/>
      <c r="HX99" s="235" t="e">
        <f t="shared" si="145"/>
        <v>#N/A</v>
      </c>
      <c r="HY99" s="235" t="e">
        <f t="shared" si="146"/>
        <v>#N/A</v>
      </c>
      <c r="HZ99" s="310"/>
      <c r="IA99" s="310"/>
      <c r="IB99" s="235" t="e">
        <f t="shared" si="147"/>
        <v>#N/A</v>
      </c>
      <c r="IC99" s="235" t="e">
        <f t="shared" si="148"/>
        <v>#N/A</v>
      </c>
      <c r="ID99" s="310"/>
      <c r="IE99" s="342">
        <v>85</v>
      </c>
      <c r="IF99" s="262" t="e">
        <f t="shared" si="149"/>
        <v>#N/A</v>
      </c>
      <c r="IG99" s="262" t="e">
        <f t="shared" si="150"/>
        <v>#N/A</v>
      </c>
      <c r="IH99" s="390"/>
      <c r="II99" s="390"/>
      <c r="IJ99" s="262" t="e">
        <f t="shared" si="151"/>
        <v>#N/A</v>
      </c>
      <c r="IK99" s="262" t="e">
        <f t="shared" si="152"/>
        <v>#N/A</v>
      </c>
      <c r="IL99" s="390"/>
      <c r="IM99" s="390"/>
      <c r="IN99" s="262" t="e">
        <f t="shared" si="153"/>
        <v>#N/A</v>
      </c>
      <c r="IO99" s="262" t="e">
        <f t="shared" si="154"/>
        <v>#N/A</v>
      </c>
      <c r="IP99" s="390"/>
      <c r="IQ99" s="390"/>
      <c r="IR99" s="262" t="e">
        <f t="shared" si="155"/>
        <v>#N/A</v>
      </c>
      <c r="IS99" s="262" t="e">
        <f t="shared" si="156"/>
        <v>#N/A</v>
      </c>
      <c r="IT99" s="390"/>
      <c r="IU99" s="390"/>
      <c r="IV99" s="262" t="e">
        <f t="shared" si="157"/>
        <v>#N/A</v>
      </c>
      <c r="IW99" s="262" t="e">
        <f t="shared" si="158"/>
        <v>#N/A</v>
      </c>
      <c r="IX99" s="310"/>
      <c r="IY99" s="310"/>
      <c r="IZ99" s="310"/>
      <c r="JA99" s="310"/>
      <c r="JB99" s="313" t="s">
        <v>167</v>
      </c>
      <c r="JC99" s="228" t="e">
        <f>JC95</f>
        <v>#N/A</v>
      </c>
      <c r="JD99" s="228" t="e">
        <f>JD98</f>
        <v>#N/A</v>
      </c>
      <c r="JE99" s="310"/>
      <c r="JF99" s="310"/>
      <c r="JG99" s="310"/>
      <c r="JH99" s="310"/>
      <c r="JI99" s="313" t="s">
        <v>167</v>
      </c>
      <c r="JJ99" s="242" t="e">
        <f>JJ95</f>
        <v>#N/A</v>
      </c>
      <c r="JK99" s="242" t="e">
        <f>JK98</f>
        <v>#N/A</v>
      </c>
      <c r="JL99" s="310"/>
      <c r="JM99" s="310"/>
      <c r="JN99" s="261" t="e">
        <f t="shared" si="159"/>
        <v>#N/A</v>
      </c>
      <c r="JO99" s="261" t="e">
        <f t="shared" si="160"/>
        <v>#N/A</v>
      </c>
      <c r="JP99" s="310"/>
      <c r="JQ99" s="310"/>
      <c r="JR99" s="261" t="e">
        <f t="shared" si="165"/>
        <v>#N/A</v>
      </c>
      <c r="JS99" s="261" t="e">
        <f t="shared" si="166"/>
        <v>#N/A</v>
      </c>
      <c r="JT99" s="310"/>
      <c r="JU99" s="310"/>
      <c r="JV99" s="261" t="e">
        <f t="shared" si="161"/>
        <v>#N/A</v>
      </c>
      <c r="JW99" s="261" t="e">
        <f t="shared" si="162"/>
        <v>#N/A</v>
      </c>
      <c r="JX99" s="310"/>
      <c r="JY99" s="342" t="s">
        <v>353</v>
      </c>
      <c r="JZ99" s="328" t="s">
        <v>402</v>
      </c>
      <c r="KA99" s="328" t="b">
        <f>AND(AZ32=TRUE,AZ33=TRUE,AZ34=TRUE,$GY$6&gt;=$GX$7,$GY$6&lt;=$GX$13,JM11=TRUE)</f>
        <v>0</v>
      </c>
      <c r="KB99" s="313" t="s">
        <v>106</v>
      </c>
      <c r="KC99" s="242" t="e">
        <f>JZ101-($IZ$108/2)+$IZ$114</f>
        <v>#N/A</v>
      </c>
      <c r="KD99" s="242" t="e">
        <f>KA101+$IZ$108/2</f>
        <v>#N/A</v>
      </c>
      <c r="KE99" s="310"/>
      <c r="KF99" s="310"/>
      <c r="KG99" s="310"/>
      <c r="KH99" s="310"/>
      <c r="KI99" s="310"/>
      <c r="KJ99" s="310"/>
      <c r="KK99" s="310"/>
      <c r="KL99" s="310"/>
      <c r="KM99" s="310"/>
      <c r="KN99" s="310"/>
      <c r="KO99" s="310"/>
      <c r="KP99" s="310"/>
      <c r="KQ99" s="310"/>
      <c r="KR99" s="310"/>
      <c r="KS99" s="310"/>
      <c r="KT99" s="310"/>
      <c r="KU99" s="310"/>
      <c r="KV99" s="310"/>
      <c r="KW99" s="310"/>
      <c r="KX99" s="310"/>
      <c r="KY99" s="310"/>
      <c r="KZ99" s="310"/>
      <c r="LA99" s="310"/>
      <c r="LB99" s="310"/>
      <c r="LC99" s="310"/>
      <c r="LD99" s="310"/>
      <c r="LE99" s="310"/>
      <c r="LF99" s="310"/>
      <c r="LG99" s="310"/>
      <c r="LH99" s="310"/>
      <c r="LI99" s="310"/>
      <c r="LJ99" s="310"/>
      <c r="LK99" s="310"/>
      <c r="LL99" s="310"/>
      <c r="LM99" s="310"/>
      <c r="LN99" s="310"/>
      <c r="LO99" s="310"/>
      <c r="LP99" s="310"/>
      <c r="LQ99" s="310"/>
      <c r="LR99" s="310"/>
      <c r="LS99" s="310"/>
      <c r="LT99" s="310"/>
      <c r="LU99" s="310"/>
      <c r="LV99" s="310"/>
      <c r="LW99" s="310"/>
      <c r="LX99" s="310"/>
      <c r="LY99" s="310"/>
      <c r="LZ99" s="310"/>
      <c r="MA99" s="310"/>
      <c r="MB99" s="310"/>
      <c r="MC99" s="310"/>
      <c r="MD99" s="310"/>
      <c r="ME99" s="310"/>
      <c r="MF99" s="310"/>
      <c r="MG99" s="310"/>
      <c r="MH99" s="310"/>
      <c r="MI99" s="310"/>
      <c r="MJ99" s="310"/>
      <c r="MK99" s="310"/>
      <c r="ML99" s="310"/>
      <c r="MM99" s="310"/>
      <c r="MN99" s="310"/>
      <c r="MO99" s="310"/>
      <c r="MP99" s="310"/>
      <c r="MQ99" s="310"/>
      <c r="MR99" s="310"/>
      <c r="MS99" s="310"/>
      <c r="MT99" s="310"/>
      <c r="MU99" s="310"/>
      <c r="MV99" s="310"/>
      <c r="MW99" s="310"/>
      <c r="MX99" s="310"/>
      <c r="MY99" s="310"/>
      <c r="MZ99" s="310"/>
      <c r="NA99" s="310"/>
      <c r="NB99" s="310"/>
      <c r="NC99" s="310"/>
      <c r="ND99" s="310"/>
      <c r="NE99" s="310"/>
      <c r="NF99" s="310"/>
      <c r="NG99" s="310"/>
      <c r="NH99" s="310"/>
      <c r="NI99" s="310"/>
      <c r="NJ99" s="310"/>
      <c r="NK99" s="310"/>
      <c r="NL99" s="310"/>
      <c r="NM99" s="310"/>
      <c r="NN99" s="310"/>
      <c r="NO99" s="310"/>
      <c r="NP99" s="310"/>
      <c r="NQ99" s="310"/>
      <c r="NR99" s="310"/>
      <c r="NS99" s="310"/>
      <c r="NT99" s="310"/>
      <c r="NU99" s="310"/>
      <c r="NV99" s="310"/>
      <c r="NW99" s="310"/>
      <c r="NX99" s="310"/>
      <c r="NY99" s="310"/>
      <c r="NZ99" s="310"/>
      <c r="OA99" s="310"/>
      <c r="OB99" s="310"/>
      <c r="OC99" s="310"/>
      <c r="OD99" s="310"/>
      <c r="OE99" s="310"/>
      <c r="OF99" s="310"/>
      <c r="OG99" s="310"/>
      <c r="OH99" s="310"/>
      <c r="OI99" s="310"/>
      <c r="OJ99" s="310"/>
      <c r="OK99" s="310"/>
      <c r="OL99" s="310"/>
      <c r="OM99" s="310"/>
      <c r="ON99" s="310"/>
      <c r="OO99" s="310"/>
      <c r="OP99" s="310"/>
      <c r="OQ99" s="310"/>
      <c r="OR99" s="310"/>
      <c r="OS99" s="310"/>
      <c r="OT99" s="310"/>
      <c r="OU99" s="310"/>
      <c r="OV99" s="310"/>
      <c r="OW99" s="310"/>
      <c r="OX99" s="310"/>
      <c r="OY99" s="310"/>
      <c r="OZ99" s="310"/>
      <c r="PA99" s="310"/>
      <c r="PB99" s="310"/>
      <c r="PC99" s="310"/>
      <c r="PD99" s="310"/>
      <c r="PE99" s="310"/>
      <c r="PF99" s="310"/>
      <c r="PG99" s="310"/>
      <c r="PH99" s="310"/>
      <c r="PI99" s="310"/>
      <c r="PJ99" s="310"/>
      <c r="PK99" s="310"/>
      <c r="PL99" s="310"/>
      <c r="PM99" s="310"/>
      <c r="PN99" s="310"/>
      <c r="PO99" s="310"/>
      <c r="PP99" s="310"/>
      <c r="PQ99" s="310"/>
      <c r="PR99" s="310"/>
      <c r="PS99" s="342">
        <v>85</v>
      </c>
      <c r="PT99" s="261" t="e">
        <f t="shared" si="163"/>
        <v>#N/A</v>
      </c>
      <c r="PU99" s="261" t="e">
        <f t="shared" si="164"/>
        <v>#N/A</v>
      </c>
      <c r="PV99" s="310"/>
      <c r="PW99" s="310"/>
      <c r="PX99" s="310"/>
      <c r="PY99" s="310"/>
      <c r="PZ99" s="310"/>
      <c r="QA99" s="310"/>
      <c r="QB99" s="310"/>
      <c r="QC99" s="310"/>
      <c r="QD99" s="310"/>
      <c r="QE99" s="310"/>
      <c r="QF99" s="310"/>
      <c r="QG99" s="310"/>
      <c r="QH99" s="310"/>
      <c r="QI99" s="310"/>
      <c r="QJ99" s="310"/>
      <c r="QK99" s="310"/>
      <c r="QL99" s="310"/>
      <c r="QM99" s="310"/>
      <c r="QN99" s="310"/>
      <c r="QO99" s="310"/>
      <c r="QP99" s="310"/>
      <c r="QQ99" s="310"/>
      <c r="QR99" s="310"/>
      <c r="QS99" s="310"/>
      <c r="QT99" s="310"/>
      <c r="QU99" s="310"/>
      <c r="QV99" s="310"/>
      <c r="QW99" s="310"/>
      <c r="QX99" s="310"/>
      <c r="QY99" s="310"/>
      <c r="QZ99" s="310"/>
      <c r="RA99" s="310"/>
      <c r="RB99" s="310"/>
      <c r="RC99" s="310"/>
      <c r="RD99" s="310"/>
      <c r="RE99" s="310"/>
      <c r="RF99" s="310"/>
      <c r="RG99" s="310"/>
      <c r="RH99" s="310"/>
      <c r="RI99" s="310"/>
      <c r="RJ99" s="310"/>
      <c r="RK99" s="310"/>
      <c r="RL99" s="310"/>
      <c r="RM99" s="310"/>
      <c r="RN99" s="310"/>
      <c r="RO99" s="310"/>
      <c r="RP99" s="310"/>
      <c r="RQ99" s="310"/>
      <c r="RR99" s="310"/>
      <c r="RS99" s="310"/>
      <c r="RT99" s="310"/>
      <c r="RU99" s="310"/>
      <c r="RV99" s="310"/>
      <c r="RW99" s="310"/>
      <c r="RX99" s="310"/>
      <c r="RY99" s="310"/>
      <c r="RZ99" s="310"/>
      <c r="SA99" s="310"/>
      <c r="SB99" s="310"/>
      <c r="SC99" s="310"/>
      <c r="SD99" s="310"/>
      <c r="SE99" s="310"/>
      <c r="SF99" s="310"/>
      <c r="SG99" s="310"/>
      <c r="SH99" s="310"/>
      <c r="SI99" s="310"/>
      <c r="SJ99" s="310"/>
      <c r="SK99" s="310"/>
      <c r="SL99" s="310"/>
      <c r="SM99" s="310"/>
      <c r="SN99" s="310"/>
      <c r="SO99" s="220"/>
      <c r="SP99" s="220"/>
      <c r="SQ99" s="220"/>
      <c r="SR99" s="220"/>
      <c r="SS99" s="220"/>
      <c r="ST99" s="220"/>
      <c r="SU99" s="220"/>
      <c r="SV99" s="220"/>
      <c r="SW99" s="220"/>
      <c r="SX99" s="220"/>
      <c r="SY99" s="220"/>
      <c r="SZ99" s="220"/>
      <c r="TA99" s="220"/>
      <c r="TB99" s="220"/>
      <c r="TC99" s="220"/>
      <c r="TD99" s="220"/>
      <c r="TE99" s="220"/>
      <c r="TF99" s="220"/>
      <c r="TG99" s="220"/>
      <c r="TH99" s="220"/>
      <c r="TI99" s="220"/>
      <c r="TJ99" s="220"/>
      <c r="TK99" s="220"/>
      <c r="TL99" s="220"/>
      <c r="TM99" s="220"/>
      <c r="TN99" s="220"/>
      <c r="TO99" s="220"/>
      <c r="TP99" s="220"/>
      <c r="TQ99" s="220"/>
      <c r="TR99" s="220"/>
      <c r="TS99" s="220"/>
      <c r="TT99" s="220"/>
      <c r="TU99" s="220"/>
      <c r="TV99" s="220"/>
      <c r="TW99" s="220"/>
      <c r="TX99" s="220"/>
      <c r="TY99" s="220"/>
      <c r="TZ99" s="220"/>
      <c r="UA99" s="220"/>
      <c r="UB99" s="220"/>
      <c r="UC99" s="220"/>
      <c r="UD99" s="220"/>
      <c r="UE99" s="220"/>
      <c r="UF99" s="220"/>
      <c r="UG99" s="220"/>
      <c r="UH99" s="220"/>
      <c r="UI99" s="220"/>
      <c r="UJ99" s="220"/>
      <c r="UK99" s="216"/>
      <c r="UL99" s="216"/>
      <c r="UM99" s="216"/>
      <c r="UN99" s="216"/>
      <c r="UO99" s="216"/>
      <c r="UP99" s="216"/>
      <c r="UQ99" s="216"/>
      <c r="UR99" s="216"/>
      <c r="US99" s="216"/>
      <c r="UT99" s="216"/>
      <c r="UU99" s="216"/>
      <c r="UV99" s="216"/>
      <c r="UW99" s="216"/>
      <c r="UX99" s="216"/>
      <c r="UY99" s="216"/>
      <c r="UZ99" s="216"/>
      <c r="VA99" s="216"/>
    </row>
    <row r="100" spans="1:573" s="4" customFormat="1" x14ac:dyDescent="0.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5"/>
      <c r="AM100" s="45"/>
      <c r="AN100" s="45"/>
      <c r="AO100" s="45"/>
      <c r="AP100" s="310"/>
      <c r="AQ100" s="310"/>
      <c r="AR100" s="310"/>
      <c r="AS100" s="310"/>
      <c r="AT100" s="310"/>
      <c r="AU100" s="310"/>
      <c r="AV100" s="310"/>
      <c r="AW100" s="310"/>
      <c r="AX100" s="310"/>
      <c r="AY100" s="310"/>
      <c r="AZ100" s="310"/>
      <c r="BA100" s="310"/>
      <c r="BB100" s="328" t="s">
        <v>268</v>
      </c>
      <c r="BC100" s="338"/>
      <c r="BD100" s="416" t="e">
        <f>ROUNDUP(CW53,3)</f>
        <v>#N/A</v>
      </c>
      <c r="BE100" s="338" t="e">
        <f>CQ52</f>
        <v>#N/A</v>
      </c>
      <c r="BF100" s="338"/>
      <c r="BG100" s="336">
        <f>EL14</f>
        <v>0.3</v>
      </c>
      <c r="BH100" s="338"/>
      <c r="BI100" s="416">
        <v>0</v>
      </c>
      <c r="BJ100" s="392" t="b">
        <f>IF(BI100&gt;=$BT$7,TRUE,FALSE)</f>
        <v>0</v>
      </c>
      <c r="BK100" s="392" t="b">
        <f>IF(BJ100=$BK$97,TRUE,FALSE)</f>
        <v>1</v>
      </c>
      <c r="BL100" s="310"/>
      <c r="BM100" s="310"/>
      <c r="BN100" s="310"/>
      <c r="BO100" s="310"/>
      <c r="BP100" s="310"/>
      <c r="BQ100" s="310"/>
      <c r="BR100" s="310"/>
      <c r="BS100" s="310"/>
      <c r="BT100" s="310"/>
      <c r="BU100" s="310"/>
      <c r="BV100" s="310"/>
      <c r="BW100" s="310"/>
      <c r="BX100" s="310"/>
      <c r="BY100" s="310"/>
      <c r="BZ100" s="310"/>
      <c r="CA100" s="310"/>
      <c r="CB100" s="310"/>
      <c r="CC100" s="310"/>
      <c r="CD100" s="310"/>
      <c r="CE100" s="310"/>
      <c r="CF100" s="310"/>
      <c r="CG100" s="310"/>
      <c r="CH100" s="310"/>
      <c r="CI100" s="310"/>
      <c r="CJ100" s="310"/>
      <c r="CK100" s="310"/>
      <c r="CL100" s="310"/>
      <c r="CM100" s="310"/>
      <c r="CN100" s="310"/>
      <c r="CO100" s="310"/>
      <c r="CP100" s="310"/>
      <c r="CQ100" s="310"/>
      <c r="CR100" s="310"/>
      <c r="CS100" s="310"/>
      <c r="CT100" s="310"/>
      <c r="CU100" s="310"/>
      <c r="CV100" s="310"/>
      <c r="CW100" s="310"/>
      <c r="CX100" s="310"/>
      <c r="CY100" s="310"/>
      <c r="CZ100" s="310"/>
      <c r="DA100" s="310"/>
      <c r="DB100" s="310"/>
      <c r="DC100" s="310"/>
      <c r="DD100" s="310"/>
      <c r="DE100" s="310"/>
      <c r="DF100" s="310"/>
      <c r="DG100" s="310"/>
      <c r="DH100" s="310"/>
      <c r="DI100" s="310"/>
      <c r="DJ100" s="310"/>
      <c r="DK100" s="310"/>
      <c r="DL100" s="310"/>
      <c r="DM100" s="310"/>
      <c r="DN100" s="310"/>
      <c r="DO100" s="310"/>
      <c r="DP100" s="310"/>
      <c r="DQ100" s="310"/>
      <c r="DR100" s="310"/>
      <c r="DS100" s="310"/>
      <c r="DT100" s="310"/>
      <c r="DU100" s="230">
        <f>DU49</f>
        <v>0.65</v>
      </c>
      <c r="DV100" s="230">
        <f>DV99</f>
        <v>0.65</v>
      </c>
      <c r="DW100" s="300" t="e">
        <v>#N/A</v>
      </c>
      <c r="DX100" s="300" t="e">
        <v>#N/A</v>
      </c>
      <c r="DY100" s="310"/>
      <c r="DZ100" s="310"/>
      <c r="EA100" s="310"/>
      <c r="EB100" s="310"/>
      <c r="EC100" s="310"/>
      <c r="ED100" s="310"/>
      <c r="EE100" s="310"/>
      <c r="EF100" s="310"/>
      <c r="EG100" s="310"/>
      <c r="EH100" s="310"/>
      <c r="EI100" s="338">
        <v>29</v>
      </c>
      <c r="EJ100" s="338" t="b">
        <f t="shared" si="127"/>
        <v>0</v>
      </c>
      <c r="EK100" s="281" t="e">
        <f t="shared" si="128"/>
        <v>#N/A</v>
      </c>
      <c r="EL100" s="281" t="e">
        <f t="shared" si="129"/>
        <v>#N/A</v>
      </c>
      <c r="EM100" s="310"/>
      <c r="EN100" s="280">
        <f>EE63+0.05</f>
        <v>1</v>
      </c>
      <c r="EO100" s="280">
        <f>EF62</f>
        <v>0</v>
      </c>
      <c r="EP100" s="310"/>
      <c r="EQ100" s="310"/>
      <c r="ER100" s="310"/>
      <c r="ES100" s="310"/>
      <c r="ET100" s="310"/>
      <c r="EU100" s="310"/>
      <c r="EV100" s="310"/>
      <c r="EW100" s="310"/>
      <c r="EX100" s="310"/>
      <c r="EY100" s="310"/>
      <c r="EZ100" s="310"/>
      <c r="FA100" s="310"/>
      <c r="FB100" s="310"/>
      <c r="FC100" s="310"/>
      <c r="FD100" s="310"/>
      <c r="FE100" s="310"/>
      <c r="FF100" s="310"/>
      <c r="FG100" s="310"/>
      <c r="FH100" s="310"/>
      <c r="FI100" s="310"/>
      <c r="FJ100" s="310"/>
      <c r="FK100" s="310"/>
      <c r="FL100" s="310"/>
      <c r="FM100" s="310"/>
      <c r="FN100" s="310"/>
      <c r="FO100" s="310"/>
      <c r="FP100" s="310"/>
      <c r="FQ100" s="310"/>
      <c r="FR100" s="310"/>
      <c r="FS100" s="310"/>
      <c r="FT100" s="310"/>
      <c r="FU100" s="310"/>
      <c r="FV100" s="310"/>
      <c r="FW100" s="310"/>
      <c r="FX100" s="310"/>
      <c r="FY100" s="310"/>
      <c r="FZ100" s="310"/>
      <c r="GA100" s="310"/>
      <c r="GB100" s="310"/>
      <c r="GC100" s="310"/>
      <c r="GD100" s="310"/>
      <c r="GE100" s="310"/>
      <c r="GF100" s="310"/>
      <c r="GG100" s="310"/>
      <c r="GH100" s="310"/>
      <c r="GI100" s="310"/>
      <c r="GJ100" s="310"/>
      <c r="GK100" s="310"/>
      <c r="GL100" s="310"/>
      <c r="GM100" s="310"/>
      <c r="GN100" s="310"/>
      <c r="GO100" s="310"/>
      <c r="GP100" s="310"/>
      <c r="GQ100" s="310"/>
      <c r="GR100" s="310"/>
      <c r="GS100" s="310"/>
      <c r="GT100" s="310"/>
      <c r="GU100" s="310"/>
      <c r="GV100" s="310"/>
      <c r="GW100" s="310"/>
      <c r="GX100" s="310"/>
      <c r="GY100" s="310"/>
      <c r="GZ100" s="310"/>
      <c r="HA100" s="310"/>
      <c r="HB100" s="310"/>
      <c r="HC100" s="310"/>
      <c r="HD100" s="310"/>
      <c r="HE100" s="310"/>
      <c r="HF100" s="310"/>
      <c r="HG100" s="310"/>
      <c r="HH100" s="310"/>
      <c r="HI100" s="310"/>
      <c r="HJ100" s="310"/>
      <c r="HK100" s="342">
        <v>86</v>
      </c>
      <c r="HL100" s="235" t="e">
        <f t="shared" si="139"/>
        <v>#N/A</v>
      </c>
      <c r="HM100" s="235" t="e">
        <f t="shared" si="140"/>
        <v>#N/A</v>
      </c>
      <c r="HN100" s="310"/>
      <c r="HO100" s="310"/>
      <c r="HP100" s="235" t="e">
        <f t="shared" si="141"/>
        <v>#N/A</v>
      </c>
      <c r="HQ100" s="235" t="e">
        <f t="shared" si="142"/>
        <v>#N/A</v>
      </c>
      <c r="HR100" s="310"/>
      <c r="HS100" s="310"/>
      <c r="HT100" s="235" t="e">
        <f t="shared" si="143"/>
        <v>#N/A</v>
      </c>
      <c r="HU100" s="235" t="e">
        <f t="shared" si="144"/>
        <v>#N/A</v>
      </c>
      <c r="HV100" s="310"/>
      <c r="HW100" s="310"/>
      <c r="HX100" s="235" t="e">
        <f t="shared" si="145"/>
        <v>#N/A</v>
      </c>
      <c r="HY100" s="235" t="e">
        <f t="shared" si="146"/>
        <v>#N/A</v>
      </c>
      <c r="HZ100" s="310"/>
      <c r="IA100" s="310"/>
      <c r="IB100" s="235" t="e">
        <f t="shared" si="147"/>
        <v>#N/A</v>
      </c>
      <c r="IC100" s="235" t="e">
        <f t="shared" si="148"/>
        <v>#N/A</v>
      </c>
      <c r="ID100" s="310"/>
      <c r="IE100" s="342">
        <v>86</v>
      </c>
      <c r="IF100" s="262" t="e">
        <f t="shared" si="149"/>
        <v>#N/A</v>
      </c>
      <c r="IG100" s="262" t="e">
        <f t="shared" si="150"/>
        <v>#N/A</v>
      </c>
      <c r="IH100" s="390"/>
      <c r="II100" s="390"/>
      <c r="IJ100" s="262" t="e">
        <f t="shared" si="151"/>
        <v>#N/A</v>
      </c>
      <c r="IK100" s="262" t="e">
        <f t="shared" si="152"/>
        <v>#N/A</v>
      </c>
      <c r="IL100" s="390"/>
      <c r="IM100" s="390"/>
      <c r="IN100" s="262" t="e">
        <f t="shared" si="153"/>
        <v>#N/A</v>
      </c>
      <c r="IO100" s="262" t="e">
        <f t="shared" si="154"/>
        <v>#N/A</v>
      </c>
      <c r="IP100" s="390"/>
      <c r="IQ100" s="390"/>
      <c r="IR100" s="262" t="e">
        <f t="shared" si="155"/>
        <v>#N/A</v>
      </c>
      <c r="IS100" s="262" t="e">
        <f t="shared" si="156"/>
        <v>#N/A</v>
      </c>
      <c r="IT100" s="390"/>
      <c r="IU100" s="390"/>
      <c r="IV100" s="262" t="e">
        <f t="shared" si="157"/>
        <v>#N/A</v>
      </c>
      <c r="IW100" s="262" t="e">
        <f t="shared" si="158"/>
        <v>#N/A</v>
      </c>
      <c r="IX100" s="310"/>
      <c r="IY100" s="310"/>
      <c r="IZ100" s="310"/>
      <c r="JA100" s="310"/>
      <c r="JB100" s="313" t="s">
        <v>325</v>
      </c>
      <c r="JC100" s="234" t="e">
        <f>IZ97-$IZ$62</f>
        <v>#N/A</v>
      </c>
      <c r="JD100" s="234" t="e">
        <f>JA97</f>
        <v>#N/A</v>
      </c>
      <c r="JE100" s="310"/>
      <c r="JF100" s="310"/>
      <c r="JG100" s="310"/>
      <c r="JH100" s="310"/>
      <c r="JI100" s="313" t="s">
        <v>325</v>
      </c>
      <c r="JJ100" s="265" t="e">
        <f>JG97-$IZ$62</f>
        <v>#N/A</v>
      </c>
      <c r="JK100" s="265" t="e">
        <f>JH97</f>
        <v>#N/A</v>
      </c>
      <c r="JL100" s="310"/>
      <c r="JM100" s="310"/>
      <c r="JN100" s="261" t="e">
        <f t="shared" si="159"/>
        <v>#N/A</v>
      </c>
      <c r="JO100" s="261" t="e">
        <f t="shared" si="160"/>
        <v>#N/A</v>
      </c>
      <c r="JP100" s="310"/>
      <c r="JQ100" s="310"/>
      <c r="JR100" s="261" t="e">
        <f t="shared" si="165"/>
        <v>#N/A</v>
      </c>
      <c r="JS100" s="261" t="e">
        <f t="shared" si="166"/>
        <v>#N/A</v>
      </c>
      <c r="JT100" s="310"/>
      <c r="JU100" s="310"/>
      <c r="JV100" s="261" t="e">
        <f t="shared" si="161"/>
        <v>#N/A</v>
      </c>
      <c r="JW100" s="261" t="e">
        <f t="shared" si="162"/>
        <v>#N/A</v>
      </c>
      <c r="JX100" s="310"/>
      <c r="JY100" s="342" t="s">
        <v>355</v>
      </c>
      <c r="JZ100" s="342" t="s">
        <v>48</v>
      </c>
      <c r="KA100" s="342" t="s">
        <v>49</v>
      </c>
      <c r="KB100" s="313" t="s">
        <v>144</v>
      </c>
      <c r="KC100" s="242" t="e">
        <f>JZ101+($IZ$108/2)-$IZ$114</f>
        <v>#N/A</v>
      </c>
      <c r="KD100" s="242" t="e">
        <f>KD99</f>
        <v>#N/A</v>
      </c>
      <c r="KE100" s="310"/>
      <c r="KF100" s="310"/>
      <c r="KG100" s="310"/>
      <c r="KH100" s="310"/>
      <c r="KI100" s="310"/>
      <c r="KJ100" s="310"/>
      <c r="KK100" s="310"/>
      <c r="KL100" s="310"/>
      <c r="KM100" s="310"/>
      <c r="KN100" s="310"/>
      <c r="KO100" s="310"/>
      <c r="KP100" s="310"/>
      <c r="KQ100" s="310"/>
      <c r="KR100" s="310"/>
      <c r="KS100" s="310"/>
      <c r="KT100" s="310"/>
      <c r="KU100" s="310"/>
      <c r="KV100" s="310"/>
      <c r="KW100" s="310"/>
      <c r="KX100" s="310"/>
      <c r="KY100" s="310"/>
      <c r="KZ100" s="310"/>
      <c r="LA100" s="310"/>
      <c r="LB100" s="310"/>
      <c r="LC100" s="310"/>
      <c r="LD100" s="310"/>
      <c r="LE100" s="310"/>
      <c r="LF100" s="310"/>
      <c r="LG100" s="310"/>
      <c r="LH100" s="310"/>
      <c r="LI100" s="310"/>
      <c r="LJ100" s="310"/>
      <c r="LK100" s="310"/>
      <c r="LL100" s="310"/>
      <c r="LM100" s="310"/>
      <c r="LN100" s="310"/>
      <c r="LO100" s="310"/>
      <c r="LP100" s="310"/>
      <c r="LQ100" s="310"/>
      <c r="LR100" s="310"/>
      <c r="LS100" s="310"/>
      <c r="LT100" s="310"/>
      <c r="LU100" s="310"/>
      <c r="LV100" s="310"/>
      <c r="LW100" s="310"/>
      <c r="LX100" s="310"/>
      <c r="LY100" s="310"/>
      <c r="LZ100" s="310"/>
      <c r="MA100" s="310"/>
      <c r="MB100" s="310"/>
      <c r="MC100" s="310"/>
      <c r="MD100" s="310"/>
      <c r="ME100" s="310"/>
      <c r="MF100" s="310"/>
      <c r="MG100" s="310"/>
      <c r="MH100" s="310"/>
      <c r="MI100" s="310"/>
      <c r="MJ100" s="310"/>
      <c r="MK100" s="310"/>
      <c r="ML100" s="310"/>
      <c r="MM100" s="310"/>
      <c r="MN100" s="310"/>
      <c r="MO100" s="310"/>
      <c r="MP100" s="310"/>
      <c r="MQ100" s="310"/>
      <c r="MR100" s="310"/>
      <c r="MS100" s="310"/>
      <c r="MT100" s="310"/>
      <c r="MU100" s="310"/>
      <c r="MV100" s="310"/>
      <c r="MW100" s="310"/>
      <c r="MX100" s="310"/>
      <c r="MY100" s="310"/>
      <c r="MZ100" s="310"/>
      <c r="NA100" s="310"/>
      <c r="NB100" s="310"/>
      <c r="NC100" s="310"/>
      <c r="ND100" s="310"/>
      <c r="NE100" s="310"/>
      <c r="NF100" s="310"/>
      <c r="NG100" s="310"/>
      <c r="NH100" s="310"/>
      <c r="NI100" s="310"/>
      <c r="NJ100" s="310"/>
      <c r="NK100" s="310"/>
      <c r="NL100" s="310"/>
      <c r="NM100" s="310"/>
      <c r="NN100" s="310"/>
      <c r="NO100" s="310"/>
      <c r="NP100" s="310"/>
      <c r="NQ100" s="310"/>
      <c r="NR100" s="310"/>
      <c r="NS100" s="310"/>
      <c r="NT100" s="310"/>
      <c r="NU100" s="310"/>
      <c r="NV100" s="310"/>
      <c r="NW100" s="310"/>
      <c r="NX100" s="310"/>
      <c r="NY100" s="310"/>
      <c r="NZ100" s="310"/>
      <c r="OA100" s="310"/>
      <c r="OB100" s="310"/>
      <c r="OC100" s="310"/>
      <c r="OD100" s="310"/>
      <c r="OE100" s="310"/>
      <c r="OF100" s="310"/>
      <c r="OG100" s="310"/>
      <c r="OH100" s="310"/>
      <c r="OI100" s="310"/>
      <c r="OJ100" s="310"/>
      <c r="OK100" s="310"/>
      <c r="OL100" s="310"/>
      <c r="OM100" s="310"/>
      <c r="ON100" s="310"/>
      <c r="OO100" s="310"/>
      <c r="OP100" s="310"/>
      <c r="OQ100" s="310"/>
      <c r="OR100" s="310"/>
      <c r="OS100" s="310"/>
      <c r="OT100" s="310"/>
      <c r="OU100" s="310"/>
      <c r="OV100" s="310"/>
      <c r="OW100" s="310"/>
      <c r="OX100" s="310"/>
      <c r="OY100" s="310"/>
      <c r="OZ100" s="310"/>
      <c r="PA100" s="310"/>
      <c r="PB100" s="310"/>
      <c r="PC100" s="310"/>
      <c r="PD100" s="310"/>
      <c r="PE100" s="310"/>
      <c r="PF100" s="310"/>
      <c r="PG100" s="310"/>
      <c r="PH100" s="310"/>
      <c r="PI100" s="310"/>
      <c r="PJ100" s="310"/>
      <c r="PK100" s="310"/>
      <c r="PL100" s="310"/>
      <c r="PM100" s="310"/>
      <c r="PN100" s="310"/>
      <c r="PO100" s="310"/>
      <c r="PP100" s="310"/>
      <c r="PQ100" s="310"/>
      <c r="PR100" s="310"/>
      <c r="PS100" s="342">
        <v>86</v>
      </c>
      <c r="PT100" s="261" t="e">
        <f t="shared" si="163"/>
        <v>#N/A</v>
      </c>
      <c r="PU100" s="261" t="e">
        <f t="shared" si="164"/>
        <v>#N/A</v>
      </c>
      <c r="PV100" s="310"/>
      <c r="PW100" s="310"/>
      <c r="PX100" s="310"/>
      <c r="PY100" s="310"/>
      <c r="PZ100" s="310"/>
      <c r="QA100" s="310"/>
      <c r="QB100" s="310"/>
      <c r="QC100" s="310"/>
      <c r="QD100" s="310"/>
      <c r="QE100" s="310"/>
      <c r="QF100" s="310"/>
      <c r="QG100" s="310"/>
      <c r="QH100" s="310"/>
      <c r="QI100" s="310"/>
      <c r="QJ100" s="310"/>
      <c r="QK100" s="310"/>
      <c r="QL100" s="310"/>
      <c r="QM100" s="310"/>
      <c r="QN100" s="310"/>
      <c r="QO100" s="310"/>
      <c r="QP100" s="310"/>
      <c r="QQ100" s="310"/>
      <c r="QR100" s="310"/>
      <c r="QS100" s="310"/>
      <c r="QT100" s="310"/>
      <c r="QU100" s="310"/>
      <c r="QV100" s="310"/>
      <c r="QW100" s="310"/>
      <c r="QX100" s="310"/>
      <c r="QY100" s="310"/>
      <c r="QZ100" s="310"/>
      <c r="RA100" s="310"/>
      <c r="RB100" s="310"/>
      <c r="RC100" s="310"/>
      <c r="RD100" s="310"/>
      <c r="RE100" s="310"/>
      <c r="RF100" s="310"/>
      <c r="RG100" s="310"/>
      <c r="RH100" s="310"/>
      <c r="RI100" s="310"/>
      <c r="RJ100" s="310"/>
      <c r="RK100" s="310"/>
      <c r="RL100" s="310"/>
      <c r="RM100" s="310"/>
      <c r="RN100" s="310"/>
      <c r="RO100" s="310"/>
      <c r="RP100" s="310"/>
      <c r="RQ100" s="310"/>
      <c r="RR100" s="310"/>
      <c r="RS100" s="310"/>
      <c r="RT100" s="310"/>
      <c r="RU100" s="310"/>
      <c r="RV100" s="310"/>
      <c r="RW100" s="310"/>
      <c r="RX100" s="310"/>
      <c r="RY100" s="310"/>
      <c r="RZ100" s="310"/>
      <c r="SA100" s="310"/>
      <c r="SB100" s="310"/>
      <c r="SC100" s="310"/>
      <c r="SD100" s="310"/>
      <c r="SE100" s="310"/>
      <c r="SF100" s="310"/>
      <c r="SG100" s="310"/>
      <c r="SH100" s="310"/>
      <c r="SI100" s="310"/>
      <c r="SJ100" s="310"/>
      <c r="SK100" s="310"/>
      <c r="SL100" s="310"/>
      <c r="SM100" s="310"/>
      <c r="SN100" s="310"/>
      <c r="SO100" s="220"/>
      <c r="SP100" s="220"/>
      <c r="SQ100" s="220"/>
      <c r="SR100" s="220"/>
      <c r="SS100" s="220"/>
      <c r="ST100" s="220"/>
      <c r="SU100" s="220"/>
      <c r="SV100" s="220"/>
      <c r="SW100" s="220"/>
      <c r="SX100" s="220"/>
      <c r="SY100" s="220"/>
      <c r="SZ100" s="220"/>
      <c r="TA100" s="220"/>
      <c r="TB100" s="220"/>
      <c r="TC100" s="220"/>
      <c r="TD100" s="220"/>
      <c r="TE100" s="220"/>
      <c r="TF100" s="220"/>
      <c r="TG100" s="220"/>
      <c r="TH100" s="220"/>
      <c r="TI100" s="220"/>
      <c r="TJ100" s="220"/>
      <c r="TK100" s="220"/>
      <c r="TL100" s="220"/>
      <c r="TM100" s="220"/>
      <c r="TN100" s="220"/>
      <c r="TO100" s="220"/>
      <c r="TP100" s="220"/>
      <c r="TQ100" s="220"/>
      <c r="TR100" s="220"/>
      <c r="TS100" s="220"/>
      <c r="TT100" s="220"/>
      <c r="TU100" s="220"/>
      <c r="TV100" s="220"/>
      <c r="TW100" s="220"/>
      <c r="TX100" s="220"/>
      <c r="TY100" s="220"/>
      <c r="TZ100" s="220"/>
      <c r="UA100" s="220"/>
      <c r="UB100" s="220"/>
      <c r="UC100" s="220"/>
      <c r="UD100" s="220"/>
      <c r="UE100" s="220"/>
      <c r="UF100" s="220"/>
      <c r="UG100" s="220"/>
      <c r="UH100" s="220"/>
      <c r="UI100" s="220"/>
      <c r="UJ100" s="220"/>
      <c r="UK100" s="216"/>
      <c r="UL100" s="216"/>
      <c r="UM100" s="216"/>
      <c r="UN100" s="216"/>
      <c r="UO100" s="216"/>
      <c r="UP100" s="216"/>
      <c r="UQ100" s="216"/>
      <c r="UR100" s="216"/>
      <c r="US100" s="216"/>
      <c r="UT100" s="216"/>
      <c r="UU100" s="216"/>
      <c r="UV100" s="216"/>
      <c r="UW100" s="216"/>
      <c r="UX100" s="216"/>
      <c r="UY100" s="216"/>
      <c r="UZ100" s="216"/>
      <c r="VA100" s="216"/>
    </row>
    <row r="101" spans="1:573" s="4" customFormat="1" x14ac:dyDescent="0.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5"/>
      <c r="AM101" s="45"/>
      <c r="AN101" s="45"/>
      <c r="AO101" s="45"/>
      <c r="AP101" s="310"/>
      <c r="AQ101" s="310"/>
      <c r="AR101" s="310"/>
      <c r="AS101" s="310"/>
      <c r="AT101" s="310"/>
      <c r="AU101" s="310"/>
      <c r="AV101" s="310"/>
      <c r="AW101" s="310"/>
      <c r="AX101" s="310"/>
      <c r="AY101" s="310"/>
      <c r="AZ101" s="310"/>
      <c r="BA101" s="310"/>
      <c r="BB101" s="328" t="s">
        <v>269</v>
      </c>
      <c r="BC101" s="338"/>
      <c r="BD101" s="336" t="e">
        <f>ROUNDUP(CW52,3)</f>
        <v>#N/A</v>
      </c>
      <c r="BE101" s="336" t="e">
        <f>CQ51</f>
        <v>#N/A</v>
      </c>
      <c r="BF101" s="338"/>
      <c r="BG101" s="336">
        <f>EL13</f>
        <v>0.3</v>
      </c>
      <c r="BH101" s="338"/>
      <c r="BI101" s="338">
        <v>0</v>
      </c>
      <c r="BJ101" s="310" t="b">
        <f>IF(BI101&gt;=$BT$7,TRUE,FALSE)</f>
        <v>0</v>
      </c>
      <c r="BK101" s="310" t="b">
        <f>IF(BJ101=$BK$97,TRUE,FALSE)</f>
        <v>1</v>
      </c>
      <c r="BL101" s="310"/>
      <c r="BM101" s="310"/>
      <c r="BN101" s="310"/>
      <c r="BO101" s="310"/>
      <c r="BP101" s="310"/>
      <c r="BQ101" s="310"/>
      <c r="BR101" s="310"/>
      <c r="BS101" s="310"/>
      <c r="BT101" s="310"/>
      <c r="BU101" s="310"/>
      <c r="BV101" s="310"/>
      <c r="BW101" s="310"/>
      <c r="BX101" s="310"/>
      <c r="BY101" s="310"/>
      <c r="BZ101" s="310"/>
      <c r="CA101" s="310"/>
      <c r="CB101" s="310"/>
      <c r="CC101" s="310"/>
      <c r="CD101" s="310"/>
      <c r="CE101" s="310"/>
      <c r="CF101" s="310"/>
      <c r="CG101" s="310"/>
      <c r="CH101" s="310"/>
      <c r="CI101" s="310"/>
      <c r="CJ101" s="310"/>
      <c r="CK101" s="310"/>
      <c r="CL101" s="310"/>
      <c r="CM101" s="310"/>
      <c r="CN101" s="310"/>
      <c r="CO101" s="310"/>
      <c r="CP101" s="310"/>
      <c r="CQ101" s="310"/>
      <c r="CR101" s="310"/>
      <c r="CS101" s="310"/>
      <c r="CT101" s="310"/>
      <c r="CU101" s="310"/>
      <c r="CV101" s="310"/>
      <c r="CW101" s="310"/>
      <c r="CX101" s="310"/>
      <c r="CY101" s="310"/>
      <c r="CZ101" s="310"/>
      <c r="DA101" s="310"/>
      <c r="DB101" s="310"/>
      <c r="DC101" s="310"/>
      <c r="DD101" s="310"/>
      <c r="DE101" s="310"/>
      <c r="DF101" s="310"/>
      <c r="DG101" s="310"/>
      <c r="DH101" s="310"/>
      <c r="DI101" s="310"/>
      <c r="DJ101" s="310"/>
      <c r="DK101" s="310"/>
      <c r="DL101" s="310"/>
      <c r="DM101" s="310"/>
      <c r="DN101" s="310"/>
      <c r="DO101" s="310"/>
      <c r="DP101" s="310"/>
      <c r="DQ101" s="310"/>
      <c r="DR101" s="310"/>
      <c r="DS101" s="310"/>
      <c r="DT101" s="310"/>
      <c r="DU101" s="230" t="e">
        <v>#N/A</v>
      </c>
      <c r="DV101" s="230" t="e">
        <v>#N/A</v>
      </c>
      <c r="DW101" s="300" t="e">
        <v>#N/A</v>
      </c>
      <c r="DX101" s="300" t="e">
        <v>#N/A</v>
      </c>
      <c r="DY101" s="310"/>
      <c r="DZ101" s="310"/>
      <c r="EA101" s="310"/>
      <c r="EB101" s="310"/>
      <c r="EC101" s="310"/>
      <c r="ED101" s="310"/>
      <c r="EE101" s="310"/>
      <c r="EF101" s="310"/>
      <c r="EG101" s="310"/>
      <c r="EH101" s="310"/>
      <c r="EI101" s="338">
        <v>30</v>
      </c>
      <c r="EJ101" s="338" t="b">
        <f t="shared" si="127"/>
        <v>0</v>
      </c>
      <c r="EK101" s="281" t="e">
        <f t="shared" si="128"/>
        <v>#N/A</v>
      </c>
      <c r="EL101" s="281" t="e">
        <f t="shared" si="129"/>
        <v>#N/A</v>
      </c>
      <c r="EM101" s="310"/>
      <c r="EN101" s="280">
        <f>EN100+0.25</f>
        <v>1.25</v>
      </c>
      <c r="EO101" s="280">
        <f>EO100</f>
        <v>0</v>
      </c>
      <c r="EP101" s="310"/>
      <c r="EQ101" s="310"/>
      <c r="ER101" s="310"/>
      <c r="ES101" s="310"/>
      <c r="ET101" s="310"/>
      <c r="EU101" s="310"/>
      <c r="EV101" s="310"/>
      <c r="EW101" s="310"/>
      <c r="EX101" s="310"/>
      <c r="EY101" s="310"/>
      <c r="EZ101" s="310"/>
      <c r="FA101" s="310"/>
      <c r="FB101" s="310"/>
      <c r="FC101" s="310"/>
      <c r="FD101" s="310"/>
      <c r="FE101" s="310"/>
      <c r="FF101" s="310"/>
      <c r="FG101" s="310"/>
      <c r="FH101" s="310"/>
      <c r="FI101" s="310"/>
      <c r="FJ101" s="310"/>
      <c r="FK101" s="310"/>
      <c r="FL101" s="310"/>
      <c r="FM101" s="310"/>
      <c r="FN101" s="310"/>
      <c r="FO101" s="310"/>
      <c r="FP101" s="310"/>
      <c r="FQ101" s="310"/>
      <c r="FR101" s="310"/>
      <c r="FS101" s="310"/>
      <c r="FT101" s="310"/>
      <c r="FU101" s="310"/>
      <c r="FV101" s="310"/>
      <c r="FW101" s="310"/>
      <c r="FX101" s="310"/>
      <c r="FY101" s="310"/>
      <c r="FZ101" s="310"/>
      <c r="GA101" s="310"/>
      <c r="GB101" s="310"/>
      <c r="GC101" s="310"/>
      <c r="GD101" s="310"/>
      <c r="GE101" s="310"/>
      <c r="GF101" s="310"/>
      <c r="GG101" s="310"/>
      <c r="GH101" s="310"/>
      <c r="GI101" s="310"/>
      <c r="GJ101" s="310"/>
      <c r="GK101" s="310"/>
      <c r="GL101" s="310"/>
      <c r="GM101" s="310"/>
      <c r="GN101" s="310"/>
      <c r="GO101" s="310"/>
      <c r="GP101" s="310"/>
      <c r="GQ101" s="310"/>
      <c r="GR101" s="310"/>
      <c r="GS101" s="310"/>
      <c r="GT101" s="310"/>
      <c r="GU101" s="310"/>
      <c r="GV101" s="310"/>
      <c r="GW101" s="310"/>
      <c r="GX101" s="310"/>
      <c r="GY101" s="310"/>
      <c r="GZ101" s="310"/>
      <c r="HA101" s="310"/>
      <c r="HB101" s="310"/>
      <c r="HC101" s="310"/>
      <c r="HD101" s="310"/>
      <c r="HE101" s="310"/>
      <c r="HF101" s="310"/>
      <c r="HG101" s="310"/>
      <c r="HH101" s="310"/>
      <c r="HI101" s="310"/>
      <c r="HJ101" s="310"/>
      <c r="HK101" s="342">
        <v>87</v>
      </c>
      <c r="HL101" s="235" t="e">
        <f t="shared" si="139"/>
        <v>#N/A</v>
      </c>
      <c r="HM101" s="235" t="e">
        <f t="shared" si="140"/>
        <v>#N/A</v>
      </c>
      <c r="HN101" s="310"/>
      <c r="HO101" s="310"/>
      <c r="HP101" s="235" t="e">
        <f t="shared" si="141"/>
        <v>#N/A</v>
      </c>
      <c r="HQ101" s="235" t="e">
        <f t="shared" si="142"/>
        <v>#N/A</v>
      </c>
      <c r="HR101" s="310"/>
      <c r="HS101" s="310"/>
      <c r="HT101" s="235" t="e">
        <f t="shared" si="143"/>
        <v>#N/A</v>
      </c>
      <c r="HU101" s="235" t="e">
        <f t="shared" si="144"/>
        <v>#N/A</v>
      </c>
      <c r="HV101" s="310"/>
      <c r="HW101" s="310"/>
      <c r="HX101" s="235" t="e">
        <f t="shared" si="145"/>
        <v>#N/A</v>
      </c>
      <c r="HY101" s="235" t="e">
        <f t="shared" si="146"/>
        <v>#N/A</v>
      </c>
      <c r="HZ101" s="310"/>
      <c r="IA101" s="310"/>
      <c r="IB101" s="235" t="e">
        <f t="shared" si="147"/>
        <v>#N/A</v>
      </c>
      <c r="IC101" s="235" t="e">
        <f t="shared" si="148"/>
        <v>#N/A</v>
      </c>
      <c r="ID101" s="310"/>
      <c r="IE101" s="342">
        <v>87</v>
      </c>
      <c r="IF101" s="262" t="e">
        <f t="shared" si="149"/>
        <v>#N/A</v>
      </c>
      <c r="IG101" s="262" t="e">
        <f t="shared" si="150"/>
        <v>#N/A</v>
      </c>
      <c r="IH101" s="390"/>
      <c r="II101" s="390"/>
      <c r="IJ101" s="262" t="e">
        <f t="shared" si="151"/>
        <v>#N/A</v>
      </c>
      <c r="IK101" s="262" t="e">
        <f t="shared" si="152"/>
        <v>#N/A</v>
      </c>
      <c r="IL101" s="390"/>
      <c r="IM101" s="390"/>
      <c r="IN101" s="262" t="e">
        <f t="shared" si="153"/>
        <v>#N/A</v>
      </c>
      <c r="IO101" s="262" t="e">
        <f t="shared" si="154"/>
        <v>#N/A</v>
      </c>
      <c r="IP101" s="390"/>
      <c r="IQ101" s="390"/>
      <c r="IR101" s="262" t="e">
        <f t="shared" si="155"/>
        <v>#N/A</v>
      </c>
      <c r="IS101" s="262" t="e">
        <f t="shared" si="156"/>
        <v>#N/A</v>
      </c>
      <c r="IT101" s="390"/>
      <c r="IU101" s="390"/>
      <c r="IV101" s="262" t="e">
        <f t="shared" si="157"/>
        <v>#N/A</v>
      </c>
      <c r="IW101" s="262" t="e">
        <f t="shared" si="158"/>
        <v>#N/A</v>
      </c>
      <c r="IX101" s="310"/>
      <c r="IY101" s="310"/>
      <c r="IZ101" s="310"/>
      <c r="JA101" s="310"/>
      <c r="JB101" s="313" t="s">
        <v>326</v>
      </c>
      <c r="JC101" s="228" t="e">
        <f>JC95</f>
        <v>#N/A</v>
      </c>
      <c r="JD101" s="228" t="e">
        <f>JD95</f>
        <v>#N/A</v>
      </c>
      <c r="JE101" s="310"/>
      <c r="JF101" s="310"/>
      <c r="JG101" s="310"/>
      <c r="JH101" s="310"/>
      <c r="JI101" s="313" t="s">
        <v>326</v>
      </c>
      <c r="JJ101" s="242" t="e">
        <f>JJ95</f>
        <v>#N/A</v>
      </c>
      <c r="JK101" s="242" t="e">
        <f>JK95</f>
        <v>#N/A</v>
      </c>
      <c r="JL101" s="310"/>
      <c r="JM101" s="310"/>
      <c r="JN101" s="261" t="e">
        <f t="shared" si="159"/>
        <v>#N/A</v>
      </c>
      <c r="JO101" s="261" t="e">
        <f t="shared" si="160"/>
        <v>#N/A</v>
      </c>
      <c r="JP101" s="310"/>
      <c r="JQ101" s="310"/>
      <c r="JR101" s="261" t="e">
        <f t="shared" si="165"/>
        <v>#N/A</v>
      </c>
      <c r="JS101" s="261" t="e">
        <f t="shared" si="166"/>
        <v>#N/A</v>
      </c>
      <c r="JT101" s="310"/>
      <c r="JU101" s="310"/>
      <c r="JV101" s="261" t="e">
        <f t="shared" si="161"/>
        <v>#N/A</v>
      </c>
      <c r="JW101" s="261" t="e">
        <f t="shared" si="162"/>
        <v>#N/A</v>
      </c>
      <c r="JX101" s="310"/>
      <c r="JY101" s="313" t="s">
        <v>72</v>
      </c>
      <c r="JZ101" s="362" t="e">
        <f>IF(KA99=TRUE,$J$33,#N/A)</f>
        <v>#N/A</v>
      </c>
      <c r="KA101" s="363" t="e">
        <f>IF(KA99=TRUE,$H$33,#N/A)</f>
        <v>#N/A</v>
      </c>
      <c r="KB101" s="313" t="s">
        <v>149</v>
      </c>
      <c r="KC101" s="242" t="e">
        <f>JZ101+$IZ$108/2</f>
        <v>#N/A</v>
      </c>
      <c r="KD101" s="242" t="e">
        <f>KA101+$IZ$108/2-$IZ$114</f>
        <v>#N/A</v>
      </c>
      <c r="KE101" s="310"/>
      <c r="KF101" s="310"/>
      <c r="KG101" s="310"/>
      <c r="KH101" s="310"/>
      <c r="KI101" s="310"/>
      <c r="KJ101" s="310"/>
      <c r="KK101" s="310"/>
      <c r="KL101" s="310"/>
      <c r="KM101" s="310"/>
      <c r="KN101" s="310"/>
      <c r="KO101" s="310"/>
      <c r="KP101" s="310"/>
      <c r="KQ101" s="310"/>
      <c r="KR101" s="310"/>
      <c r="KS101" s="310"/>
      <c r="KT101" s="310"/>
      <c r="KU101" s="310"/>
      <c r="KV101" s="310"/>
      <c r="KW101" s="310"/>
      <c r="KX101" s="310"/>
      <c r="KY101" s="310"/>
      <c r="KZ101" s="310"/>
      <c r="LA101" s="310"/>
      <c r="LB101" s="310"/>
      <c r="LC101" s="310"/>
      <c r="LD101" s="310"/>
      <c r="LE101" s="310"/>
      <c r="LF101" s="310"/>
      <c r="LG101" s="310"/>
      <c r="LH101" s="310"/>
      <c r="LI101" s="310"/>
      <c r="LJ101" s="310"/>
      <c r="LK101" s="310"/>
      <c r="LL101" s="310"/>
      <c r="LM101" s="310"/>
      <c r="LN101" s="310"/>
      <c r="LO101" s="310"/>
      <c r="LP101" s="310"/>
      <c r="LQ101" s="310"/>
      <c r="LR101" s="310"/>
      <c r="LS101" s="310"/>
      <c r="LT101" s="310"/>
      <c r="LU101" s="310"/>
      <c r="LV101" s="310"/>
      <c r="LW101" s="310"/>
      <c r="LX101" s="310"/>
      <c r="LY101" s="310"/>
      <c r="LZ101" s="310"/>
      <c r="MA101" s="310"/>
      <c r="MB101" s="310"/>
      <c r="MC101" s="310"/>
      <c r="MD101" s="310"/>
      <c r="ME101" s="310"/>
      <c r="MF101" s="310"/>
      <c r="MG101" s="310"/>
      <c r="MH101" s="310"/>
      <c r="MI101" s="310"/>
      <c r="MJ101" s="310"/>
      <c r="MK101" s="310"/>
      <c r="ML101" s="310"/>
      <c r="MM101" s="310"/>
      <c r="MN101" s="310"/>
      <c r="MO101" s="310"/>
      <c r="MP101" s="310"/>
      <c r="MQ101" s="310"/>
      <c r="MR101" s="310"/>
      <c r="MS101" s="310"/>
      <c r="MT101" s="310"/>
      <c r="MU101" s="310"/>
      <c r="MV101" s="310"/>
      <c r="MW101" s="310"/>
      <c r="MX101" s="310"/>
      <c r="MY101" s="310"/>
      <c r="MZ101" s="310"/>
      <c r="NA101" s="310"/>
      <c r="NB101" s="310"/>
      <c r="NC101" s="310"/>
      <c r="ND101" s="310"/>
      <c r="NE101" s="310"/>
      <c r="NF101" s="310"/>
      <c r="NG101" s="310"/>
      <c r="NH101" s="310"/>
      <c r="NI101" s="310"/>
      <c r="NJ101" s="310"/>
      <c r="NK101" s="310"/>
      <c r="NL101" s="310"/>
      <c r="NM101" s="310"/>
      <c r="NN101" s="310"/>
      <c r="NO101" s="310"/>
      <c r="NP101" s="310"/>
      <c r="NQ101" s="310"/>
      <c r="NR101" s="310"/>
      <c r="NS101" s="310"/>
      <c r="NT101" s="310"/>
      <c r="NU101" s="310"/>
      <c r="NV101" s="310"/>
      <c r="NW101" s="310"/>
      <c r="NX101" s="310"/>
      <c r="NY101" s="310"/>
      <c r="NZ101" s="310"/>
      <c r="OA101" s="310"/>
      <c r="OB101" s="310"/>
      <c r="OC101" s="310"/>
      <c r="OD101" s="310"/>
      <c r="OE101" s="310"/>
      <c r="OF101" s="310"/>
      <c r="OG101" s="310"/>
      <c r="OH101" s="310"/>
      <c r="OI101" s="310"/>
      <c r="OJ101" s="310"/>
      <c r="OK101" s="310"/>
      <c r="OL101" s="310"/>
      <c r="OM101" s="310"/>
      <c r="ON101" s="310"/>
      <c r="OO101" s="310"/>
      <c r="OP101" s="310"/>
      <c r="OQ101" s="310"/>
      <c r="OR101" s="310"/>
      <c r="OS101" s="310"/>
      <c r="OT101" s="310"/>
      <c r="OU101" s="310"/>
      <c r="OV101" s="310"/>
      <c r="OW101" s="310"/>
      <c r="OX101" s="310"/>
      <c r="OY101" s="310"/>
      <c r="OZ101" s="310"/>
      <c r="PA101" s="310"/>
      <c r="PB101" s="310"/>
      <c r="PC101" s="310"/>
      <c r="PD101" s="310"/>
      <c r="PE101" s="310"/>
      <c r="PF101" s="310"/>
      <c r="PG101" s="310"/>
      <c r="PH101" s="310"/>
      <c r="PI101" s="310"/>
      <c r="PJ101" s="310"/>
      <c r="PK101" s="310"/>
      <c r="PL101" s="310"/>
      <c r="PM101" s="310"/>
      <c r="PN101" s="310"/>
      <c r="PO101" s="310"/>
      <c r="PP101" s="310"/>
      <c r="PQ101" s="310"/>
      <c r="PR101" s="310"/>
      <c r="PS101" s="342">
        <v>87</v>
      </c>
      <c r="PT101" s="261" t="e">
        <f t="shared" si="163"/>
        <v>#N/A</v>
      </c>
      <c r="PU101" s="261" t="e">
        <f t="shared" si="164"/>
        <v>#N/A</v>
      </c>
      <c r="PV101" s="310"/>
      <c r="PW101" s="310"/>
      <c r="PX101" s="310"/>
      <c r="PY101" s="310"/>
      <c r="PZ101" s="310"/>
      <c r="QA101" s="310"/>
      <c r="QB101" s="310"/>
      <c r="QC101" s="310"/>
      <c r="QD101" s="310"/>
      <c r="QE101" s="310"/>
      <c r="QF101" s="310"/>
      <c r="QG101" s="310"/>
      <c r="QH101" s="310"/>
      <c r="QI101" s="310"/>
      <c r="QJ101" s="310"/>
      <c r="QK101" s="310"/>
      <c r="QL101" s="310"/>
      <c r="QM101" s="310"/>
      <c r="QN101" s="310"/>
      <c r="QO101" s="310"/>
      <c r="QP101" s="310"/>
      <c r="QQ101" s="310"/>
      <c r="QR101" s="310"/>
      <c r="QS101" s="310"/>
      <c r="QT101" s="310"/>
      <c r="QU101" s="310"/>
      <c r="QV101" s="310"/>
      <c r="QW101" s="310"/>
      <c r="QX101" s="310"/>
      <c r="QY101" s="310"/>
      <c r="QZ101" s="310"/>
      <c r="RA101" s="310"/>
      <c r="RB101" s="310"/>
      <c r="RC101" s="310"/>
      <c r="RD101" s="310"/>
      <c r="RE101" s="310"/>
      <c r="RF101" s="310"/>
      <c r="RG101" s="310"/>
      <c r="RH101" s="310"/>
      <c r="RI101" s="310"/>
      <c r="RJ101" s="310"/>
      <c r="RK101" s="310"/>
      <c r="RL101" s="310"/>
      <c r="RM101" s="310"/>
      <c r="RN101" s="310"/>
      <c r="RO101" s="310"/>
      <c r="RP101" s="310"/>
      <c r="RQ101" s="310"/>
      <c r="RR101" s="310"/>
      <c r="RS101" s="310"/>
      <c r="RT101" s="310"/>
      <c r="RU101" s="310"/>
      <c r="RV101" s="310"/>
      <c r="RW101" s="310"/>
      <c r="RX101" s="310"/>
      <c r="RY101" s="310"/>
      <c r="RZ101" s="310"/>
      <c r="SA101" s="310"/>
      <c r="SB101" s="310"/>
      <c r="SC101" s="310"/>
      <c r="SD101" s="310"/>
      <c r="SE101" s="310"/>
      <c r="SF101" s="310"/>
      <c r="SG101" s="310"/>
      <c r="SH101" s="310"/>
      <c r="SI101" s="310"/>
      <c r="SJ101" s="310"/>
      <c r="SK101" s="310"/>
      <c r="SL101" s="310"/>
      <c r="SM101" s="310"/>
      <c r="SN101" s="310"/>
      <c r="SO101" s="220"/>
      <c r="SP101" s="220"/>
      <c r="SQ101" s="220"/>
      <c r="SR101" s="220"/>
      <c r="SS101" s="220"/>
      <c r="ST101" s="220"/>
      <c r="SU101" s="220"/>
      <c r="SV101" s="220"/>
      <c r="SW101" s="220"/>
      <c r="SX101" s="220"/>
      <c r="SY101" s="220"/>
      <c r="SZ101" s="220"/>
      <c r="TA101" s="220"/>
      <c r="TB101" s="220"/>
      <c r="TC101" s="220"/>
      <c r="TD101" s="220"/>
      <c r="TE101" s="220"/>
      <c r="TF101" s="220"/>
      <c r="TG101" s="220"/>
      <c r="TH101" s="220"/>
      <c r="TI101" s="220"/>
      <c r="TJ101" s="220"/>
      <c r="TK101" s="220"/>
      <c r="TL101" s="220"/>
      <c r="TM101" s="220"/>
      <c r="TN101" s="220"/>
      <c r="TO101" s="220"/>
      <c r="TP101" s="220"/>
      <c r="TQ101" s="220"/>
      <c r="TR101" s="220"/>
      <c r="TS101" s="220"/>
      <c r="TT101" s="220"/>
      <c r="TU101" s="220"/>
      <c r="TV101" s="220"/>
      <c r="TW101" s="220"/>
      <c r="TX101" s="220"/>
      <c r="TY101" s="220"/>
      <c r="TZ101" s="220"/>
      <c r="UA101" s="220"/>
      <c r="UB101" s="220"/>
      <c r="UC101" s="220"/>
      <c r="UD101" s="220"/>
      <c r="UE101" s="220"/>
      <c r="UF101" s="220"/>
      <c r="UG101" s="220"/>
      <c r="UH101" s="220"/>
      <c r="UI101" s="220"/>
      <c r="UJ101" s="220"/>
      <c r="UK101" s="216"/>
      <c r="UL101" s="216"/>
      <c r="UM101" s="216"/>
      <c r="UN101" s="216"/>
      <c r="UO101" s="216"/>
      <c r="UP101" s="216"/>
      <c r="UQ101" s="216"/>
      <c r="UR101" s="216"/>
      <c r="US101" s="216"/>
      <c r="UT101" s="216"/>
      <c r="UU101" s="216"/>
      <c r="UV101" s="216"/>
      <c r="UW101" s="216"/>
      <c r="UX101" s="216"/>
      <c r="UY101" s="216"/>
      <c r="UZ101" s="216"/>
      <c r="VA101" s="216"/>
    </row>
    <row r="102" spans="1:573" s="4" customFormat="1" x14ac:dyDescent="0.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5"/>
      <c r="AM102" s="45"/>
      <c r="AN102" s="45"/>
      <c r="AO102" s="45"/>
      <c r="AP102" s="310"/>
      <c r="AQ102" s="310"/>
      <c r="AR102" s="310"/>
      <c r="AS102" s="310"/>
      <c r="AT102" s="310"/>
      <c r="AU102" s="310"/>
      <c r="AV102" s="310"/>
      <c r="AW102" s="310"/>
      <c r="AX102" s="310"/>
      <c r="AY102" s="310"/>
      <c r="AZ102" s="310"/>
      <c r="BA102" s="310"/>
      <c r="BB102" s="310"/>
      <c r="BC102" s="310"/>
      <c r="BD102" s="310"/>
      <c r="BE102" s="310"/>
      <c r="BF102" s="310"/>
      <c r="BG102" s="310"/>
      <c r="BH102" s="310"/>
      <c r="BI102" s="310"/>
      <c r="BJ102" s="310"/>
      <c r="BK102" s="310"/>
      <c r="BL102" s="310"/>
      <c r="BM102" s="310"/>
      <c r="BN102" s="310"/>
      <c r="BO102" s="310"/>
      <c r="BP102" s="310"/>
      <c r="BQ102" s="310"/>
      <c r="BR102" s="310"/>
      <c r="BS102" s="310"/>
      <c r="BT102" s="310"/>
      <c r="BU102" s="310"/>
      <c r="BV102" s="310"/>
      <c r="BW102" s="310"/>
      <c r="BX102" s="310"/>
      <c r="BY102" s="310"/>
      <c r="BZ102" s="310"/>
      <c r="CA102" s="310"/>
      <c r="CB102" s="310"/>
      <c r="CC102" s="310"/>
      <c r="CD102" s="310"/>
      <c r="CE102" s="310"/>
      <c r="CF102" s="310"/>
      <c r="CG102" s="310"/>
      <c r="CH102" s="310"/>
      <c r="CI102" s="310"/>
      <c r="CJ102" s="310"/>
      <c r="CK102" s="310"/>
      <c r="CL102" s="310"/>
      <c r="CM102" s="310"/>
      <c r="CN102" s="310"/>
      <c r="CO102" s="310"/>
      <c r="CP102" s="310"/>
      <c r="CQ102" s="310"/>
      <c r="CR102" s="310"/>
      <c r="CS102" s="310"/>
      <c r="CT102" s="310"/>
      <c r="CU102" s="310"/>
      <c r="CV102" s="310"/>
      <c r="CW102" s="310"/>
      <c r="CX102" s="310"/>
      <c r="CY102" s="310"/>
      <c r="CZ102" s="310"/>
      <c r="DA102" s="310"/>
      <c r="DB102" s="310"/>
      <c r="DC102" s="310"/>
      <c r="DD102" s="310"/>
      <c r="DE102" s="310"/>
      <c r="DF102" s="310"/>
      <c r="DG102" s="310"/>
      <c r="DH102" s="310"/>
      <c r="DI102" s="310"/>
      <c r="DJ102" s="310"/>
      <c r="DK102" s="310"/>
      <c r="DL102" s="310"/>
      <c r="DM102" s="310"/>
      <c r="DN102" s="310"/>
      <c r="DO102" s="310"/>
      <c r="DP102" s="310"/>
      <c r="DQ102" s="310"/>
      <c r="DR102" s="310"/>
      <c r="DS102" s="310"/>
      <c r="DT102" s="310"/>
      <c r="DU102" s="230">
        <f>DU99</f>
        <v>1.2</v>
      </c>
      <c r="DV102" s="230">
        <f>DV99</f>
        <v>0.65</v>
      </c>
      <c r="DW102" s="300" t="e">
        <v>#N/A</v>
      </c>
      <c r="DX102" s="300" t="e">
        <v>#N/A</v>
      </c>
      <c r="DY102" s="310"/>
      <c r="DZ102" s="310"/>
      <c r="EA102" s="310"/>
      <c r="EB102" s="310"/>
      <c r="EC102" s="310"/>
      <c r="ED102" s="310"/>
      <c r="EE102" s="310"/>
      <c r="EF102" s="310"/>
      <c r="EG102" s="310"/>
      <c r="EH102" s="310"/>
      <c r="EI102" s="338">
        <v>31</v>
      </c>
      <c r="EJ102" s="338" t="b">
        <f t="shared" si="127"/>
        <v>0</v>
      </c>
      <c r="EK102" s="281" t="e">
        <f t="shared" si="128"/>
        <v>#N/A</v>
      </c>
      <c r="EL102" s="281" t="e">
        <f t="shared" si="129"/>
        <v>#N/A</v>
      </c>
      <c r="EM102" s="310"/>
      <c r="EN102" s="280">
        <f>EN101</f>
        <v>1.25</v>
      </c>
      <c r="EO102" s="280">
        <f>EF61</f>
        <v>0.6</v>
      </c>
      <c r="EP102" s="310"/>
      <c r="EQ102" s="310"/>
      <c r="ER102" s="310"/>
      <c r="ES102" s="310"/>
      <c r="ET102" s="310"/>
      <c r="EU102" s="310"/>
      <c r="EV102" s="310"/>
      <c r="EW102" s="310"/>
      <c r="EX102" s="310"/>
      <c r="EY102" s="310"/>
      <c r="EZ102" s="310"/>
      <c r="FA102" s="310"/>
      <c r="FB102" s="310"/>
      <c r="FC102" s="310"/>
      <c r="FD102" s="310"/>
      <c r="FE102" s="310"/>
      <c r="FF102" s="310"/>
      <c r="FG102" s="310"/>
      <c r="FH102" s="310"/>
      <c r="FI102" s="310"/>
      <c r="FJ102" s="310"/>
      <c r="FK102" s="310"/>
      <c r="FL102" s="310"/>
      <c r="FM102" s="310"/>
      <c r="FN102" s="310"/>
      <c r="FO102" s="310"/>
      <c r="FP102" s="310"/>
      <c r="FQ102" s="310"/>
      <c r="FR102" s="310"/>
      <c r="FS102" s="310"/>
      <c r="FT102" s="310"/>
      <c r="FU102" s="310"/>
      <c r="FV102" s="310"/>
      <c r="FW102" s="310"/>
      <c r="FX102" s="310"/>
      <c r="FY102" s="310"/>
      <c r="FZ102" s="310"/>
      <c r="GA102" s="310"/>
      <c r="GB102" s="310"/>
      <c r="GC102" s="310"/>
      <c r="GD102" s="310"/>
      <c r="GE102" s="310"/>
      <c r="GF102" s="310"/>
      <c r="GG102" s="310"/>
      <c r="GH102" s="310"/>
      <c r="GI102" s="310"/>
      <c r="GJ102" s="310"/>
      <c r="GK102" s="310"/>
      <c r="GL102" s="310"/>
      <c r="GM102" s="310"/>
      <c r="GN102" s="310"/>
      <c r="GO102" s="310"/>
      <c r="GP102" s="310"/>
      <c r="GQ102" s="310"/>
      <c r="GR102" s="310"/>
      <c r="GS102" s="310"/>
      <c r="GT102" s="310"/>
      <c r="GU102" s="310"/>
      <c r="GV102" s="310"/>
      <c r="GW102" s="310"/>
      <c r="GX102" s="310"/>
      <c r="GY102" s="310"/>
      <c r="GZ102" s="310"/>
      <c r="HA102" s="310"/>
      <c r="HB102" s="310"/>
      <c r="HC102" s="310"/>
      <c r="HD102" s="310"/>
      <c r="HE102" s="310"/>
      <c r="HF102" s="310"/>
      <c r="HG102" s="310"/>
      <c r="HH102" s="310"/>
      <c r="HI102" s="310"/>
      <c r="HJ102" s="310"/>
      <c r="HK102" s="342">
        <v>88</v>
      </c>
      <c r="HL102" s="235" t="e">
        <f t="shared" si="139"/>
        <v>#N/A</v>
      </c>
      <c r="HM102" s="235" t="e">
        <f t="shared" si="140"/>
        <v>#N/A</v>
      </c>
      <c r="HN102" s="310"/>
      <c r="HO102" s="310"/>
      <c r="HP102" s="235" t="e">
        <f t="shared" si="141"/>
        <v>#N/A</v>
      </c>
      <c r="HQ102" s="235" t="e">
        <f t="shared" si="142"/>
        <v>#N/A</v>
      </c>
      <c r="HR102" s="310"/>
      <c r="HS102" s="310"/>
      <c r="HT102" s="235" t="e">
        <f t="shared" si="143"/>
        <v>#N/A</v>
      </c>
      <c r="HU102" s="235" t="e">
        <f t="shared" si="144"/>
        <v>#N/A</v>
      </c>
      <c r="HV102" s="310"/>
      <c r="HW102" s="310"/>
      <c r="HX102" s="235" t="e">
        <f t="shared" si="145"/>
        <v>#N/A</v>
      </c>
      <c r="HY102" s="235" t="e">
        <f t="shared" si="146"/>
        <v>#N/A</v>
      </c>
      <c r="HZ102" s="310"/>
      <c r="IA102" s="310"/>
      <c r="IB102" s="235" t="e">
        <f t="shared" si="147"/>
        <v>#N/A</v>
      </c>
      <c r="IC102" s="235" t="e">
        <f t="shared" si="148"/>
        <v>#N/A</v>
      </c>
      <c r="ID102" s="310"/>
      <c r="IE102" s="342">
        <v>88</v>
      </c>
      <c r="IF102" s="262" t="e">
        <f t="shared" si="149"/>
        <v>#N/A</v>
      </c>
      <c r="IG102" s="262" t="e">
        <f t="shared" si="150"/>
        <v>#N/A</v>
      </c>
      <c r="IH102" s="390"/>
      <c r="II102" s="390"/>
      <c r="IJ102" s="262" t="e">
        <f t="shared" si="151"/>
        <v>#N/A</v>
      </c>
      <c r="IK102" s="262" t="e">
        <f t="shared" si="152"/>
        <v>#N/A</v>
      </c>
      <c r="IL102" s="390"/>
      <c r="IM102" s="390"/>
      <c r="IN102" s="262" t="e">
        <f t="shared" si="153"/>
        <v>#N/A</v>
      </c>
      <c r="IO102" s="262" t="e">
        <f t="shared" si="154"/>
        <v>#N/A</v>
      </c>
      <c r="IP102" s="390"/>
      <c r="IQ102" s="390"/>
      <c r="IR102" s="262" t="e">
        <f t="shared" si="155"/>
        <v>#N/A</v>
      </c>
      <c r="IS102" s="262" t="e">
        <f t="shared" si="156"/>
        <v>#N/A</v>
      </c>
      <c r="IT102" s="390"/>
      <c r="IU102" s="390"/>
      <c r="IV102" s="262" t="e">
        <f t="shared" si="157"/>
        <v>#N/A</v>
      </c>
      <c r="IW102" s="262" t="e">
        <f t="shared" si="158"/>
        <v>#N/A</v>
      </c>
      <c r="IX102" s="310"/>
      <c r="IY102" s="310"/>
      <c r="IZ102" s="310"/>
      <c r="JA102" s="310"/>
      <c r="JB102" s="310"/>
      <c r="JC102" s="230" t="e">
        <v>#N/A</v>
      </c>
      <c r="JD102" s="230" t="e">
        <v>#N/A</v>
      </c>
      <c r="JE102" s="310"/>
      <c r="JF102" s="310"/>
      <c r="JG102" s="310"/>
      <c r="JH102" s="310"/>
      <c r="JI102" s="310"/>
      <c r="JJ102" s="264" t="e">
        <v>#N/A</v>
      </c>
      <c r="JK102" s="264" t="e">
        <v>#N/A</v>
      </c>
      <c r="JL102" s="310"/>
      <c r="JM102" s="310"/>
      <c r="JN102" s="261" t="e">
        <f t="shared" si="159"/>
        <v>#N/A</v>
      </c>
      <c r="JO102" s="261" t="e">
        <f t="shared" si="160"/>
        <v>#N/A</v>
      </c>
      <c r="JP102" s="310"/>
      <c r="JQ102" s="310"/>
      <c r="JR102" s="261" t="e">
        <f t="shared" si="165"/>
        <v>#N/A</v>
      </c>
      <c r="JS102" s="261" t="e">
        <f t="shared" si="166"/>
        <v>#N/A</v>
      </c>
      <c r="JT102" s="310"/>
      <c r="JU102" s="310"/>
      <c r="JV102" s="261" t="e">
        <f t="shared" si="161"/>
        <v>#N/A</v>
      </c>
      <c r="JW102" s="261" t="e">
        <f t="shared" si="162"/>
        <v>#N/A</v>
      </c>
      <c r="JX102" s="310"/>
      <c r="JY102" s="311"/>
      <c r="JZ102" s="311"/>
      <c r="KA102" s="311"/>
      <c r="KB102" s="313" t="s">
        <v>152</v>
      </c>
      <c r="KC102" s="242" t="e">
        <f>KC101</f>
        <v>#N/A</v>
      </c>
      <c r="KD102" s="265" t="e">
        <f>KA101+($IZ$108/2)-$IZ$109</f>
        <v>#N/A</v>
      </c>
      <c r="KE102" s="310"/>
      <c r="KF102" s="310"/>
      <c r="KG102" s="310"/>
      <c r="KH102" s="310"/>
      <c r="KI102" s="310"/>
      <c r="KJ102" s="310"/>
      <c r="KK102" s="310"/>
      <c r="KL102" s="310"/>
      <c r="KM102" s="310"/>
      <c r="KN102" s="310"/>
      <c r="KO102" s="310"/>
      <c r="KP102" s="310"/>
      <c r="KQ102" s="310"/>
      <c r="KR102" s="310"/>
      <c r="KS102" s="310"/>
      <c r="KT102" s="310"/>
      <c r="KU102" s="310"/>
      <c r="KV102" s="310"/>
      <c r="KW102" s="310"/>
      <c r="KX102" s="310"/>
      <c r="KY102" s="310"/>
      <c r="KZ102" s="310"/>
      <c r="LA102" s="310"/>
      <c r="LB102" s="310"/>
      <c r="LC102" s="310"/>
      <c r="LD102" s="310"/>
      <c r="LE102" s="310"/>
      <c r="LF102" s="310"/>
      <c r="LG102" s="310"/>
      <c r="LH102" s="310"/>
      <c r="LI102" s="310"/>
      <c r="LJ102" s="310"/>
      <c r="LK102" s="310"/>
      <c r="LL102" s="310"/>
      <c r="LM102" s="310"/>
      <c r="LN102" s="310"/>
      <c r="LO102" s="310"/>
      <c r="LP102" s="310"/>
      <c r="LQ102" s="310"/>
      <c r="LR102" s="310"/>
      <c r="LS102" s="310"/>
      <c r="LT102" s="310"/>
      <c r="LU102" s="310"/>
      <c r="LV102" s="310"/>
      <c r="LW102" s="310"/>
      <c r="LX102" s="310"/>
      <c r="LY102" s="310"/>
      <c r="LZ102" s="310"/>
      <c r="MA102" s="310"/>
      <c r="MB102" s="310"/>
      <c r="MC102" s="310"/>
      <c r="MD102" s="310"/>
      <c r="ME102" s="310"/>
      <c r="MF102" s="310"/>
      <c r="MG102" s="310"/>
      <c r="MH102" s="310"/>
      <c r="MI102" s="310"/>
      <c r="MJ102" s="310"/>
      <c r="MK102" s="310"/>
      <c r="ML102" s="310"/>
      <c r="MM102" s="310"/>
      <c r="MN102" s="310"/>
      <c r="MO102" s="310"/>
      <c r="MP102" s="310"/>
      <c r="MQ102" s="310"/>
      <c r="MR102" s="310"/>
      <c r="MS102" s="310"/>
      <c r="MT102" s="310"/>
      <c r="MU102" s="310"/>
      <c r="MV102" s="310"/>
      <c r="MW102" s="310"/>
      <c r="MX102" s="310"/>
      <c r="MY102" s="310"/>
      <c r="MZ102" s="310"/>
      <c r="NA102" s="310"/>
      <c r="NB102" s="310"/>
      <c r="NC102" s="310"/>
      <c r="ND102" s="310"/>
      <c r="NE102" s="310"/>
      <c r="NF102" s="310"/>
      <c r="NG102" s="310"/>
      <c r="NH102" s="310"/>
      <c r="NI102" s="310"/>
      <c r="NJ102" s="310"/>
      <c r="NK102" s="310"/>
      <c r="NL102" s="310"/>
      <c r="NM102" s="310"/>
      <c r="NN102" s="310"/>
      <c r="NO102" s="310"/>
      <c r="NP102" s="310"/>
      <c r="NQ102" s="310"/>
      <c r="NR102" s="310"/>
      <c r="NS102" s="310"/>
      <c r="NT102" s="310"/>
      <c r="NU102" s="310"/>
      <c r="NV102" s="310"/>
      <c r="NW102" s="310"/>
      <c r="NX102" s="310"/>
      <c r="NY102" s="310"/>
      <c r="NZ102" s="310"/>
      <c r="OA102" s="310"/>
      <c r="OB102" s="310"/>
      <c r="OC102" s="310"/>
      <c r="OD102" s="310"/>
      <c r="OE102" s="310"/>
      <c r="OF102" s="310"/>
      <c r="OG102" s="310"/>
      <c r="OH102" s="310"/>
      <c r="OI102" s="310"/>
      <c r="OJ102" s="310"/>
      <c r="OK102" s="310"/>
      <c r="OL102" s="310"/>
      <c r="OM102" s="310"/>
      <c r="ON102" s="310"/>
      <c r="OO102" s="310"/>
      <c r="OP102" s="310"/>
      <c r="OQ102" s="310"/>
      <c r="OR102" s="310"/>
      <c r="OS102" s="310"/>
      <c r="OT102" s="310"/>
      <c r="OU102" s="310"/>
      <c r="OV102" s="310"/>
      <c r="OW102" s="310"/>
      <c r="OX102" s="310"/>
      <c r="OY102" s="310"/>
      <c r="OZ102" s="310"/>
      <c r="PA102" s="310"/>
      <c r="PB102" s="310"/>
      <c r="PC102" s="310"/>
      <c r="PD102" s="310"/>
      <c r="PE102" s="310"/>
      <c r="PF102" s="310"/>
      <c r="PG102" s="310"/>
      <c r="PH102" s="310"/>
      <c r="PI102" s="310"/>
      <c r="PJ102" s="310"/>
      <c r="PK102" s="310"/>
      <c r="PL102" s="310"/>
      <c r="PM102" s="310"/>
      <c r="PN102" s="310"/>
      <c r="PO102" s="310"/>
      <c r="PP102" s="310"/>
      <c r="PQ102" s="310"/>
      <c r="PR102" s="310"/>
      <c r="PS102" s="342">
        <v>88</v>
      </c>
      <c r="PT102" s="261" t="e">
        <f t="shared" si="163"/>
        <v>#N/A</v>
      </c>
      <c r="PU102" s="261" t="e">
        <f t="shared" si="164"/>
        <v>#N/A</v>
      </c>
      <c r="PV102" s="310"/>
      <c r="PW102" s="310"/>
      <c r="PX102" s="310"/>
      <c r="PY102" s="310"/>
      <c r="PZ102" s="310"/>
      <c r="QA102" s="310"/>
      <c r="QB102" s="310"/>
      <c r="QC102" s="310"/>
      <c r="QD102" s="310"/>
      <c r="QE102" s="310"/>
      <c r="QF102" s="310"/>
      <c r="QG102" s="310"/>
      <c r="QH102" s="310"/>
      <c r="QI102" s="310"/>
      <c r="QJ102" s="310"/>
      <c r="QK102" s="310"/>
      <c r="QL102" s="310"/>
      <c r="QM102" s="310"/>
      <c r="QN102" s="310"/>
      <c r="QO102" s="310"/>
      <c r="QP102" s="310"/>
      <c r="QQ102" s="310"/>
      <c r="QR102" s="310"/>
      <c r="QS102" s="310"/>
      <c r="QT102" s="310"/>
      <c r="QU102" s="310"/>
      <c r="QV102" s="310"/>
      <c r="QW102" s="310"/>
      <c r="QX102" s="310"/>
      <c r="QY102" s="310"/>
      <c r="QZ102" s="310"/>
      <c r="RA102" s="310"/>
      <c r="RB102" s="310"/>
      <c r="RC102" s="310"/>
      <c r="RD102" s="310"/>
      <c r="RE102" s="310"/>
      <c r="RF102" s="310"/>
      <c r="RG102" s="310"/>
      <c r="RH102" s="310"/>
      <c r="RI102" s="310"/>
      <c r="RJ102" s="310"/>
      <c r="RK102" s="310"/>
      <c r="RL102" s="310"/>
      <c r="RM102" s="310"/>
      <c r="RN102" s="310"/>
      <c r="RO102" s="310"/>
      <c r="RP102" s="310"/>
      <c r="RQ102" s="310"/>
      <c r="RR102" s="310"/>
      <c r="RS102" s="310"/>
      <c r="RT102" s="310"/>
      <c r="RU102" s="310"/>
      <c r="RV102" s="310"/>
      <c r="RW102" s="310"/>
      <c r="RX102" s="310"/>
      <c r="RY102" s="310"/>
      <c r="RZ102" s="310"/>
      <c r="SA102" s="310"/>
      <c r="SB102" s="310"/>
      <c r="SC102" s="310"/>
      <c r="SD102" s="310"/>
      <c r="SE102" s="310"/>
      <c r="SF102" s="310"/>
      <c r="SG102" s="310"/>
      <c r="SH102" s="310"/>
      <c r="SI102" s="310"/>
      <c r="SJ102" s="310"/>
      <c r="SK102" s="310"/>
      <c r="SL102" s="310"/>
      <c r="SM102" s="310"/>
      <c r="SN102" s="310"/>
      <c r="SO102" s="220"/>
      <c r="SP102" s="220"/>
      <c r="SQ102" s="220"/>
      <c r="SR102" s="220"/>
      <c r="SS102" s="220"/>
      <c r="ST102" s="220"/>
      <c r="SU102" s="220"/>
      <c r="SV102" s="220"/>
      <c r="SW102" s="220"/>
      <c r="SX102" s="220"/>
      <c r="SY102" s="220"/>
      <c r="SZ102" s="220"/>
      <c r="TA102" s="220"/>
      <c r="TB102" s="220"/>
      <c r="TC102" s="220"/>
      <c r="TD102" s="220"/>
      <c r="TE102" s="220"/>
      <c r="TF102" s="220"/>
      <c r="TG102" s="220"/>
      <c r="TH102" s="220"/>
      <c r="TI102" s="220"/>
      <c r="TJ102" s="220"/>
      <c r="TK102" s="220"/>
      <c r="TL102" s="220"/>
      <c r="TM102" s="220"/>
      <c r="TN102" s="220"/>
      <c r="TO102" s="220"/>
      <c r="TP102" s="220"/>
      <c r="TQ102" s="220"/>
      <c r="TR102" s="220"/>
      <c r="TS102" s="220"/>
      <c r="TT102" s="220"/>
      <c r="TU102" s="220"/>
      <c r="TV102" s="220"/>
      <c r="TW102" s="220"/>
      <c r="TX102" s="220"/>
      <c r="TY102" s="220"/>
      <c r="TZ102" s="220"/>
      <c r="UA102" s="220"/>
      <c r="UB102" s="220"/>
      <c r="UC102" s="220"/>
      <c r="UD102" s="220"/>
      <c r="UE102" s="220"/>
      <c r="UF102" s="220"/>
      <c r="UG102" s="220"/>
      <c r="UH102" s="220"/>
      <c r="UI102" s="220"/>
      <c r="UJ102" s="220"/>
      <c r="UK102" s="216"/>
      <c r="UL102" s="216"/>
      <c r="UM102" s="216"/>
      <c r="UN102" s="216"/>
      <c r="UO102" s="216"/>
      <c r="UP102" s="216"/>
      <c r="UQ102" s="216"/>
      <c r="UR102" s="216"/>
      <c r="US102" s="216"/>
      <c r="UT102" s="216"/>
      <c r="UU102" s="216"/>
      <c r="UV102" s="216"/>
      <c r="UW102" s="216"/>
      <c r="UX102" s="216"/>
      <c r="UY102" s="216"/>
      <c r="UZ102" s="216"/>
      <c r="VA102" s="216"/>
    </row>
    <row r="103" spans="1:573" s="4" customFormat="1" x14ac:dyDescent="0.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5"/>
      <c r="AM103" s="45"/>
      <c r="AN103" s="45"/>
      <c r="AO103" s="45"/>
      <c r="AP103" s="310"/>
      <c r="AQ103" s="310"/>
      <c r="AR103" s="310"/>
      <c r="AS103" s="310"/>
      <c r="AT103" s="310"/>
      <c r="AU103" s="310"/>
      <c r="AV103" s="310"/>
      <c r="AW103" s="310"/>
      <c r="AX103" s="310"/>
      <c r="AY103" s="310"/>
      <c r="AZ103" s="310"/>
      <c r="BA103" s="310"/>
      <c r="BB103" s="310"/>
      <c r="BC103" s="310"/>
      <c r="BD103" s="310"/>
      <c r="BE103" s="310"/>
      <c r="BF103" s="310"/>
      <c r="BG103" s="310"/>
      <c r="BH103" s="310"/>
      <c r="BI103" s="310"/>
      <c r="BJ103" s="310"/>
      <c r="BK103" s="310"/>
      <c r="BL103" s="310"/>
      <c r="BM103" s="310"/>
      <c r="BN103" s="310"/>
      <c r="BO103" s="310"/>
      <c r="BP103" s="310"/>
      <c r="BQ103" s="310"/>
      <c r="BR103" s="310"/>
      <c r="BS103" s="310"/>
      <c r="BT103" s="310"/>
      <c r="BU103" s="310"/>
      <c r="BV103" s="310"/>
      <c r="BW103" s="310"/>
      <c r="BX103" s="310"/>
      <c r="BY103" s="310"/>
      <c r="BZ103" s="310"/>
      <c r="CA103" s="310"/>
      <c r="CB103" s="310"/>
      <c r="CC103" s="310"/>
      <c r="CD103" s="310"/>
      <c r="CE103" s="310"/>
      <c r="CF103" s="310"/>
      <c r="CG103" s="310"/>
      <c r="CH103" s="310"/>
      <c r="CI103" s="310"/>
      <c r="CJ103" s="310"/>
      <c r="CK103" s="310"/>
      <c r="CL103" s="310"/>
      <c r="CM103" s="310"/>
      <c r="CN103" s="310"/>
      <c r="CO103" s="310"/>
      <c r="CP103" s="310"/>
      <c r="CQ103" s="310"/>
      <c r="CR103" s="310"/>
      <c r="CS103" s="310"/>
      <c r="CT103" s="310"/>
      <c r="CU103" s="310"/>
      <c r="CV103" s="310"/>
      <c r="CW103" s="310"/>
      <c r="CX103" s="310"/>
      <c r="CY103" s="310"/>
      <c r="CZ103" s="310"/>
      <c r="DA103" s="310"/>
      <c r="DB103" s="310"/>
      <c r="DC103" s="310"/>
      <c r="DD103" s="310"/>
      <c r="DE103" s="310"/>
      <c r="DF103" s="310"/>
      <c r="DG103" s="310"/>
      <c r="DH103" s="310"/>
      <c r="DI103" s="310"/>
      <c r="DJ103" s="310"/>
      <c r="DK103" s="310"/>
      <c r="DL103" s="310"/>
      <c r="DM103" s="310"/>
      <c r="DN103" s="310"/>
      <c r="DO103" s="310"/>
      <c r="DP103" s="310"/>
      <c r="DQ103" s="310"/>
      <c r="DR103" s="310"/>
      <c r="DS103" s="310"/>
      <c r="DT103" s="310"/>
      <c r="DU103" s="230">
        <f>DU102</f>
        <v>1.2</v>
      </c>
      <c r="DV103" s="230">
        <f>DV48</f>
        <v>-0.65</v>
      </c>
      <c r="DW103" s="300" t="e">
        <v>#N/A</v>
      </c>
      <c r="DX103" s="300" t="e">
        <v>#N/A</v>
      </c>
      <c r="DY103" s="310"/>
      <c r="DZ103" s="310"/>
      <c r="EA103" s="310"/>
      <c r="EB103" s="310"/>
      <c r="EC103" s="310"/>
      <c r="ED103" s="310"/>
      <c r="EE103" s="310"/>
      <c r="EF103" s="310"/>
      <c r="EG103" s="310"/>
      <c r="EH103" s="310"/>
      <c r="EI103" s="338">
        <v>32</v>
      </c>
      <c r="EJ103" s="338" t="b">
        <f t="shared" si="127"/>
        <v>0</v>
      </c>
      <c r="EK103" s="281" t="e">
        <f t="shared" si="128"/>
        <v>#N/A</v>
      </c>
      <c r="EL103" s="281" t="e">
        <f t="shared" si="129"/>
        <v>#N/A</v>
      </c>
      <c r="EM103" s="310"/>
      <c r="EN103" s="280">
        <f>EN100</f>
        <v>1</v>
      </c>
      <c r="EO103" s="280">
        <f>EO102</f>
        <v>0.6</v>
      </c>
      <c r="EP103" s="310"/>
      <c r="EQ103" s="310"/>
      <c r="ER103" s="310"/>
      <c r="ES103" s="310"/>
      <c r="ET103" s="310"/>
      <c r="EU103" s="310"/>
      <c r="EV103" s="310"/>
      <c r="EW103" s="310"/>
      <c r="EX103" s="310"/>
      <c r="EY103" s="310"/>
      <c r="EZ103" s="310"/>
      <c r="FA103" s="310"/>
      <c r="FB103" s="310"/>
      <c r="FC103" s="310"/>
      <c r="FD103" s="310"/>
      <c r="FE103" s="310"/>
      <c r="FF103" s="310"/>
      <c r="FG103" s="310"/>
      <c r="FH103" s="310"/>
      <c r="FI103" s="310"/>
      <c r="FJ103" s="310"/>
      <c r="FK103" s="310"/>
      <c r="FL103" s="310"/>
      <c r="FM103" s="310"/>
      <c r="FN103" s="310"/>
      <c r="FO103" s="310"/>
      <c r="FP103" s="310"/>
      <c r="FQ103" s="310"/>
      <c r="FR103" s="310"/>
      <c r="FS103" s="310"/>
      <c r="FT103" s="310"/>
      <c r="FU103" s="310"/>
      <c r="FV103" s="310"/>
      <c r="FW103" s="310"/>
      <c r="FX103" s="310"/>
      <c r="FY103" s="310"/>
      <c r="FZ103" s="310"/>
      <c r="GA103" s="310"/>
      <c r="GB103" s="310"/>
      <c r="GC103" s="310"/>
      <c r="GD103" s="310"/>
      <c r="GE103" s="310"/>
      <c r="GF103" s="310"/>
      <c r="GG103" s="310"/>
      <c r="GH103" s="310"/>
      <c r="GI103" s="310"/>
      <c r="GJ103" s="310"/>
      <c r="GK103" s="310"/>
      <c r="GL103" s="310"/>
      <c r="GM103" s="310"/>
      <c r="GN103" s="310"/>
      <c r="GO103" s="310"/>
      <c r="GP103" s="310"/>
      <c r="GQ103" s="310"/>
      <c r="GR103" s="310"/>
      <c r="GS103" s="310"/>
      <c r="GT103" s="310"/>
      <c r="GU103" s="310"/>
      <c r="GV103" s="310"/>
      <c r="GW103" s="310"/>
      <c r="GX103" s="310"/>
      <c r="GY103" s="310"/>
      <c r="GZ103" s="310"/>
      <c r="HA103" s="310"/>
      <c r="HB103" s="310"/>
      <c r="HC103" s="310"/>
      <c r="HD103" s="310"/>
      <c r="HE103" s="310"/>
      <c r="HF103" s="310"/>
      <c r="HG103" s="310"/>
      <c r="HH103" s="310"/>
      <c r="HI103" s="310"/>
      <c r="HJ103" s="310"/>
      <c r="HK103" s="342">
        <v>89</v>
      </c>
      <c r="HL103" s="235" t="e">
        <f t="shared" si="139"/>
        <v>#N/A</v>
      </c>
      <c r="HM103" s="235" t="e">
        <f t="shared" si="140"/>
        <v>#N/A</v>
      </c>
      <c r="HN103" s="310"/>
      <c r="HO103" s="310"/>
      <c r="HP103" s="235" t="e">
        <f t="shared" si="141"/>
        <v>#N/A</v>
      </c>
      <c r="HQ103" s="235" t="e">
        <f t="shared" si="142"/>
        <v>#N/A</v>
      </c>
      <c r="HR103" s="310"/>
      <c r="HS103" s="310"/>
      <c r="HT103" s="235" t="e">
        <f t="shared" si="143"/>
        <v>#N/A</v>
      </c>
      <c r="HU103" s="235" t="e">
        <f t="shared" si="144"/>
        <v>#N/A</v>
      </c>
      <c r="HV103" s="310"/>
      <c r="HW103" s="310"/>
      <c r="HX103" s="235" t="e">
        <f t="shared" si="145"/>
        <v>#N/A</v>
      </c>
      <c r="HY103" s="235" t="e">
        <f t="shared" si="146"/>
        <v>#N/A</v>
      </c>
      <c r="HZ103" s="310"/>
      <c r="IA103" s="310"/>
      <c r="IB103" s="235" t="e">
        <f t="shared" si="147"/>
        <v>#N/A</v>
      </c>
      <c r="IC103" s="235" t="e">
        <f t="shared" si="148"/>
        <v>#N/A</v>
      </c>
      <c r="ID103" s="310"/>
      <c r="IE103" s="342">
        <v>89</v>
      </c>
      <c r="IF103" s="262" t="e">
        <f t="shared" si="149"/>
        <v>#N/A</v>
      </c>
      <c r="IG103" s="262" t="e">
        <f t="shared" si="150"/>
        <v>#N/A</v>
      </c>
      <c r="IH103" s="390"/>
      <c r="II103" s="390"/>
      <c r="IJ103" s="262" t="e">
        <f t="shared" si="151"/>
        <v>#N/A</v>
      </c>
      <c r="IK103" s="262" t="e">
        <f t="shared" si="152"/>
        <v>#N/A</v>
      </c>
      <c r="IL103" s="390"/>
      <c r="IM103" s="390"/>
      <c r="IN103" s="262" t="e">
        <f t="shared" si="153"/>
        <v>#N/A</v>
      </c>
      <c r="IO103" s="262" t="e">
        <f t="shared" si="154"/>
        <v>#N/A</v>
      </c>
      <c r="IP103" s="390"/>
      <c r="IQ103" s="390"/>
      <c r="IR103" s="262" t="e">
        <f t="shared" si="155"/>
        <v>#N/A</v>
      </c>
      <c r="IS103" s="262" t="e">
        <f t="shared" si="156"/>
        <v>#N/A</v>
      </c>
      <c r="IT103" s="390"/>
      <c r="IU103" s="390"/>
      <c r="IV103" s="262" t="e">
        <f t="shared" si="157"/>
        <v>#N/A</v>
      </c>
      <c r="IW103" s="262" t="e">
        <f t="shared" si="158"/>
        <v>#N/A</v>
      </c>
      <c r="IX103" s="310"/>
      <c r="IY103" s="310"/>
      <c r="IZ103" s="310"/>
      <c r="JA103" s="310"/>
      <c r="JB103" s="310"/>
      <c r="JC103" s="230" t="e">
        <v>#N/A</v>
      </c>
      <c r="JD103" s="230" t="e">
        <v>#N/A</v>
      </c>
      <c r="JE103" s="310"/>
      <c r="JF103" s="310"/>
      <c r="JG103" s="310"/>
      <c r="JH103" s="310"/>
      <c r="JI103" s="310"/>
      <c r="JJ103" s="264" t="e">
        <v>#N/A</v>
      </c>
      <c r="JK103" s="264" t="e">
        <v>#N/A</v>
      </c>
      <c r="JL103" s="310"/>
      <c r="JM103" s="310"/>
      <c r="JN103" s="261" t="e">
        <f t="shared" si="159"/>
        <v>#N/A</v>
      </c>
      <c r="JO103" s="261" t="e">
        <f t="shared" si="160"/>
        <v>#N/A</v>
      </c>
      <c r="JP103" s="310"/>
      <c r="JQ103" s="310"/>
      <c r="JR103" s="261" t="e">
        <f t="shared" si="165"/>
        <v>#N/A</v>
      </c>
      <c r="JS103" s="261" t="e">
        <f t="shared" si="166"/>
        <v>#N/A</v>
      </c>
      <c r="JT103" s="310"/>
      <c r="JU103" s="310"/>
      <c r="JV103" s="261" t="e">
        <f t="shared" si="161"/>
        <v>#N/A</v>
      </c>
      <c r="JW103" s="261" t="e">
        <f t="shared" si="162"/>
        <v>#N/A</v>
      </c>
      <c r="JX103" s="310"/>
      <c r="JY103" s="311"/>
      <c r="JZ103" s="311"/>
      <c r="KA103" s="311"/>
      <c r="KB103" s="313" t="s">
        <v>167</v>
      </c>
      <c r="KC103" s="242" t="e">
        <f>JZ101+$IZ$112/2</f>
        <v>#N/A</v>
      </c>
      <c r="KD103" s="266" t="e">
        <f>KA101+($IZ$108/2)-($IZ$108-$IZ$111-$IZ$110)</f>
        <v>#N/A</v>
      </c>
      <c r="KE103" s="310"/>
      <c r="KF103" s="310"/>
      <c r="KG103" s="310"/>
      <c r="KH103" s="310"/>
      <c r="KI103" s="310"/>
      <c r="KJ103" s="310"/>
      <c r="KK103" s="310"/>
      <c r="KL103" s="310"/>
      <c r="KM103" s="310"/>
      <c r="KN103" s="310"/>
      <c r="KO103" s="310"/>
      <c r="KP103" s="310"/>
      <c r="KQ103" s="310"/>
      <c r="KR103" s="310"/>
      <c r="KS103" s="310"/>
      <c r="KT103" s="310"/>
      <c r="KU103" s="310"/>
      <c r="KV103" s="310"/>
      <c r="KW103" s="310"/>
      <c r="KX103" s="310"/>
      <c r="KY103" s="310"/>
      <c r="KZ103" s="310"/>
      <c r="LA103" s="310"/>
      <c r="LB103" s="310"/>
      <c r="LC103" s="310"/>
      <c r="LD103" s="310"/>
      <c r="LE103" s="310"/>
      <c r="LF103" s="310"/>
      <c r="LG103" s="310"/>
      <c r="LH103" s="310"/>
      <c r="LI103" s="310"/>
      <c r="LJ103" s="310"/>
      <c r="LK103" s="310"/>
      <c r="LL103" s="310"/>
      <c r="LM103" s="310"/>
      <c r="LN103" s="310"/>
      <c r="LO103" s="310"/>
      <c r="LP103" s="310"/>
      <c r="LQ103" s="310"/>
      <c r="LR103" s="310"/>
      <c r="LS103" s="310"/>
      <c r="LT103" s="310"/>
      <c r="LU103" s="310"/>
      <c r="LV103" s="310"/>
      <c r="LW103" s="310"/>
      <c r="LX103" s="310"/>
      <c r="LY103" s="310"/>
      <c r="LZ103" s="310"/>
      <c r="MA103" s="310"/>
      <c r="MB103" s="310"/>
      <c r="MC103" s="310"/>
      <c r="MD103" s="310"/>
      <c r="ME103" s="310"/>
      <c r="MF103" s="310"/>
      <c r="MG103" s="310"/>
      <c r="MH103" s="310"/>
      <c r="MI103" s="310"/>
      <c r="MJ103" s="310"/>
      <c r="MK103" s="310"/>
      <c r="ML103" s="310"/>
      <c r="MM103" s="310"/>
      <c r="MN103" s="310"/>
      <c r="MO103" s="310"/>
      <c r="MP103" s="310"/>
      <c r="MQ103" s="310"/>
      <c r="MR103" s="310"/>
      <c r="MS103" s="310"/>
      <c r="MT103" s="310"/>
      <c r="MU103" s="310"/>
      <c r="MV103" s="310"/>
      <c r="MW103" s="310"/>
      <c r="MX103" s="310"/>
      <c r="MY103" s="310"/>
      <c r="MZ103" s="310"/>
      <c r="NA103" s="310"/>
      <c r="NB103" s="310"/>
      <c r="NC103" s="310"/>
      <c r="ND103" s="310"/>
      <c r="NE103" s="310"/>
      <c r="NF103" s="310"/>
      <c r="NG103" s="310"/>
      <c r="NH103" s="310"/>
      <c r="NI103" s="310"/>
      <c r="NJ103" s="310"/>
      <c r="NK103" s="310"/>
      <c r="NL103" s="310"/>
      <c r="NM103" s="310"/>
      <c r="NN103" s="310"/>
      <c r="NO103" s="310"/>
      <c r="NP103" s="310"/>
      <c r="NQ103" s="310"/>
      <c r="NR103" s="310"/>
      <c r="NS103" s="310"/>
      <c r="NT103" s="310"/>
      <c r="NU103" s="310"/>
      <c r="NV103" s="310"/>
      <c r="NW103" s="310"/>
      <c r="NX103" s="310"/>
      <c r="NY103" s="310"/>
      <c r="NZ103" s="310"/>
      <c r="OA103" s="310"/>
      <c r="OB103" s="310"/>
      <c r="OC103" s="310"/>
      <c r="OD103" s="310"/>
      <c r="OE103" s="310"/>
      <c r="OF103" s="310"/>
      <c r="OG103" s="310"/>
      <c r="OH103" s="310"/>
      <c r="OI103" s="310"/>
      <c r="OJ103" s="310"/>
      <c r="OK103" s="310"/>
      <c r="OL103" s="310"/>
      <c r="OM103" s="310"/>
      <c r="ON103" s="310"/>
      <c r="OO103" s="310"/>
      <c r="OP103" s="310"/>
      <c r="OQ103" s="310"/>
      <c r="OR103" s="310"/>
      <c r="OS103" s="310"/>
      <c r="OT103" s="310"/>
      <c r="OU103" s="310"/>
      <c r="OV103" s="310"/>
      <c r="OW103" s="310"/>
      <c r="OX103" s="310"/>
      <c r="OY103" s="310"/>
      <c r="OZ103" s="310"/>
      <c r="PA103" s="310"/>
      <c r="PB103" s="310"/>
      <c r="PC103" s="310"/>
      <c r="PD103" s="310"/>
      <c r="PE103" s="310"/>
      <c r="PF103" s="310"/>
      <c r="PG103" s="310"/>
      <c r="PH103" s="310"/>
      <c r="PI103" s="310"/>
      <c r="PJ103" s="310"/>
      <c r="PK103" s="310"/>
      <c r="PL103" s="310"/>
      <c r="PM103" s="310"/>
      <c r="PN103" s="310"/>
      <c r="PO103" s="310"/>
      <c r="PP103" s="310"/>
      <c r="PQ103" s="310"/>
      <c r="PR103" s="310"/>
      <c r="PS103" s="342">
        <v>89</v>
      </c>
      <c r="PT103" s="261" t="e">
        <f t="shared" si="163"/>
        <v>#N/A</v>
      </c>
      <c r="PU103" s="261" t="e">
        <f t="shared" si="164"/>
        <v>#N/A</v>
      </c>
      <c r="PV103" s="310"/>
      <c r="PW103" s="310"/>
      <c r="PX103" s="310"/>
      <c r="PY103" s="310"/>
      <c r="PZ103" s="310"/>
      <c r="QA103" s="310"/>
      <c r="QB103" s="310"/>
      <c r="QC103" s="310"/>
      <c r="QD103" s="310"/>
      <c r="QE103" s="310"/>
      <c r="QF103" s="310"/>
      <c r="QG103" s="310"/>
      <c r="QH103" s="310"/>
      <c r="QI103" s="310"/>
      <c r="QJ103" s="310"/>
      <c r="QK103" s="310"/>
      <c r="QL103" s="310"/>
      <c r="QM103" s="310"/>
      <c r="QN103" s="310"/>
      <c r="QO103" s="310"/>
      <c r="QP103" s="310"/>
      <c r="QQ103" s="310"/>
      <c r="QR103" s="310"/>
      <c r="QS103" s="310"/>
      <c r="QT103" s="310"/>
      <c r="QU103" s="310"/>
      <c r="QV103" s="310"/>
      <c r="QW103" s="310"/>
      <c r="QX103" s="310"/>
      <c r="QY103" s="310"/>
      <c r="QZ103" s="310"/>
      <c r="RA103" s="310"/>
      <c r="RB103" s="310"/>
      <c r="RC103" s="310"/>
      <c r="RD103" s="310"/>
      <c r="RE103" s="310"/>
      <c r="RF103" s="310"/>
      <c r="RG103" s="310"/>
      <c r="RH103" s="310"/>
      <c r="RI103" s="310"/>
      <c r="RJ103" s="310"/>
      <c r="RK103" s="310"/>
      <c r="RL103" s="310"/>
      <c r="RM103" s="310"/>
      <c r="RN103" s="310"/>
      <c r="RO103" s="310"/>
      <c r="RP103" s="310"/>
      <c r="RQ103" s="310"/>
      <c r="RR103" s="310"/>
      <c r="RS103" s="310"/>
      <c r="RT103" s="310"/>
      <c r="RU103" s="310"/>
      <c r="RV103" s="310"/>
      <c r="RW103" s="310"/>
      <c r="RX103" s="310"/>
      <c r="RY103" s="310"/>
      <c r="RZ103" s="310"/>
      <c r="SA103" s="310"/>
      <c r="SB103" s="310"/>
      <c r="SC103" s="310"/>
      <c r="SD103" s="310"/>
      <c r="SE103" s="310"/>
      <c r="SF103" s="310"/>
      <c r="SG103" s="310"/>
      <c r="SH103" s="310"/>
      <c r="SI103" s="310"/>
      <c r="SJ103" s="310"/>
      <c r="SK103" s="310"/>
      <c r="SL103" s="310"/>
      <c r="SM103" s="310"/>
      <c r="SN103" s="310"/>
      <c r="SO103" s="220"/>
      <c r="SP103" s="220"/>
      <c r="SQ103" s="220"/>
      <c r="SR103" s="220"/>
      <c r="SS103" s="220"/>
      <c r="ST103" s="220"/>
      <c r="SU103" s="220"/>
      <c r="SV103" s="220"/>
      <c r="SW103" s="220"/>
      <c r="SX103" s="220"/>
      <c r="SY103" s="220"/>
      <c r="SZ103" s="220"/>
      <c r="TA103" s="220"/>
      <c r="TB103" s="220"/>
      <c r="TC103" s="220"/>
      <c r="TD103" s="220"/>
      <c r="TE103" s="220"/>
      <c r="TF103" s="220"/>
      <c r="TG103" s="220"/>
      <c r="TH103" s="220"/>
      <c r="TI103" s="220"/>
      <c r="TJ103" s="220"/>
      <c r="TK103" s="220"/>
      <c r="TL103" s="220"/>
      <c r="TM103" s="220"/>
      <c r="TN103" s="220"/>
      <c r="TO103" s="220"/>
      <c r="TP103" s="220"/>
      <c r="TQ103" s="220"/>
      <c r="TR103" s="220"/>
      <c r="TS103" s="220"/>
      <c r="TT103" s="220"/>
      <c r="TU103" s="220"/>
      <c r="TV103" s="220"/>
      <c r="TW103" s="220"/>
      <c r="TX103" s="220"/>
      <c r="TY103" s="220"/>
      <c r="TZ103" s="220"/>
      <c r="UA103" s="220"/>
      <c r="UB103" s="220"/>
      <c r="UC103" s="220"/>
      <c r="UD103" s="220"/>
      <c r="UE103" s="220"/>
      <c r="UF103" s="220"/>
      <c r="UG103" s="220"/>
      <c r="UH103" s="220"/>
      <c r="UI103" s="220"/>
      <c r="UJ103" s="220"/>
      <c r="UK103" s="216"/>
      <c r="UL103" s="216"/>
      <c r="UM103" s="216"/>
      <c r="UN103" s="216"/>
      <c r="UO103" s="216"/>
      <c r="UP103" s="216"/>
      <c r="UQ103" s="216"/>
      <c r="UR103" s="216"/>
      <c r="US103" s="216"/>
      <c r="UT103" s="216"/>
      <c r="UU103" s="216"/>
      <c r="UV103" s="216"/>
      <c r="UW103" s="216"/>
      <c r="UX103" s="216"/>
      <c r="UY103" s="216"/>
      <c r="UZ103" s="216"/>
      <c r="VA103" s="216"/>
    </row>
    <row r="104" spans="1:573" s="4" customFormat="1" x14ac:dyDescent="0.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5"/>
      <c r="AM104" s="45"/>
      <c r="AN104" s="45"/>
      <c r="AO104" s="45"/>
      <c r="AP104" s="310"/>
      <c r="AQ104" s="310"/>
      <c r="AR104" s="310"/>
      <c r="AS104" s="310"/>
      <c r="AT104" s="310"/>
      <c r="AU104" s="310"/>
      <c r="AV104" s="310"/>
      <c r="AW104" s="310"/>
      <c r="AX104" s="310"/>
      <c r="AY104" s="310"/>
      <c r="AZ104" s="310"/>
      <c r="BA104" s="310"/>
      <c r="BB104" s="310"/>
      <c r="BC104" s="310"/>
      <c r="BD104" s="310"/>
      <c r="BE104" s="310"/>
      <c r="BF104" s="310"/>
      <c r="BG104" s="310"/>
      <c r="BH104" s="310"/>
      <c r="BI104" s="310"/>
      <c r="BJ104" s="310"/>
      <c r="BK104" s="310"/>
      <c r="BL104" s="310"/>
      <c r="BM104" s="310"/>
      <c r="BN104" s="310"/>
      <c r="BO104" s="310"/>
      <c r="BP104" s="310"/>
      <c r="BQ104" s="310"/>
      <c r="BR104" s="310"/>
      <c r="BS104" s="310"/>
      <c r="BT104" s="310"/>
      <c r="BU104" s="310"/>
      <c r="BV104" s="310"/>
      <c r="BW104" s="310"/>
      <c r="BX104" s="310"/>
      <c r="BY104" s="310"/>
      <c r="BZ104" s="310"/>
      <c r="CA104" s="310"/>
      <c r="CB104" s="310"/>
      <c r="CC104" s="310"/>
      <c r="CD104" s="310"/>
      <c r="CE104" s="310"/>
      <c r="CF104" s="310"/>
      <c r="CG104" s="310"/>
      <c r="CH104" s="310"/>
      <c r="CI104" s="310"/>
      <c r="CJ104" s="310"/>
      <c r="CK104" s="310"/>
      <c r="CL104" s="310"/>
      <c r="CM104" s="310"/>
      <c r="CN104" s="310"/>
      <c r="CO104" s="310"/>
      <c r="CP104" s="310"/>
      <c r="CQ104" s="310"/>
      <c r="CR104" s="310"/>
      <c r="CS104" s="310"/>
      <c r="CT104" s="310"/>
      <c r="CU104" s="310"/>
      <c r="CV104" s="310"/>
      <c r="CW104" s="310"/>
      <c r="CX104" s="310"/>
      <c r="CY104" s="310"/>
      <c r="CZ104" s="310"/>
      <c r="DA104" s="310"/>
      <c r="DB104" s="310"/>
      <c r="DC104" s="310"/>
      <c r="DD104" s="310"/>
      <c r="DE104" s="310"/>
      <c r="DF104" s="310"/>
      <c r="DG104" s="310"/>
      <c r="DH104" s="310"/>
      <c r="DI104" s="310"/>
      <c r="DJ104" s="310"/>
      <c r="DK104" s="310"/>
      <c r="DL104" s="310"/>
      <c r="DM104" s="310"/>
      <c r="DN104" s="310"/>
      <c r="DO104" s="310"/>
      <c r="DP104" s="310"/>
      <c r="DQ104" s="310"/>
      <c r="DR104" s="310"/>
      <c r="DS104" s="310"/>
      <c r="DT104" s="310"/>
      <c r="DU104" s="230">
        <f>DU100</f>
        <v>0.65</v>
      </c>
      <c r="DV104" s="230">
        <f>DV103</f>
        <v>-0.65</v>
      </c>
      <c r="DW104" s="300" t="e">
        <v>#N/A</v>
      </c>
      <c r="DX104" s="300" t="e">
        <v>#N/A</v>
      </c>
      <c r="DY104" s="310"/>
      <c r="DZ104" s="310"/>
      <c r="EA104" s="310"/>
      <c r="EB104" s="310"/>
      <c r="EC104" s="310"/>
      <c r="ED104" s="310"/>
      <c r="EE104" s="310"/>
      <c r="EF104" s="310"/>
      <c r="EG104" s="310"/>
      <c r="EH104" s="310"/>
      <c r="EI104" s="338">
        <v>33</v>
      </c>
      <c r="EJ104" s="338" t="b">
        <f t="shared" si="127"/>
        <v>0</v>
      </c>
      <c r="EK104" s="281" t="e">
        <f t="shared" si="128"/>
        <v>#N/A</v>
      </c>
      <c r="EL104" s="281" t="e">
        <f t="shared" si="129"/>
        <v>#N/A</v>
      </c>
      <c r="EM104" s="310"/>
      <c r="EN104" s="280" t="e">
        <v>#N/A</v>
      </c>
      <c r="EO104" s="280" t="e">
        <v>#N/A</v>
      </c>
      <c r="EP104" s="310"/>
      <c r="EQ104" s="310"/>
      <c r="ER104" s="310"/>
      <c r="ES104" s="310"/>
      <c r="ET104" s="310"/>
      <c r="EU104" s="310"/>
      <c r="EV104" s="310"/>
      <c r="EW104" s="310"/>
      <c r="EX104" s="310"/>
      <c r="EY104" s="310"/>
      <c r="EZ104" s="310"/>
      <c r="FA104" s="310"/>
      <c r="FB104" s="310"/>
      <c r="FC104" s="310"/>
      <c r="FD104" s="310"/>
      <c r="FE104" s="310"/>
      <c r="FF104" s="310"/>
      <c r="FG104" s="310"/>
      <c r="FH104" s="310"/>
      <c r="FI104" s="310"/>
      <c r="FJ104" s="310"/>
      <c r="FK104" s="310"/>
      <c r="FL104" s="310"/>
      <c r="FM104" s="310"/>
      <c r="FN104" s="310"/>
      <c r="FO104" s="310"/>
      <c r="FP104" s="310"/>
      <c r="FQ104" s="310"/>
      <c r="FR104" s="310"/>
      <c r="FS104" s="310"/>
      <c r="FT104" s="310"/>
      <c r="FU104" s="310"/>
      <c r="FV104" s="310"/>
      <c r="FW104" s="310"/>
      <c r="FX104" s="310"/>
      <c r="FY104" s="310"/>
      <c r="FZ104" s="310"/>
      <c r="GA104" s="310"/>
      <c r="GB104" s="310"/>
      <c r="GC104" s="310"/>
      <c r="GD104" s="310"/>
      <c r="GE104" s="310"/>
      <c r="GF104" s="310"/>
      <c r="GG104" s="310"/>
      <c r="GH104" s="310"/>
      <c r="GI104" s="310"/>
      <c r="GJ104" s="310"/>
      <c r="GK104" s="310"/>
      <c r="GL104" s="310"/>
      <c r="GM104" s="310"/>
      <c r="GN104" s="310"/>
      <c r="GO104" s="310"/>
      <c r="GP104" s="310"/>
      <c r="GQ104" s="310"/>
      <c r="GR104" s="310"/>
      <c r="GS104" s="310"/>
      <c r="GT104" s="310"/>
      <c r="GU104" s="310"/>
      <c r="GV104" s="310"/>
      <c r="GW104" s="310"/>
      <c r="GX104" s="310"/>
      <c r="GY104" s="310"/>
      <c r="GZ104" s="310"/>
      <c r="HA104" s="310"/>
      <c r="HB104" s="310"/>
      <c r="HC104" s="310"/>
      <c r="HD104" s="310"/>
      <c r="HE104" s="310"/>
      <c r="HF104" s="310"/>
      <c r="HG104" s="310"/>
      <c r="HH104" s="310"/>
      <c r="HI104" s="310"/>
      <c r="HJ104" s="310"/>
      <c r="HK104" s="342">
        <v>90</v>
      </c>
      <c r="HL104" s="235" t="e">
        <f t="shared" si="139"/>
        <v>#N/A</v>
      </c>
      <c r="HM104" s="235" t="e">
        <f t="shared" si="140"/>
        <v>#N/A</v>
      </c>
      <c r="HN104" s="310"/>
      <c r="HO104" s="310"/>
      <c r="HP104" s="235" t="e">
        <f t="shared" si="141"/>
        <v>#N/A</v>
      </c>
      <c r="HQ104" s="235" t="e">
        <f t="shared" si="142"/>
        <v>#N/A</v>
      </c>
      <c r="HR104" s="310"/>
      <c r="HS104" s="310"/>
      <c r="HT104" s="235" t="e">
        <f t="shared" si="143"/>
        <v>#N/A</v>
      </c>
      <c r="HU104" s="235" t="e">
        <f t="shared" si="144"/>
        <v>#N/A</v>
      </c>
      <c r="HV104" s="310"/>
      <c r="HW104" s="310"/>
      <c r="HX104" s="235" t="e">
        <f t="shared" si="145"/>
        <v>#N/A</v>
      </c>
      <c r="HY104" s="235" t="e">
        <f t="shared" si="146"/>
        <v>#N/A</v>
      </c>
      <c r="HZ104" s="310"/>
      <c r="IA104" s="310"/>
      <c r="IB104" s="235" t="e">
        <f t="shared" si="147"/>
        <v>#N/A</v>
      </c>
      <c r="IC104" s="235" t="e">
        <f t="shared" si="148"/>
        <v>#N/A</v>
      </c>
      <c r="ID104" s="310"/>
      <c r="IE104" s="342">
        <v>90</v>
      </c>
      <c r="IF104" s="262" t="e">
        <f t="shared" si="149"/>
        <v>#N/A</v>
      </c>
      <c r="IG104" s="262" t="e">
        <f t="shared" si="150"/>
        <v>#N/A</v>
      </c>
      <c r="IH104" s="390"/>
      <c r="II104" s="390"/>
      <c r="IJ104" s="262" t="e">
        <f t="shared" si="151"/>
        <v>#N/A</v>
      </c>
      <c r="IK104" s="262" t="e">
        <f t="shared" si="152"/>
        <v>#N/A</v>
      </c>
      <c r="IL104" s="390"/>
      <c r="IM104" s="390"/>
      <c r="IN104" s="262" t="e">
        <f t="shared" si="153"/>
        <v>#N/A</v>
      </c>
      <c r="IO104" s="262" t="e">
        <f t="shared" si="154"/>
        <v>#N/A</v>
      </c>
      <c r="IP104" s="390"/>
      <c r="IQ104" s="390"/>
      <c r="IR104" s="262" t="e">
        <f t="shared" si="155"/>
        <v>#N/A</v>
      </c>
      <c r="IS104" s="262" t="e">
        <f t="shared" si="156"/>
        <v>#N/A</v>
      </c>
      <c r="IT104" s="390"/>
      <c r="IU104" s="390"/>
      <c r="IV104" s="262" t="e">
        <f t="shared" si="157"/>
        <v>#N/A</v>
      </c>
      <c r="IW104" s="262" t="e">
        <f t="shared" si="158"/>
        <v>#N/A</v>
      </c>
      <c r="IX104" s="310"/>
      <c r="IY104" s="342" t="s">
        <v>353</v>
      </c>
      <c r="IZ104" s="328" t="s">
        <v>387</v>
      </c>
      <c r="JA104" s="328" t="b">
        <f>AND($GY$6&gt;=$GX$7,$GY$6&lt;=$GX$13,$BM$7=TRUE)</f>
        <v>1</v>
      </c>
      <c r="JB104" s="313" t="s">
        <v>106</v>
      </c>
      <c r="JC104" s="228">
        <f>IZ106-($IZ$108/2)+$IZ$114</f>
        <v>-0.78500000000000003</v>
      </c>
      <c r="JD104" s="228">
        <f>JA106+$IZ$108/2</f>
        <v>-0.5</v>
      </c>
      <c r="JE104" s="310"/>
      <c r="JF104" s="342" t="s">
        <v>353</v>
      </c>
      <c r="JG104" s="328" t="s">
        <v>387</v>
      </c>
      <c r="JH104" s="328" t="b">
        <f>IF(CP13=TRUE,AND($GY$6&gt;=$GX$7,$GY$6&lt;=$GX$13,$BM$7=TRUE,$BE$7=TRUE,CU11=TRUE),FALSE)</f>
        <v>1</v>
      </c>
      <c r="JI104" s="313" t="s">
        <v>106</v>
      </c>
      <c r="JJ104" s="242">
        <f>JG106-($IZ$108/2)+$IZ$114</f>
        <v>-0.78500000000000003</v>
      </c>
      <c r="JK104" s="242">
        <f>JH106+$IZ$108/2</f>
        <v>-0.5</v>
      </c>
      <c r="JL104" s="310"/>
      <c r="JM104" s="310"/>
      <c r="JN104" s="261" t="e">
        <f t="shared" si="159"/>
        <v>#N/A</v>
      </c>
      <c r="JO104" s="261" t="e">
        <f t="shared" si="160"/>
        <v>#N/A</v>
      </c>
      <c r="JP104" s="310"/>
      <c r="JQ104" s="310"/>
      <c r="JR104" s="261" t="e">
        <f t="shared" si="165"/>
        <v>#N/A</v>
      </c>
      <c r="JS104" s="261" t="e">
        <f t="shared" si="166"/>
        <v>#N/A</v>
      </c>
      <c r="JT104" s="310"/>
      <c r="JU104" s="310"/>
      <c r="JV104" s="261" t="e">
        <f t="shared" si="161"/>
        <v>#N/A</v>
      </c>
      <c r="JW104" s="261" t="e">
        <f t="shared" si="162"/>
        <v>#N/A</v>
      </c>
      <c r="JX104" s="310"/>
      <c r="JY104" s="311"/>
      <c r="JZ104" s="311"/>
      <c r="KA104" s="311"/>
      <c r="KB104" s="313" t="s">
        <v>325</v>
      </c>
      <c r="KC104" s="242" t="e">
        <f>KC103</f>
        <v>#N/A</v>
      </c>
      <c r="KD104" s="266" t="e">
        <f>KA101-($IZ$108/2-$IZ$110)</f>
        <v>#N/A</v>
      </c>
      <c r="KE104" s="310"/>
      <c r="KF104" s="310"/>
      <c r="KG104" s="310"/>
      <c r="KH104" s="310"/>
      <c r="KI104" s="310"/>
      <c r="KJ104" s="310"/>
      <c r="KK104" s="310"/>
      <c r="KL104" s="310"/>
      <c r="KM104" s="310"/>
      <c r="KN104" s="310"/>
      <c r="KO104" s="310"/>
      <c r="KP104" s="310"/>
      <c r="KQ104" s="310"/>
      <c r="KR104" s="310"/>
      <c r="KS104" s="310"/>
      <c r="KT104" s="310"/>
      <c r="KU104" s="310"/>
      <c r="KV104" s="310"/>
      <c r="KW104" s="310"/>
      <c r="KX104" s="310"/>
      <c r="KY104" s="310"/>
      <c r="KZ104" s="310"/>
      <c r="LA104" s="310"/>
      <c r="LB104" s="310"/>
      <c r="LC104" s="310"/>
      <c r="LD104" s="310"/>
      <c r="LE104" s="310"/>
      <c r="LF104" s="310"/>
      <c r="LG104" s="310"/>
      <c r="LH104" s="310"/>
      <c r="LI104" s="310"/>
      <c r="LJ104" s="310"/>
      <c r="LK104" s="310"/>
      <c r="LL104" s="310"/>
      <c r="LM104" s="310"/>
      <c r="LN104" s="310"/>
      <c r="LO104" s="310"/>
      <c r="LP104" s="310"/>
      <c r="LQ104" s="310"/>
      <c r="LR104" s="310"/>
      <c r="LS104" s="310"/>
      <c r="LT104" s="310"/>
      <c r="LU104" s="310"/>
      <c r="LV104" s="310"/>
      <c r="LW104" s="310"/>
      <c r="LX104" s="310"/>
      <c r="LY104" s="310"/>
      <c r="LZ104" s="310"/>
      <c r="MA104" s="310"/>
      <c r="MB104" s="310"/>
      <c r="MC104" s="310"/>
      <c r="MD104" s="310"/>
      <c r="ME104" s="310"/>
      <c r="MF104" s="310"/>
      <c r="MG104" s="310"/>
      <c r="MH104" s="310"/>
      <c r="MI104" s="310"/>
      <c r="MJ104" s="310"/>
      <c r="MK104" s="310"/>
      <c r="ML104" s="310"/>
      <c r="MM104" s="310"/>
      <c r="MN104" s="310"/>
      <c r="MO104" s="310"/>
      <c r="MP104" s="310"/>
      <c r="MQ104" s="310"/>
      <c r="MR104" s="310"/>
      <c r="MS104" s="310"/>
      <c r="MT104" s="310"/>
      <c r="MU104" s="310"/>
      <c r="MV104" s="310"/>
      <c r="MW104" s="310"/>
      <c r="MX104" s="310"/>
      <c r="MY104" s="310"/>
      <c r="MZ104" s="310"/>
      <c r="NA104" s="310"/>
      <c r="NB104" s="310"/>
      <c r="NC104" s="310"/>
      <c r="ND104" s="310"/>
      <c r="NE104" s="310"/>
      <c r="NF104" s="310"/>
      <c r="NG104" s="310"/>
      <c r="NH104" s="310"/>
      <c r="NI104" s="310"/>
      <c r="NJ104" s="310"/>
      <c r="NK104" s="310"/>
      <c r="NL104" s="310"/>
      <c r="NM104" s="310"/>
      <c r="NN104" s="310"/>
      <c r="NO104" s="310"/>
      <c r="NP104" s="310"/>
      <c r="NQ104" s="310"/>
      <c r="NR104" s="310"/>
      <c r="NS104" s="310"/>
      <c r="NT104" s="310"/>
      <c r="NU104" s="310"/>
      <c r="NV104" s="310"/>
      <c r="NW104" s="310"/>
      <c r="NX104" s="310"/>
      <c r="NY104" s="310"/>
      <c r="NZ104" s="310"/>
      <c r="OA104" s="310"/>
      <c r="OB104" s="310"/>
      <c r="OC104" s="310"/>
      <c r="OD104" s="310"/>
      <c r="OE104" s="310"/>
      <c r="OF104" s="310"/>
      <c r="OG104" s="310"/>
      <c r="OH104" s="310"/>
      <c r="OI104" s="310"/>
      <c r="OJ104" s="310"/>
      <c r="OK104" s="310"/>
      <c r="OL104" s="310"/>
      <c r="OM104" s="310"/>
      <c r="ON104" s="310"/>
      <c r="OO104" s="310"/>
      <c r="OP104" s="310"/>
      <c r="OQ104" s="310"/>
      <c r="OR104" s="310"/>
      <c r="OS104" s="310"/>
      <c r="OT104" s="310"/>
      <c r="OU104" s="310"/>
      <c r="OV104" s="310"/>
      <c r="OW104" s="310"/>
      <c r="OX104" s="310"/>
      <c r="OY104" s="310"/>
      <c r="OZ104" s="310"/>
      <c r="PA104" s="310"/>
      <c r="PB104" s="310"/>
      <c r="PC104" s="310"/>
      <c r="PD104" s="310"/>
      <c r="PE104" s="310"/>
      <c r="PF104" s="310"/>
      <c r="PG104" s="310"/>
      <c r="PH104" s="310"/>
      <c r="PI104" s="310"/>
      <c r="PJ104" s="310"/>
      <c r="PK104" s="310"/>
      <c r="PL104" s="310"/>
      <c r="PM104" s="310"/>
      <c r="PN104" s="310"/>
      <c r="PO104" s="310"/>
      <c r="PP104" s="310"/>
      <c r="PQ104" s="310"/>
      <c r="PR104" s="310"/>
      <c r="PS104" s="342">
        <v>90</v>
      </c>
      <c r="PT104" s="261" t="e">
        <f t="shared" si="163"/>
        <v>#N/A</v>
      </c>
      <c r="PU104" s="261" t="e">
        <f t="shared" si="164"/>
        <v>#N/A</v>
      </c>
      <c r="PV104" s="310"/>
      <c r="PW104" s="310"/>
      <c r="PX104" s="310"/>
      <c r="PY104" s="310"/>
      <c r="PZ104" s="310"/>
      <c r="QA104" s="310"/>
      <c r="QB104" s="310"/>
      <c r="QC104" s="310"/>
      <c r="QD104" s="310"/>
      <c r="QE104" s="310"/>
      <c r="QF104" s="310"/>
      <c r="QG104" s="310"/>
      <c r="QH104" s="310"/>
      <c r="QI104" s="310"/>
      <c r="QJ104" s="310"/>
      <c r="QK104" s="310"/>
      <c r="QL104" s="310"/>
      <c r="QM104" s="310"/>
      <c r="QN104" s="310"/>
      <c r="QO104" s="310"/>
      <c r="QP104" s="310"/>
      <c r="QQ104" s="310"/>
      <c r="QR104" s="310"/>
      <c r="QS104" s="310"/>
      <c r="QT104" s="310"/>
      <c r="QU104" s="310"/>
      <c r="QV104" s="310"/>
      <c r="QW104" s="310"/>
      <c r="QX104" s="310"/>
      <c r="QY104" s="310"/>
      <c r="QZ104" s="310"/>
      <c r="RA104" s="310"/>
      <c r="RB104" s="310"/>
      <c r="RC104" s="310"/>
      <c r="RD104" s="310"/>
      <c r="RE104" s="310"/>
      <c r="RF104" s="310"/>
      <c r="RG104" s="310"/>
      <c r="RH104" s="310"/>
      <c r="RI104" s="310"/>
      <c r="RJ104" s="310"/>
      <c r="RK104" s="310"/>
      <c r="RL104" s="310"/>
      <c r="RM104" s="310"/>
      <c r="RN104" s="310"/>
      <c r="RO104" s="310"/>
      <c r="RP104" s="310"/>
      <c r="RQ104" s="310"/>
      <c r="RR104" s="310"/>
      <c r="RS104" s="310"/>
      <c r="RT104" s="310"/>
      <c r="RU104" s="310"/>
      <c r="RV104" s="310"/>
      <c r="RW104" s="310"/>
      <c r="RX104" s="310"/>
      <c r="RY104" s="310"/>
      <c r="RZ104" s="310"/>
      <c r="SA104" s="310"/>
      <c r="SB104" s="310"/>
      <c r="SC104" s="310"/>
      <c r="SD104" s="310"/>
      <c r="SE104" s="310"/>
      <c r="SF104" s="310"/>
      <c r="SG104" s="310"/>
      <c r="SH104" s="310"/>
      <c r="SI104" s="310"/>
      <c r="SJ104" s="310"/>
      <c r="SK104" s="310"/>
      <c r="SL104" s="310"/>
      <c r="SM104" s="310"/>
      <c r="SN104" s="310"/>
      <c r="SO104" s="220"/>
      <c r="SP104" s="220"/>
      <c r="SQ104" s="220"/>
      <c r="SR104" s="220"/>
      <c r="SS104" s="220"/>
      <c r="ST104" s="220"/>
      <c r="SU104" s="220"/>
      <c r="SV104" s="220"/>
      <c r="SW104" s="220"/>
      <c r="SX104" s="220"/>
      <c r="SY104" s="220"/>
      <c r="SZ104" s="220"/>
      <c r="TA104" s="220"/>
      <c r="TB104" s="220"/>
      <c r="TC104" s="220"/>
      <c r="TD104" s="220"/>
      <c r="TE104" s="220"/>
      <c r="TF104" s="220"/>
      <c r="TG104" s="220"/>
      <c r="TH104" s="220"/>
      <c r="TI104" s="220"/>
      <c r="TJ104" s="220"/>
      <c r="TK104" s="220"/>
      <c r="TL104" s="220"/>
      <c r="TM104" s="220"/>
      <c r="TN104" s="220"/>
      <c r="TO104" s="220"/>
      <c r="TP104" s="220"/>
      <c r="TQ104" s="220"/>
      <c r="TR104" s="220"/>
      <c r="TS104" s="220"/>
      <c r="TT104" s="220"/>
      <c r="TU104" s="220"/>
      <c r="TV104" s="220"/>
      <c r="TW104" s="220"/>
      <c r="TX104" s="220"/>
      <c r="TY104" s="220"/>
      <c r="TZ104" s="220"/>
      <c r="UA104" s="220"/>
      <c r="UB104" s="220"/>
      <c r="UC104" s="220"/>
      <c r="UD104" s="220"/>
      <c r="UE104" s="220"/>
      <c r="UF104" s="220"/>
      <c r="UG104" s="220"/>
      <c r="UH104" s="220"/>
      <c r="UI104" s="220"/>
      <c r="UJ104" s="220"/>
      <c r="UK104" s="216"/>
      <c r="UL104" s="216"/>
      <c r="UM104" s="216"/>
      <c r="UN104" s="216"/>
      <c r="UO104" s="216"/>
      <c r="UP104" s="216"/>
      <c r="UQ104" s="216"/>
      <c r="UR104" s="216"/>
      <c r="US104" s="216"/>
      <c r="UT104" s="216"/>
      <c r="UU104" s="216"/>
      <c r="UV104" s="216"/>
      <c r="UW104" s="216"/>
      <c r="UX104" s="216"/>
      <c r="UY104" s="216"/>
      <c r="UZ104" s="216"/>
      <c r="VA104" s="216"/>
    </row>
    <row r="105" spans="1:573" s="4" customFormat="1" x14ac:dyDescent="0.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5"/>
      <c r="AM105" s="45"/>
      <c r="AN105" s="45"/>
      <c r="AO105" s="45"/>
      <c r="AP105" s="310"/>
      <c r="AQ105" s="310"/>
      <c r="AR105" s="310"/>
      <c r="AS105" s="310"/>
      <c r="AT105" s="310"/>
      <c r="AU105" s="310"/>
      <c r="AV105" s="310"/>
      <c r="AW105" s="310"/>
      <c r="AX105" s="310"/>
      <c r="AY105" s="310"/>
      <c r="AZ105" s="310"/>
      <c r="BA105" s="310"/>
      <c r="BB105" s="310"/>
      <c r="BC105" s="310"/>
      <c r="BD105" s="310"/>
      <c r="BE105" s="310"/>
      <c r="BF105" s="310"/>
      <c r="BG105" s="310"/>
      <c r="BH105" s="310"/>
      <c r="BI105" s="310"/>
      <c r="BJ105" s="310"/>
      <c r="BK105" s="310"/>
      <c r="BL105" s="310"/>
      <c r="BM105" s="310"/>
      <c r="BN105" s="310"/>
      <c r="BO105" s="310"/>
      <c r="BP105" s="310"/>
      <c r="BQ105" s="310"/>
      <c r="BR105" s="310"/>
      <c r="BS105" s="310"/>
      <c r="BT105" s="310"/>
      <c r="BU105" s="310"/>
      <c r="BV105" s="310"/>
      <c r="BW105" s="310"/>
      <c r="BX105" s="310"/>
      <c r="BY105" s="310"/>
      <c r="BZ105" s="310"/>
      <c r="CA105" s="310"/>
      <c r="CB105" s="310"/>
      <c r="CC105" s="310"/>
      <c r="CD105" s="310"/>
      <c r="CE105" s="310"/>
      <c r="CF105" s="310"/>
      <c r="CG105" s="310"/>
      <c r="CH105" s="310"/>
      <c r="CI105" s="310"/>
      <c r="CJ105" s="310"/>
      <c r="CK105" s="310"/>
      <c r="CL105" s="310"/>
      <c r="CM105" s="310"/>
      <c r="CN105" s="310"/>
      <c r="CO105" s="310"/>
      <c r="CP105" s="310"/>
      <c r="CQ105" s="310"/>
      <c r="CR105" s="310"/>
      <c r="CS105" s="310"/>
      <c r="CT105" s="310"/>
      <c r="CU105" s="310"/>
      <c r="CV105" s="310"/>
      <c r="CW105" s="310"/>
      <c r="CX105" s="310"/>
      <c r="CY105" s="310"/>
      <c r="CZ105" s="310"/>
      <c r="DA105" s="310"/>
      <c r="DB105" s="310"/>
      <c r="DC105" s="310"/>
      <c r="DD105" s="310"/>
      <c r="DE105" s="310"/>
      <c r="DF105" s="310"/>
      <c r="DG105" s="310"/>
      <c r="DH105" s="310"/>
      <c r="DI105" s="310"/>
      <c r="DJ105" s="310"/>
      <c r="DK105" s="310"/>
      <c r="DL105" s="310"/>
      <c r="DM105" s="310"/>
      <c r="DN105" s="310"/>
      <c r="DO105" s="310"/>
      <c r="DP105" s="310"/>
      <c r="DQ105" s="310"/>
      <c r="DR105" s="310"/>
      <c r="DS105" s="310"/>
      <c r="DT105" s="310"/>
      <c r="DU105" s="230" t="e">
        <v>#N/A</v>
      </c>
      <c r="DV105" s="230" t="e">
        <v>#N/A</v>
      </c>
      <c r="DW105" s="300" t="e">
        <v>#N/A</v>
      </c>
      <c r="DX105" s="300" t="e">
        <v>#N/A</v>
      </c>
      <c r="DY105" s="310"/>
      <c r="DZ105" s="310"/>
      <c r="EA105" s="310"/>
      <c r="EB105" s="310"/>
      <c r="EC105" s="310"/>
      <c r="ED105" s="310"/>
      <c r="EE105" s="310"/>
      <c r="EF105" s="310"/>
      <c r="EG105" s="310"/>
      <c r="EH105" s="310"/>
      <c r="EI105" s="338">
        <v>34</v>
      </c>
      <c r="EJ105" s="338" t="b">
        <f t="shared" si="127"/>
        <v>0</v>
      </c>
      <c r="EK105" s="281" t="e">
        <f t="shared" si="128"/>
        <v>#N/A</v>
      </c>
      <c r="EL105" s="281" t="e">
        <f t="shared" si="129"/>
        <v>#N/A</v>
      </c>
      <c r="EM105" s="310"/>
      <c r="EN105" s="280">
        <f>MIN(DY46:DY49)</f>
        <v>-0.65</v>
      </c>
      <c r="EO105" s="280">
        <f>IF(EC58=TRUE,-0.25,#N/A)</f>
        <v>-0.25</v>
      </c>
      <c r="EP105" s="310"/>
      <c r="EQ105" s="310"/>
      <c r="ER105" s="310"/>
      <c r="ES105" s="310"/>
      <c r="ET105" s="310"/>
      <c r="EU105" s="310"/>
      <c r="EV105" s="310"/>
      <c r="EW105" s="310"/>
      <c r="EX105" s="310"/>
      <c r="EY105" s="310"/>
      <c r="EZ105" s="310"/>
      <c r="FA105" s="310"/>
      <c r="FB105" s="310"/>
      <c r="FC105" s="310"/>
      <c r="FD105" s="310"/>
      <c r="FE105" s="310"/>
      <c r="FF105" s="310"/>
      <c r="FG105" s="310"/>
      <c r="FH105" s="310"/>
      <c r="FI105" s="310"/>
      <c r="FJ105" s="310"/>
      <c r="FK105" s="310"/>
      <c r="FL105" s="310"/>
      <c r="FM105" s="310"/>
      <c r="FN105" s="310"/>
      <c r="FO105" s="310"/>
      <c r="FP105" s="310"/>
      <c r="FQ105" s="310"/>
      <c r="FR105" s="310"/>
      <c r="FS105" s="310"/>
      <c r="FT105" s="310"/>
      <c r="FU105" s="310"/>
      <c r="FV105" s="310"/>
      <c r="FW105" s="310"/>
      <c r="FX105" s="310"/>
      <c r="FY105" s="310"/>
      <c r="FZ105" s="310"/>
      <c r="GA105" s="310"/>
      <c r="GB105" s="310"/>
      <c r="GC105" s="310"/>
      <c r="GD105" s="310"/>
      <c r="GE105" s="310"/>
      <c r="GF105" s="310"/>
      <c r="GG105" s="310"/>
      <c r="GH105" s="310"/>
      <c r="GI105" s="310"/>
      <c r="GJ105" s="310"/>
      <c r="GK105" s="310"/>
      <c r="GL105" s="310"/>
      <c r="GM105" s="310"/>
      <c r="GN105" s="310"/>
      <c r="GO105" s="310"/>
      <c r="GP105" s="310"/>
      <c r="GQ105" s="310"/>
      <c r="GR105" s="310"/>
      <c r="GS105" s="310"/>
      <c r="GT105" s="310"/>
      <c r="GU105" s="310"/>
      <c r="GV105" s="310"/>
      <c r="GW105" s="310"/>
      <c r="GX105" s="310"/>
      <c r="GY105" s="310"/>
      <c r="GZ105" s="310"/>
      <c r="HA105" s="310"/>
      <c r="HB105" s="310"/>
      <c r="HC105" s="310"/>
      <c r="HD105" s="310"/>
      <c r="HE105" s="310"/>
      <c r="HF105" s="310"/>
      <c r="HG105" s="310"/>
      <c r="HH105" s="310"/>
      <c r="HI105" s="310"/>
      <c r="HJ105" s="310"/>
      <c r="HK105" s="342">
        <v>91</v>
      </c>
      <c r="HL105" s="235" t="e">
        <f t="shared" si="139"/>
        <v>#N/A</v>
      </c>
      <c r="HM105" s="235" t="e">
        <f t="shared" si="140"/>
        <v>#N/A</v>
      </c>
      <c r="HN105" s="310"/>
      <c r="HO105" s="310"/>
      <c r="HP105" s="235" t="e">
        <f t="shared" si="141"/>
        <v>#N/A</v>
      </c>
      <c r="HQ105" s="235" t="e">
        <f t="shared" si="142"/>
        <v>#N/A</v>
      </c>
      <c r="HR105" s="310"/>
      <c r="HS105" s="310"/>
      <c r="HT105" s="235" t="e">
        <f t="shared" si="143"/>
        <v>#N/A</v>
      </c>
      <c r="HU105" s="235" t="e">
        <f t="shared" si="144"/>
        <v>#N/A</v>
      </c>
      <c r="HV105" s="310"/>
      <c r="HW105" s="310"/>
      <c r="HX105" s="235" t="e">
        <f t="shared" si="145"/>
        <v>#N/A</v>
      </c>
      <c r="HY105" s="235" t="e">
        <f t="shared" si="146"/>
        <v>#N/A</v>
      </c>
      <c r="HZ105" s="310"/>
      <c r="IA105" s="310"/>
      <c r="IB105" s="235" t="e">
        <f t="shared" si="147"/>
        <v>#N/A</v>
      </c>
      <c r="IC105" s="235" t="e">
        <f t="shared" si="148"/>
        <v>#N/A</v>
      </c>
      <c r="ID105" s="310"/>
      <c r="IE105" s="342">
        <v>91</v>
      </c>
      <c r="IF105" s="262" t="e">
        <f t="shared" si="149"/>
        <v>#N/A</v>
      </c>
      <c r="IG105" s="262" t="e">
        <f t="shared" si="150"/>
        <v>#N/A</v>
      </c>
      <c r="IH105" s="390"/>
      <c r="II105" s="390"/>
      <c r="IJ105" s="262" t="e">
        <f t="shared" si="151"/>
        <v>#N/A</v>
      </c>
      <c r="IK105" s="262" t="e">
        <f t="shared" si="152"/>
        <v>#N/A</v>
      </c>
      <c r="IL105" s="390"/>
      <c r="IM105" s="390"/>
      <c r="IN105" s="262" t="e">
        <f t="shared" si="153"/>
        <v>#N/A</v>
      </c>
      <c r="IO105" s="262" t="e">
        <f t="shared" si="154"/>
        <v>#N/A</v>
      </c>
      <c r="IP105" s="390"/>
      <c r="IQ105" s="390"/>
      <c r="IR105" s="262" t="e">
        <f t="shared" si="155"/>
        <v>#N/A</v>
      </c>
      <c r="IS105" s="262" t="e">
        <f t="shared" si="156"/>
        <v>#N/A</v>
      </c>
      <c r="IT105" s="390"/>
      <c r="IU105" s="390"/>
      <c r="IV105" s="262" t="e">
        <f t="shared" si="157"/>
        <v>#N/A</v>
      </c>
      <c r="IW105" s="262" t="e">
        <f t="shared" si="158"/>
        <v>#N/A</v>
      </c>
      <c r="IX105" s="310"/>
      <c r="IY105" s="342" t="s">
        <v>355</v>
      </c>
      <c r="IZ105" s="342" t="s">
        <v>48</v>
      </c>
      <c r="JA105" s="342" t="s">
        <v>49</v>
      </c>
      <c r="JB105" s="313" t="s">
        <v>144</v>
      </c>
      <c r="JC105" s="228">
        <f>IZ106+($IZ$108/2)-$IZ$114</f>
        <v>-0.51500000000000001</v>
      </c>
      <c r="JD105" s="228">
        <f>JD104</f>
        <v>-0.5</v>
      </c>
      <c r="JE105" s="310"/>
      <c r="JF105" s="342" t="s">
        <v>355</v>
      </c>
      <c r="JG105" s="342" t="s">
        <v>48</v>
      </c>
      <c r="JH105" s="342" t="s">
        <v>49</v>
      </c>
      <c r="JI105" s="313" t="s">
        <v>144</v>
      </c>
      <c r="JJ105" s="242">
        <f>JG106+($IZ$108/2)-$IZ$114</f>
        <v>-0.51500000000000001</v>
      </c>
      <c r="JK105" s="242">
        <f>JK104</f>
        <v>-0.5</v>
      </c>
      <c r="JL105" s="310"/>
      <c r="JM105" s="310"/>
      <c r="JN105" s="261" t="e">
        <f t="shared" si="159"/>
        <v>#N/A</v>
      </c>
      <c r="JO105" s="261" t="e">
        <f t="shared" si="160"/>
        <v>#N/A</v>
      </c>
      <c r="JP105" s="310"/>
      <c r="JQ105" s="310"/>
      <c r="JR105" s="261" t="e">
        <f t="shared" si="165"/>
        <v>#N/A</v>
      </c>
      <c r="JS105" s="261" t="e">
        <f t="shared" si="166"/>
        <v>#N/A</v>
      </c>
      <c r="JT105" s="310"/>
      <c r="JU105" s="310"/>
      <c r="JV105" s="261" t="e">
        <f t="shared" si="161"/>
        <v>#N/A</v>
      </c>
      <c r="JW105" s="261" t="e">
        <f t="shared" si="162"/>
        <v>#N/A</v>
      </c>
      <c r="JX105" s="310"/>
      <c r="JY105" s="311"/>
      <c r="JZ105" s="311"/>
      <c r="KA105" s="311"/>
      <c r="KB105" s="313" t="s">
        <v>326</v>
      </c>
      <c r="KC105" s="242" t="e">
        <f>KC102</f>
        <v>#N/A</v>
      </c>
      <c r="KD105" s="242" t="e">
        <f>KA101-($IZ$108/2)+$IZ$109</f>
        <v>#N/A</v>
      </c>
      <c r="KE105" s="310"/>
      <c r="KF105" s="310"/>
      <c r="KG105" s="310"/>
      <c r="KH105" s="310"/>
      <c r="KI105" s="310"/>
      <c r="KJ105" s="310"/>
      <c r="KK105" s="310"/>
      <c r="KL105" s="310"/>
      <c r="KM105" s="310"/>
      <c r="KN105" s="310"/>
      <c r="KO105" s="310"/>
      <c r="KP105" s="310"/>
      <c r="KQ105" s="310"/>
      <c r="KR105" s="310"/>
      <c r="KS105" s="310"/>
      <c r="KT105" s="310"/>
      <c r="KU105" s="310"/>
      <c r="KV105" s="310"/>
      <c r="KW105" s="310"/>
      <c r="KX105" s="310"/>
      <c r="KY105" s="310"/>
      <c r="KZ105" s="310"/>
      <c r="LA105" s="310"/>
      <c r="LB105" s="310"/>
      <c r="LC105" s="310"/>
      <c r="LD105" s="310"/>
      <c r="LE105" s="310"/>
      <c r="LF105" s="310"/>
      <c r="LG105" s="310"/>
      <c r="LH105" s="310"/>
      <c r="LI105" s="310"/>
      <c r="LJ105" s="310"/>
      <c r="LK105" s="310"/>
      <c r="LL105" s="310"/>
      <c r="LM105" s="310"/>
      <c r="LN105" s="310"/>
      <c r="LO105" s="310"/>
      <c r="LP105" s="310"/>
      <c r="LQ105" s="310"/>
      <c r="LR105" s="310"/>
      <c r="LS105" s="310"/>
      <c r="LT105" s="310"/>
      <c r="LU105" s="310"/>
      <c r="LV105" s="310"/>
      <c r="LW105" s="310"/>
      <c r="LX105" s="310"/>
      <c r="LY105" s="310"/>
      <c r="LZ105" s="310"/>
      <c r="MA105" s="310"/>
      <c r="MB105" s="310"/>
      <c r="MC105" s="310"/>
      <c r="MD105" s="310"/>
      <c r="ME105" s="310"/>
      <c r="MF105" s="310"/>
      <c r="MG105" s="310"/>
      <c r="MH105" s="310"/>
      <c r="MI105" s="310"/>
      <c r="MJ105" s="310"/>
      <c r="MK105" s="310"/>
      <c r="ML105" s="310"/>
      <c r="MM105" s="310"/>
      <c r="MN105" s="310"/>
      <c r="MO105" s="310"/>
      <c r="MP105" s="310"/>
      <c r="MQ105" s="310"/>
      <c r="MR105" s="310"/>
      <c r="MS105" s="310"/>
      <c r="MT105" s="310"/>
      <c r="MU105" s="310"/>
      <c r="MV105" s="310"/>
      <c r="MW105" s="310"/>
      <c r="MX105" s="310"/>
      <c r="MY105" s="310"/>
      <c r="MZ105" s="310"/>
      <c r="NA105" s="310"/>
      <c r="NB105" s="310"/>
      <c r="NC105" s="310"/>
      <c r="ND105" s="310"/>
      <c r="NE105" s="310"/>
      <c r="NF105" s="310"/>
      <c r="NG105" s="310"/>
      <c r="NH105" s="310"/>
      <c r="NI105" s="310"/>
      <c r="NJ105" s="310"/>
      <c r="NK105" s="310"/>
      <c r="NL105" s="310"/>
      <c r="NM105" s="310"/>
      <c r="NN105" s="310"/>
      <c r="NO105" s="310"/>
      <c r="NP105" s="310"/>
      <c r="NQ105" s="310"/>
      <c r="NR105" s="310"/>
      <c r="NS105" s="310"/>
      <c r="NT105" s="310"/>
      <c r="NU105" s="310"/>
      <c r="NV105" s="310"/>
      <c r="NW105" s="310"/>
      <c r="NX105" s="310"/>
      <c r="NY105" s="310"/>
      <c r="NZ105" s="310"/>
      <c r="OA105" s="310"/>
      <c r="OB105" s="310"/>
      <c r="OC105" s="310"/>
      <c r="OD105" s="310"/>
      <c r="OE105" s="310"/>
      <c r="OF105" s="310"/>
      <c r="OG105" s="310"/>
      <c r="OH105" s="310"/>
      <c r="OI105" s="310"/>
      <c r="OJ105" s="310"/>
      <c r="OK105" s="310"/>
      <c r="OL105" s="310"/>
      <c r="OM105" s="310"/>
      <c r="ON105" s="310"/>
      <c r="OO105" s="310"/>
      <c r="OP105" s="310"/>
      <c r="OQ105" s="310"/>
      <c r="OR105" s="310"/>
      <c r="OS105" s="310"/>
      <c r="OT105" s="310"/>
      <c r="OU105" s="310"/>
      <c r="OV105" s="310"/>
      <c r="OW105" s="310"/>
      <c r="OX105" s="310"/>
      <c r="OY105" s="310"/>
      <c r="OZ105" s="310"/>
      <c r="PA105" s="310"/>
      <c r="PB105" s="310"/>
      <c r="PC105" s="310"/>
      <c r="PD105" s="310"/>
      <c r="PE105" s="310"/>
      <c r="PF105" s="310"/>
      <c r="PG105" s="310"/>
      <c r="PH105" s="310"/>
      <c r="PI105" s="310"/>
      <c r="PJ105" s="310"/>
      <c r="PK105" s="310"/>
      <c r="PL105" s="310"/>
      <c r="PM105" s="310"/>
      <c r="PN105" s="310"/>
      <c r="PO105" s="310"/>
      <c r="PP105" s="310"/>
      <c r="PQ105" s="310"/>
      <c r="PR105" s="310"/>
      <c r="PS105" s="342">
        <v>91</v>
      </c>
      <c r="PT105" s="261" t="e">
        <f t="shared" si="163"/>
        <v>#N/A</v>
      </c>
      <c r="PU105" s="261" t="e">
        <f t="shared" si="164"/>
        <v>#N/A</v>
      </c>
      <c r="PV105" s="310"/>
      <c r="PW105" s="310"/>
      <c r="PX105" s="310"/>
      <c r="PY105" s="310"/>
      <c r="PZ105" s="310"/>
      <c r="QA105" s="310"/>
      <c r="QB105" s="310"/>
      <c r="QC105" s="310"/>
      <c r="QD105" s="310"/>
      <c r="QE105" s="310"/>
      <c r="QF105" s="310"/>
      <c r="QG105" s="310"/>
      <c r="QH105" s="310"/>
      <c r="QI105" s="310"/>
      <c r="QJ105" s="310"/>
      <c r="QK105" s="310"/>
      <c r="QL105" s="310"/>
      <c r="QM105" s="310"/>
      <c r="QN105" s="310"/>
      <c r="QO105" s="310"/>
      <c r="QP105" s="310"/>
      <c r="QQ105" s="310"/>
      <c r="QR105" s="310"/>
      <c r="QS105" s="310"/>
      <c r="QT105" s="310"/>
      <c r="QU105" s="310"/>
      <c r="QV105" s="310"/>
      <c r="QW105" s="310"/>
      <c r="QX105" s="310"/>
      <c r="QY105" s="310"/>
      <c r="QZ105" s="310"/>
      <c r="RA105" s="310"/>
      <c r="RB105" s="310"/>
      <c r="RC105" s="310"/>
      <c r="RD105" s="310"/>
      <c r="RE105" s="310"/>
      <c r="RF105" s="310"/>
      <c r="RG105" s="310"/>
      <c r="RH105" s="310"/>
      <c r="RI105" s="310"/>
      <c r="RJ105" s="310"/>
      <c r="RK105" s="310"/>
      <c r="RL105" s="310"/>
      <c r="RM105" s="310"/>
      <c r="RN105" s="310"/>
      <c r="RO105" s="310"/>
      <c r="RP105" s="310"/>
      <c r="RQ105" s="310"/>
      <c r="RR105" s="310"/>
      <c r="RS105" s="310"/>
      <c r="RT105" s="310"/>
      <c r="RU105" s="310"/>
      <c r="RV105" s="310"/>
      <c r="RW105" s="310"/>
      <c r="RX105" s="310"/>
      <c r="RY105" s="310"/>
      <c r="RZ105" s="310"/>
      <c r="SA105" s="310"/>
      <c r="SB105" s="310"/>
      <c r="SC105" s="310"/>
      <c r="SD105" s="310"/>
      <c r="SE105" s="310"/>
      <c r="SF105" s="310"/>
      <c r="SG105" s="310"/>
      <c r="SH105" s="310"/>
      <c r="SI105" s="310"/>
      <c r="SJ105" s="310"/>
      <c r="SK105" s="310"/>
      <c r="SL105" s="310"/>
      <c r="SM105" s="310"/>
      <c r="SN105" s="310"/>
      <c r="SO105" s="220"/>
      <c r="SP105" s="220"/>
      <c r="SQ105" s="220"/>
      <c r="SR105" s="220"/>
      <c r="SS105" s="220"/>
      <c r="ST105" s="220"/>
      <c r="SU105" s="220"/>
      <c r="SV105" s="220"/>
      <c r="SW105" s="220"/>
      <c r="SX105" s="220"/>
      <c r="SY105" s="220"/>
      <c r="SZ105" s="220"/>
      <c r="TA105" s="220"/>
      <c r="TB105" s="220"/>
      <c r="TC105" s="220"/>
      <c r="TD105" s="220"/>
      <c r="TE105" s="220"/>
      <c r="TF105" s="220"/>
      <c r="TG105" s="220"/>
      <c r="TH105" s="220"/>
      <c r="TI105" s="220"/>
      <c r="TJ105" s="220"/>
      <c r="TK105" s="220"/>
      <c r="TL105" s="220"/>
      <c r="TM105" s="220"/>
      <c r="TN105" s="220"/>
      <c r="TO105" s="220"/>
      <c r="TP105" s="220"/>
      <c r="TQ105" s="220"/>
      <c r="TR105" s="220"/>
      <c r="TS105" s="220"/>
      <c r="TT105" s="220"/>
      <c r="TU105" s="220"/>
      <c r="TV105" s="220"/>
      <c r="TW105" s="220"/>
      <c r="TX105" s="220"/>
      <c r="TY105" s="220"/>
      <c r="TZ105" s="220"/>
      <c r="UA105" s="220"/>
      <c r="UB105" s="220"/>
      <c r="UC105" s="220"/>
      <c r="UD105" s="220"/>
      <c r="UE105" s="220"/>
      <c r="UF105" s="220"/>
      <c r="UG105" s="220"/>
      <c r="UH105" s="220"/>
      <c r="UI105" s="220"/>
      <c r="UJ105" s="220"/>
      <c r="UK105" s="216"/>
      <c r="UL105" s="216"/>
      <c r="UM105" s="216"/>
      <c r="UN105" s="216"/>
      <c r="UO105" s="216"/>
      <c r="UP105" s="216"/>
      <c r="UQ105" s="216"/>
      <c r="UR105" s="216"/>
      <c r="US105" s="216"/>
      <c r="UT105" s="216"/>
      <c r="UU105" s="216"/>
      <c r="UV105" s="216"/>
      <c r="UW105" s="216"/>
      <c r="UX105" s="216"/>
      <c r="UY105" s="216"/>
      <c r="UZ105" s="216"/>
      <c r="VA105" s="216"/>
    </row>
    <row r="106" spans="1:573" s="4" customFormat="1" x14ac:dyDescent="0.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5"/>
      <c r="AM106" s="45"/>
      <c r="AN106" s="45"/>
      <c r="AO106" s="45"/>
      <c r="AP106" s="310"/>
      <c r="AQ106" s="310"/>
      <c r="AR106" s="310"/>
      <c r="AS106" s="310"/>
      <c r="AT106" s="310"/>
      <c r="AU106" s="310"/>
      <c r="AV106" s="310"/>
      <c r="AW106" s="310"/>
      <c r="AX106" s="310"/>
      <c r="AY106" s="310"/>
      <c r="AZ106" s="310"/>
      <c r="BA106" s="310"/>
      <c r="BB106" s="310"/>
      <c r="BC106" s="310" t="s">
        <v>264</v>
      </c>
      <c r="BD106" s="310"/>
      <c r="BE106" s="310"/>
      <c r="BF106" s="310"/>
      <c r="BG106" s="310"/>
      <c r="BH106" s="310"/>
      <c r="BI106" s="310"/>
      <c r="BJ106" s="310"/>
      <c r="BK106" s="310"/>
      <c r="BL106" s="310"/>
      <c r="BM106" s="310"/>
      <c r="BN106" s="310"/>
      <c r="BO106" s="310"/>
      <c r="BP106" s="310"/>
      <c r="BQ106" s="310"/>
      <c r="BR106" s="310"/>
      <c r="BS106" s="310"/>
      <c r="BT106" s="310"/>
      <c r="BU106" s="310"/>
      <c r="BV106" s="310"/>
      <c r="BW106" s="310"/>
      <c r="BX106" s="310"/>
      <c r="BY106" s="310"/>
      <c r="BZ106" s="310"/>
      <c r="CA106" s="310"/>
      <c r="CB106" s="310"/>
      <c r="CC106" s="310"/>
      <c r="CD106" s="310"/>
      <c r="CE106" s="310"/>
      <c r="CF106" s="310"/>
      <c r="CG106" s="310"/>
      <c r="CH106" s="310"/>
      <c r="CI106" s="310"/>
      <c r="CJ106" s="310"/>
      <c r="CK106" s="310"/>
      <c r="CL106" s="310"/>
      <c r="CM106" s="310"/>
      <c r="CN106" s="310"/>
      <c r="CO106" s="310"/>
      <c r="CP106" s="310"/>
      <c r="CQ106" s="310"/>
      <c r="CR106" s="310"/>
      <c r="CS106" s="310"/>
      <c r="CT106" s="310"/>
      <c r="CU106" s="310"/>
      <c r="CV106" s="310"/>
      <c r="CW106" s="310"/>
      <c r="CX106" s="310"/>
      <c r="CY106" s="310"/>
      <c r="CZ106" s="310"/>
      <c r="DA106" s="310"/>
      <c r="DB106" s="310"/>
      <c r="DC106" s="310"/>
      <c r="DD106" s="310"/>
      <c r="DE106" s="310"/>
      <c r="DF106" s="310"/>
      <c r="DG106" s="310"/>
      <c r="DH106" s="310"/>
      <c r="DI106" s="310"/>
      <c r="DJ106" s="310"/>
      <c r="DK106" s="310"/>
      <c r="DL106" s="310"/>
      <c r="DM106" s="310"/>
      <c r="DN106" s="310"/>
      <c r="DO106" s="310"/>
      <c r="DP106" s="310"/>
      <c r="DQ106" s="310"/>
      <c r="DR106" s="310"/>
      <c r="DS106" s="310"/>
      <c r="DT106" s="310"/>
      <c r="DU106" s="230">
        <f>DU103</f>
        <v>1.2</v>
      </c>
      <c r="DV106" s="230">
        <f>DV103</f>
        <v>-0.65</v>
      </c>
      <c r="DW106" s="300" t="e">
        <v>#N/A</v>
      </c>
      <c r="DX106" s="300" t="e">
        <v>#N/A</v>
      </c>
      <c r="DY106" s="310"/>
      <c r="DZ106" s="310"/>
      <c r="EA106" s="310"/>
      <c r="EB106" s="310"/>
      <c r="EC106" s="310"/>
      <c r="ED106" s="310"/>
      <c r="EE106" s="310"/>
      <c r="EF106" s="310"/>
      <c r="EG106" s="310"/>
      <c r="EH106" s="310"/>
      <c r="EI106" s="338">
        <v>35</v>
      </c>
      <c r="EJ106" s="338" t="b">
        <f t="shared" si="127"/>
        <v>0</v>
      </c>
      <c r="EK106" s="281" t="e">
        <f t="shared" si="128"/>
        <v>#N/A</v>
      </c>
      <c r="EL106" s="281" t="e">
        <f t="shared" si="129"/>
        <v>#N/A</v>
      </c>
      <c r="EM106" s="310"/>
      <c r="EN106" s="280">
        <f>EN105+0.25</f>
        <v>-0.4</v>
      </c>
      <c r="EO106" s="280">
        <f>EO105-0.15</f>
        <v>-0.4</v>
      </c>
      <c r="EP106" s="310"/>
      <c r="EQ106" s="310"/>
      <c r="ER106" s="310"/>
      <c r="ES106" s="310"/>
      <c r="ET106" s="310"/>
      <c r="EU106" s="310"/>
      <c r="EV106" s="310"/>
      <c r="EW106" s="310"/>
      <c r="EX106" s="310"/>
      <c r="EY106" s="310"/>
      <c r="EZ106" s="310"/>
      <c r="FA106" s="310"/>
      <c r="FB106" s="310"/>
      <c r="FC106" s="310"/>
      <c r="FD106" s="310"/>
      <c r="FE106" s="310"/>
      <c r="FF106" s="310"/>
      <c r="FG106" s="310"/>
      <c r="FH106" s="310"/>
      <c r="FI106" s="310"/>
      <c r="FJ106" s="310"/>
      <c r="FK106" s="310"/>
      <c r="FL106" s="310"/>
      <c r="FM106" s="310"/>
      <c r="FN106" s="310"/>
      <c r="FO106" s="310"/>
      <c r="FP106" s="310"/>
      <c r="FQ106" s="310"/>
      <c r="FR106" s="310"/>
      <c r="FS106" s="310"/>
      <c r="FT106" s="310"/>
      <c r="FU106" s="310"/>
      <c r="FV106" s="310"/>
      <c r="FW106" s="310"/>
      <c r="FX106" s="310"/>
      <c r="FY106" s="310"/>
      <c r="FZ106" s="310"/>
      <c r="GA106" s="310"/>
      <c r="GB106" s="310"/>
      <c r="GC106" s="310"/>
      <c r="GD106" s="310"/>
      <c r="GE106" s="310"/>
      <c r="GF106" s="310"/>
      <c r="GG106" s="310"/>
      <c r="GH106" s="310"/>
      <c r="GI106" s="310"/>
      <c r="GJ106" s="310"/>
      <c r="GK106" s="310"/>
      <c r="GL106" s="310"/>
      <c r="GM106" s="310"/>
      <c r="GN106" s="310"/>
      <c r="GO106" s="310"/>
      <c r="GP106" s="310"/>
      <c r="GQ106" s="310"/>
      <c r="GR106" s="310"/>
      <c r="GS106" s="310"/>
      <c r="GT106" s="310"/>
      <c r="GU106" s="310"/>
      <c r="GV106" s="310"/>
      <c r="GW106" s="310"/>
      <c r="GX106" s="310"/>
      <c r="GY106" s="310"/>
      <c r="GZ106" s="310"/>
      <c r="HA106" s="310"/>
      <c r="HB106" s="310"/>
      <c r="HC106" s="310"/>
      <c r="HD106" s="310"/>
      <c r="HE106" s="310"/>
      <c r="HF106" s="310"/>
      <c r="HG106" s="310"/>
      <c r="HH106" s="310"/>
      <c r="HI106" s="310"/>
      <c r="HJ106" s="310"/>
      <c r="HK106" s="342">
        <v>92</v>
      </c>
      <c r="HL106" s="235" t="e">
        <f t="shared" si="139"/>
        <v>#N/A</v>
      </c>
      <c r="HM106" s="235" t="e">
        <f t="shared" si="140"/>
        <v>#N/A</v>
      </c>
      <c r="HN106" s="310"/>
      <c r="HO106" s="310"/>
      <c r="HP106" s="235" t="e">
        <f t="shared" si="141"/>
        <v>#N/A</v>
      </c>
      <c r="HQ106" s="235" t="e">
        <f t="shared" si="142"/>
        <v>#N/A</v>
      </c>
      <c r="HR106" s="310"/>
      <c r="HS106" s="310"/>
      <c r="HT106" s="235" t="e">
        <f t="shared" si="143"/>
        <v>#N/A</v>
      </c>
      <c r="HU106" s="235" t="e">
        <f t="shared" si="144"/>
        <v>#N/A</v>
      </c>
      <c r="HV106" s="310"/>
      <c r="HW106" s="310"/>
      <c r="HX106" s="235" t="e">
        <f t="shared" si="145"/>
        <v>#N/A</v>
      </c>
      <c r="HY106" s="235" t="e">
        <f t="shared" si="146"/>
        <v>#N/A</v>
      </c>
      <c r="HZ106" s="310"/>
      <c r="IA106" s="310"/>
      <c r="IB106" s="235" t="e">
        <f t="shared" si="147"/>
        <v>#N/A</v>
      </c>
      <c r="IC106" s="235" t="e">
        <f t="shared" si="148"/>
        <v>#N/A</v>
      </c>
      <c r="ID106" s="310"/>
      <c r="IE106" s="342">
        <v>92</v>
      </c>
      <c r="IF106" s="262" t="e">
        <f t="shared" si="149"/>
        <v>#N/A</v>
      </c>
      <c r="IG106" s="262" t="e">
        <f t="shared" si="150"/>
        <v>#N/A</v>
      </c>
      <c r="IH106" s="390"/>
      <c r="II106" s="390"/>
      <c r="IJ106" s="262" t="e">
        <f t="shared" si="151"/>
        <v>#N/A</v>
      </c>
      <c r="IK106" s="262" t="e">
        <f t="shared" si="152"/>
        <v>#N/A</v>
      </c>
      <c r="IL106" s="390"/>
      <c r="IM106" s="390"/>
      <c r="IN106" s="262" t="e">
        <f t="shared" si="153"/>
        <v>#N/A</v>
      </c>
      <c r="IO106" s="262" t="e">
        <f t="shared" si="154"/>
        <v>#N/A</v>
      </c>
      <c r="IP106" s="390"/>
      <c r="IQ106" s="390"/>
      <c r="IR106" s="262" t="e">
        <f t="shared" si="155"/>
        <v>#N/A</v>
      </c>
      <c r="IS106" s="262" t="e">
        <f t="shared" si="156"/>
        <v>#N/A</v>
      </c>
      <c r="IT106" s="390"/>
      <c r="IU106" s="390"/>
      <c r="IV106" s="262" t="e">
        <f t="shared" si="157"/>
        <v>#N/A</v>
      </c>
      <c r="IW106" s="262" t="e">
        <f t="shared" si="158"/>
        <v>#N/A</v>
      </c>
      <c r="IX106" s="310"/>
      <c r="IY106" s="313" t="s">
        <v>72</v>
      </c>
      <c r="IZ106" s="362">
        <f>IF(JA104=TRUE,$M$19,#N/A)</f>
        <v>-0.65</v>
      </c>
      <c r="JA106" s="362">
        <f>IF(JA104=TRUE,$J$19,#N/A)</f>
        <v>-0.65</v>
      </c>
      <c r="JB106" s="313" t="s">
        <v>149</v>
      </c>
      <c r="JC106" s="228">
        <f>IZ106+$IZ$108/2</f>
        <v>-0.5</v>
      </c>
      <c r="JD106" s="228">
        <f>JA106+$IZ$108/2-$IZ$114</f>
        <v>-0.51500000000000001</v>
      </c>
      <c r="JE106" s="310"/>
      <c r="JF106" s="313" t="s">
        <v>72</v>
      </c>
      <c r="JG106" s="362">
        <f>IF(JH104=TRUE,$J$26,#N/A)</f>
        <v>-0.65</v>
      </c>
      <c r="JH106" s="363">
        <f>IF(JH104=TRUE,$H$26,#N/A)</f>
        <v>-0.65</v>
      </c>
      <c r="JI106" s="313" t="s">
        <v>149</v>
      </c>
      <c r="JJ106" s="242">
        <f>JG106+$IZ$108/2</f>
        <v>-0.5</v>
      </c>
      <c r="JK106" s="242">
        <f>JH106+$IZ$108/2-$IZ$114</f>
        <v>-0.51500000000000001</v>
      </c>
      <c r="JL106" s="310"/>
      <c r="JM106" s="310"/>
      <c r="JN106" s="261" t="e">
        <f t="shared" si="159"/>
        <v>#N/A</v>
      </c>
      <c r="JO106" s="261" t="e">
        <f t="shared" si="160"/>
        <v>#N/A</v>
      </c>
      <c r="JP106" s="310"/>
      <c r="JQ106" s="310"/>
      <c r="JR106" s="261" t="e">
        <f t="shared" si="165"/>
        <v>#N/A</v>
      </c>
      <c r="JS106" s="261" t="e">
        <f t="shared" si="166"/>
        <v>#N/A</v>
      </c>
      <c r="JT106" s="310"/>
      <c r="JU106" s="310"/>
      <c r="JV106" s="261" t="e">
        <f t="shared" si="161"/>
        <v>#N/A</v>
      </c>
      <c r="JW106" s="261" t="e">
        <f t="shared" si="162"/>
        <v>#N/A</v>
      </c>
      <c r="JX106" s="310"/>
      <c r="JY106" s="311"/>
      <c r="JZ106" s="311"/>
      <c r="KA106" s="311"/>
      <c r="KB106" s="313" t="s">
        <v>372</v>
      </c>
      <c r="KC106" s="242" t="e">
        <f>KC105</f>
        <v>#N/A</v>
      </c>
      <c r="KD106" s="242" t="e">
        <f>KA101-($IZ$108/2)+$IZ$114</f>
        <v>#N/A</v>
      </c>
      <c r="KE106" s="310"/>
      <c r="KF106" s="310"/>
      <c r="KG106" s="310"/>
      <c r="KH106" s="310"/>
      <c r="KI106" s="310"/>
      <c r="KJ106" s="310"/>
      <c r="KK106" s="310"/>
      <c r="KL106" s="310"/>
      <c r="KM106" s="310"/>
      <c r="KN106" s="310"/>
      <c r="KO106" s="310"/>
      <c r="KP106" s="310"/>
      <c r="KQ106" s="310"/>
      <c r="KR106" s="310"/>
      <c r="KS106" s="310"/>
      <c r="KT106" s="310"/>
      <c r="KU106" s="310"/>
      <c r="KV106" s="310"/>
      <c r="KW106" s="310"/>
      <c r="KX106" s="310"/>
      <c r="KY106" s="310"/>
      <c r="KZ106" s="310"/>
      <c r="LA106" s="310"/>
      <c r="LB106" s="310"/>
      <c r="LC106" s="310"/>
      <c r="LD106" s="310"/>
      <c r="LE106" s="310"/>
      <c r="LF106" s="310"/>
      <c r="LG106" s="310"/>
      <c r="LH106" s="310"/>
      <c r="LI106" s="310"/>
      <c r="LJ106" s="310"/>
      <c r="LK106" s="310"/>
      <c r="LL106" s="310"/>
      <c r="LM106" s="310"/>
      <c r="LN106" s="310"/>
      <c r="LO106" s="310"/>
      <c r="LP106" s="310"/>
      <c r="LQ106" s="310"/>
      <c r="LR106" s="310"/>
      <c r="LS106" s="310"/>
      <c r="LT106" s="310"/>
      <c r="LU106" s="310"/>
      <c r="LV106" s="310"/>
      <c r="LW106" s="310"/>
      <c r="LX106" s="310"/>
      <c r="LY106" s="310"/>
      <c r="LZ106" s="310"/>
      <c r="MA106" s="310"/>
      <c r="MB106" s="310"/>
      <c r="MC106" s="310"/>
      <c r="MD106" s="310"/>
      <c r="ME106" s="310"/>
      <c r="MF106" s="310"/>
      <c r="MG106" s="310"/>
      <c r="MH106" s="310"/>
      <c r="MI106" s="310"/>
      <c r="MJ106" s="310"/>
      <c r="MK106" s="310"/>
      <c r="ML106" s="310"/>
      <c r="MM106" s="310"/>
      <c r="MN106" s="310"/>
      <c r="MO106" s="310"/>
      <c r="MP106" s="310"/>
      <c r="MQ106" s="310"/>
      <c r="MR106" s="310"/>
      <c r="MS106" s="310"/>
      <c r="MT106" s="310"/>
      <c r="MU106" s="310"/>
      <c r="MV106" s="310"/>
      <c r="MW106" s="310"/>
      <c r="MX106" s="310"/>
      <c r="MY106" s="310"/>
      <c r="MZ106" s="310"/>
      <c r="NA106" s="310"/>
      <c r="NB106" s="310"/>
      <c r="NC106" s="310"/>
      <c r="ND106" s="310"/>
      <c r="NE106" s="310"/>
      <c r="NF106" s="310"/>
      <c r="NG106" s="310"/>
      <c r="NH106" s="310"/>
      <c r="NI106" s="310"/>
      <c r="NJ106" s="310"/>
      <c r="NK106" s="310"/>
      <c r="NL106" s="310"/>
      <c r="NM106" s="310"/>
      <c r="NN106" s="310"/>
      <c r="NO106" s="310"/>
      <c r="NP106" s="310"/>
      <c r="NQ106" s="310"/>
      <c r="NR106" s="310"/>
      <c r="NS106" s="310"/>
      <c r="NT106" s="310"/>
      <c r="NU106" s="310"/>
      <c r="NV106" s="310"/>
      <c r="NW106" s="310"/>
      <c r="NX106" s="310"/>
      <c r="NY106" s="310"/>
      <c r="NZ106" s="310"/>
      <c r="OA106" s="310"/>
      <c r="OB106" s="310"/>
      <c r="OC106" s="310"/>
      <c r="OD106" s="310"/>
      <c r="OE106" s="310"/>
      <c r="OF106" s="310"/>
      <c r="OG106" s="310"/>
      <c r="OH106" s="310"/>
      <c r="OI106" s="310"/>
      <c r="OJ106" s="310"/>
      <c r="OK106" s="310"/>
      <c r="OL106" s="310"/>
      <c r="OM106" s="310"/>
      <c r="ON106" s="310"/>
      <c r="OO106" s="310"/>
      <c r="OP106" s="310"/>
      <c r="OQ106" s="310"/>
      <c r="OR106" s="310"/>
      <c r="OS106" s="310"/>
      <c r="OT106" s="310"/>
      <c r="OU106" s="310"/>
      <c r="OV106" s="310"/>
      <c r="OW106" s="310"/>
      <c r="OX106" s="310"/>
      <c r="OY106" s="310"/>
      <c r="OZ106" s="310"/>
      <c r="PA106" s="310"/>
      <c r="PB106" s="310"/>
      <c r="PC106" s="310"/>
      <c r="PD106" s="310"/>
      <c r="PE106" s="310"/>
      <c r="PF106" s="310"/>
      <c r="PG106" s="310"/>
      <c r="PH106" s="310"/>
      <c r="PI106" s="310"/>
      <c r="PJ106" s="310"/>
      <c r="PK106" s="310"/>
      <c r="PL106" s="310"/>
      <c r="PM106" s="310"/>
      <c r="PN106" s="310"/>
      <c r="PO106" s="310"/>
      <c r="PP106" s="310"/>
      <c r="PQ106" s="310"/>
      <c r="PR106" s="310"/>
      <c r="PS106" s="342">
        <v>92</v>
      </c>
      <c r="PT106" s="261" t="e">
        <f t="shared" si="163"/>
        <v>#N/A</v>
      </c>
      <c r="PU106" s="261" t="e">
        <f t="shared" si="164"/>
        <v>#N/A</v>
      </c>
      <c r="PV106" s="310"/>
      <c r="PW106" s="310"/>
      <c r="PX106" s="310"/>
      <c r="PY106" s="310"/>
      <c r="PZ106" s="310"/>
      <c r="QA106" s="310"/>
      <c r="QB106" s="310"/>
      <c r="QC106" s="310"/>
      <c r="QD106" s="310"/>
      <c r="QE106" s="310"/>
      <c r="QF106" s="310"/>
      <c r="QG106" s="310"/>
      <c r="QH106" s="310"/>
      <c r="QI106" s="310"/>
      <c r="QJ106" s="310"/>
      <c r="QK106" s="310"/>
      <c r="QL106" s="310"/>
      <c r="QM106" s="310"/>
      <c r="QN106" s="310"/>
      <c r="QO106" s="310"/>
      <c r="QP106" s="310"/>
      <c r="QQ106" s="310"/>
      <c r="QR106" s="310"/>
      <c r="QS106" s="310"/>
      <c r="QT106" s="310"/>
      <c r="QU106" s="310"/>
      <c r="QV106" s="310"/>
      <c r="QW106" s="310"/>
      <c r="QX106" s="310"/>
      <c r="QY106" s="310"/>
      <c r="QZ106" s="310"/>
      <c r="RA106" s="310"/>
      <c r="RB106" s="310"/>
      <c r="RC106" s="310"/>
      <c r="RD106" s="310"/>
      <c r="RE106" s="310"/>
      <c r="RF106" s="310"/>
      <c r="RG106" s="310"/>
      <c r="RH106" s="310"/>
      <c r="RI106" s="310"/>
      <c r="RJ106" s="310"/>
      <c r="RK106" s="310"/>
      <c r="RL106" s="310"/>
      <c r="RM106" s="310"/>
      <c r="RN106" s="310"/>
      <c r="RO106" s="310"/>
      <c r="RP106" s="310"/>
      <c r="RQ106" s="310"/>
      <c r="RR106" s="310"/>
      <c r="RS106" s="310"/>
      <c r="RT106" s="310"/>
      <c r="RU106" s="310"/>
      <c r="RV106" s="310"/>
      <c r="RW106" s="310"/>
      <c r="RX106" s="310"/>
      <c r="RY106" s="310"/>
      <c r="RZ106" s="310"/>
      <c r="SA106" s="310"/>
      <c r="SB106" s="310"/>
      <c r="SC106" s="310"/>
      <c r="SD106" s="310"/>
      <c r="SE106" s="310"/>
      <c r="SF106" s="310"/>
      <c r="SG106" s="310"/>
      <c r="SH106" s="310"/>
      <c r="SI106" s="310"/>
      <c r="SJ106" s="310"/>
      <c r="SK106" s="310"/>
      <c r="SL106" s="310"/>
      <c r="SM106" s="310"/>
      <c r="SN106" s="310"/>
      <c r="SO106" s="220"/>
      <c r="SP106" s="220"/>
      <c r="SQ106" s="220"/>
      <c r="SR106" s="220"/>
      <c r="SS106" s="220"/>
      <c r="ST106" s="220"/>
      <c r="SU106" s="220"/>
      <c r="SV106" s="220"/>
      <c r="SW106" s="220"/>
      <c r="SX106" s="220"/>
      <c r="SY106" s="220"/>
      <c r="SZ106" s="220"/>
      <c r="TA106" s="220"/>
      <c r="TB106" s="220"/>
      <c r="TC106" s="220"/>
      <c r="TD106" s="220"/>
      <c r="TE106" s="220"/>
      <c r="TF106" s="220"/>
      <c r="TG106" s="220"/>
      <c r="TH106" s="220"/>
      <c r="TI106" s="220"/>
      <c r="TJ106" s="220"/>
      <c r="TK106" s="220"/>
      <c r="TL106" s="220"/>
      <c r="TM106" s="220"/>
      <c r="TN106" s="220"/>
      <c r="TO106" s="220"/>
      <c r="TP106" s="220"/>
      <c r="TQ106" s="220"/>
      <c r="TR106" s="220"/>
      <c r="TS106" s="220"/>
      <c r="TT106" s="220"/>
      <c r="TU106" s="220"/>
      <c r="TV106" s="220"/>
      <c r="TW106" s="220"/>
      <c r="TX106" s="220"/>
      <c r="TY106" s="220"/>
      <c r="TZ106" s="220"/>
      <c r="UA106" s="220"/>
      <c r="UB106" s="220"/>
      <c r="UC106" s="220"/>
      <c r="UD106" s="220"/>
      <c r="UE106" s="220"/>
      <c r="UF106" s="220"/>
      <c r="UG106" s="220"/>
      <c r="UH106" s="220"/>
      <c r="UI106" s="220"/>
      <c r="UJ106" s="220"/>
      <c r="UK106" s="216"/>
      <c r="UL106" s="216"/>
      <c r="UM106" s="216"/>
      <c r="UN106" s="216"/>
      <c r="UO106" s="216"/>
      <c r="UP106" s="216"/>
      <c r="UQ106" s="216"/>
      <c r="UR106" s="216"/>
      <c r="US106" s="216"/>
      <c r="UT106" s="216"/>
      <c r="UU106" s="216"/>
      <c r="UV106" s="216"/>
      <c r="UW106" s="216"/>
      <c r="UX106" s="216"/>
      <c r="UY106" s="216"/>
      <c r="UZ106" s="216"/>
      <c r="VA106" s="216"/>
    </row>
    <row r="107" spans="1:573" s="4" customFormat="1" x14ac:dyDescent="0.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5"/>
      <c r="AM107" s="45"/>
      <c r="AN107" s="45"/>
      <c r="AO107" s="45"/>
      <c r="AP107" s="310"/>
      <c r="AQ107" s="310"/>
      <c r="AR107" s="310"/>
      <c r="AS107" s="310"/>
      <c r="AT107" s="310"/>
      <c r="AU107" s="310"/>
      <c r="AV107" s="310"/>
      <c r="AW107" s="310"/>
      <c r="AX107" s="310"/>
      <c r="AY107" s="310"/>
      <c r="AZ107" s="310"/>
      <c r="BA107" s="310"/>
      <c r="BB107" s="310"/>
      <c r="BC107" s="338" t="b">
        <f>BE9</f>
        <v>1</v>
      </c>
      <c r="BD107" s="328" t="s">
        <v>48</v>
      </c>
      <c r="BE107" s="328" t="s">
        <v>49</v>
      </c>
      <c r="BF107" s="310"/>
      <c r="BG107" s="310"/>
      <c r="BH107" s="310"/>
      <c r="BI107" s="310"/>
      <c r="BJ107" s="310"/>
      <c r="BK107" s="310"/>
      <c r="BL107" s="310"/>
      <c r="BM107" s="310"/>
      <c r="BN107" s="310"/>
      <c r="BO107" s="310"/>
      <c r="BP107" s="310"/>
      <c r="BQ107" s="310"/>
      <c r="BR107" s="310"/>
      <c r="BS107" s="310"/>
      <c r="BT107" s="310"/>
      <c r="BU107" s="310"/>
      <c r="BV107" s="310"/>
      <c r="BW107" s="310"/>
      <c r="BX107" s="310"/>
      <c r="BY107" s="310"/>
      <c r="BZ107" s="310"/>
      <c r="CA107" s="310"/>
      <c r="CB107" s="310"/>
      <c r="CC107" s="310"/>
      <c r="CD107" s="310"/>
      <c r="CE107" s="310"/>
      <c r="CF107" s="310"/>
      <c r="CG107" s="310"/>
      <c r="CH107" s="310"/>
      <c r="CI107" s="310"/>
      <c r="CJ107" s="310"/>
      <c r="CK107" s="310"/>
      <c r="CL107" s="310"/>
      <c r="CM107" s="310"/>
      <c r="CN107" s="310"/>
      <c r="CO107" s="310"/>
      <c r="CP107" s="310"/>
      <c r="CQ107" s="310"/>
      <c r="CR107" s="310"/>
      <c r="CS107" s="310"/>
      <c r="CT107" s="310"/>
      <c r="CU107" s="310"/>
      <c r="CV107" s="310"/>
      <c r="CW107" s="310"/>
      <c r="CX107" s="310"/>
      <c r="CY107" s="310"/>
      <c r="CZ107" s="310"/>
      <c r="DA107" s="310"/>
      <c r="DB107" s="310"/>
      <c r="DC107" s="310"/>
      <c r="DD107" s="310"/>
      <c r="DE107" s="310"/>
      <c r="DF107" s="310"/>
      <c r="DG107" s="310"/>
      <c r="DH107" s="310"/>
      <c r="DI107" s="310"/>
      <c r="DJ107" s="310"/>
      <c r="DK107" s="310"/>
      <c r="DL107" s="310"/>
      <c r="DM107" s="310"/>
      <c r="DN107" s="310"/>
      <c r="DO107" s="310"/>
      <c r="DP107" s="310"/>
      <c r="DQ107" s="310"/>
      <c r="DR107" s="310"/>
      <c r="DS107" s="310"/>
      <c r="DT107" s="310"/>
      <c r="DU107" s="230">
        <f>DU106</f>
        <v>1.2</v>
      </c>
      <c r="DV107" s="230">
        <f>DS81</f>
        <v>-0.95</v>
      </c>
      <c r="DW107" s="300" t="e">
        <v>#N/A</v>
      </c>
      <c r="DX107" s="300" t="e">
        <v>#N/A</v>
      </c>
      <c r="DY107" s="310"/>
      <c r="DZ107" s="310"/>
      <c r="EA107" s="310"/>
      <c r="EB107" s="310"/>
      <c r="EC107" s="310"/>
      <c r="ED107" s="310"/>
      <c r="EE107" s="310"/>
      <c r="EF107" s="310"/>
      <c r="EG107" s="310"/>
      <c r="EH107" s="310"/>
      <c r="EI107" s="338">
        <v>36</v>
      </c>
      <c r="EJ107" s="338" t="b">
        <f t="shared" si="127"/>
        <v>0</v>
      </c>
      <c r="EK107" s="281" t="e">
        <f t="shared" si="128"/>
        <v>#N/A</v>
      </c>
      <c r="EL107" s="281" t="e">
        <f t="shared" si="129"/>
        <v>#N/A</v>
      </c>
      <c r="EM107" s="310"/>
      <c r="EN107" s="280">
        <f>EG68+0.15</f>
        <v>0.95000000000000007</v>
      </c>
      <c r="EO107" s="280">
        <f>EO106</f>
        <v>-0.4</v>
      </c>
      <c r="EP107" s="310"/>
      <c r="EQ107" s="310"/>
      <c r="ER107" s="310"/>
      <c r="ES107" s="310"/>
      <c r="ET107" s="310"/>
      <c r="EU107" s="310"/>
      <c r="EV107" s="310"/>
      <c r="EW107" s="310"/>
      <c r="EX107" s="310"/>
      <c r="EY107" s="310"/>
      <c r="EZ107" s="310"/>
      <c r="FA107" s="310"/>
      <c r="FB107" s="310"/>
      <c r="FC107" s="310"/>
      <c r="FD107" s="310"/>
      <c r="FE107" s="310"/>
      <c r="FF107" s="310"/>
      <c r="FG107" s="310"/>
      <c r="FH107" s="310"/>
      <c r="FI107" s="310"/>
      <c r="FJ107" s="310"/>
      <c r="FK107" s="310"/>
      <c r="FL107" s="310"/>
      <c r="FM107" s="310"/>
      <c r="FN107" s="310"/>
      <c r="FO107" s="310"/>
      <c r="FP107" s="310"/>
      <c r="FQ107" s="310"/>
      <c r="FR107" s="310"/>
      <c r="FS107" s="310"/>
      <c r="FT107" s="310"/>
      <c r="FU107" s="310"/>
      <c r="FV107" s="310"/>
      <c r="FW107" s="310"/>
      <c r="FX107" s="310"/>
      <c r="FY107" s="310"/>
      <c r="FZ107" s="310"/>
      <c r="GA107" s="310"/>
      <c r="GB107" s="310"/>
      <c r="GC107" s="310"/>
      <c r="GD107" s="310"/>
      <c r="GE107" s="310"/>
      <c r="GF107" s="310"/>
      <c r="GG107" s="310"/>
      <c r="GH107" s="310"/>
      <c r="GI107" s="310"/>
      <c r="GJ107" s="310"/>
      <c r="GK107" s="310"/>
      <c r="GL107" s="310"/>
      <c r="GM107" s="310"/>
      <c r="GN107" s="310"/>
      <c r="GO107" s="310"/>
      <c r="GP107" s="310"/>
      <c r="GQ107" s="310"/>
      <c r="GR107" s="310"/>
      <c r="GS107" s="310"/>
      <c r="GT107" s="310"/>
      <c r="GU107" s="310"/>
      <c r="GV107" s="310"/>
      <c r="GW107" s="310"/>
      <c r="GX107" s="310"/>
      <c r="GY107" s="310"/>
      <c r="GZ107" s="310"/>
      <c r="HA107" s="310"/>
      <c r="HB107" s="310"/>
      <c r="HC107" s="310"/>
      <c r="HD107" s="310"/>
      <c r="HE107" s="310"/>
      <c r="HF107" s="310"/>
      <c r="HG107" s="310"/>
      <c r="HH107" s="310"/>
      <c r="HI107" s="310"/>
      <c r="HJ107" s="310"/>
      <c r="HK107" s="342">
        <v>93</v>
      </c>
      <c r="HL107" s="235" t="e">
        <f t="shared" si="139"/>
        <v>#N/A</v>
      </c>
      <c r="HM107" s="235" t="e">
        <f t="shared" si="140"/>
        <v>#N/A</v>
      </c>
      <c r="HN107" s="310"/>
      <c r="HO107" s="310"/>
      <c r="HP107" s="235" t="e">
        <f t="shared" si="141"/>
        <v>#N/A</v>
      </c>
      <c r="HQ107" s="235" t="e">
        <f t="shared" si="142"/>
        <v>#N/A</v>
      </c>
      <c r="HR107" s="310"/>
      <c r="HS107" s="310"/>
      <c r="HT107" s="235" t="e">
        <f t="shared" si="143"/>
        <v>#N/A</v>
      </c>
      <c r="HU107" s="235" t="e">
        <f t="shared" si="144"/>
        <v>#N/A</v>
      </c>
      <c r="HV107" s="310"/>
      <c r="HW107" s="310"/>
      <c r="HX107" s="235" t="e">
        <f t="shared" si="145"/>
        <v>#N/A</v>
      </c>
      <c r="HY107" s="235" t="e">
        <f t="shared" si="146"/>
        <v>#N/A</v>
      </c>
      <c r="HZ107" s="310"/>
      <c r="IA107" s="310"/>
      <c r="IB107" s="235" t="e">
        <f t="shared" si="147"/>
        <v>#N/A</v>
      </c>
      <c r="IC107" s="235" t="e">
        <f t="shared" si="148"/>
        <v>#N/A</v>
      </c>
      <c r="ID107" s="310"/>
      <c r="IE107" s="342">
        <v>93</v>
      </c>
      <c r="IF107" s="262" t="e">
        <f t="shared" si="149"/>
        <v>#N/A</v>
      </c>
      <c r="IG107" s="262" t="e">
        <f t="shared" si="150"/>
        <v>#N/A</v>
      </c>
      <c r="IH107" s="390"/>
      <c r="II107" s="390"/>
      <c r="IJ107" s="262" t="e">
        <f t="shared" si="151"/>
        <v>#N/A</v>
      </c>
      <c r="IK107" s="262" t="e">
        <f t="shared" si="152"/>
        <v>#N/A</v>
      </c>
      <c r="IL107" s="390"/>
      <c r="IM107" s="390"/>
      <c r="IN107" s="262" t="e">
        <f t="shared" si="153"/>
        <v>#N/A</v>
      </c>
      <c r="IO107" s="262" t="e">
        <f t="shared" si="154"/>
        <v>#N/A</v>
      </c>
      <c r="IP107" s="390"/>
      <c r="IQ107" s="390"/>
      <c r="IR107" s="262" t="e">
        <f t="shared" si="155"/>
        <v>#N/A</v>
      </c>
      <c r="IS107" s="262" t="e">
        <f t="shared" si="156"/>
        <v>#N/A</v>
      </c>
      <c r="IT107" s="390"/>
      <c r="IU107" s="390"/>
      <c r="IV107" s="262" t="e">
        <f t="shared" si="157"/>
        <v>#N/A</v>
      </c>
      <c r="IW107" s="262" t="e">
        <f t="shared" si="158"/>
        <v>#N/A</v>
      </c>
      <c r="IX107" s="310"/>
      <c r="IY107" s="310"/>
      <c r="IZ107" s="310"/>
      <c r="JA107" s="310"/>
      <c r="JB107" s="313" t="s">
        <v>152</v>
      </c>
      <c r="JC107" s="228">
        <f>JC106</f>
        <v>-0.5</v>
      </c>
      <c r="JD107" s="234">
        <f>JA106+($IZ$108/2)-$IZ$109</f>
        <v>-0.57499999999999996</v>
      </c>
      <c r="JE107" s="310"/>
      <c r="JF107" s="310"/>
      <c r="JG107" s="310"/>
      <c r="JH107" s="310"/>
      <c r="JI107" s="313" t="s">
        <v>152</v>
      </c>
      <c r="JJ107" s="242">
        <f>JJ106</f>
        <v>-0.5</v>
      </c>
      <c r="JK107" s="265">
        <f>JH106+($IZ$108/2)-$IZ$109</f>
        <v>-0.57499999999999996</v>
      </c>
      <c r="JL107" s="310"/>
      <c r="JM107" s="310"/>
      <c r="JN107" s="261" t="e">
        <f t="shared" si="159"/>
        <v>#N/A</v>
      </c>
      <c r="JO107" s="261" t="e">
        <f t="shared" si="160"/>
        <v>#N/A</v>
      </c>
      <c r="JP107" s="310"/>
      <c r="JQ107" s="310"/>
      <c r="JR107" s="261" t="e">
        <f t="shared" si="165"/>
        <v>#N/A</v>
      </c>
      <c r="JS107" s="261" t="e">
        <f t="shared" si="166"/>
        <v>#N/A</v>
      </c>
      <c r="JT107" s="310"/>
      <c r="JU107" s="310"/>
      <c r="JV107" s="261" t="e">
        <f t="shared" si="161"/>
        <v>#N/A</v>
      </c>
      <c r="JW107" s="261" t="e">
        <f t="shared" si="162"/>
        <v>#N/A</v>
      </c>
      <c r="JX107" s="310"/>
      <c r="JY107" s="311"/>
      <c r="JZ107" s="311"/>
      <c r="KA107" s="311"/>
      <c r="KB107" s="313" t="s">
        <v>373</v>
      </c>
      <c r="KC107" s="242" t="e">
        <f>KC100</f>
        <v>#N/A</v>
      </c>
      <c r="KD107" s="242" t="e">
        <f>KA101-$IZ$108/2</f>
        <v>#N/A</v>
      </c>
      <c r="KE107" s="310"/>
      <c r="KF107" s="310"/>
      <c r="KG107" s="310"/>
      <c r="KH107" s="310"/>
      <c r="KI107" s="310"/>
      <c r="KJ107" s="310"/>
      <c r="KK107" s="310"/>
      <c r="KL107" s="310"/>
      <c r="KM107" s="310"/>
      <c r="KN107" s="310"/>
      <c r="KO107" s="310"/>
      <c r="KP107" s="310"/>
      <c r="KQ107" s="310"/>
      <c r="KR107" s="310"/>
      <c r="KS107" s="310"/>
      <c r="KT107" s="310"/>
      <c r="KU107" s="310"/>
      <c r="KV107" s="310"/>
      <c r="KW107" s="310"/>
      <c r="KX107" s="310"/>
      <c r="KY107" s="310"/>
      <c r="KZ107" s="310"/>
      <c r="LA107" s="310"/>
      <c r="LB107" s="310"/>
      <c r="LC107" s="310"/>
      <c r="LD107" s="310"/>
      <c r="LE107" s="310"/>
      <c r="LF107" s="310"/>
      <c r="LG107" s="310"/>
      <c r="LH107" s="310"/>
      <c r="LI107" s="310"/>
      <c r="LJ107" s="310"/>
      <c r="LK107" s="310"/>
      <c r="LL107" s="310"/>
      <c r="LM107" s="310"/>
      <c r="LN107" s="310"/>
      <c r="LO107" s="310"/>
      <c r="LP107" s="310"/>
      <c r="LQ107" s="310"/>
      <c r="LR107" s="310"/>
      <c r="LS107" s="310"/>
      <c r="LT107" s="310"/>
      <c r="LU107" s="310"/>
      <c r="LV107" s="310"/>
      <c r="LW107" s="310"/>
      <c r="LX107" s="310"/>
      <c r="LY107" s="310"/>
      <c r="LZ107" s="310"/>
      <c r="MA107" s="310"/>
      <c r="MB107" s="310"/>
      <c r="MC107" s="310"/>
      <c r="MD107" s="310"/>
      <c r="ME107" s="310"/>
      <c r="MF107" s="310"/>
      <c r="MG107" s="310"/>
      <c r="MH107" s="310"/>
      <c r="MI107" s="310"/>
      <c r="MJ107" s="310"/>
      <c r="MK107" s="310"/>
      <c r="ML107" s="310"/>
      <c r="MM107" s="310"/>
      <c r="MN107" s="310"/>
      <c r="MO107" s="310"/>
      <c r="MP107" s="310"/>
      <c r="MQ107" s="310"/>
      <c r="MR107" s="310"/>
      <c r="MS107" s="310"/>
      <c r="MT107" s="310"/>
      <c r="MU107" s="310"/>
      <c r="MV107" s="310"/>
      <c r="MW107" s="310"/>
      <c r="MX107" s="310"/>
      <c r="MY107" s="310"/>
      <c r="MZ107" s="310"/>
      <c r="NA107" s="310"/>
      <c r="NB107" s="310"/>
      <c r="NC107" s="310"/>
      <c r="ND107" s="310"/>
      <c r="NE107" s="310"/>
      <c r="NF107" s="310"/>
      <c r="NG107" s="310"/>
      <c r="NH107" s="310"/>
      <c r="NI107" s="310"/>
      <c r="NJ107" s="310"/>
      <c r="NK107" s="310"/>
      <c r="NL107" s="310"/>
      <c r="NM107" s="310"/>
      <c r="NN107" s="310"/>
      <c r="NO107" s="310"/>
      <c r="NP107" s="310"/>
      <c r="NQ107" s="310"/>
      <c r="NR107" s="310"/>
      <c r="NS107" s="310"/>
      <c r="NT107" s="310"/>
      <c r="NU107" s="310"/>
      <c r="NV107" s="310"/>
      <c r="NW107" s="310"/>
      <c r="NX107" s="310"/>
      <c r="NY107" s="310"/>
      <c r="NZ107" s="310"/>
      <c r="OA107" s="310"/>
      <c r="OB107" s="310"/>
      <c r="OC107" s="310"/>
      <c r="OD107" s="310"/>
      <c r="OE107" s="310"/>
      <c r="OF107" s="310"/>
      <c r="OG107" s="310"/>
      <c r="OH107" s="310"/>
      <c r="OI107" s="310"/>
      <c r="OJ107" s="310"/>
      <c r="OK107" s="310"/>
      <c r="OL107" s="310"/>
      <c r="OM107" s="310"/>
      <c r="ON107" s="310"/>
      <c r="OO107" s="310"/>
      <c r="OP107" s="310"/>
      <c r="OQ107" s="310"/>
      <c r="OR107" s="310"/>
      <c r="OS107" s="310"/>
      <c r="OT107" s="310"/>
      <c r="OU107" s="310"/>
      <c r="OV107" s="310"/>
      <c r="OW107" s="310"/>
      <c r="OX107" s="310"/>
      <c r="OY107" s="310"/>
      <c r="OZ107" s="310"/>
      <c r="PA107" s="310"/>
      <c r="PB107" s="310"/>
      <c r="PC107" s="310"/>
      <c r="PD107" s="310"/>
      <c r="PE107" s="310"/>
      <c r="PF107" s="310"/>
      <c r="PG107" s="310"/>
      <c r="PH107" s="310"/>
      <c r="PI107" s="310"/>
      <c r="PJ107" s="310"/>
      <c r="PK107" s="310"/>
      <c r="PL107" s="310"/>
      <c r="PM107" s="310"/>
      <c r="PN107" s="310"/>
      <c r="PO107" s="310"/>
      <c r="PP107" s="310"/>
      <c r="PQ107" s="310"/>
      <c r="PR107" s="310"/>
      <c r="PS107" s="342">
        <v>93</v>
      </c>
      <c r="PT107" s="261" t="e">
        <f t="shared" si="163"/>
        <v>#N/A</v>
      </c>
      <c r="PU107" s="261" t="e">
        <f t="shared" si="164"/>
        <v>#N/A</v>
      </c>
      <c r="PV107" s="310"/>
      <c r="PW107" s="310"/>
      <c r="PX107" s="310"/>
      <c r="PY107" s="310"/>
      <c r="PZ107" s="310"/>
      <c r="QA107" s="310"/>
      <c r="QB107" s="310"/>
      <c r="QC107" s="310"/>
      <c r="QD107" s="310"/>
      <c r="QE107" s="310"/>
      <c r="QF107" s="310"/>
      <c r="QG107" s="310"/>
      <c r="QH107" s="310"/>
      <c r="QI107" s="310"/>
      <c r="QJ107" s="310"/>
      <c r="QK107" s="310"/>
      <c r="QL107" s="310"/>
      <c r="QM107" s="310"/>
      <c r="QN107" s="310"/>
      <c r="QO107" s="310"/>
      <c r="QP107" s="310"/>
      <c r="QQ107" s="310"/>
      <c r="QR107" s="310"/>
      <c r="QS107" s="310"/>
      <c r="QT107" s="310"/>
      <c r="QU107" s="310"/>
      <c r="QV107" s="310"/>
      <c r="QW107" s="310"/>
      <c r="QX107" s="310"/>
      <c r="QY107" s="310"/>
      <c r="QZ107" s="310"/>
      <c r="RA107" s="310"/>
      <c r="RB107" s="310"/>
      <c r="RC107" s="310"/>
      <c r="RD107" s="310"/>
      <c r="RE107" s="310"/>
      <c r="RF107" s="310"/>
      <c r="RG107" s="310"/>
      <c r="RH107" s="310"/>
      <c r="RI107" s="310"/>
      <c r="RJ107" s="310"/>
      <c r="RK107" s="310"/>
      <c r="RL107" s="310"/>
      <c r="RM107" s="310"/>
      <c r="RN107" s="310"/>
      <c r="RO107" s="310"/>
      <c r="RP107" s="310"/>
      <c r="RQ107" s="310"/>
      <c r="RR107" s="310"/>
      <c r="RS107" s="310"/>
      <c r="RT107" s="310"/>
      <c r="RU107" s="310"/>
      <c r="RV107" s="310"/>
      <c r="RW107" s="310"/>
      <c r="RX107" s="310"/>
      <c r="RY107" s="310"/>
      <c r="RZ107" s="310"/>
      <c r="SA107" s="310"/>
      <c r="SB107" s="310"/>
      <c r="SC107" s="310"/>
      <c r="SD107" s="310"/>
      <c r="SE107" s="310"/>
      <c r="SF107" s="310"/>
      <c r="SG107" s="310"/>
      <c r="SH107" s="310"/>
      <c r="SI107" s="310"/>
      <c r="SJ107" s="310"/>
      <c r="SK107" s="310"/>
      <c r="SL107" s="310"/>
      <c r="SM107" s="310"/>
      <c r="SN107" s="310"/>
      <c r="SO107" s="220"/>
      <c r="SP107" s="220"/>
      <c r="SQ107" s="220"/>
      <c r="SR107" s="220"/>
      <c r="SS107" s="220"/>
      <c r="ST107" s="220"/>
      <c r="SU107" s="220"/>
      <c r="SV107" s="220"/>
      <c r="SW107" s="220"/>
      <c r="SX107" s="220"/>
      <c r="SY107" s="220"/>
      <c r="SZ107" s="220"/>
      <c r="TA107" s="220"/>
      <c r="TB107" s="220"/>
      <c r="TC107" s="220"/>
      <c r="TD107" s="220"/>
      <c r="TE107" s="220"/>
      <c r="TF107" s="220"/>
      <c r="TG107" s="220"/>
      <c r="TH107" s="220"/>
      <c r="TI107" s="220"/>
      <c r="TJ107" s="220"/>
      <c r="TK107" s="220"/>
      <c r="TL107" s="220"/>
      <c r="TM107" s="220"/>
      <c r="TN107" s="220"/>
      <c r="TO107" s="220"/>
      <c r="TP107" s="220"/>
      <c r="TQ107" s="220"/>
      <c r="TR107" s="220"/>
      <c r="TS107" s="220"/>
      <c r="TT107" s="220"/>
      <c r="TU107" s="220"/>
      <c r="TV107" s="220"/>
      <c r="TW107" s="220"/>
      <c r="TX107" s="220"/>
      <c r="TY107" s="220"/>
      <c r="TZ107" s="220"/>
      <c r="UA107" s="220"/>
      <c r="UB107" s="220"/>
      <c r="UC107" s="220"/>
      <c r="UD107" s="220"/>
      <c r="UE107" s="220"/>
      <c r="UF107" s="220"/>
      <c r="UG107" s="220"/>
      <c r="UH107" s="220"/>
      <c r="UI107" s="220"/>
      <c r="UJ107" s="220"/>
      <c r="UK107" s="216"/>
      <c r="UL107" s="216"/>
      <c r="UM107" s="216"/>
      <c r="UN107" s="216"/>
      <c r="UO107" s="216"/>
      <c r="UP107" s="216"/>
      <c r="UQ107" s="216"/>
      <c r="UR107" s="216"/>
      <c r="US107" s="216"/>
      <c r="UT107" s="216"/>
      <c r="UU107" s="216"/>
      <c r="UV107" s="216"/>
      <c r="UW107" s="216"/>
      <c r="UX107" s="216"/>
      <c r="UY107" s="216"/>
      <c r="UZ107" s="216"/>
      <c r="VA107" s="216"/>
    </row>
    <row r="108" spans="1:573" s="4" customFormat="1" x14ac:dyDescent="0.4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5"/>
      <c r="AM108" s="45"/>
      <c r="AN108" s="45"/>
      <c r="AO108" s="45"/>
      <c r="AP108" s="310"/>
      <c r="AQ108" s="310"/>
      <c r="AR108" s="310"/>
      <c r="AS108" s="310"/>
      <c r="AT108" s="310"/>
      <c r="AU108" s="310"/>
      <c r="AV108" s="310"/>
      <c r="AW108" s="310"/>
      <c r="AX108" s="310"/>
      <c r="AY108" s="310"/>
      <c r="AZ108" s="310"/>
      <c r="BA108" s="310"/>
      <c r="BB108" s="310"/>
      <c r="BC108" s="338" t="s">
        <v>13</v>
      </c>
      <c r="BD108" s="511">
        <f>R26-R10</f>
        <v>-0.65</v>
      </c>
      <c r="BE108" s="511">
        <f>Q26-Q10</f>
        <v>-0.65</v>
      </c>
      <c r="BF108" s="310"/>
      <c r="BG108" s="310"/>
      <c r="BH108" s="310"/>
      <c r="BI108" s="310"/>
      <c r="BJ108" s="310"/>
      <c r="BK108" s="310"/>
      <c r="BL108" s="310"/>
      <c r="BM108" s="310"/>
      <c r="BN108" s="310"/>
      <c r="BO108" s="310"/>
      <c r="BP108" s="310"/>
      <c r="BQ108" s="310"/>
      <c r="BR108" s="310"/>
      <c r="BS108" s="310"/>
      <c r="BT108" s="310"/>
      <c r="BU108" s="310"/>
      <c r="BV108" s="310"/>
      <c r="BW108" s="310"/>
      <c r="BX108" s="310"/>
      <c r="BY108" s="310"/>
      <c r="BZ108" s="310"/>
      <c r="CA108" s="310"/>
      <c r="CB108" s="310"/>
      <c r="CC108" s="310"/>
      <c r="CD108" s="310"/>
      <c r="CE108" s="310"/>
      <c r="CF108" s="310"/>
      <c r="CG108" s="310"/>
      <c r="CH108" s="310"/>
      <c r="CI108" s="310"/>
      <c r="CJ108" s="310"/>
      <c r="CK108" s="310"/>
      <c r="CL108" s="310"/>
      <c r="CM108" s="310"/>
      <c r="CN108" s="310"/>
      <c r="CO108" s="310"/>
      <c r="CP108" s="310"/>
      <c r="CQ108" s="310"/>
      <c r="CR108" s="310"/>
      <c r="CS108" s="310"/>
      <c r="CT108" s="310"/>
      <c r="CU108" s="310"/>
      <c r="CV108" s="310"/>
      <c r="CW108" s="310"/>
      <c r="CX108" s="310"/>
      <c r="CY108" s="310"/>
      <c r="CZ108" s="310"/>
      <c r="DA108" s="310"/>
      <c r="DB108" s="310"/>
      <c r="DC108" s="310"/>
      <c r="DD108" s="310"/>
      <c r="DE108" s="310"/>
      <c r="DF108" s="310"/>
      <c r="DG108" s="310"/>
      <c r="DH108" s="310"/>
      <c r="DI108" s="310"/>
      <c r="DJ108" s="310"/>
      <c r="DK108" s="310"/>
      <c r="DL108" s="310"/>
      <c r="DM108" s="310"/>
      <c r="DN108" s="310"/>
      <c r="DO108" s="310"/>
      <c r="DP108" s="310"/>
      <c r="DQ108" s="310"/>
      <c r="DR108" s="310"/>
      <c r="DS108" s="310"/>
      <c r="DT108" s="310"/>
      <c r="DU108" s="230" t="e">
        <v>#N/A</v>
      </c>
      <c r="DV108" s="230" t="e">
        <v>#N/A</v>
      </c>
      <c r="DW108" s="310"/>
      <c r="DX108" s="310"/>
      <c r="DY108" s="310"/>
      <c r="DZ108" s="310"/>
      <c r="EA108" s="310"/>
      <c r="EB108" s="310"/>
      <c r="EC108" s="310"/>
      <c r="ED108" s="310"/>
      <c r="EE108" s="310"/>
      <c r="EF108" s="310"/>
      <c r="EG108" s="310"/>
      <c r="EH108" s="310"/>
      <c r="EI108" s="338">
        <v>37</v>
      </c>
      <c r="EJ108" s="338" t="b">
        <f t="shared" si="127"/>
        <v>0</v>
      </c>
      <c r="EK108" s="281" t="e">
        <f t="shared" si="128"/>
        <v>#N/A</v>
      </c>
      <c r="EL108" s="281" t="e">
        <f t="shared" si="129"/>
        <v>#N/A</v>
      </c>
      <c r="EM108" s="310"/>
      <c r="EN108" s="280" t="e">
        <v>#N/A</v>
      </c>
      <c r="EO108" s="280" t="e">
        <v>#N/A</v>
      </c>
      <c r="EP108" s="310"/>
      <c r="EQ108" s="310"/>
      <c r="ER108" s="310"/>
      <c r="ES108" s="310"/>
      <c r="ET108" s="310"/>
      <c r="EU108" s="310"/>
      <c r="EV108" s="310"/>
      <c r="EW108" s="310"/>
      <c r="EX108" s="310"/>
      <c r="EY108" s="310"/>
      <c r="EZ108" s="310"/>
      <c r="FA108" s="310"/>
      <c r="FB108" s="310"/>
      <c r="FC108" s="310"/>
      <c r="FD108" s="310"/>
      <c r="FE108" s="310"/>
      <c r="FF108" s="310"/>
      <c r="FG108" s="310"/>
      <c r="FH108" s="310"/>
      <c r="FI108" s="310"/>
      <c r="FJ108" s="310"/>
      <c r="FK108" s="310"/>
      <c r="FL108" s="310"/>
      <c r="FM108" s="310"/>
      <c r="FN108" s="310"/>
      <c r="FO108" s="310"/>
      <c r="FP108" s="310"/>
      <c r="FQ108" s="310"/>
      <c r="FR108" s="310"/>
      <c r="FS108" s="310"/>
      <c r="FT108" s="310"/>
      <c r="FU108" s="310"/>
      <c r="FV108" s="310"/>
      <c r="FW108" s="310"/>
      <c r="FX108" s="310"/>
      <c r="FY108" s="310"/>
      <c r="FZ108" s="310"/>
      <c r="GA108" s="310"/>
      <c r="GB108" s="310"/>
      <c r="GC108" s="310"/>
      <c r="GD108" s="310"/>
      <c r="GE108" s="310"/>
      <c r="GF108" s="310"/>
      <c r="GG108" s="310"/>
      <c r="GH108" s="310"/>
      <c r="GI108" s="310"/>
      <c r="GJ108" s="310"/>
      <c r="GK108" s="310"/>
      <c r="GL108" s="310"/>
      <c r="GM108" s="310"/>
      <c r="GN108" s="310"/>
      <c r="GO108" s="310"/>
      <c r="GP108" s="310"/>
      <c r="GQ108" s="310"/>
      <c r="GR108" s="310"/>
      <c r="GS108" s="310"/>
      <c r="GT108" s="310"/>
      <c r="GU108" s="310"/>
      <c r="GV108" s="310"/>
      <c r="GW108" s="310"/>
      <c r="GX108" s="310"/>
      <c r="GY108" s="310"/>
      <c r="GZ108" s="310"/>
      <c r="HA108" s="310"/>
      <c r="HB108" s="310"/>
      <c r="HC108" s="310"/>
      <c r="HD108" s="310"/>
      <c r="HE108" s="310"/>
      <c r="HF108" s="310"/>
      <c r="HG108" s="310"/>
      <c r="HH108" s="310"/>
      <c r="HI108" s="310"/>
      <c r="HJ108" s="310"/>
      <c r="HK108" s="342">
        <v>94</v>
      </c>
      <c r="HL108" s="235" t="e">
        <f t="shared" si="139"/>
        <v>#N/A</v>
      </c>
      <c r="HM108" s="235" t="e">
        <f t="shared" si="140"/>
        <v>#N/A</v>
      </c>
      <c r="HN108" s="310"/>
      <c r="HO108" s="310"/>
      <c r="HP108" s="235" t="e">
        <f t="shared" si="141"/>
        <v>#N/A</v>
      </c>
      <c r="HQ108" s="235" t="e">
        <f t="shared" si="142"/>
        <v>#N/A</v>
      </c>
      <c r="HR108" s="310"/>
      <c r="HS108" s="310"/>
      <c r="HT108" s="235" t="e">
        <f t="shared" si="143"/>
        <v>#N/A</v>
      </c>
      <c r="HU108" s="235" t="e">
        <f t="shared" si="144"/>
        <v>#N/A</v>
      </c>
      <c r="HV108" s="310"/>
      <c r="HW108" s="310"/>
      <c r="HX108" s="235" t="e">
        <f t="shared" si="145"/>
        <v>#N/A</v>
      </c>
      <c r="HY108" s="235" t="e">
        <f t="shared" si="146"/>
        <v>#N/A</v>
      </c>
      <c r="HZ108" s="310"/>
      <c r="IA108" s="310"/>
      <c r="IB108" s="235" t="e">
        <f t="shared" si="147"/>
        <v>#N/A</v>
      </c>
      <c r="IC108" s="235" t="e">
        <f t="shared" si="148"/>
        <v>#N/A</v>
      </c>
      <c r="ID108" s="310"/>
      <c r="IE108" s="342">
        <v>94</v>
      </c>
      <c r="IF108" s="262" t="e">
        <f t="shared" si="149"/>
        <v>#N/A</v>
      </c>
      <c r="IG108" s="262" t="e">
        <f t="shared" si="150"/>
        <v>#N/A</v>
      </c>
      <c r="IH108" s="390"/>
      <c r="II108" s="390"/>
      <c r="IJ108" s="262" t="e">
        <f t="shared" si="151"/>
        <v>#N/A</v>
      </c>
      <c r="IK108" s="262" t="e">
        <f t="shared" si="152"/>
        <v>#N/A</v>
      </c>
      <c r="IL108" s="390"/>
      <c r="IM108" s="390"/>
      <c r="IN108" s="262" t="e">
        <f t="shared" si="153"/>
        <v>#N/A</v>
      </c>
      <c r="IO108" s="262" t="e">
        <f t="shared" si="154"/>
        <v>#N/A</v>
      </c>
      <c r="IP108" s="390"/>
      <c r="IQ108" s="390"/>
      <c r="IR108" s="262" t="e">
        <f t="shared" si="155"/>
        <v>#N/A</v>
      </c>
      <c r="IS108" s="262" t="e">
        <f t="shared" si="156"/>
        <v>#N/A</v>
      </c>
      <c r="IT108" s="390"/>
      <c r="IU108" s="390"/>
      <c r="IV108" s="262" t="e">
        <f t="shared" si="157"/>
        <v>#N/A</v>
      </c>
      <c r="IW108" s="262" t="e">
        <f t="shared" si="158"/>
        <v>#N/A</v>
      </c>
      <c r="IX108" s="310"/>
      <c r="IY108" s="316" t="s">
        <v>352</v>
      </c>
      <c r="IZ108" s="491" cm="1">
        <f t="array" ref="IZ108">INDEX($GZ$7:$GZ$28,$GY$6)/100</f>
        <v>0.3</v>
      </c>
      <c r="JA108" s="310"/>
      <c r="JB108" s="313" t="s">
        <v>167</v>
      </c>
      <c r="JC108" s="228">
        <f>IZ106+$IZ$112/2</f>
        <v>-0.6</v>
      </c>
      <c r="JD108" s="237">
        <f>JA106+($IZ$108/2)-($IZ$108-$IZ$111-$IZ$110)</f>
        <v>-0.60499999999999998</v>
      </c>
      <c r="JE108" s="310"/>
      <c r="JF108" s="316" t="s">
        <v>352</v>
      </c>
      <c r="JG108" s="491" cm="1">
        <f t="array" ref="JG108">INDEX($GZ$7:$GZ$28,$GY$6)/100</f>
        <v>0.3</v>
      </c>
      <c r="JH108" s="310"/>
      <c r="JI108" s="313" t="s">
        <v>167</v>
      </c>
      <c r="JJ108" s="242">
        <f>JG106+$IZ$112/2</f>
        <v>-0.6</v>
      </c>
      <c r="JK108" s="266">
        <f>JH106+($IZ$108/2)-($IZ$108-$IZ$111-$IZ$110)</f>
        <v>-0.60499999999999998</v>
      </c>
      <c r="JL108" s="310"/>
      <c r="JM108" s="310"/>
      <c r="JN108" s="261" t="e">
        <f t="shared" si="159"/>
        <v>#N/A</v>
      </c>
      <c r="JO108" s="261" t="e">
        <f t="shared" si="160"/>
        <v>#N/A</v>
      </c>
      <c r="JP108" s="310"/>
      <c r="JQ108" s="310"/>
      <c r="JR108" s="261" t="e">
        <f t="shared" si="165"/>
        <v>#N/A</v>
      </c>
      <c r="JS108" s="261" t="e">
        <f t="shared" si="166"/>
        <v>#N/A</v>
      </c>
      <c r="JT108" s="310"/>
      <c r="JU108" s="310"/>
      <c r="JV108" s="261" t="e">
        <f t="shared" si="161"/>
        <v>#N/A</v>
      </c>
      <c r="JW108" s="261" t="e">
        <f t="shared" si="162"/>
        <v>#N/A</v>
      </c>
      <c r="JX108" s="310"/>
      <c r="JY108" s="311"/>
      <c r="JZ108" s="311"/>
      <c r="KA108" s="311"/>
      <c r="KB108" s="313" t="s">
        <v>393</v>
      </c>
      <c r="KC108" s="242" t="e">
        <f>KC99</f>
        <v>#N/A</v>
      </c>
      <c r="KD108" s="242" t="e">
        <f>KD107</f>
        <v>#N/A</v>
      </c>
      <c r="KE108" s="310"/>
      <c r="KF108" s="310"/>
      <c r="KG108" s="310"/>
      <c r="KH108" s="310"/>
      <c r="KI108" s="310"/>
      <c r="KJ108" s="310"/>
      <c r="KK108" s="310"/>
      <c r="KL108" s="310"/>
      <c r="KM108" s="310"/>
      <c r="KN108" s="310"/>
      <c r="KO108" s="310"/>
      <c r="KP108" s="310"/>
      <c r="KQ108" s="310"/>
      <c r="KR108" s="310"/>
      <c r="KS108" s="310"/>
      <c r="KT108" s="310"/>
      <c r="KU108" s="310"/>
      <c r="KV108" s="310"/>
      <c r="KW108" s="310"/>
      <c r="KX108" s="310"/>
      <c r="KY108" s="310"/>
      <c r="KZ108" s="310"/>
      <c r="LA108" s="310"/>
      <c r="LB108" s="310"/>
      <c r="LC108" s="310"/>
      <c r="LD108" s="310"/>
      <c r="LE108" s="310"/>
      <c r="LF108" s="310"/>
      <c r="LG108" s="310"/>
      <c r="LH108" s="310"/>
      <c r="LI108" s="310"/>
      <c r="LJ108" s="310"/>
      <c r="LK108" s="310"/>
      <c r="LL108" s="310"/>
      <c r="LM108" s="310"/>
      <c r="LN108" s="310"/>
      <c r="LO108" s="310"/>
      <c r="LP108" s="310"/>
      <c r="LQ108" s="310"/>
      <c r="LR108" s="310"/>
      <c r="LS108" s="310"/>
      <c r="LT108" s="310"/>
      <c r="LU108" s="310"/>
      <c r="LV108" s="310"/>
      <c r="LW108" s="310"/>
      <c r="LX108" s="310"/>
      <c r="LY108" s="310"/>
      <c r="LZ108" s="310"/>
      <c r="MA108" s="310"/>
      <c r="MB108" s="310"/>
      <c r="MC108" s="310"/>
      <c r="MD108" s="310"/>
      <c r="ME108" s="310"/>
      <c r="MF108" s="310"/>
      <c r="MG108" s="310"/>
      <c r="MH108" s="310"/>
      <c r="MI108" s="310"/>
      <c r="MJ108" s="310"/>
      <c r="MK108" s="310"/>
      <c r="ML108" s="310"/>
      <c r="MM108" s="310"/>
      <c r="MN108" s="310"/>
      <c r="MO108" s="310"/>
      <c r="MP108" s="310"/>
      <c r="MQ108" s="310"/>
      <c r="MR108" s="310"/>
      <c r="MS108" s="310"/>
      <c r="MT108" s="310"/>
      <c r="MU108" s="310"/>
      <c r="MV108" s="310"/>
      <c r="MW108" s="310"/>
      <c r="MX108" s="310"/>
      <c r="MY108" s="310"/>
      <c r="MZ108" s="310"/>
      <c r="NA108" s="310"/>
      <c r="NB108" s="310"/>
      <c r="NC108" s="310"/>
      <c r="ND108" s="310"/>
      <c r="NE108" s="310"/>
      <c r="NF108" s="310"/>
      <c r="NG108" s="310"/>
      <c r="NH108" s="310"/>
      <c r="NI108" s="310"/>
      <c r="NJ108" s="310"/>
      <c r="NK108" s="310"/>
      <c r="NL108" s="310"/>
      <c r="NM108" s="310"/>
      <c r="NN108" s="310"/>
      <c r="NO108" s="310"/>
      <c r="NP108" s="310"/>
      <c r="NQ108" s="310"/>
      <c r="NR108" s="310"/>
      <c r="NS108" s="310"/>
      <c r="NT108" s="310"/>
      <c r="NU108" s="310"/>
      <c r="NV108" s="310"/>
      <c r="NW108" s="310"/>
      <c r="NX108" s="310"/>
      <c r="NY108" s="310"/>
      <c r="NZ108" s="310"/>
      <c r="OA108" s="310"/>
      <c r="OB108" s="310"/>
      <c r="OC108" s="310"/>
      <c r="OD108" s="310"/>
      <c r="OE108" s="310"/>
      <c r="OF108" s="310"/>
      <c r="OG108" s="310"/>
      <c r="OH108" s="310"/>
      <c r="OI108" s="310"/>
      <c r="OJ108" s="310"/>
      <c r="OK108" s="310"/>
      <c r="OL108" s="310"/>
      <c r="OM108" s="310"/>
      <c r="ON108" s="310"/>
      <c r="OO108" s="310"/>
      <c r="OP108" s="310"/>
      <c r="OQ108" s="310"/>
      <c r="OR108" s="310"/>
      <c r="OS108" s="310"/>
      <c r="OT108" s="310"/>
      <c r="OU108" s="310"/>
      <c r="OV108" s="310"/>
      <c r="OW108" s="310"/>
      <c r="OX108" s="310"/>
      <c r="OY108" s="310"/>
      <c r="OZ108" s="310"/>
      <c r="PA108" s="310"/>
      <c r="PB108" s="310"/>
      <c r="PC108" s="310"/>
      <c r="PD108" s="310"/>
      <c r="PE108" s="310"/>
      <c r="PF108" s="310"/>
      <c r="PG108" s="310"/>
      <c r="PH108" s="310"/>
      <c r="PI108" s="310"/>
      <c r="PJ108" s="310"/>
      <c r="PK108" s="310"/>
      <c r="PL108" s="310"/>
      <c r="PM108" s="310"/>
      <c r="PN108" s="310"/>
      <c r="PO108" s="310"/>
      <c r="PP108" s="310"/>
      <c r="PQ108" s="310"/>
      <c r="PR108" s="310"/>
      <c r="PS108" s="342">
        <v>94</v>
      </c>
      <c r="PT108" s="261" t="e">
        <f t="shared" si="163"/>
        <v>#N/A</v>
      </c>
      <c r="PU108" s="261" t="e">
        <f t="shared" si="164"/>
        <v>#N/A</v>
      </c>
      <c r="PV108" s="310"/>
      <c r="PW108" s="310"/>
      <c r="PX108" s="310"/>
      <c r="PY108" s="310"/>
      <c r="PZ108" s="310"/>
      <c r="QA108" s="310"/>
      <c r="QB108" s="310"/>
      <c r="QC108" s="310"/>
      <c r="QD108" s="310"/>
      <c r="QE108" s="310"/>
      <c r="QF108" s="310"/>
      <c r="QG108" s="310"/>
      <c r="QH108" s="310"/>
      <c r="QI108" s="310"/>
      <c r="QJ108" s="310"/>
      <c r="QK108" s="310"/>
      <c r="QL108" s="310"/>
      <c r="QM108" s="310"/>
      <c r="QN108" s="310"/>
      <c r="QO108" s="310"/>
      <c r="QP108" s="310"/>
      <c r="QQ108" s="310"/>
      <c r="QR108" s="310"/>
      <c r="QS108" s="310"/>
      <c r="QT108" s="310"/>
      <c r="QU108" s="310"/>
      <c r="QV108" s="310"/>
      <c r="QW108" s="310"/>
      <c r="QX108" s="310"/>
      <c r="QY108" s="310"/>
      <c r="QZ108" s="310"/>
      <c r="RA108" s="310"/>
      <c r="RB108" s="310"/>
      <c r="RC108" s="310"/>
      <c r="RD108" s="310"/>
      <c r="RE108" s="310"/>
      <c r="RF108" s="310"/>
      <c r="RG108" s="310"/>
      <c r="RH108" s="310"/>
      <c r="RI108" s="310"/>
      <c r="RJ108" s="310"/>
      <c r="RK108" s="310"/>
      <c r="RL108" s="310"/>
      <c r="RM108" s="310"/>
      <c r="RN108" s="310"/>
      <c r="RO108" s="310"/>
      <c r="RP108" s="310"/>
      <c r="RQ108" s="310"/>
      <c r="RR108" s="310"/>
      <c r="RS108" s="310"/>
      <c r="RT108" s="310"/>
      <c r="RU108" s="310"/>
      <c r="RV108" s="310"/>
      <c r="RW108" s="310"/>
      <c r="RX108" s="310"/>
      <c r="RY108" s="310"/>
      <c r="RZ108" s="310"/>
      <c r="SA108" s="310"/>
      <c r="SB108" s="310"/>
      <c r="SC108" s="310"/>
      <c r="SD108" s="310"/>
      <c r="SE108" s="310"/>
      <c r="SF108" s="310"/>
      <c r="SG108" s="310"/>
      <c r="SH108" s="310"/>
      <c r="SI108" s="310"/>
      <c r="SJ108" s="310"/>
      <c r="SK108" s="310"/>
      <c r="SL108" s="310"/>
      <c r="SM108" s="310"/>
      <c r="SN108" s="310"/>
      <c r="SO108" s="220"/>
      <c r="SP108" s="220"/>
      <c r="SQ108" s="220"/>
      <c r="SR108" s="220"/>
      <c r="SS108" s="220"/>
      <c r="ST108" s="220"/>
      <c r="SU108" s="220"/>
      <c r="SV108" s="220"/>
      <c r="SW108" s="220"/>
      <c r="SX108" s="220"/>
      <c r="SY108" s="220"/>
      <c r="SZ108" s="220"/>
      <c r="TA108" s="220"/>
      <c r="TB108" s="220"/>
      <c r="TC108" s="220"/>
      <c r="TD108" s="220"/>
      <c r="TE108" s="220"/>
      <c r="TF108" s="220"/>
      <c r="TG108" s="220"/>
      <c r="TH108" s="220"/>
      <c r="TI108" s="220"/>
      <c r="TJ108" s="220"/>
      <c r="TK108" s="220"/>
      <c r="TL108" s="220"/>
      <c r="TM108" s="220"/>
      <c r="TN108" s="220"/>
      <c r="TO108" s="220"/>
      <c r="TP108" s="220"/>
      <c r="TQ108" s="220"/>
      <c r="TR108" s="220"/>
      <c r="TS108" s="220"/>
      <c r="TT108" s="220"/>
      <c r="TU108" s="220"/>
      <c r="TV108" s="220"/>
      <c r="TW108" s="220"/>
      <c r="TX108" s="220"/>
      <c r="TY108" s="220"/>
      <c r="TZ108" s="220"/>
      <c r="UA108" s="220"/>
      <c r="UB108" s="220"/>
      <c r="UC108" s="220"/>
      <c r="UD108" s="220"/>
      <c r="UE108" s="220"/>
      <c r="UF108" s="220"/>
      <c r="UG108" s="220"/>
      <c r="UH108" s="220"/>
      <c r="UI108" s="220"/>
      <c r="UJ108" s="220"/>
      <c r="UK108" s="216"/>
      <c r="UL108" s="216"/>
      <c r="UM108" s="216"/>
      <c r="UN108" s="216"/>
      <c r="UO108" s="216"/>
      <c r="UP108" s="216"/>
      <c r="UQ108" s="216"/>
      <c r="UR108" s="216"/>
      <c r="US108" s="216"/>
      <c r="UT108" s="216"/>
      <c r="UU108" s="216"/>
      <c r="UV108" s="216"/>
      <c r="UW108" s="216"/>
      <c r="UX108" s="216"/>
      <c r="UY108" s="216"/>
      <c r="UZ108" s="216"/>
      <c r="VA108" s="216"/>
    </row>
    <row r="109" spans="1:573" s="4" customFormat="1" x14ac:dyDescent="0.4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5"/>
      <c r="AM109" s="45"/>
      <c r="AN109" s="45"/>
      <c r="AO109" s="45"/>
      <c r="AP109" s="310"/>
      <c r="AQ109" s="310"/>
      <c r="AR109" s="310"/>
      <c r="AS109" s="310"/>
      <c r="AT109" s="310"/>
      <c r="AU109" s="310"/>
      <c r="AV109" s="310"/>
      <c r="AW109" s="310"/>
      <c r="AX109" s="310"/>
      <c r="AY109" s="310"/>
      <c r="AZ109" s="310"/>
      <c r="BA109" s="310"/>
      <c r="BB109" s="310"/>
      <c r="BC109" s="338" t="s">
        <v>627</v>
      </c>
      <c r="BD109" s="511">
        <f>M38</f>
        <v>0</v>
      </c>
      <c r="BE109" s="511">
        <f>M36</f>
        <v>0</v>
      </c>
      <c r="BF109" s="310"/>
      <c r="BG109" s="310"/>
      <c r="BH109" s="310"/>
      <c r="BI109" s="310"/>
      <c r="BJ109" s="310"/>
      <c r="BK109" s="310"/>
      <c r="BL109" s="310"/>
      <c r="BM109" s="310"/>
      <c r="BN109" s="310"/>
      <c r="BO109" s="310"/>
      <c r="BP109" s="310"/>
      <c r="BQ109" s="310"/>
      <c r="BR109" s="310"/>
      <c r="BS109" s="310"/>
      <c r="BT109" s="310"/>
      <c r="BU109" s="310"/>
      <c r="BV109" s="310"/>
      <c r="BW109" s="310"/>
      <c r="BX109" s="310"/>
      <c r="BY109" s="310"/>
      <c r="BZ109" s="310"/>
      <c r="CA109" s="310"/>
      <c r="CB109" s="310"/>
      <c r="CC109" s="310"/>
      <c r="CD109" s="310"/>
      <c r="CE109" s="310"/>
      <c r="CF109" s="310"/>
      <c r="CG109" s="310"/>
      <c r="CH109" s="310"/>
      <c r="CI109" s="310"/>
      <c r="CJ109" s="310"/>
      <c r="CK109" s="310"/>
      <c r="CL109" s="310"/>
      <c r="CM109" s="310"/>
      <c r="CN109" s="310"/>
      <c r="CO109" s="310"/>
      <c r="CP109" s="310"/>
      <c r="CQ109" s="310"/>
      <c r="CR109" s="310"/>
      <c r="CS109" s="310"/>
      <c r="CT109" s="310"/>
      <c r="CU109" s="310"/>
      <c r="CV109" s="310"/>
      <c r="CW109" s="310"/>
      <c r="CX109" s="310"/>
      <c r="CY109" s="310"/>
      <c r="CZ109" s="310"/>
      <c r="DA109" s="310"/>
      <c r="DB109" s="310"/>
      <c r="DC109" s="310"/>
      <c r="DD109" s="310"/>
      <c r="DE109" s="310"/>
      <c r="DF109" s="310"/>
      <c r="DG109" s="310"/>
      <c r="DH109" s="310"/>
      <c r="DI109" s="310"/>
      <c r="DJ109" s="310"/>
      <c r="DK109" s="310"/>
      <c r="DL109" s="310"/>
      <c r="DM109" s="310"/>
      <c r="DN109" s="310"/>
      <c r="DO109" s="310"/>
      <c r="DP109" s="310"/>
      <c r="DQ109" s="310"/>
      <c r="DR109" s="310"/>
      <c r="DS109" s="310"/>
      <c r="DT109" s="310"/>
      <c r="DU109" s="230" t="e">
        <v>#N/A</v>
      </c>
      <c r="DV109" s="230" t="e">
        <v>#N/A</v>
      </c>
      <c r="DW109" s="310"/>
      <c r="DX109" s="310"/>
      <c r="DY109" s="310"/>
      <c r="DZ109" s="310"/>
      <c r="EA109" s="310"/>
      <c r="EB109" s="310"/>
      <c r="EC109" s="310"/>
      <c r="ED109" s="310"/>
      <c r="EE109" s="310"/>
      <c r="EF109" s="310"/>
      <c r="EG109" s="310"/>
      <c r="EH109" s="310"/>
      <c r="EI109" s="338">
        <v>38</v>
      </c>
      <c r="EJ109" s="338" t="b">
        <f t="shared" si="127"/>
        <v>0</v>
      </c>
      <c r="EK109" s="281" t="e">
        <f t="shared" si="128"/>
        <v>#N/A</v>
      </c>
      <c r="EL109" s="281" t="e">
        <f t="shared" si="129"/>
        <v>#N/A</v>
      </c>
      <c r="EM109" s="310"/>
      <c r="EN109" s="280">
        <f>MAX(DY46:DY49)</f>
        <v>0.65</v>
      </c>
      <c r="EO109" s="280">
        <f>EO105</f>
        <v>-0.25</v>
      </c>
      <c r="EP109" s="310"/>
      <c r="EQ109" s="310"/>
      <c r="ER109" s="310"/>
      <c r="ES109" s="310"/>
      <c r="ET109" s="310"/>
      <c r="EU109" s="310"/>
      <c r="EV109" s="310"/>
      <c r="EW109" s="310"/>
      <c r="EX109" s="310"/>
      <c r="EY109" s="310"/>
      <c r="EZ109" s="310"/>
      <c r="FA109" s="310"/>
      <c r="FB109" s="310"/>
      <c r="FC109" s="310"/>
      <c r="FD109" s="310"/>
      <c r="FE109" s="310"/>
      <c r="FF109" s="310"/>
      <c r="FG109" s="310"/>
      <c r="FH109" s="310"/>
      <c r="FI109" s="310"/>
      <c r="FJ109" s="310"/>
      <c r="FK109" s="310"/>
      <c r="FL109" s="310"/>
      <c r="FM109" s="310"/>
      <c r="FN109" s="310"/>
      <c r="FO109" s="310"/>
      <c r="FP109" s="310"/>
      <c r="FQ109" s="310"/>
      <c r="FR109" s="310"/>
      <c r="FS109" s="310"/>
      <c r="FT109" s="310"/>
      <c r="FU109" s="310"/>
      <c r="FV109" s="310"/>
      <c r="FW109" s="310"/>
      <c r="FX109" s="310"/>
      <c r="FY109" s="310"/>
      <c r="FZ109" s="310"/>
      <c r="GA109" s="310"/>
      <c r="GB109" s="310"/>
      <c r="GC109" s="310"/>
      <c r="GD109" s="310"/>
      <c r="GE109" s="310"/>
      <c r="GF109" s="310"/>
      <c r="GG109" s="310"/>
      <c r="GH109" s="310"/>
      <c r="GI109" s="310"/>
      <c r="GJ109" s="310"/>
      <c r="GK109" s="310"/>
      <c r="GL109" s="310"/>
      <c r="GM109" s="310"/>
      <c r="GN109" s="310"/>
      <c r="GO109" s="310"/>
      <c r="GP109" s="310"/>
      <c r="GQ109" s="310"/>
      <c r="GR109" s="310"/>
      <c r="GS109" s="310"/>
      <c r="GT109" s="310"/>
      <c r="GU109" s="310"/>
      <c r="GV109" s="310"/>
      <c r="GW109" s="310"/>
      <c r="GX109" s="310"/>
      <c r="GY109" s="310"/>
      <c r="GZ109" s="310"/>
      <c r="HA109" s="310"/>
      <c r="HB109" s="310"/>
      <c r="HC109" s="310"/>
      <c r="HD109" s="310"/>
      <c r="HE109" s="310"/>
      <c r="HF109" s="310"/>
      <c r="HG109" s="310"/>
      <c r="HH109" s="310"/>
      <c r="HI109" s="310"/>
      <c r="HJ109" s="310"/>
      <c r="HK109" s="342">
        <v>95</v>
      </c>
      <c r="HL109" s="235" t="e">
        <f t="shared" si="139"/>
        <v>#N/A</v>
      </c>
      <c r="HM109" s="235" t="e">
        <f t="shared" si="140"/>
        <v>#N/A</v>
      </c>
      <c r="HN109" s="310"/>
      <c r="HO109" s="310"/>
      <c r="HP109" s="235" t="e">
        <f t="shared" si="141"/>
        <v>#N/A</v>
      </c>
      <c r="HQ109" s="235" t="e">
        <f t="shared" si="142"/>
        <v>#N/A</v>
      </c>
      <c r="HR109" s="310"/>
      <c r="HS109" s="310"/>
      <c r="HT109" s="235" t="e">
        <f t="shared" si="143"/>
        <v>#N/A</v>
      </c>
      <c r="HU109" s="235" t="e">
        <f t="shared" si="144"/>
        <v>#N/A</v>
      </c>
      <c r="HV109" s="310"/>
      <c r="HW109" s="310"/>
      <c r="HX109" s="235" t="e">
        <f t="shared" si="145"/>
        <v>#N/A</v>
      </c>
      <c r="HY109" s="235" t="e">
        <f t="shared" si="146"/>
        <v>#N/A</v>
      </c>
      <c r="HZ109" s="310"/>
      <c r="IA109" s="310"/>
      <c r="IB109" s="235" t="e">
        <f t="shared" si="147"/>
        <v>#N/A</v>
      </c>
      <c r="IC109" s="235" t="e">
        <f t="shared" si="148"/>
        <v>#N/A</v>
      </c>
      <c r="ID109" s="310"/>
      <c r="IE109" s="342">
        <v>95</v>
      </c>
      <c r="IF109" s="262" t="e">
        <f t="shared" si="149"/>
        <v>#N/A</v>
      </c>
      <c r="IG109" s="262" t="e">
        <f t="shared" si="150"/>
        <v>#N/A</v>
      </c>
      <c r="IH109" s="390"/>
      <c r="II109" s="390"/>
      <c r="IJ109" s="262" t="e">
        <f t="shared" si="151"/>
        <v>#N/A</v>
      </c>
      <c r="IK109" s="262" t="e">
        <f t="shared" si="152"/>
        <v>#N/A</v>
      </c>
      <c r="IL109" s="390"/>
      <c r="IM109" s="390"/>
      <c r="IN109" s="262" t="e">
        <f t="shared" si="153"/>
        <v>#N/A</v>
      </c>
      <c r="IO109" s="262" t="e">
        <f t="shared" si="154"/>
        <v>#N/A</v>
      </c>
      <c r="IP109" s="390"/>
      <c r="IQ109" s="390"/>
      <c r="IR109" s="262" t="e">
        <f t="shared" si="155"/>
        <v>#N/A</v>
      </c>
      <c r="IS109" s="262" t="e">
        <f t="shared" si="156"/>
        <v>#N/A</v>
      </c>
      <c r="IT109" s="390"/>
      <c r="IU109" s="390"/>
      <c r="IV109" s="262" t="e">
        <f t="shared" si="157"/>
        <v>#N/A</v>
      </c>
      <c r="IW109" s="262" t="e">
        <f t="shared" si="158"/>
        <v>#N/A</v>
      </c>
      <c r="IX109" s="310"/>
      <c r="IY109" s="316" t="s">
        <v>388</v>
      </c>
      <c r="IZ109" s="491" cm="1">
        <f t="array" ref="IZ109">INDEX($HA$7:$HA$28,$GY$6)/1000</f>
        <v>7.4999999999999997E-2</v>
      </c>
      <c r="JA109" s="310"/>
      <c r="JB109" s="313" t="s">
        <v>325</v>
      </c>
      <c r="JC109" s="228">
        <f>JC108</f>
        <v>-0.6</v>
      </c>
      <c r="JD109" s="237">
        <f>JA106-($IZ$108/2-$IZ$110)</f>
        <v>-0.69500000000000006</v>
      </c>
      <c r="JE109" s="310"/>
      <c r="JF109" s="316" t="s">
        <v>388</v>
      </c>
      <c r="JG109" s="491" cm="1">
        <f t="array" ref="JG109">INDEX($HA$7:$HA$28,$GY$6)/1000</f>
        <v>7.4999999999999997E-2</v>
      </c>
      <c r="JH109" s="310"/>
      <c r="JI109" s="313" t="s">
        <v>325</v>
      </c>
      <c r="JJ109" s="242">
        <f>JJ108</f>
        <v>-0.6</v>
      </c>
      <c r="JK109" s="266">
        <f>JH106-($IZ$108/2-$IZ$110)</f>
        <v>-0.69500000000000006</v>
      </c>
      <c r="JL109" s="310"/>
      <c r="JM109" s="310"/>
      <c r="JN109" s="261" t="e">
        <f t="shared" si="159"/>
        <v>#N/A</v>
      </c>
      <c r="JO109" s="261" t="e">
        <f t="shared" si="160"/>
        <v>#N/A</v>
      </c>
      <c r="JP109" s="310"/>
      <c r="JQ109" s="310"/>
      <c r="JR109" s="261" t="e">
        <f t="shared" si="165"/>
        <v>#N/A</v>
      </c>
      <c r="JS109" s="261" t="e">
        <f t="shared" si="166"/>
        <v>#N/A</v>
      </c>
      <c r="JT109" s="310"/>
      <c r="JU109" s="310"/>
      <c r="JV109" s="261" t="e">
        <f t="shared" si="161"/>
        <v>#N/A</v>
      </c>
      <c r="JW109" s="261" t="e">
        <f t="shared" si="162"/>
        <v>#N/A</v>
      </c>
      <c r="JX109" s="310"/>
      <c r="JY109" s="311"/>
      <c r="JZ109" s="311"/>
      <c r="KA109" s="311"/>
      <c r="KB109" s="313" t="s">
        <v>394</v>
      </c>
      <c r="KC109" s="242" t="e">
        <f>KC108-$IZ$114</f>
        <v>#N/A</v>
      </c>
      <c r="KD109" s="242" t="e">
        <f>KD108+$IZ$114</f>
        <v>#N/A</v>
      </c>
      <c r="KE109" s="310"/>
      <c r="KF109" s="310"/>
      <c r="KG109" s="310"/>
      <c r="KH109" s="310"/>
      <c r="KI109" s="310"/>
      <c r="KJ109" s="310"/>
      <c r="KK109" s="310"/>
      <c r="KL109" s="310"/>
      <c r="KM109" s="310"/>
      <c r="KN109" s="310"/>
      <c r="KO109" s="310"/>
      <c r="KP109" s="310"/>
      <c r="KQ109" s="310"/>
      <c r="KR109" s="310"/>
      <c r="KS109" s="310"/>
      <c r="KT109" s="310"/>
      <c r="KU109" s="310"/>
      <c r="KV109" s="310"/>
      <c r="KW109" s="310"/>
      <c r="KX109" s="310"/>
      <c r="KY109" s="310"/>
      <c r="KZ109" s="310"/>
      <c r="LA109" s="310"/>
      <c r="LB109" s="310"/>
      <c r="LC109" s="310"/>
      <c r="LD109" s="310"/>
      <c r="LE109" s="310"/>
      <c r="LF109" s="310"/>
      <c r="LG109" s="310"/>
      <c r="LH109" s="310"/>
      <c r="LI109" s="310"/>
      <c r="LJ109" s="310"/>
      <c r="LK109" s="310"/>
      <c r="LL109" s="310"/>
      <c r="LM109" s="310"/>
      <c r="LN109" s="310"/>
      <c r="LO109" s="310"/>
      <c r="LP109" s="310"/>
      <c r="LQ109" s="310"/>
      <c r="LR109" s="310"/>
      <c r="LS109" s="310"/>
      <c r="LT109" s="310"/>
      <c r="LU109" s="310"/>
      <c r="LV109" s="310"/>
      <c r="LW109" s="310"/>
      <c r="LX109" s="310"/>
      <c r="LY109" s="310"/>
      <c r="LZ109" s="310"/>
      <c r="MA109" s="310"/>
      <c r="MB109" s="310"/>
      <c r="MC109" s="310"/>
      <c r="MD109" s="310"/>
      <c r="ME109" s="310"/>
      <c r="MF109" s="310"/>
      <c r="MG109" s="310"/>
      <c r="MH109" s="310"/>
      <c r="MI109" s="310"/>
      <c r="MJ109" s="310"/>
      <c r="MK109" s="310"/>
      <c r="ML109" s="310"/>
      <c r="MM109" s="310"/>
      <c r="MN109" s="310"/>
      <c r="MO109" s="310"/>
      <c r="MP109" s="310"/>
      <c r="MQ109" s="310"/>
      <c r="MR109" s="310"/>
      <c r="MS109" s="310"/>
      <c r="MT109" s="310"/>
      <c r="MU109" s="310"/>
      <c r="MV109" s="310"/>
      <c r="MW109" s="310"/>
      <c r="MX109" s="310"/>
      <c r="MY109" s="310"/>
      <c r="MZ109" s="310"/>
      <c r="NA109" s="310"/>
      <c r="NB109" s="310"/>
      <c r="NC109" s="310"/>
      <c r="ND109" s="310"/>
      <c r="NE109" s="310"/>
      <c r="NF109" s="310"/>
      <c r="NG109" s="310"/>
      <c r="NH109" s="310"/>
      <c r="NI109" s="310"/>
      <c r="NJ109" s="310"/>
      <c r="NK109" s="310"/>
      <c r="NL109" s="310"/>
      <c r="NM109" s="310"/>
      <c r="NN109" s="310"/>
      <c r="NO109" s="310"/>
      <c r="NP109" s="310"/>
      <c r="NQ109" s="310"/>
      <c r="NR109" s="310"/>
      <c r="NS109" s="310"/>
      <c r="NT109" s="310"/>
      <c r="NU109" s="310"/>
      <c r="NV109" s="310"/>
      <c r="NW109" s="310"/>
      <c r="NX109" s="310"/>
      <c r="NY109" s="310"/>
      <c r="NZ109" s="310"/>
      <c r="OA109" s="310"/>
      <c r="OB109" s="310"/>
      <c r="OC109" s="310"/>
      <c r="OD109" s="310"/>
      <c r="OE109" s="310"/>
      <c r="OF109" s="310"/>
      <c r="OG109" s="310"/>
      <c r="OH109" s="310"/>
      <c r="OI109" s="310"/>
      <c r="OJ109" s="310"/>
      <c r="OK109" s="310"/>
      <c r="OL109" s="310"/>
      <c r="OM109" s="310"/>
      <c r="ON109" s="310"/>
      <c r="OO109" s="310"/>
      <c r="OP109" s="310"/>
      <c r="OQ109" s="310"/>
      <c r="OR109" s="310"/>
      <c r="OS109" s="310"/>
      <c r="OT109" s="310"/>
      <c r="OU109" s="310"/>
      <c r="OV109" s="310"/>
      <c r="OW109" s="310"/>
      <c r="OX109" s="310"/>
      <c r="OY109" s="310"/>
      <c r="OZ109" s="310"/>
      <c r="PA109" s="310"/>
      <c r="PB109" s="310"/>
      <c r="PC109" s="310"/>
      <c r="PD109" s="310"/>
      <c r="PE109" s="310"/>
      <c r="PF109" s="310"/>
      <c r="PG109" s="310"/>
      <c r="PH109" s="310"/>
      <c r="PI109" s="310"/>
      <c r="PJ109" s="310"/>
      <c r="PK109" s="310"/>
      <c r="PL109" s="310"/>
      <c r="PM109" s="310"/>
      <c r="PN109" s="310"/>
      <c r="PO109" s="310"/>
      <c r="PP109" s="310"/>
      <c r="PQ109" s="310"/>
      <c r="PR109" s="310"/>
      <c r="PS109" s="342">
        <v>95</v>
      </c>
      <c r="PT109" s="261" t="e">
        <f t="shared" si="163"/>
        <v>#N/A</v>
      </c>
      <c r="PU109" s="261" t="e">
        <f t="shared" si="164"/>
        <v>#N/A</v>
      </c>
      <c r="PV109" s="310"/>
      <c r="PW109" s="310"/>
      <c r="PX109" s="310"/>
      <c r="PY109" s="310"/>
      <c r="PZ109" s="310"/>
      <c r="QA109" s="310"/>
      <c r="QB109" s="310"/>
      <c r="QC109" s="310"/>
      <c r="QD109" s="310"/>
      <c r="QE109" s="310"/>
      <c r="QF109" s="310"/>
      <c r="QG109" s="310"/>
      <c r="QH109" s="310"/>
      <c r="QI109" s="310"/>
      <c r="QJ109" s="310"/>
      <c r="QK109" s="310"/>
      <c r="QL109" s="310"/>
      <c r="QM109" s="310"/>
      <c r="QN109" s="310"/>
      <c r="QO109" s="310"/>
      <c r="QP109" s="310"/>
      <c r="QQ109" s="310"/>
      <c r="QR109" s="310"/>
      <c r="QS109" s="310"/>
      <c r="QT109" s="310"/>
      <c r="QU109" s="310"/>
      <c r="QV109" s="310"/>
      <c r="QW109" s="310"/>
      <c r="QX109" s="310"/>
      <c r="QY109" s="310"/>
      <c r="QZ109" s="310"/>
      <c r="RA109" s="310"/>
      <c r="RB109" s="310"/>
      <c r="RC109" s="310"/>
      <c r="RD109" s="310"/>
      <c r="RE109" s="310"/>
      <c r="RF109" s="310"/>
      <c r="RG109" s="310"/>
      <c r="RH109" s="310"/>
      <c r="RI109" s="310"/>
      <c r="RJ109" s="310"/>
      <c r="RK109" s="310"/>
      <c r="RL109" s="310"/>
      <c r="RM109" s="310"/>
      <c r="RN109" s="310"/>
      <c r="RO109" s="310"/>
      <c r="RP109" s="310"/>
      <c r="RQ109" s="310"/>
      <c r="RR109" s="310"/>
      <c r="RS109" s="310"/>
      <c r="RT109" s="310"/>
      <c r="RU109" s="310"/>
      <c r="RV109" s="310"/>
      <c r="RW109" s="310"/>
      <c r="RX109" s="310"/>
      <c r="RY109" s="310"/>
      <c r="RZ109" s="310"/>
      <c r="SA109" s="310"/>
      <c r="SB109" s="310"/>
      <c r="SC109" s="310"/>
      <c r="SD109" s="310"/>
      <c r="SE109" s="310"/>
      <c r="SF109" s="310"/>
      <c r="SG109" s="310"/>
      <c r="SH109" s="310"/>
      <c r="SI109" s="310"/>
      <c r="SJ109" s="310"/>
      <c r="SK109" s="310"/>
      <c r="SL109" s="310"/>
      <c r="SM109" s="310"/>
      <c r="SN109" s="310"/>
      <c r="SO109" s="220"/>
      <c r="SP109" s="220"/>
      <c r="SQ109" s="220"/>
      <c r="SR109" s="220"/>
      <c r="SS109" s="220"/>
      <c r="ST109" s="220"/>
      <c r="SU109" s="220"/>
      <c r="SV109" s="220"/>
      <c r="SW109" s="220"/>
      <c r="SX109" s="220"/>
      <c r="SY109" s="220"/>
      <c r="SZ109" s="220"/>
      <c r="TA109" s="220"/>
      <c r="TB109" s="220"/>
      <c r="TC109" s="220"/>
      <c r="TD109" s="220"/>
      <c r="TE109" s="220"/>
      <c r="TF109" s="220"/>
      <c r="TG109" s="220"/>
      <c r="TH109" s="220"/>
      <c r="TI109" s="220"/>
      <c r="TJ109" s="220"/>
      <c r="TK109" s="220"/>
      <c r="TL109" s="220"/>
      <c r="TM109" s="220"/>
      <c r="TN109" s="220"/>
      <c r="TO109" s="220"/>
      <c r="TP109" s="220"/>
      <c r="TQ109" s="220"/>
      <c r="TR109" s="220"/>
      <c r="TS109" s="220"/>
      <c r="TT109" s="220"/>
      <c r="TU109" s="220"/>
      <c r="TV109" s="220"/>
      <c r="TW109" s="220"/>
      <c r="TX109" s="220"/>
      <c r="TY109" s="220"/>
      <c r="TZ109" s="220"/>
      <c r="UA109" s="220"/>
      <c r="UB109" s="220"/>
      <c r="UC109" s="220"/>
      <c r="UD109" s="220"/>
      <c r="UE109" s="220"/>
      <c r="UF109" s="220"/>
      <c r="UG109" s="220"/>
      <c r="UH109" s="220"/>
      <c r="UI109" s="220"/>
      <c r="UJ109" s="220"/>
      <c r="UK109" s="216"/>
      <c r="UL109" s="216"/>
      <c r="UM109" s="216"/>
      <c r="UN109" s="216"/>
      <c r="UO109" s="216"/>
      <c r="UP109" s="216"/>
      <c r="UQ109" s="216"/>
      <c r="UR109" s="216"/>
      <c r="US109" s="216"/>
      <c r="UT109" s="216"/>
      <c r="UU109" s="216"/>
      <c r="UV109" s="216"/>
      <c r="UW109" s="216"/>
      <c r="UX109" s="216"/>
      <c r="UY109" s="216"/>
      <c r="UZ109" s="216"/>
      <c r="VA109" s="216"/>
    </row>
    <row r="110" spans="1:573" s="4" customFormat="1" x14ac:dyDescent="0.4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5"/>
      <c r="AM110" s="45"/>
      <c r="AN110" s="45"/>
      <c r="AO110" s="45"/>
      <c r="AP110" s="310"/>
      <c r="AQ110" s="310"/>
      <c r="AR110" s="310"/>
      <c r="AS110" s="310"/>
      <c r="AT110" s="310"/>
      <c r="AU110" s="310"/>
      <c r="AV110" s="310"/>
      <c r="AW110" s="310"/>
      <c r="AX110" s="310"/>
      <c r="AY110" s="310"/>
      <c r="AZ110" s="310"/>
      <c r="BA110" s="310"/>
      <c r="BB110" s="310"/>
      <c r="BC110" s="338" t="s">
        <v>238</v>
      </c>
      <c r="BD110" s="242">
        <f>IF(BC107=TRUE,IF(BL7=TRUE,BD108,BD109),#N/A)</f>
        <v>0</v>
      </c>
      <c r="BE110" s="242">
        <f>IF(BC107=TRUE,IF(BL7=TRUE,BE108,BE109),#N/A)</f>
        <v>0</v>
      </c>
      <c r="BF110" s="310"/>
      <c r="BG110" s="310"/>
      <c r="BH110" s="310"/>
      <c r="BI110" s="310"/>
      <c r="BJ110" s="310"/>
      <c r="BK110" s="310"/>
      <c r="BL110" s="310"/>
      <c r="BM110" s="310"/>
      <c r="BN110" s="310"/>
      <c r="BO110" s="310"/>
      <c r="BP110" s="310"/>
      <c r="BQ110" s="310"/>
      <c r="BR110" s="310"/>
      <c r="BS110" s="310"/>
      <c r="BT110" s="310"/>
      <c r="BU110" s="310"/>
      <c r="BV110" s="310"/>
      <c r="BW110" s="310"/>
      <c r="BX110" s="310"/>
      <c r="BY110" s="310"/>
      <c r="BZ110" s="310"/>
      <c r="CA110" s="310"/>
      <c r="CB110" s="310"/>
      <c r="CC110" s="310"/>
      <c r="CD110" s="310"/>
      <c r="CE110" s="310"/>
      <c r="CF110" s="310"/>
      <c r="CG110" s="310"/>
      <c r="CH110" s="310"/>
      <c r="CI110" s="310"/>
      <c r="CJ110" s="310"/>
      <c r="CK110" s="310"/>
      <c r="CL110" s="310"/>
      <c r="CM110" s="310"/>
      <c r="CN110" s="310"/>
      <c r="CO110" s="310"/>
      <c r="CP110" s="310"/>
      <c r="CQ110" s="310"/>
      <c r="CR110" s="310"/>
      <c r="CS110" s="310"/>
      <c r="CT110" s="310"/>
      <c r="CU110" s="310"/>
      <c r="CV110" s="310"/>
      <c r="CW110" s="310"/>
      <c r="CX110" s="310"/>
      <c r="CY110" s="310"/>
      <c r="CZ110" s="310"/>
      <c r="DA110" s="310"/>
      <c r="DB110" s="310"/>
      <c r="DC110" s="310"/>
      <c r="DD110" s="310"/>
      <c r="DE110" s="310"/>
      <c r="DF110" s="310"/>
      <c r="DG110" s="310"/>
      <c r="DH110" s="310"/>
      <c r="DI110" s="310"/>
      <c r="DJ110" s="310"/>
      <c r="DK110" s="310"/>
      <c r="DL110" s="310"/>
      <c r="DM110" s="310"/>
      <c r="DN110" s="310"/>
      <c r="DO110" s="310"/>
      <c r="DP110" s="310"/>
      <c r="DQ110" s="310"/>
      <c r="DR110" s="310"/>
      <c r="DS110" s="310"/>
      <c r="DT110" s="310"/>
      <c r="DU110" s="230" t="e">
        <v>#N/A</v>
      </c>
      <c r="DV110" s="230" t="e">
        <v>#N/A</v>
      </c>
      <c r="DW110" s="310"/>
      <c r="DX110" s="310"/>
      <c r="DY110" s="310"/>
      <c r="DZ110" s="310"/>
      <c r="EA110" s="310"/>
      <c r="EB110" s="310"/>
      <c r="EC110" s="310"/>
      <c r="ED110" s="310"/>
      <c r="EE110" s="310"/>
      <c r="EF110" s="310"/>
      <c r="EG110" s="310"/>
      <c r="EH110" s="310"/>
      <c r="EI110" s="338">
        <v>39</v>
      </c>
      <c r="EJ110" s="338" t="b">
        <f t="shared" si="127"/>
        <v>0</v>
      </c>
      <c r="EK110" s="281" t="e">
        <f t="shared" si="128"/>
        <v>#N/A</v>
      </c>
      <c r="EL110" s="281" t="e">
        <f t="shared" si="129"/>
        <v>#N/A</v>
      </c>
      <c r="EM110" s="310"/>
      <c r="EN110" s="280">
        <f>EN109+0.25</f>
        <v>0.9</v>
      </c>
      <c r="EO110" s="280">
        <f>EO106</f>
        <v>-0.4</v>
      </c>
      <c r="EP110" s="310"/>
      <c r="EQ110" s="310"/>
      <c r="ER110" s="310"/>
      <c r="ES110" s="310"/>
      <c r="ET110" s="310"/>
      <c r="EU110" s="310"/>
      <c r="EV110" s="310"/>
      <c r="EW110" s="310"/>
      <c r="EX110" s="310"/>
      <c r="EY110" s="310"/>
      <c r="EZ110" s="310"/>
      <c r="FA110" s="310"/>
      <c r="FB110" s="310"/>
      <c r="FC110" s="310"/>
      <c r="FD110" s="310"/>
      <c r="FE110" s="310"/>
      <c r="FF110" s="310"/>
      <c r="FG110" s="310"/>
      <c r="FH110" s="310"/>
      <c r="FI110" s="310"/>
      <c r="FJ110" s="310"/>
      <c r="FK110" s="310"/>
      <c r="FL110" s="310"/>
      <c r="FM110" s="310"/>
      <c r="FN110" s="310"/>
      <c r="FO110" s="310"/>
      <c r="FP110" s="310"/>
      <c r="FQ110" s="310"/>
      <c r="FR110" s="310"/>
      <c r="FS110" s="310"/>
      <c r="FT110" s="310"/>
      <c r="FU110" s="310"/>
      <c r="FV110" s="310"/>
      <c r="FW110" s="310"/>
      <c r="FX110" s="310"/>
      <c r="FY110" s="310"/>
      <c r="FZ110" s="310"/>
      <c r="GA110" s="310"/>
      <c r="GB110" s="310"/>
      <c r="GC110" s="310"/>
      <c r="GD110" s="310"/>
      <c r="GE110" s="310"/>
      <c r="GF110" s="310"/>
      <c r="GG110" s="310"/>
      <c r="GH110" s="310"/>
      <c r="GI110" s="310"/>
      <c r="GJ110" s="310"/>
      <c r="GK110" s="310"/>
      <c r="GL110" s="310"/>
      <c r="GM110" s="310"/>
      <c r="GN110" s="310"/>
      <c r="GO110" s="310"/>
      <c r="GP110" s="310"/>
      <c r="GQ110" s="310"/>
      <c r="GR110" s="310"/>
      <c r="GS110" s="310"/>
      <c r="GT110" s="310"/>
      <c r="GU110" s="310"/>
      <c r="GV110" s="310"/>
      <c r="GW110" s="310"/>
      <c r="GX110" s="310"/>
      <c r="GY110" s="310"/>
      <c r="GZ110" s="310"/>
      <c r="HA110" s="310"/>
      <c r="HB110" s="310"/>
      <c r="HC110" s="310"/>
      <c r="HD110" s="310"/>
      <c r="HE110" s="310"/>
      <c r="HF110" s="310"/>
      <c r="HG110" s="310"/>
      <c r="HH110" s="310"/>
      <c r="HI110" s="310"/>
      <c r="HJ110" s="310"/>
      <c r="HK110" s="342">
        <v>96</v>
      </c>
      <c r="HL110" s="235" t="e">
        <f t="shared" si="139"/>
        <v>#N/A</v>
      </c>
      <c r="HM110" s="235" t="e">
        <f t="shared" si="140"/>
        <v>#N/A</v>
      </c>
      <c r="HN110" s="310"/>
      <c r="HO110" s="310"/>
      <c r="HP110" s="235" t="e">
        <f t="shared" si="141"/>
        <v>#N/A</v>
      </c>
      <c r="HQ110" s="235" t="e">
        <f t="shared" si="142"/>
        <v>#N/A</v>
      </c>
      <c r="HR110" s="310"/>
      <c r="HS110" s="310"/>
      <c r="HT110" s="235" t="e">
        <f t="shared" si="143"/>
        <v>#N/A</v>
      </c>
      <c r="HU110" s="235" t="e">
        <f t="shared" si="144"/>
        <v>#N/A</v>
      </c>
      <c r="HV110" s="310"/>
      <c r="HW110" s="310"/>
      <c r="HX110" s="235" t="e">
        <f t="shared" si="145"/>
        <v>#N/A</v>
      </c>
      <c r="HY110" s="235" t="e">
        <f t="shared" si="146"/>
        <v>#N/A</v>
      </c>
      <c r="HZ110" s="310"/>
      <c r="IA110" s="310"/>
      <c r="IB110" s="235" t="e">
        <f t="shared" si="147"/>
        <v>#N/A</v>
      </c>
      <c r="IC110" s="235" t="e">
        <f t="shared" si="148"/>
        <v>#N/A</v>
      </c>
      <c r="ID110" s="310"/>
      <c r="IE110" s="342">
        <v>96</v>
      </c>
      <c r="IF110" s="262" t="e">
        <f t="shared" si="149"/>
        <v>#N/A</v>
      </c>
      <c r="IG110" s="262" t="e">
        <f t="shared" si="150"/>
        <v>#N/A</v>
      </c>
      <c r="IH110" s="390"/>
      <c r="II110" s="390"/>
      <c r="IJ110" s="262" t="e">
        <f t="shared" si="151"/>
        <v>#N/A</v>
      </c>
      <c r="IK110" s="262" t="e">
        <f t="shared" si="152"/>
        <v>#N/A</v>
      </c>
      <c r="IL110" s="390"/>
      <c r="IM110" s="390"/>
      <c r="IN110" s="262" t="e">
        <f t="shared" si="153"/>
        <v>#N/A</v>
      </c>
      <c r="IO110" s="262" t="e">
        <f t="shared" si="154"/>
        <v>#N/A</v>
      </c>
      <c r="IP110" s="390"/>
      <c r="IQ110" s="390"/>
      <c r="IR110" s="262" t="e">
        <f t="shared" si="155"/>
        <v>#N/A</v>
      </c>
      <c r="IS110" s="262" t="e">
        <f t="shared" si="156"/>
        <v>#N/A</v>
      </c>
      <c r="IT110" s="390"/>
      <c r="IU110" s="390"/>
      <c r="IV110" s="262" t="e">
        <f t="shared" si="157"/>
        <v>#N/A</v>
      </c>
      <c r="IW110" s="262" t="e">
        <f t="shared" si="158"/>
        <v>#N/A</v>
      </c>
      <c r="IX110" s="310"/>
      <c r="IY110" s="316" t="s">
        <v>82</v>
      </c>
      <c r="IZ110" s="491" cm="1">
        <f t="array" ref="IZ110">INDEX($HB$7:$HB$28,$GY$6)/1000</f>
        <v>0.105</v>
      </c>
      <c r="JA110" s="310"/>
      <c r="JB110" s="313" t="s">
        <v>326</v>
      </c>
      <c r="JC110" s="228">
        <f>JC107</f>
        <v>-0.5</v>
      </c>
      <c r="JD110" s="228">
        <f>JA106-($IZ$108/2)+$IZ$109</f>
        <v>-0.72500000000000009</v>
      </c>
      <c r="JE110" s="310"/>
      <c r="JF110" s="316" t="s">
        <v>82</v>
      </c>
      <c r="JG110" s="491" cm="1">
        <f t="array" ref="JG110">INDEX($HB$7:$HB$28,$GY$6)/1000</f>
        <v>0.105</v>
      </c>
      <c r="JH110" s="310"/>
      <c r="JI110" s="313" t="s">
        <v>326</v>
      </c>
      <c r="JJ110" s="242">
        <f>JJ107</f>
        <v>-0.5</v>
      </c>
      <c r="JK110" s="242">
        <f>JH106-($IZ$108/2)+$IZ$109</f>
        <v>-0.72500000000000009</v>
      </c>
      <c r="JL110" s="310"/>
      <c r="JM110" s="310"/>
      <c r="JN110" s="261" t="e">
        <f t="shared" si="159"/>
        <v>#N/A</v>
      </c>
      <c r="JO110" s="261" t="e">
        <f t="shared" si="160"/>
        <v>#N/A</v>
      </c>
      <c r="JP110" s="310"/>
      <c r="JQ110" s="310"/>
      <c r="JR110" s="261" t="e">
        <f t="shared" si="165"/>
        <v>#N/A</v>
      </c>
      <c r="JS110" s="261" t="e">
        <f t="shared" si="166"/>
        <v>#N/A</v>
      </c>
      <c r="JT110" s="310"/>
      <c r="JU110" s="310"/>
      <c r="JV110" s="261" t="e">
        <f t="shared" si="161"/>
        <v>#N/A</v>
      </c>
      <c r="JW110" s="261" t="e">
        <f t="shared" si="162"/>
        <v>#N/A</v>
      </c>
      <c r="JX110" s="310"/>
      <c r="JY110" s="311"/>
      <c r="JZ110" s="311"/>
      <c r="KA110" s="311"/>
      <c r="KB110" s="313" t="s">
        <v>395</v>
      </c>
      <c r="KC110" s="242" t="e">
        <f>KC109</f>
        <v>#N/A</v>
      </c>
      <c r="KD110" s="242" t="e">
        <f>KD105</f>
        <v>#N/A</v>
      </c>
      <c r="KE110" s="310"/>
      <c r="KF110" s="310"/>
      <c r="KG110" s="310"/>
      <c r="KH110" s="310"/>
      <c r="KI110" s="310"/>
      <c r="KJ110" s="310"/>
      <c r="KK110" s="310"/>
      <c r="KL110" s="310"/>
      <c r="KM110" s="310"/>
      <c r="KN110" s="310"/>
      <c r="KO110" s="310"/>
      <c r="KP110" s="310"/>
      <c r="KQ110" s="310"/>
      <c r="KR110" s="310"/>
      <c r="KS110" s="310"/>
      <c r="KT110" s="310"/>
      <c r="KU110" s="310"/>
      <c r="KV110" s="310"/>
      <c r="KW110" s="310"/>
      <c r="KX110" s="310"/>
      <c r="KY110" s="310"/>
      <c r="KZ110" s="310"/>
      <c r="LA110" s="310"/>
      <c r="LB110" s="310"/>
      <c r="LC110" s="310"/>
      <c r="LD110" s="310"/>
      <c r="LE110" s="310"/>
      <c r="LF110" s="310"/>
      <c r="LG110" s="310"/>
      <c r="LH110" s="310"/>
      <c r="LI110" s="310"/>
      <c r="LJ110" s="310"/>
      <c r="LK110" s="310"/>
      <c r="LL110" s="310"/>
      <c r="LM110" s="310"/>
      <c r="LN110" s="310"/>
      <c r="LO110" s="310"/>
      <c r="LP110" s="310"/>
      <c r="LQ110" s="310"/>
      <c r="LR110" s="310"/>
      <c r="LS110" s="310"/>
      <c r="LT110" s="310"/>
      <c r="LU110" s="310"/>
      <c r="LV110" s="310"/>
      <c r="LW110" s="310"/>
      <c r="LX110" s="310"/>
      <c r="LY110" s="310"/>
      <c r="LZ110" s="310"/>
      <c r="MA110" s="310"/>
      <c r="MB110" s="310"/>
      <c r="MC110" s="310"/>
      <c r="MD110" s="310"/>
      <c r="ME110" s="310"/>
      <c r="MF110" s="310"/>
      <c r="MG110" s="310"/>
      <c r="MH110" s="310"/>
      <c r="MI110" s="310"/>
      <c r="MJ110" s="310"/>
      <c r="MK110" s="310"/>
      <c r="ML110" s="310"/>
      <c r="MM110" s="310"/>
      <c r="MN110" s="310"/>
      <c r="MO110" s="310"/>
      <c r="MP110" s="310"/>
      <c r="MQ110" s="310"/>
      <c r="MR110" s="310"/>
      <c r="MS110" s="310"/>
      <c r="MT110" s="310"/>
      <c r="MU110" s="310"/>
      <c r="MV110" s="310"/>
      <c r="MW110" s="310"/>
      <c r="MX110" s="310"/>
      <c r="MY110" s="310"/>
      <c r="MZ110" s="310"/>
      <c r="NA110" s="310"/>
      <c r="NB110" s="310"/>
      <c r="NC110" s="310"/>
      <c r="ND110" s="310"/>
      <c r="NE110" s="310"/>
      <c r="NF110" s="310"/>
      <c r="NG110" s="310"/>
      <c r="NH110" s="310"/>
      <c r="NI110" s="310"/>
      <c r="NJ110" s="310"/>
      <c r="NK110" s="310"/>
      <c r="NL110" s="310"/>
      <c r="NM110" s="310"/>
      <c r="NN110" s="310"/>
      <c r="NO110" s="310"/>
      <c r="NP110" s="310"/>
      <c r="NQ110" s="310"/>
      <c r="NR110" s="310"/>
      <c r="NS110" s="310"/>
      <c r="NT110" s="310"/>
      <c r="NU110" s="310"/>
      <c r="NV110" s="310"/>
      <c r="NW110" s="310"/>
      <c r="NX110" s="310"/>
      <c r="NY110" s="310"/>
      <c r="NZ110" s="310"/>
      <c r="OA110" s="310"/>
      <c r="OB110" s="310"/>
      <c r="OC110" s="310"/>
      <c r="OD110" s="310"/>
      <c r="OE110" s="310"/>
      <c r="OF110" s="310"/>
      <c r="OG110" s="310"/>
      <c r="OH110" s="310"/>
      <c r="OI110" s="310"/>
      <c r="OJ110" s="310"/>
      <c r="OK110" s="310"/>
      <c r="OL110" s="310"/>
      <c r="OM110" s="310"/>
      <c r="ON110" s="310"/>
      <c r="OO110" s="310"/>
      <c r="OP110" s="310"/>
      <c r="OQ110" s="310"/>
      <c r="OR110" s="310"/>
      <c r="OS110" s="310"/>
      <c r="OT110" s="310"/>
      <c r="OU110" s="310"/>
      <c r="OV110" s="310"/>
      <c r="OW110" s="310"/>
      <c r="OX110" s="310"/>
      <c r="OY110" s="310"/>
      <c r="OZ110" s="310"/>
      <c r="PA110" s="310"/>
      <c r="PB110" s="310"/>
      <c r="PC110" s="310"/>
      <c r="PD110" s="310"/>
      <c r="PE110" s="310"/>
      <c r="PF110" s="310"/>
      <c r="PG110" s="310"/>
      <c r="PH110" s="310"/>
      <c r="PI110" s="310"/>
      <c r="PJ110" s="310"/>
      <c r="PK110" s="310"/>
      <c r="PL110" s="310"/>
      <c r="PM110" s="310"/>
      <c r="PN110" s="310"/>
      <c r="PO110" s="310"/>
      <c r="PP110" s="310"/>
      <c r="PQ110" s="310"/>
      <c r="PR110" s="310"/>
      <c r="PS110" s="342">
        <v>96</v>
      </c>
      <c r="PT110" s="261" t="e">
        <f t="shared" si="163"/>
        <v>#N/A</v>
      </c>
      <c r="PU110" s="261" t="e">
        <f t="shared" si="164"/>
        <v>#N/A</v>
      </c>
      <c r="PV110" s="310"/>
      <c r="PW110" s="310"/>
      <c r="PX110" s="310"/>
      <c r="PY110" s="310"/>
      <c r="PZ110" s="310"/>
      <c r="QA110" s="310"/>
      <c r="QB110" s="310"/>
      <c r="QC110" s="310"/>
      <c r="QD110" s="310"/>
      <c r="QE110" s="310"/>
      <c r="QF110" s="310"/>
      <c r="QG110" s="310"/>
      <c r="QH110" s="310"/>
      <c r="QI110" s="310"/>
      <c r="QJ110" s="310"/>
      <c r="QK110" s="310"/>
      <c r="QL110" s="310"/>
      <c r="QM110" s="310"/>
      <c r="QN110" s="310"/>
      <c r="QO110" s="310"/>
      <c r="QP110" s="310"/>
      <c r="QQ110" s="310"/>
      <c r="QR110" s="310"/>
      <c r="QS110" s="310"/>
      <c r="QT110" s="310"/>
      <c r="QU110" s="310"/>
      <c r="QV110" s="310"/>
      <c r="QW110" s="310"/>
      <c r="QX110" s="310"/>
      <c r="QY110" s="310"/>
      <c r="QZ110" s="310"/>
      <c r="RA110" s="310"/>
      <c r="RB110" s="310"/>
      <c r="RC110" s="310"/>
      <c r="RD110" s="310"/>
      <c r="RE110" s="310"/>
      <c r="RF110" s="310"/>
      <c r="RG110" s="310"/>
      <c r="RH110" s="310"/>
      <c r="RI110" s="310"/>
      <c r="RJ110" s="310"/>
      <c r="RK110" s="310"/>
      <c r="RL110" s="310"/>
      <c r="RM110" s="310"/>
      <c r="RN110" s="310"/>
      <c r="RO110" s="310"/>
      <c r="RP110" s="310"/>
      <c r="RQ110" s="310"/>
      <c r="RR110" s="310"/>
      <c r="RS110" s="310"/>
      <c r="RT110" s="310"/>
      <c r="RU110" s="310"/>
      <c r="RV110" s="310"/>
      <c r="RW110" s="310"/>
      <c r="RX110" s="310"/>
      <c r="RY110" s="310"/>
      <c r="RZ110" s="310"/>
      <c r="SA110" s="310"/>
      <c r="SB110" s="310"/>
      <c r="SC110" s="310"/>
      <c r="SD110" s="310"/>
      <c r="SE110" s="310"/>
      <c r="SF110" s="310"/>
      <c r="SG110" s="310"/>
      <c r="SH110" s="310"/>
      <c r="SI110" s="310"/>
      <c r="SJ110" s="310"/>
      <c r="SK110" s="310"/>
      <c r="SL110" s="310"/>
      <c r="SM110" s="310"/>
      <c r="SN110" s="310"/>
      <c r="SO110" s="220"/>
      <c r="SP110" s="220"/>
      <c r="SQ110" s="220"/>
      <c r="SR110" s="220"/>
      <c r="SS110" s="220"/>
      <c r="ST110" s="220"/>
      <c r="SU110" s="220"/>
      <c r="SV110" s="220"/>
      <c r="SW110" s="220"/>
      <c r="SX110" s="220"/>
      <c r="SY110" s="220"/>
      <c r="SZ110" s="220"/>
      <c r="TA110" s="220"/>
      <c r="TB110" s="220"/>
      <c r="TC110" s="220"/>
      <c r="TD110" s="220"/>
      <c r="TE110" s="220"/>
      <c r="TF110" s="220"/>
      <c r="TG110" s="220"/>
      <c r="TH110" s="220"/>
      <c r="TI110" s="220"/>
      <c r="TJ110" s="220"/>
      <c r="TK110" s="220"/>
      <c r="TL110" s="220"/>
      <c r="TM110" s="220"/>
      <c r="TN110" s="220"/>
      <c r="TO110" s="220"/>
      <c r="TP110" s="220"/>
      <c r="TQ110" s="220"/>
      <c r="TR110" s="220"/>
      <c r="TS110" s="220"/>
      <c r="TT110" s="220"/>
      <c r="TU110" s="220"/>
      <c r="TV110" s="220"/>
      <c r="TW110" s="220"/>
      <c r="TX110" s="220"/>
      <c r="TY110" s="220"/>
      <c r="TZ110" s="220"/>
      <c r="UA110" s="220"/>
      <c r="UB110" s="220"/>
      <c r="UC110" s="220"/>
      <c r="UD110" s="220"/>
      <c r="UE110" s="220"/>
      <c r="UF110" s="220"/>
      <c r="UG110" s="220"/>
      <c r="UH110" s="220"/>
      <c r="UI110" s="220"/>
      <c r="UJ110" s="220"/>
      <c r="UK110" s="216"/>
      <c r="UL110" s="216"/>
      <c r="UM110" s="216"/>
      <c r="UN110" s="216"/>
      <c r="UO110" s="216"/>
      <c r="UP110" s="216"/>
      <c r="UQ110" s="216"/>
      <c r="UR110" s="216"/>
      <c r="US110" s="216"/>
      <c r="UT110" s="216"/>
      <c r="UU110" s="216"/>
      <c r="UV110" s="216"/>
      <c r="UW110" s="216"/>
      <c r="UX110" s="216"/>
      <c r="UY110" s="216"/>
      <c r="UZ110" s="216"/>
      <c r="VA110" s="216"/>
    </row>
    <row r="111" spans="1:573" s="4" customFormat="1" x14ac:dyDescent="0.4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5"/>
      <c r="AM111" s="45"/>
      <c r="AN111" s="45"/>
      <c r="AO111" s="45"/>
      <c r="AP111" s="310"/>
      <c r="AQ111" s="310"/>
      <c r="AR111" s="310"/>
      <c r="AS111" s="310"/>
      <c r="AT111" s="310"/>
      <c r="AU111" s="310"/>
      <c r="AV111" s="310"/>
      <c r="AW111" s="310"/>
      <c r="AX111" s="310"/>
      <c r="AY111" s="310"/>
      <c r="AZ111" s="310"/>
      <c r="BA111" s="310"/>
      <c r="BB111" s="310"/>
      <c r="BF111" s="310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310"/>
      <c r="BR111" s="310"/>
      <c r="BS111" s="310"/>
      <c r="BT111" s="310"/>
      <c r="BU111" s="310"/>
      <c r="BV111" s="310"/>
      <c r="BW111" s="310"/>
      <c r="BX111" s="310"/>
      <c r="BY111" s="310"/>
      <c r="BZ111" s="310"/>
      <c r="CA111" s="310"/>
      <c r="CB111" s="310"/>
      <c r="CC111" s="310"/>
      <c r="CD111" s="310"/>
      <c r="CE111" s="310"/>
      <c r="CF111" s="310"/>
      <c r="CG111" s="310"/>
      <c r="CH111" s="310"/>
      <c r="CI111" s="310"/>
      <c r="CJ111" s="310"/>
      <c r="CK111" s="310"/>
      <c r="CL111" s="310"/>
      <c r="CM111" s="310"/>
      <c r="CN111" s="310"/>
      <c r="CO111" s="310"/>
      <c r="CP111" s="310"/>
      <c r="CQ111" s="310"/>
      <c r="CR111" s="310"/>
      <c r="CS111" s="310"/>
      <c r="CT111" s="310"/>
      <c r="CU111" s="310"/>
      <c r="CV111" s="310"/>
      <c r="CW111" s="310"/>
      <c r="CX111" s="310"/>
      <c r="CY111" s="310"/>
      <c r="CZ111" s="310"/>
      <c r="DA111" s="310"/>
      <c r="DB111" s="310"/>
      <c r="DC111" s="310"/>
      <c r="DD111" s="310"/>
      <c r="DE111" s="310"/>
      <c r="DF111" s="310"/>
      <c r="DG111" s="310"/>
      <c r="DH111" s="310"/>
      <c r="DI111" s="310"/>
      <c r="DJ111" s="310"/>
      <c r="DK111" s="310"/>
      <c r="DL111" s="310"/>
      <c r="DM111" s="310"/>
      <c r="DN111" s="310"/>
      <c r="DO111" s="310"/>
      <c r="DP111" s="310"/>
      <c r="DQ111" s="310"/>
      <c r="DR111" s="310"/>
      <c r="DS111" s="310"/>
      <c r="DT111" s="310"/>
      <c r="DU111" s="230" t="e">
        <v>#N/A</v>
      </c>
      <c r="DV111" s="230" t="e">
        <v>#N/A</v>
      </c>
      <c r="DW111" s="310"/>
      <c r="DX111" s="310"/>
      <c r="DY111" s="310"/>
      <c r="DZ111" s="310"/>
      <c r="EA111" s="310"/>
      <c r="EB111" s="310"/>
      <c r="EC111" s="310"/>
      <c r="ED111" s="310"/>
      <c r="EE111" s="310"/>
      <c r="EF111" s="310"/>
      <c r="EG111" s="310"/>
      <c r="EH111" s="310"/>
      <c r="EI111" s="338">
        <v>40</v>
      </c>
      <c r="EJ111" s="338" t="b">
        <f t="shared" si="127"/>
        <v>0</v>
      </c>
      <c r="EK111" s="281" t="e">
        <f t="shared" si="128"/>
        <v>#N/A</v>
      </c>
      <c r="EL111" s="281" t="e">
        <f t="shared" si="129"/>
        <v>#N/A</v>
      </c>
      <c r="EM111" s="310"/>
      <c r="EN111" s="310"/>
      <c r="EO111" s="310"/>
      <c r="EP111" s="310"/>
      <c r="EQ111" s="310"/>
      <c r="ER111" s="310"/>
      <c r="ES111" s="310"/>
      <c r="ET111" s="310"/>
      <c r="EU111" s="310"/>
      <c r="EV111" s="310"/>
      <c r="EW111" s="310"/>
      <c r="EX111" s="310"/>
      <c r="EY111" s="310"/>
      <c r="EZ111" s="310"/>
      <c r="FA111" s="310"/>
      <c r="FB111" s="310"/>
      <c r="FC111" s="310"/>
      <c r="FD111" s="310"/>
      <c r="FE111" s="310"/>
      <c r="FF111" s="310"/>
      <c r="FG111" s="310"/>
      <c r="FH111" s="310"/>
      <c r="FI111" s="310"/>
      <c r="FJ111" s="310"/>
      <c r="FK111" s="310"/>
      <c r="FL111" s="310"/>
      <c r="FM111" s="310"/>
      <c r="FN111" s="310"/>
      <c r="FO111" s="310"/>
      <c r="FP111" s="310"/>
      <c r="FQ111" s="310"/>
      <c r="FR111" s="310"/>
      <c r="FS111" s="310"/>
      <c r="FT111" s="310"/>
      <c r="FU111" s="310"/>
      <c r="FV111" s="310"/>
      <c r="FW111" s="310"/>
      <c r="FX111" s="310"/>
      <c r="FY111" s="310"/>
      <c r="FZ111" s="310"/>
      <c r="GA111" s="310"/>
      <c r="GB111" s="310"/>
      <c r="GC111" s="310"/>
      <c r="GD111" s="310"/>
      <c r="GE111" s="310"/>
      <c r="GF111" s="310"/>
      <c r="GG111" s="310"/>
      <c r="GH111" s="310"/>
      <c r="GI111" s="310"/>
      <c r="GJ111" s="310"/>
      <c r="GK111" s="310"/>
      <c r="GL111" s="310"/>
      <c r="GM111" s="310"/>
      <c r="GN111" s="310"/>
      <c r="GO111" s="310"/>
      <c r="GP111" s="310"/>
      <c r="GQ111" s="310"/>
      <c r="GR111" s="310"/>
      <c r="GS111" s="310"/>
      <c r="GT111" s="310"/>
      <c r="GU111" s="310"/>
      <c r="GV111" s="310"/>
      <c r="GW111" s="310"/>
      <c r="GX111" s="310"/>
      <c r="GY111" s="310"/>
      <c r="GZ111" s="310"/>
      <c r="HA111" s="310"/>
      <c r="HB111" s="310"/>
      <c r="HC111" s="310"/>
      <c r="HD111" s="310"/>
      <c r="HE111" s="310"/>
      <c r="HF111" s="310"/>
      <c r="HG111" s="310"/>
      <c r="HH111" s="310"/>
      <c r="HI111" s="310"/>
      <c r="HJ111" s="310"/>
      <c r="HK111" s="342">
        <v>97</v>
      </c>
      <c r="HL111" s="235" t="e">
        <f t="shared" si="139"/>
        <v>#N/A</v>
      </c>
      <c r="HM111" s="235" t="e">
        <f t="shared" si="140"/>
        <v>#N/A</v>
      </c>
      <c r="HN111" s="310"/>
      <c r="HO111" s="310"/>
      <c r="HP111" s="235" t="e">
        <f t="shared" si="141"/>
        <v>#N/A</v>
      </c>
      <c r="HQ111" s="235" t="e">
        <f t="shared" si="142"/>
        <v>#N/A</v>
      </c>
      <c r="HR111" s="310"/>
      <c r="HS111" s="310"/>
      <c r="HT111" s="235" t="e">
        <f t="shared" si="143"/>
        <v>#N/A</v>
      </c>
      <c r="HU111" s="235" t="e">
        <f t="shared" si="144"/>
        <v>#N/A</v>
      </c>
      <c r="HV111" s="310"/>
      <c r="HW111" s="310"/>
      <c r="HX111" s="235" t="e">
        <f t="shared" si="145"/>
        <v>#N/A</v>
      </c>
      <c r="HY111" s="235" t="e">
        <f t="shared" si="146"/>
        <v>#N/A</v>
      </c>
      <c r="HZ111" s="310"/>
      <c r="IA111" s="310"/>
      <c r="IB111" s="235" t="e">
        <f t="shared" si="147"/>
        <v>#N/A</v>
      </c>
      <c r="IC111" s="235" t="e">
        <f t="shared" si="148"/>
        <v>#N/A</v>
      </c>
      <c r="ID111" s="310"/>
      <c r="IE111" s="342">
        <v>97</v>
      </c>
      <c r="IF111" s="262" t="e">
        <f t="shared" si="149"/>
        <v>#N/A</v>
      </c>
      <c r="IG111" s="262" t="e">
        <f t="shared" si="150"/>
        <v>#N/A</v>
      </c>
      <c r="IH111" s="390"/>
      <c r="II111" s="390"/>
      <c r="IJ111" s="262" t="e">
        <f t="shared" si="151"/>
        <v>#N/A</v>
      </c>
      <c r="IK111" s="262" t="e">
        <f t="shared" si="152"/>
        <v>#N/A</v>
      </c>
      <c r="IL111" s="390"/>
      <c r="IM111" s="390"/>
      <c r="IN111" s="262" t="e">
        <f t="shared" si="153"/>
        <v>#N/A</v>
      </c>
      <c r="IO111" s="262" t="e">
        <f t="shared" si="154"/>
        <v>#N/A</v>
      </c>
      <c r="IP111" s="390"/>
      <c r="IQ111" s="390"/>
      <c r="IR111" s="262" t="e">
        <f t="shared" si="155"/>
        <v>#N/A</v>
      </c>
      <c r="IS111" s="262" t="e">
        <f t="shared" si="156"/>
        <v>#N/A</v>
      </c>
      <c r="IT111" s="390"/>
      <c r="IU111" s="390"/>
      <c r="IV111" s="262" t="e">
        <f t="shared" si="157"/>
        <v>#N/A</v>
      </c>
      <c r="IW111" s="262" t="e">
        <f t="shared" si="158"/>
        <v>#N/A</v>
      </c>
      <c r="IX111" s="310"/>
      <c r="IY111" s="316" t="s">
        <v>389</v>
      </c>
      <c r="IZ111" s="491" cm="1">
        <f t="array" ref="IZ111">INDEX($HC$7:$HC$28,$GY$6)/1000</f>
        <v>0.09</v>
      </c>
      <c r="JA111" s="310"/>
      <c r="JB111" s="313" t="s">
        <v>372</v>
      </c>
      <c r="JC111" s="228">
        <f>JC110</f>
        <v>-0.5</v>
      </c>
      <c r="JD111" s="228">
        <f>JA106-($IZ$108/2)+$IZ$114</f>
        <v>-0.78500000000000003</v>
      </c>
      <c r="JE111" s="310"/>
      <c r="JF111" s="316" t="s">
        <v>389</v>
      </c>
      <c r="JG111" s="491" cm="1">
        <f t="array" ref="JG111">INDEX($HC$7:$HC$28,$GY$6)/1000</f>
        <v>0.09</v>
      </c>
      <c r="JH111" s="310"/>
      <c r="JI111" s="313" t="s">
        <v>372</v>
      </c>
      <c r="JJ111" s="242">
        <f>JJ110</f>
        <v>-0.5</v>
      </c>
      <c r="JK111" s="242">
        <f>JH106-($IZ$108/2)+$IZ$114</f>
        <v>-0.78500000000000003</v>
      </c>
      <c r="JL111" s="310"/>
      <c r="JM111" s="310"/>
      <c r="JN111" s="261" t="e">
        <f t="shared" si="159"/>
        <v>#N/A</v>
      </c>
      <c r="JO111" s="261" t="e">
        <f t="shared" si="160"/>
        <v>#N/A</v>
      </c>
      <c r="JP111" s="310"/>
      <c r="JQ111" s="310"/>
      <c r="JR111" s="261" t="e">
        <f t="shared" si="165"/>
        <v>#N/A</v>
      </c>
      <c r="JS111" s="261" t="e">
        <f t="shared" si="166"/>
        <v>#N/A</v>
      </c>
      <c r="JT111" s="310"/>
      <c r="JU111" s="310"/>
      <c r="JV111" s="261" t="e">
        <f t="shared" si="161"/>
        <v>#N/A</v>
      </c>
      <c r="JW111" s="261" t="e">
        <f t="shared" si="162"/>
        <v>#N/A</v>
      </c>
      <c r="JX111" s="310"/>
      <c r="JY111" s="311"/>
      <c r="JZ111" s="311"/>
      <c r="KA111" s="311"/>
      <c r="KB111" s="313" t="s">
        <v>396</v>
      </c>
      <c r="KC111" s="242" t="e">
        <f>JZ101-$IZ$112/2</f>
        <v>#N/A</v>
      </c>
      <c r="KD111" s="266" t="e">
        <f>KD104</f>
        <v>#N/A</v>
      </c>
      <c r="KE111" s="310"/>
      <c r="KF111" s="310"/>
      <c r="KG111" s="310"/>
      <c r="KH111" s="310"/>
      <c r="KI111" s="310"/>
      <c r="KJ111" s="310"/>
      <c r="KK111" s="310"/>
      <c r="KL111" s="310"/>
      <c r="KM111" s="310"/>
      <c r="KN111" s="310"/>
      <c r="KO111" s="310"/>
      <c r="KP111" s="310"/>
      <c r="KQ111" s="310"/>
      <c r="KR111" s="310"/>
      <c r="KS111" s="310"/>
      <c r="KT111" s="310"/>
      <c r="KU111" s="310"/>
      <c r="KV111" s="310"/>
      <c r="KW111" s="310"/>
      <c r="KX111" s="310"/>
      <c r="KY111" s="310"/>
      <c r="KZ111" s="310"/>
      <c r="LA111" s="310"/>
      <c r="LB111" s="310"/>
      <c r="LC111" s="310"/>
      <c r="LD111" s="310"/>
      <c r="LE111" s="310"/>
      <c r="LF111" s="310"/>
      <c r="LG111" s="310"/>
      <c r="LH111" s="310"/>
      <c r="LI111" s="310"/>
      <c r="LJ111" s="310"/>
      <c r="LK111" s="310"/>
      <c r="LL111" s="310"/>
      <c r="LM111" s="310"/>
      <c r="LN111" s="310"/>
      <c r="LO111" s="310"/>
      <c r="LP111" s="310"/>
      <c r="LQ111" s="310"/>
      <c r="LR111" s="310"/>
      <c r="LS111" s="310"/>
      <c r="LT111" s="310"/>
      <c r="LU111" s="310"/>
      <c r="LV111" s="310"/>
      <c r="LW111" s="310"/>
      <c r="LX111" s="310"/>
      <c r="LY111" s="310"/>
      <c r="LZ111" s="310"/>
      <c r="MA111" s="310"/>
      <c r="MB111" s="310"/>
      <c r="MC111" s="310"/>
      <c r="MD111" s="310"/>
      <c r="ME111" s="310"/>
      <c r="MF111" s="310"/>
      <c r="MG111" s="310"/>
      <c r="MH111" s="310"/>
      <c r="MI111" s="310"/>
      <c r="MJ111" s="310"/>
      <c r="MK111" s="310"/>
      <c r="ML111" s="310"/>
      <c r="MM111" s="310"/>
      <c r="MN111" s="310"/>
      <c r="MO111" s="310"/>
      <c r="MP111" s="310"/>
      <c r="MQ111" s="310"/>
      <c r="MR111" s="310"/>
      <c r="MS111" s="310"/>
      <c r="MT111" s="310"/>
      <c r="MU111" s="310"/>
      <c r="MV111" s="310"/>
      <c r="MW111" s="310"/>
      <c r="MX111" s="310"/>
      <c r="MY111" s="310"/>
      <c r="MZ111" s="310"/>
      <c r="NA111" s="310"/>
      <c r="NB111" s="310"/>
      <c r="NC111" s="310"/>
      <c r="ND111" s="310"/>
      <c r="NE111" s="310"/>
      <c r="NF111" s="310"/>
      <c r="NG111" s="310"/>
      <c r="NH111" s="310"/>
      <c r="NI111" s="310"/>
      <c r="NJ111" s="310"/>
      <c r="NK111" s="310"/>
      <c r="NL111" s="310"/>
      <c r="NM111" s="310"/>
      <c r="NN111" s="310"/>
      <c r="NO111" s="310"/>
      <c r="NP111" s="310"/>
      <c r="NQ111" s="310"/>
      <c r="NR111" s="310"/>
      <c r="NS111" s="310"/>
      <c r="NT111" s="310"/>
      <c r="NU111" s="310"/>
      <c r="NV111" s="310"/>
      <c r="NW111" s="310"/>
      <c r="NX111" s="310"/>
      <c r="NY111" s="310"/>
      <c r="NZ111" s="310"/>
      <c r="OA111" s="310"/>
      <c r="OB111" s="310"/>
      <c r="OC111" s="310"/>
      <c r="OD111" s="310"/>
      <c r="OE111" s="310"/>
      <c r="OF111" s="310"/>
      <c r="OG111" s="310"/>
      <c r="OH111" s="310"/>
      <c r="OI111" s="310"/>
      <c r="OJ111" s="310"/>
      <c r="OK111" s="310"/>
      <c r="OL111" s="310"/>
      <c r="OM111" s="310"/>
      <c r="ON111" s="310"/>
      <c r="OO111" s="310"/>
      <c r="OP111" s="310"/>
      <c r="OQ111" s="310"/>
      <c r="OR111" s="310"/>
      <c r="OS111" s="310"/>
      <c r="OT111" s="310"/>
      <c r="OU111" s="310"/>
      <c r="OV111" s="310"/>
      <c r="OW111" s="310"/>
      <c r="OX111" s="310"/>
      <c r="OY111" s="310"/>
      <c r="OZ111" s="310"/>
      <c r="PA111" s="310"/>
      <c r="PB111" s="310"/>
      <c r="PC111" s="310"/>
      <c r="PD111" s="310"/>
      <c r="PE111" s="310"/>
      <c r="PF111" s="310"/>
      <c r="PG111" s="310"/>
      <c r="PH111" s="310"/>
      <c r="PI111" s="310"/>
      <c r="PJ111" s="310"/>
      <c r="PK111" s="310"/>
      <c r="PL111" s="310"/>
      <c r="PM111" s="310"/>
      <c r="PN111" s="310"/>
      <c r="PO111" s="310"/>
      <c r="PP111" s="310"/>
      <c r="PQ111" s="310"/>
      <c r="PR111" s="310"/>
      <c r="PS111" s="342">
        <v>97</v>
      </c>
      <c r="PT111" s="261" t="e">
        <f t="shared" si="163"/>
        <v>#N/A</v>
      </c>
      <c r="PU111" s="261" t="e">
        <f t="shared" si="164"/>
        <v>#N/A</v>
      </c>
      <c r="PV111" s="310"/>
      <c r="PW111" s="310"/>
      <c r="PX111" s="310"/>
      <c r="PY111" s="310"/>
      <c r="PZ111" s="310"/>
      <c r="QA111" s="310"/>
      <c r="QB111" s="310"/>
      <c r="QC111" s="310"/>
      <c r="QD111" s="310"/>
      <c r="QE111" s="310"/>
      <c r="QF111" s="310"/>
      <c r="QG111" s="310"/>
      <c r="QH111" s="310"/>
      <c r="QI111" s="310"/>
      <c r="QJ111" s="310"/>
      <c r="QK111" s="310"/>
      <c r="QL111" s="310"/>
      <c r="QM111" s="310"/>
      <c r="QN111" s="310"/>
      <c r="QO111" s="310"/>
      <c r="QP111" s="310"/>
      <c r="QQ111" s="310"/>
      <c r="QR111" s="310"/>
      <c r="QS111" s="310"/>
      <c r="QT111" s="310"/>
      <c r="QU111" s="310"/>
      <c r="QV111" s="310"/>
      <c r="QW111" s="310"/>
      <c r="QX111" s="310"/>
      <c r="QY111" s="310"/>
      <c r="QZ111" s="310"/>
      <c r="RA111" s="310"/>
      <c r="RB111" s="310"/>
      <c r="RC111" s="310"/>
      <c r="RD111" s="310"/>
      <c r="RE111" s="310"/>
      <c r="RF111" s="310"/>
      <c r="RG111" s="310"/>
      <c r="RH111" s="310"/>
      <c r="RI111" s="310"/>
      <c r="RJ111" s="310"/>
      <c r="RK111" s="310"/>
      <c r="RL111" s="310"/>
      <c r="RM111" s="310"/>
      <c r="RN111" s="310"/>
      <c r="RO111" s="310"/>
      <c r="RP111" s="310"/>
      <c r="RQ111" s="310"/>
      <c r="RR111" s="310"/>
      <c r="RS111" s="310"/>
      <c r="RT111" s="310"/>
      <c r="RU111" s="310"/>
      <c r="RV111" s="310"/>
      <c r="RW111" s="310"/>
      <c r="RX111" s="310"/>
      <c r="RY111" s="310"/>
      <c r="RZ111" s="310"/>
      <c r="SA111" s="310"/>
      <c r="SB111" s="310"/>
      <c r="SC111" s="310"/>
      <c r="SD111" s="310"/>
      <c r="SE111" s="310"/>
      <c r="SF111" s="310"/>
      <c r="SG111" s="310"/>
      <c r="SH111" s="310"/>
      <c r="SI111" s="310"/>
      <c r="SJ111" s="310"/>
      <c r="SK111" s="310"/>
      <c r="SL111" s="310"/>
      <c r="SM111" s="310"/>
      <c r="SN111" s="310"/>
      <c r="SO111" s="220"/>
      <c r="SP111" s="220"/>
      <c r="SQ111" s="220"/>
      <c r="SR111" s="220"/>
      <c r="SS111" s="220"/>
      <c r="ST111" s="220"/>
      <c r="SU111" s="220"/>
      <c r="SV111" s="220"/>
      <c r="SW111" s="220"/>
      <c r="SX111" s="220"/>
      <c r="SY111" s="220"/>
      <c r="SZ111" s="220"/>
      <c r="TA111" s="220"/>
      <c r="TB111" s="220"/>
      <c r="TC111" s="220"/>
      <c r="TD111" s="220"/>
      <c r="TE111" s="220"/>
      <c r="TF111" s="220"/>
      <c r="TG111" s="220"/>
      <c r="TH111" s="220"/>
      <c r="TI111" s="220"/>
      <c r="TJ111" s="220"/>
      <c r="TK111" s="220"/>
      <c r="TL111" s="220"/>
      <c r="TM111" s="220"/>
      <c r="TN111" s="220"/>
      <c r="TO111" s="220"/>
      <c r="TP111" s="220"/>
      <c r="TQ111" s="220"/>
      <c r="TR111" s="220"/>
      <c r="TS111" s="220"/>
      <c r="TT111" s="220"/>
      <c r="TU111" s="220"/>
      <c r="TV111" s="220"/>
      <c r="TW111" s="220"/>
      <c r="TX111" s="220"/>
      <c r="TY111" s="220"/>
      <c r="TZ111" s="220"/>
      <c r="UA111" s="220"/>
      <c r="UB111" s="220"/>
      <c r="UC111" s="220"/>
      <c r="UD111" s="220"/>
      <c r="UE111" s="220"/>
      <c r="UF111" s="220"/>
      <c r="UG111" s="220"/>
      <c r="UH111" s="220"/>
      <c r="UI111" s="220"/>
      <c r="UJ111" s="220"/>
      <c r="UK111" s="216"/>
      <c r="UL111" s="216"/>
      <c r="UM111" s="216"/>
      <c r="UN111" s="216"/>
      <c r="UO111" s="216"/>
      <c r="UP111" s="216"/>
      <c r="UQ111" s="216"/>
      <c r="UR111" s="216"/>
      <c r="US111" s="216"/>
      <c r="UT111" s="216"/>
      <c r="UU111" s="216"/>
      <c r="UV111" s="216"/>
      <c r="UW111" s="216"/>
      <c r="UX111" s="216"/>
      <c r="UY111" s="216"/>
      <c r="UZ111" s="216"/>
      <c r="VA111" s="216"/>
    </row>
    <row r="112" spans="1:573" s="4" customFormat="1" x14ac:dyDescent="0.4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5"/>
      <c r="AM112" s="45"/>
      <c r="AN112" s="45"/>
      <c r="AO112" s="45"/>
      <c r="AP112" s="310"/>
      <c r="AQ112" s="310"/>
      <c r="AR112" s="310"/>
      <c r="AS112" s="310"/>
      <c r="AT112" s="310"/>
      <c r="AU112" s="310"/>
      <c r="AV112" s="310"/>
      <c r="AW112" s="310"/>
      <c r="AX112" s="310"/>
      <c r="AY112" s="310"/>
      <c r="AZ112" s="310"/>
      <c r="BA112" s="310"/>
      <c r="BB112" s="310"/>
      <c r="BF112" s="310"/>
      <c r="BG112" s="310"/>
      <c r="BH112" s="310"/>
      <c r="BI112" s="310"/>
      <c r="BJ112" s="310"/>
      <c r="BK112" s="310"/>
      <c r="BL112" s="310"/>
      <c r="BM112" s="310"/>
      <c r="BN112" s="310"/>
      <c r="BO112" s="310"/>
      <c r="BP112" s="310"/>
      <c r="BQ112" s="310"/>
      <c r="BR112" s="310"/>
      <c r="BS112" s="310"/>
      <c r="BT112" s="310"/>
      <c r="BU112" s="310"/>
      <c r="BV112" s="310"/>
      <c r="BW112" s="310"/>
      <c r="BX112" s="310"/>
      <c r="BY112" s="310"/>
      <c r="BZ112" s="310"/>
      <c r="CA112" s="310"/>
      <c r="CB112" s="310"/>
      <c r="CC112" s="310"/>
      <c r="CD112" s="310"/>
      <c r="CE112" s="310"/>
      <c r="CF112" s="310"/>
      <c r="CG112" s="310"/>
      <c r="CH112" s="310"/>
      <c r="CI112" s="310"/>
      <c r="CJ112" s="310"/>
      <c r="CK112" s="310"/>
      <c r="CL112" s="310"/>
      <c r="CM112" s="310"/>
      <c r="CN112" s="310"/>
      <c r="CO112" s="310"/>
      <c r="CP112" s="310"/>
      <c r="CQ112" s="310"/>
      <c r="CR112" s="310"/>
      <c r="CS112" s="310"/>
      <c r="CT112" s="310"/>
      <c r="CU112" s="310"/>
      <c r="CV112" s="310"/>
      <c r="CW112" s="310"/>
      <c r="CX112" s="310"/>
      <c r="CY112" s="310"/>
      <c r="CZ112" s="310"/>
      <c r="DA112" s="310"/>
      <c r="DB112" s="310"/>
      <c r="DC112" s="310"/>
      <c r="DD112" s="310"/>
      <c r="DE112" s="310"/>
      <c r="DF112" s="310"/>
      <c r="DG112" s="310"/>
      <c r="DH112" s="310"/>
      <c r="DI112" s="310"/>
      <c r="DJ112" s="310"/>
      <c r="DK112" s="310"/>
      <c r="DL112" s="310"/>
      <c r="DM112" s="310"/>
      <c r="DN112" s="310"/>
      <c r="DO112" s="310"/>
      <c r="DP112" s="310"/>
      <c r="DQ112" s="310"/>
      <c r="DR112" s="310"/>
      <c r="DS112" s="310"/>
      <c r="DT112" s="310"/>
      <c r="DU112" s="230" t="e">
        <v>#N/A</v>
      </c>
      <c r="DV112" s="230" t="e">
        <v>#N/A</v>
      </c>
      <c r="DW112" s="310"/>
      <c r="DX112" s="310"/>
      <c r="DY112" s="310"/>
      <c r="DZ112" s="310"/>
      <c r="EA112" s="310"/>
      <c r="EB112" s="310"/>
      <c r="EC112" s="310"/>
      <c r="ED112" s="310"/>
      <c r="EE112" s="310"/>
      <c r="EF112" s="310"/>
      <c r="EG112" s="310"/>
      <c r="EH112" s="310"/>
      <c r="EI112" s="338">
        <v>41</v>
      </c>
      <c r="EJ112" s="338" t="b">
        <f t="shared" si="127"/>
        <v>0</v>
      </c>
      <c r="EK112" s="281" t="e">
        <f t="shared" si="128"/>
        <v>#N/A</v>
      </c>
      <c r="EL112" s="281" t="e">
        <f t="shared" si="129"/>
        <v>#N/A</v>
      </c>
      <c r="EM112" s="310"/>
      <c r="EN112" s="310" t="s">
        <v>193</v>
      </c>
      <c r="EO112" s="310"/>
      <c r="EP112" s="310"/>
      <c r="EQ112" s="310"/>
      <c r="ER112" s="310"/>
      <c r="ES112" s="310"/>
      <c r="ET112" s="310"/>
      <c r="EU112" s="310"/>
      <c r="EV112" s="310"/>
      <c r="EW112" s="310"/>
      <c r="EX112" s="310"/>
      <c r="EY112" s="310"/>
      <c r="EZ112" s="310"/>
      <c r="FA112" s="310"/>
      <c r="FB112" s="310"/>
      <c r="FC112" s="310"/>
      <c r="FD112" s="310"/>
      <c r="FE112" s="310"/>
      <c r="FF112" s="310"/>
      <c r="FG112" s="310"/>
      <c r="FH112" s="310"/>
      <c r="FI112" s="310"/>
      <c r="FJ112" s="310"/>
      <c r="FK112" s="310"/>
      <c r="FL112" s="310"/>
      <c r="FM112" s="310"/>
      <c r="FN112" s="310"/>
      <c r="FO112" s="310"/>
      <c r="FP112" s="310"/>
      <c r="FQ112" s="310"/>
      <c r="FR112" s="310"/>
      <c r="FS112" s="310"/>
      <c r="FT112" s="310"/>
      <c r="FU112" s="310"/>
      <c r="FV112" s="310"/>
      <c r="FW112" s="310"/>
      <c r="FX112" s="310"/>
      <c r="FY112" s="310"/>
      <c r="FZ112" s="310"/>
      <c r="GA112" s="310"/>
      <c r="GB112" s="310"/>
      <c r="GC112" s="310"/>
      <c r="GD112" s="310"/>
      <c r="GE112" s="310"/>
      <c r="GF112" s="310"/>
      <c r="GG112" s="310"/>
      <c r="GH112" s="310"/>
      <c r="GI112" s="310"/>
      <c r="GJ112" s="310"/>
      <c r="GK112" s="310"/>
      <c r="GL112" s="310"/>
      <c r="GM112" s="310"/>
      <c r="GN112" s="310"/>
      <c r="GO112" s="310"/>
      <c r="GP112" s="310"/>
      <c r="GQ112" s="310"/>
      <c r="GR112" s="310"/>
      <c r="GS112" s="310"/>
      <c r="GT112" s="310"/>
      <c r="GU112" s="310"/>
      <c r="GV112" s="310"/>
      <c r="GW112" s="310"/>
      <c r="GX112" s="310"/>
      <c r="GY112" s="310"/>
      <c r="GZ112" s="310"/>
      <c r="HA112" s="310"/>
      <c r="HB112" s="310"/>
      <c r="HC112" s="310"/>
      <c r="HD112" s="310"/>
      <c r="HE112" s="310"/>
      <c r="HF112" s="310"/>
      <c r="HG112" s="310"/>
      <c r="HH112" s="310"/>
      <c r="HI112" s="310"/>
      <c r="HJ112" s="310"/>
      <c r="HK112" s="342">
        <v>98</v>
      </c>
      <c r="HL112" s="235" t="e">
        <f t="shared" si="139"/>
        <v>#N/A</v>
      </c>
      <c r="HM112" s="235" t="e">
        <f t="shared" si="140"/>
        <v>#N/A</v>
      </c>
      <c r="HN112" s="310"/>
      <c r="HO112" s="310"/>
      <c r="HP112" s="235" t="e">
        <f t="shared" si="141"/>
        <v>#N/A</v>
      </c>
      <c r="HQ112" s="235" t="e">
        <f t="shared" si="142"/>
        <v>#N/A</v>
      </c>
      <c r="HR112" s="310"/>
      <c r="HS112" s="310"/>
      <c r="HT112" s="235" t="e">
        <f t="shared" si="143"/>
        <v>#N/A</v>
      </c>
      <c r="HU112" s="235" t="e">
        <f t="shared" si="144"/>
        <v>#N/A</v>
      </c>
      <c r="HV112" s="310"/>
      <c r="HW112" s="310"/>
      <c r="HX112" s="235" t="e">
        <f t="shared" si="145"/>
        <v>#N/A</v>
      </c>
      <c r="HY112" s="235" t="e">
        <f t="shared" si="146"/>
        <v>#N/A</v>
      </c>
      <c r="HZ112" s="310"/>
      <c r="IA112" s="310"/>
      <c r="IB112" s="235" t="e">
        <f t="shared" si="147"/>
        <v>#N/A</v>
      </c>
      <c r="IC112" s="235" t="e">
        <f t="shared" si="148"/>
        <v>#N/A</v>
      </c>
      <c r="ID112" s="310"/>
      <c r="IE112" s="342">
        <v>98</v>
      </c>
      <c r="IF112" s="262" t="e">
        <f t="shared" si="149"/>
        <v>#N/A</v>
      </c>
      <c r="IG112" s="262" t="e">
        <f t="shared" si="150"/>
        <v>#N/A</v>
      </c>
      <c r="IH112" s="390"/>
      <c r="II112" s="390"/>
      <c r="IJ112" s="262" t="e">
        <f t="shared" si="151"/>
        <v>#N/A</v>
      </c>
      <c r="IK112" s="262" t="e">
        <f t="shared" si="152"/>
        <v>#N/A</v>
      </c>
      <c r="IL112" s="390"/>
      <c r="IM112" s="390"/>
      <c r="IN112" s="262" t="e">
        <f t="shared" si="153"/>
        <v>#N/A</v>
      </c>
      <c r="IO112" s="262" t="e">
        <f t="shared" si="154"/>
        <v>#N/A</v>
      </c>
      <c r="IP112" s="390"/>
      <c r="IQ112" s="390"/>
      <c r="IR112" s="262" t="e">
        <f t="shared" si="155"/>
        <v>#N/A</v>
      </c>
      <c r="IS112" s="262" t="e">
        <f t="shared" si="156"/>
        <v>#N/A</v>
      </c>
      <c r="IT112" s="390"/>
      <c r="IU112" s="390"/>
      <c r="IV112" s="262" t="e">
        <f t="shared" si="157"/>
        <v>#N/A</v>
      </c>
      <c r="IW112" s="262" t="e">
        <f t="shared" si="158"/>
        <v>#N/A</v>
      </c>
      <c r="IX112" s="310"/>
      <c r="IY112" s="316" t="s">
        <v>390</v>
      </c>
      <c r="IZ112" s="491" cm="1">
        <f t="array" ref="IZ112">INDEX($HD$7:$HD$28,$GY$6)/1000</f>
        <v>0.1</v>
      </c>
      <c r="JA112" s="310"/>
      <c r="JB112" s="313" t="s">
        <v>373</v>
      </c>
      <c r="JC112" s="228">
        <f>JC105</f>
        <v>-0.51500000000000001</v>
      </c>
      <c r="JD112" s="228">
        <f>JA106-$IZ$108/2</f>
        <v>-0.8</v>
      </c>
      <c r="JE112" s="310"/>
      <c r="JF112" s="316" t="s">
        <v>390</v>
      </c>
      <c r="JG112" s="491" cm="1">
        <f t="array" ref="JG112">INDEX($HD$7:$HD$28,$GY$6)/1000</f>
        <v>0.1</v>
      </c>
      <c r="JH112" s="310"/>
      <c r="JI112" s="313" t="s">
        <v>373</v>
      </c>
      <c r="JJ112" s="242">
        <f>JJ105</f>
        <v>-0.51500000000000001</v>
      </c>
      <c r="JK112" s="242">
        <f>JH106-$IZ$108/2</f>
        <v>-0.8</v>
      </c>
      <c r="JL112" s="310"/>
      <c r="JM112" s="310"/>
      <c r="JN112" s="261" t="e">
        <f t="shared" si="159"/>
        <v>#N/A</v>
      </c>
      <c r="JO112" s="261" t="e">
        <f t="shared" si="160"/>
        <v>#N/A</v>
      </c>
      <c r="JP112" s="310"/>
      <c r="JQ112" s="310"/>
      <c r="JR112" s="261" t="e">
        <f t="shared" si="165"/>
        <v>#N/A</v>
      </c>
      <c r="JS112" s="261" t="e">
        <f t="shared" si="166"/>
        <v>#N/A</v>
      </c>
      <c r="JT112" s="310"/>
      <c r="JU112" s="310"/>
      <c r="JV112" s="261" t="e">
        <f t="shared" si="161"/>
        <v>#N/A</v>
      </c>
      <c r="JW112" s="261" t="e">
        <f t="shared" si="162"/>
        <v>#N/A</v>
      </c>
      <c r="JX112" s="310"/>
      <c r="JY112" s="311"/>
      <c r="JZ112" s="311"/>
      <c r="KA112" s="311"/>
      <c r="KB112" s="313" t="s">
        <v>397</v>
      </c>
      <c r="KC112" s="242" t="e">
        <f>KC111</f>
        <v>#N/A</v>
      </c>
      <c r="KD112" s="265" t="e">
        <f>KD103</f>
        <v>#N/A</v>
      </c>
      <c r="KE112" s="310"/>
      <c r="KF112" s="310"/>
      <c r="KG112" s="310"/>
      <c r="KH112" s="310"/>
      <c r="KI112" s="310"/>
      <c r="KJ112" s="310"/>
      <c r="KK112" s="310"/>
      <c r="KL112" s="310"/>
      <c r="KM112" s="310"/>
      <c r="KN112" s="310"/>
      <c r="KO112" s="310"/>
      <c r="KP112" s="310"/>
      <c r="KQ112" s="310"/>
      <c r="KR112" s="310"/>
      <c r="KS112" s="310"/>
      <c r="KT112" s="310"/>
      <c r="KU112" s="310"/>
      <c r="KV112" s="310"/>
      <c r="KW112" s="310"/>
      <c r="KX112" s="310"/>
      <c r="KY112" s="310"/>
      <c r="KZ112" s="310"/>
      <c r="LA112" s="310"/>
      <c r="LB112" s="310"/>
      <c r="LC112" s="310"/>
      <c r="LD112" s="310"/>
      <c r="LE112" s="310"/>
      <c r="LF112" s="310"/>
      <c r="LG112" s="310"/>
      <c r="LH112" s="310"/>
      <c r="LI112" s="310"/>
      <c r="LJ112" s="310"/>
      <c r="LK112" s="310"/>
      <c r="LL112" s="310"/>
      <c r="LM112" s="310"/>
      <c r="LN112" s="310"/>
      <c r="LO112" s="310"/>
      <c r="LP112" s="310"/>
      <c r="LQ112" s="310"/>
      <c r="LR112" s="310"/>
      <c r="LS112" s="310"/>
      <c r="LT112" s="310"/>
      <c r="LU112" s="310"/>
      <c r="LV112" s="310"/>
      <c r="LW112" s="310"/>
      <c r="LX112" s="310"/>
      <c r="LY112" s="310"/>
      <c r="LZ112" s="310"/>
      <c r="MA112" s="310"/>
      <c r="MB112" s="310"/>
      <c r="MC112" s="310"/>
      <c r="MD112" s="310"/>
      <c r="ME112" s="310"/>
      <c r="MF112" s="310"/>
      <c r="MG112" s="310"/>
      <c r="MH112" s="310"/>
      <c r="MI112" s="310"/>
      <c r="MJ112" s="310"/>
      <c r="MK112" s="310"/>
      <c r="ML112" s="310"/>
      <c r="MM112" s="310"/>
      <c r="MN112" s="310"/>
      <c r="MO112" s="310"/>
      <c r="MP112" s="310"/>
      <c r="MQ112" s="310"/>
      <c r="MR112" s="310"/>
      <c r="MS112" s="310"/>
      <c r="MT112" s="310"/>
      <c r="MU112" s="310"/>
      <c r="MV112" s="310"/>
      <c r="MW112" s="310"/>
      <c r="MX112" s="310"/>
      <c r="MY112" s="310"/>
      <c r="MZ112" s="310"/>
      <c r="NA112" s="310"/>
      <c r="NB112" s="310"/>
      <c r="NC112" s="310"/>
      <c r="ND112" s="310"/>
      <c r="NE112" s="310"/>
      <c r="NF112" s="310"/>
      <c r="NG112" s="310"/>
      <c r="NH112" s="310"/>
      <c r="NI112" s="310"/>
      <c r="NJ112" s="310"/>
      <c r="NK112" s="310"/>
      <c r="NL112" s="310"/>
      <c r="NM112" s="310"/>
      <c r="NN112" s="310"/>
      <c r="NO112" s="310"/>
      <c r="NP112" s="310"/>
      <c r="NQ112" s="310"/>
      <c r="NR112" s="310"/>
      <c r="NS112" s="310"/>
      <c r="NT112" s="310"/>
      <c r="NU112" s="310"/>
      <c r="NV112" s="310"/>
      <c r="NW112" s="310"/>
      <c r="NX112" s="310"/>
      <c r="NY112" s="310"/>
      <c r="NZ112" s="310"/>
      <c r="OA112" s="310"/>
      <c r="OB112" s="310"/>
      <c r="OC112" s="310"/>
      <c r="OD112" s="310"/>
      <c r="OE112" s="310"/>
      <c r="OF112" s="310"/>
      <c r="OG112" s="310"/>
      <c r="OH112" s="310"/>
      <c r="OI112" s="310"/>
      <c r="OJ112" s="310"/>
      <c r="OK112" s="310"/>
      <c r="OL112" s="310"/>
      <c r="OM112" s="310"/>
      <c r="ON112" s="310"/>
      <c r="OO112" s="310"/>
      <c r="OP112" s="310"/>
      <c r="OQ112" s="310"/>
      <c r="OR112" s="310"/>
      <c r="OS112" s="310"/>
      <c r="OT112" s="310"/>
      <c r="OU112" s="310"/>
      <c r="OV112" s="310"/>
      <c r="OW112" s="310"/>
      <c r="OX112" s="310"/>
      <c r="OY112" s="310"/>
      <c r="OZ112" s="310"/>
      <c r="PA112" s="310"/>
      <c r="PB112" s="310"/>
      <c r="PC112" s="310"/>
      <c r="PD112" s="310"/>
      <c r="PE112" s="310"/>
      <c r="PF112" s="310"/>
      <c r="PG112" s="310"/>
      <c r="PH112" s="310"/>
      <c r="PI112" s="310"/>
      <c r="PJ112" s="310"/>
      <c r="PK112" s="310"/>
      <c r="PL112" s="310"/>
      <c r="PM112" s="310"/>
      <c r="PN112" s="310"/>
      <c r="PO112" s="310"/>
      <c r="PP112" s="310"/>
      <c r="PQ112" s="310"/>
      <c r="PR112" s="310"/>
      <c r="PS112" s="342">
        <v>98</v>
      </c>
      <c r="PT112" s="261" t="e">
        <f t="shared" si="163"/>
        <v>#N/A</v>
      </c>
      <c r="PU112" s="261" t="e">
        <f t="shared" si="164"/>
        <v>#N/A</v>
      </c>
      <c r="PV112" s="310"/>
      <c r="PW112" s="310"/>
      <c r="PX112" s="310"/>
      <c r="PY112" s="310"/>
      <c r="PZ112" s="310"/>
      <c r="QA112" s="310"/>
      <c r="QB112" s="310"/>
      <c r="QC112" s="310"/>
      <c r="QD112" s="310"/>
      <c r="QE112" s="310"/>
      <c r="QF112" s="310"/>
      <c r="QG112" s="310"/>
      <c r="QH112" s="310"/>
      <c r="QI112" s="310"/>
      <c r="QJ112" s="310"/>
      <c r="QK112" s="310"/>
      <c r="QL112" s="310"/>
      <c r="QM112" s="310"/>
      <c r="QN112" s="310"/>
      <c r="QO112" s="310"/>
      <c r="QP112" s="310"/>
      <c r="QQ112" s="310"/>
      <c r="QR112" s="310"/>
      <c r="QS112" s="310"/>
      <c r="QT112" s="310"/>
      <c r="QU112" s="310"/>
      <c r="QV112" s="310"/>
      <c r="QW112" s="310"/>
      <c r="QX112" s="310"/>
      <c r="QY112" s="310"/>
      <c r="QZ112" s="310"/>
      <c r="RA112" s="310"/>
      <c r="RB112" s="310"/>
      <c r="RC112" s="310"/>
      <c r="RD112" s="310"/>
      <c r="RE112" s="310"/>
      <c r="RF112" s="310"/>
      <c r="RG112" s="310"/>
      <c r="RH112" s="310"/>
      <c r="RI112" s="310"/>
      <c r="RJ112" s="310"/>
      <c r="RK112" s="310"/>
      <c r="RL112" s="310"/>
      <c r="RM112" s="310"/>
      <c r="RN112" s="310"/>
      <c r="RO112" s="310"/>
      <c r="RP112" s="310"/>
      <c r="RQ112" s="310"/>
      <c r="RR112" s="310"/>
      <c r="RS112" s="310"/>
      <c r="RT112" s="310"/>
      <c r="RU112" s="310"/>
      <c r="RV112" s="310"/>
      <c r="RW112" s="310"/>
      <c r="RX112" s="310"/>
      <c r="RY112" s="310"/>
      <c r="RZ112" s="310"/>
      <c r="SA112" s="310"/>
      <c r="SB112" s="310"/>
      <c r="SC112" s="310"/>
      <c r="SD112" s="310"/>
      <c r="SE112" s="310"/>
      <c r="SF112" s="310"/>
      <c r="SG112" s="310"/>
      <c r="SH112" s="310"/>
      <c r="SI112" s="310"/>
      <c r="SJ112" s="310"/>
      <c r="SK112" s="310"/>
      <c r="SL112" s="310"/>
      <c r="SM112" s="310"/>
      <c r="SN112" s="310"/>
      <c r="SO112" s="220"/>
      <c r="SP112" s="220"/>
      <c r="SQ112" s="220"/>
      <c r="SR112" s="220"/>
      <c r="SS112" s="220"/>
      <c r="ST112" s="220"/>
      <c r="SU112" s="220"/>
      <c r="SV112" s="220"/>
      <c r="SW112" s="220"/>
      <c r="SX112" s="220"/>
      <c r="SY112" s="220"/>
      <c r="SZ112" s="220"/>
      <c r="TA112" s="220"/>
      <c r="TB112" s="220"/>
      <c r="TC112" s="220"/>
      <c r="TD112" s="220"/>
      <c r="TE112" s="220"/>
      <c r="TF112" s="220"/>
      <c r="TG112" s="220"/>
      <c r="TH112" s="220"/>
      <c r="TI112" s="220"/>
      <c r="TJ112" s="220"/>
      <c r="TK112" s="220"/>
      <c r="TL112" s="220"/>
      <c r="TM112" s="220"/>
      <c r="TN112" s="220"/>
      <c r="TO112" s="220"/>
      <c r="TP112" s="220"/>
      <c r="TQ112" s="220"/>
      <c r="TR112" s="220"/>
      <c r="TS112" s="220"/>
      <c r="TT112" s="220"/>
      <c r="TU112" s="220"/>
      <c r="TV112" s="220"/>
      <c r="TW112" s="220"/>
      <c r="TX112" s="220"/>
      <c r="TY112" s="220"/>
      <c r="TZ112" s="220"/>
      <c r="UA112" s="220"/>
      <c r="UB112" s="220"/>
      <c r="UC112" s="220"/>
      <c r="UD112" s="220"/>
      <c r="UE112" s="220"/>
      <c r="UF112" s="220"/>
      <c r="UG112" s="220"/>
      <c r="UH112" s="220"/>
      <c r="UI112" s="220"/>
      <c r="UJ112" s="220"/>
      <c r="UK112" s="216"/>
      <c r="UL112" s="216"/>
      <c r="UM112" s="216"/>
      <c r="UN112" s="216"/>
      <c r="UO112" s="216"/>
      <c r="UP112" s="216"/>
      <c r="UQ112" s="216"/>
      <c r="UR112" s="216"/>
      <c r="US112" s="216"/>
      <c r="UT112" s="216"/>
      <c r="UU112" s="216"/>
      <c r="UV112" s="216"/>
      <c r="UW112" s="216"/>
      <c r="UX112" s="216"/>
      <c r="UY112" s="216"/>
      <c r="UZ112" s="216"/>
      <c r="VA112" s="216"/>
    </row>
    <row r="113" spans="1:573" s="4" customFormat="1" x14ac:dyDescent="0.4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5"/>
      <c r="AM113" s="45"/>
      <c r="AN113" s="45"/>
      <c r="AO113" s="45"/>
      <c r="AP113" s="310"/>
      <c r="AQ113" s="310"/>
      <c r="AR113" s="310"/>
      <c r="AS113" s="310"/>
      <c r="AT113" s="310"/>
      <c r="AU113" s="310"/>
      <c r="AV113" s="310"/>
      <c r="AW113" s="310"/>
      <c r="AX113" s="310"/>
      <c r="AY113" s="310"/>
      <c r="AZ113" s="310"/>
      <c r="BA113" s="310"/>
      <c r="BB113" s="310"/>
      <c r="BC113" s="310"/>
      <c r="BD113" s="310"/>
      <c r="BE113" s="310"/>
      <c r="BF113" s="310"/>
      <c r="BG113" s="310"/>
      <c r="BH113" s="310"/>
      <c r="BI113" s="310"/>
      <c r="BJ113" s="310"/>
      <c r="BK113" s="310"/>
      <c r="BL113" s="310"/>
      <c r="BM113" s="310"/>
      <c r="BN113" s="310"/>
      <c r="BO113" s="310"/>
      <c r="BP113" s="310"/>
      <c r="BQ113" s="310"/>
      <c r="BR113" s="310"/>
      <c r="BS113" s="310"/>
      <c r="BT113" s="310"/>
      <c r="BU113" s="310"/>
      <c r="BV113" s="310"/>
      <c r="BW113" s="310"/>
      <c r="BX113" s="310"/>
      <c r="BY113" s="310"/>
      <c r="BZ113" s="310"/>
      <c r="CA113" s="310"/>
      <c r="CB113" s="310"/>
      <c r="CC113" s="310"/>
      <c r="CD113" s="310"/>
      <c r="CE113" s="310"/>
      <c r="CF113" s="310"/>
      <c r="CG113" s="310"/>
      <c r="CH113" s="310"/>
      <c r="CI113" s="310"/>
      <c r="CJ113" s="310"/>
      <c r="CK113" s="310"/>
      <c r="CL113" s="310"/>
      <c r="CM113" s="310"/>
      <c r="CN113" s="310"/>
      <c r="CO113" s="310"/>
      <c r="CP113" s="310"/>
      <c r="CQ113" s="310"/>
      <c r="CR113" s="310"/>
      <c r="CS113" s="310"/>
      <c r="CT113" s="310"/>
      <c r="CU113" s="310"/>
      <c r="CV113" s="310"/>
      <c r="CW113" s="310"/>
      <c r="CX113" s="310"/>
      <c r="CY113" s="310"/>
      <c r="CZ113" s="310"/>
      <c r="DA113" s="310"/>
      <c r="DB113" s="310"/>
      <c r="DC113" s="310"/>
      <c r="DD113" s="310"/>
      <c r="DE113" s="310"/>
      <c r="DF113" s="310"/>
      <c r="DG113" s="310"/>
      <c r="DH113" s="310"/>
      <c r="DI113" s="310"/>
      <c r="DJ113" s="310"/>
      <c r="DK113" s="310"/>
      <c r="DL113" s="310"/>
      <c r="DM113" s="310"/>
      <c r="DN113" s="310"/>
      <c r="DO113" s="310"/>
      <c r="DP113" s="310"/>
      <c r="DQ113" s="310"/>
      <c r="DR113" s="310"/>
      <c r="DS113" s="310"/>
      <c r="DT113" s="310"/>
      <c r="DU113" s="230" t="e">
        <v>#N/A</v>
      </c>
      <c r="DV113" s="230" t="e">
        <v>#N/A</v>
      </c>
      <c r="DW113" s="310"/>
      <c r="DX113" s="310"/>
      <c r="DY113" s="310"/>
      <c r="DZ113" s="310"/>
      <c r="EA113" s="310"/>
      <c r="EB113" s="310"/>
      <c r="EC113" s="310"/>
      <c r="ED113" s="310"/>
      <c r="EE113" s="310"/>
      <c r="EF113" s="310"/>
      <c r="EG113" s="310"/>
      <c r="EH113" s="310"/>
      <c r="EI113" s="338">
        <v>42</v>
      </c>
      <c r="EJ113" s="338" t="b">
        <f t="shared" si="127"/>
        <v>0</v>
      </c>
      <c r="EK113" s="281" t="e">
        <f t="shared" si="128"/>
        <v>#N/A</v>
      </c>
      <c r="EL113" s="281" t="e">
        <f t="shared" si="129"/>
        <v>#N/A</v>
      </c>
      <c r="EM113" s="310"/>
      <c r="EN113" s="310" t="s">
        <v>48</v>
      </c>
      <c r="EO113" s="310" t="s">
        <v>49</v>
      </c>
      <c r="EP113" s="310"/>
      <c r="EQ113" s="310"/>
      <c r="ER113" s="310"/>
      <c r="ES113" s="310"/>
      <c r="ET113" s="310"/>
      <c r="EU113" s="310"/>
      <c r="EV113" s="310"/>
      <c r="EW113" s="310"/>
      <c r="EX113" s="310"/>
      <c r="EY113" s="310"/>
      <c r="EZ113" s="310"/>
      <c r="FA113" s="310"/>
      <c r="FB113" s="310"/>
      <c r="FC113" s="310"/>
      <c r="FD113" s="310"/>
      <c r="FE113" s="310"/>
      <c r="FF113" s="310"/>
      <c r="FG113" s="310"/>
      <c r="FH113" s="310"/>
      <c r="FI113" s="310"/>
      <c r="FJ113" s="310"/>
      <c r="FK113" s="310"/>
      <c r="FL113" s="310"/>
      <c r="FM113" s="310"/>
      <c r="FN113" s="310"/>
      <c r="FO113" s="310"/>
      <c r="FP113" s="310"/>
      <c r="FQ113" s="310"/>
      <c r="FR113" s="310"/>
      <c r="FS113" s="310"/>
      <c r="FT113" s="310"/>
      <c r="FU113" s="310"/>
      <c r="FV113" s="310"/>
      <c r="FW113" s="310"/>
      <c r="FX113" s="310"/>
      <c r="FY113" s="310"/>
      <c r="FZ113" s="310"/>
      <c r="GA113" s="310"/>
      <c r="GB113" s="310"/>
      <c r="GC113" s="310"/>
      <c r="GD113" s="310"/>
      <c r="GE113" s="310"/>
      <c r="GF113" s="310"/>
      <c r="GG113" s="310"/>
      <c r="GH113" s="310"/>
      <c r="GI113" s="310"/>
      <c r="GJ113" s="310"/>
      <c r="GK113" s="310"/>
      <c r="GL113" s="310"/>
      <c r="GM113" s="310"/>
      <c r="GN113" s="310"/>
      <c r="GO113" s="310"/>
      <c r="GP113" s="310"/>
      <c r="GQ113" s="310"/>
      <c r="GR113" s="310"/>
      <c r="GS113" s="310"/>
      <c r="GT113" s="310"/>
      <c r="GU113" s="310"/>
      <c r="GV113" s="310"/>
      <c r="GW113" s="310"/>
      <c r="GX113" s="310"/>
      <c r="GY113" s="310"/>
      <c r="GZ113" s="310"/>
      <c r="HA113" s="310"/>
      <c r="HB113" s="310"/>
      <c r="HC113" s="310"/>
      <c r="HD113" s="310"/>
      <c r="HE113" s="310"/>
      <c r="HF113" s="310"/>
      <c r="HG113" s="310"/>
      <c r="HH113" s="310"/>
      <c r="HI113" s="310"/>
      <c r="HJ113" s="310"/>
      <c r="HK113" s="342">
        <v>99</v>
      </c>
      <c r="HL113" s="235" t="e">
        <f t="shared" si="139"/>
        <v>#N/A</v>
      </c>
      <c r="HM113" s="235" t="e">
        <f t="shared" si="140"/>
        <v>#N/A</v>
      </c>
      <c r="HN113" s="310"/>
      <c r="HO113" s="310"/>
      <c r="HP113" s="235" t="e">
        <f t="shared" si="141"/>
        <v>#N/A</v>
      </c>
      <c r="HQ113" s="235" t="e">
        <f t="shared" si="142"/>
        <v>#N/A</v>
      </c>
      <c r="HR113" s="310"/>
      <c r="HS113" s="310"/>
      <c r="HT113" s="235" t="e">
        <f t="shared" si="143"/>
        <v>#N/A</v>
      </c>
      <c r="HU113" s="235" t="e">
        <f t="shared" si="144"/>
        <v>#N/A</v>
      </c>
      <c r="HV113" s="310"/>
      <c r="HW113" s="310"/>
      <c r="HX113" s="235" t="e">
        <f t="shared" si="145"/>
        <v>#N/A</v>
      </c>
      <c r="HY113" s="235" t="e">
        <f t="shared" si="146"/>
        <v>#N/A</v>
      </c>
      <c r="HZ113" s="310"/>
      <c r="IA113" s="310"/>
      <c r="IB113" s="235" t="e">
        <f t="shared" si="147"/>
        <v>#N/A</v>
      </c>
      <c r="IC113" s="235" t="e">
        <f t="shared" si="148"/>
        <v>#N/A</v>
      </c>
      <c r="ID113" s="310"/>
      <c r="IE113" s="342">
        <v>99</v>
      </c>
      <c r="IF113" s="262" t="e">
        <f t="shared" si="149"/>
        <v>#N/A</v>
      </c>
      <c r="IG113" s="262" t="e">
        <f t="shared" si="150"/>
        <v>#N/A</v>
      </c>
      <c r="IH113" s="390"/>
      <c r="II113" s="390"/>
      <c r="IJ113" s="262" t="e">
        <f t="shared" si="151"/>
        <v>#N/A</v>
      </c>
      <c r="IK113" s="262" t="e">
        <f t="shared" si="152"/>
        <v>#N/A</v>
      </c>
      <c r="IL113" s="390"/>
      <c r="IM113" s="390"/>
      <c r="IN113" s="262" t="e">
        <f t="shared" si="153"/>
        <v>#N/A</v>
      </c>
      <c r="IO113" s="262" t="e">
        <f t="shared" si="154"/>
        <v>#N/A</v>
      </c>
      <c r="IP113" s="390"/>
      <c r="IQ113" s="390"/>
      <c r="IR113" s="262" t="e">
        <f t="shared" si="155"/>
        <v>#N/A</v>
      </c>
      <c r="IS113" s="262" t="e">
        <f t="shared" si="156"/>
        <v>#N/A</v>
      </c>
      <c r="IT113" s="390"/>
      <c r="IU113" s="390"/>
      <c r="IV113" s="262" t="e">
        <f t="shared" si="157"/>
        <v>#N/A</v>
      </c>
      <c r="IW113" s="262" t="e">
        <f t="shared" si="158"/>
        <v>#N/A</v>
      </c>
      <c r="IX113" s="310"/>
      <c r="IY113" s="316" t="s">
        <v>391</v>
      </c>
      <c r="IZ113" s="491" cm="1">
        <f t="array" ref="IZ113">INDEX($HE$7:$HE$28,$GY$6)/1000</f>
        <v>0.1</v>
      </c>
      <c r="JA113" s="310"/>
      <c r="JB113" s="313" t="s">
        <v>393</v>
      </c>
      <c r="JC113" s="228">
        <f>JC104</f>
        <v>-0.78500000000000003</v>
      </c>
      <c r="JD113" s="228">
        <f>JD112</f>
        <v>-0.8</v>
      </c>
      <c r="JE113" s="310"/>
      <c r="JF113" s="316" t="s">
        <v>391</v>
      </c>
      <c r="JG113" s="491" cm="1">
        <f t="array" ref="JG113">INDEX($HE$7:$HE$28,$GY$6)/1000</f>
        <v>0.1</v>
      </c>
      <c r="JH113" s="310"/>
      <c r="JI113" s="313" t="s">
        <v>393</v>
      </c>
      <c r="JJ113" s="242">
        <f>JJ104</f>
        <v>-0.78500000000000003</v>
      </c>
      <c r="JK113" s="242">
        <f>JK112</f>
        <v>-0.8</v>
      </c>
      <c r="JL113" s="310"/>
      <c r="JM113" s="310"/>
      <c r="JN113" s="261" t="e">
        <f t="shared" si="159"/>
        <v>#N/A</v>
      </c>
      <c r="JO113" s="261" t="e">
        <f t="shared" si="160"/>
        <v>#N/A</v>
      </c>
      <c r="JP113" s="310"/>
      <c r="JQ113" s="310"/>
      <c r="JR113" s="261" t="e">
        <f t="shared" si="165"/>
        <v>#N/A</v>
      </c>
      <c r="JS113" s="261" t="e">
        <f t="shared" si="166"/>
        <v>#N/A</v>
      </c>
      <c r="JT113" s="310"/>
      <c r="JU113" s="310"/>
      <c r="JV113" s="261" t="e">
        <f t="shared" si="161"/>
        <v>#N/A</v>
      </c>
      <c r="JW113" s="261" t="e">
        <f t="shared" si="162"/>
        <v>#N/A</v>
      </c>
      <c r="JX113" s="310"/>
      <c r="JY113" s="311"/>
      <c r="JZ113" s="311"/>
      <c r="KA113" s="311"/>
      <c r="KB113" s="313" t="s">
        <v>398</v>
      </c>
      <c r="KC113" s="242" t="e">
        <f>JZ101-$IZ$108/2</f>
        <v>#N/A</v>
      </c>
      <c r="KD113" s="266" t="e">
        <f>KD102</f>
        <v>#N/A</v>
      </c>
      <c r="KE113" s="310"/>
      <c r="KF113" s="310"/>
      <c r="KG113" s="310"/>
      <c r="KH113" s="310"/>
      <c r="KI113" s="310"/>
      <c r="KJ113" s="310"/>
      <c r="KK113" s="310"/>
      <c r="KL113" s="310"/>
      <c r="KM113" s="310"/>
      <c r="KN113" s="310"/>
      <c r="KO113" s="310"/>
      <c r="KP113" s="310"/>
      <c r="KQ113" s="310"/>
      <c r="KR113" s="310"/>
      <c r="KS113" s="310"/>
      <c r="KT113" s="310"/>
      <c r="KU113" s="310"/>
      <c r="KV113" s="310"/>
      <c r="KW113" s="310"/>
      <c r="KX113" s="310"/>
      <c r="KY113" s="310"/>
      <c r="KZ113" s="310"/>
      <c r="LA113" s="310"/>
      <c r="LB113" s="310"/>
      <c r="LC113" s="310"/>
      <c r="LD113" s="310"/>
      <c r="LE113" s="310"/>
      <c r="LF113" s="310"/>
      <c r="LG113" s="310"/>
      <c r="LH113" s="310"/>
      <c r="LI113" s="310"/>
      <c r="LJ113" s="310"/>
      <c r="LK113" s="310"/>
      <c r="LL113" s="310"/>
      <c r="LM113" s="310"/>
      <c r="LN113" s="310"/>
      <c r="LO113" s="310"/>
      <c r="LP113" s="310"/>
      <c r="LQ113" s="310"/>
      <c r="LR113" s="310"/>
      <c r="LS113" s="310"/>
      <c r="LT113" s="310"/>
      <c r="LU113" s="310"/>
      <c r="LV113" s="310"/>
      <c r="LW113" s="310"/>
      <c r="LX113" s="310"/>
      <c r="LY113" s="310"/>
      <c r="LZ113" s="310"/>
      <c r="MA113" s="310"/>
      <c r="MB113" s="310"/>
      <c r="MC113" s="310"/>
      <c r="MD113" s="310"/>
      <c r="ME113" s="310"/>
      <c r="MF113" s="310"/>
      <c r="MG113" s="310"/>
      <c r="MH113" s="310"/>
      <c r="MI113" s="310"/>
      <c r="MJ113" s="310"/>
      <c r="MK113" s="310"/>
      <c r="ML113" s="310"/>
      <c r="MM113" s="310"/>
      <c r="MN113" s="310"/>
      <c r="MO113" s="310"/>
      <c r="MP113" s="310"/>
      <c r="MQ113" s="310"/>
      <c r="MR113" s="310"/>
      <c r="MS113" s="310"/>
      <c r="MT113" s="310"/>
      <c r="MU113" s="310"/>
      <c r="MV113" s="310"/>
      <c r="MW113" s="310"/>
      <c r="MX113" s="310"/>
      <c r="MY113" s="310"/>
      <c r="MZ113" s="310"/>
      <c r="NA113" s="310"/>
      <c r="NB113" s="310"/>
      <c r="NC113" s="310"/>
      <c r="ND113" s="310"/>
      <c r="NE113" s="310"/>
      <c r="NF113" s="310"/>
      <c r="NG113" s="310"/>
      <c r="NH113" s="310"/>
      <c r="NI113" s="310"/>
      <c r="NJ113" s="310"/>
      <c r="NK113" s="310"/>
      <c r="NL113" s="310"/>
      <c r="NM113" s="310"/>
      <c r="NN113" s="310"/>
      <c r="NO113" s="310"/>
      <c r="NP113" s="310"/>
      <c r="NQ113" s="310"/>
      <c r="NR113" s="310"/>
      <c r="NS113" s="310"/>
      <c r="NT113" s="310"/>
      <c r="NU113" s="310"/>
      <c r="NV113" s="310"/>
      <c r="NW113" s="310"/>
      <c r="NX113" s="310"/>
      <c r="NY113" s="310"/>
      <c r="NZ113" s="310"/>
      <c r="OA113" s="310"/>
      <c r="OB113" s="310"/>
      <c r="OC113" s="310"/>
      <c r="OD113" s="310"/>
      <c r="OE113" s="310"/>
      <c r="OF113" s="310"/>
      <c r="OG113" s="310"/>
      <c r="OH113" s="310"/>
      <c r="OI113" s="310"/>
      <c r="OJ113" s="310"/>
      <c r="OK113" s="310"/>
      <c r="OL113" s="310"/>
      <c r="OM113" s="310"/>
      <c r="ON113" s="310"/>
      <c r="OO113" s="310"/>
      <c r="OP113" s="310"/>
      <c r="OQ113" s="310"/>
      <c r="OR113" s="310"/>
      <c r="OS113" s="310"/>
      <c r="OT113" s="310"/>
      <c r="OU113" s="310"/>
      <c r="OV113" s="310"/>
      <c r="OW113" s="310"/>
      <c r="OX113" s="310"/>
      <c r="OY113" s="310"/>
      <c r="OZ113" s="310"/>
      <c r="PA113" s="310"/>
      <c r="PB113" s="310"/>
      <c r="PC113" s="310"/>
      <c r="PD113" s="310"/>
      <c r="PE113" s="310"/>
      <c r="PF113" s="310"/>
      <c r="PG113" s="310"/>
      <c r="PH113" s="310"/>
      <c r="PI113" s="310"/>
      <c r="PJ113" s="310"/>
      <c r="PK113" s="310"/>
      <c r="PL113" s="310"/>
      <c r="PM113" s="310"/>
      <c r="PN113" s="310"/>
      <c r="PO113" s="310"/>
      <c r="PP113" s="310"/>
      <c r="PQ113" s="310"/>
      <c r="PR113" s="310"/>
      <c r="PS113" s="342">
        <v>99</v>
      </c>
      <c r="PT113" s="261" t="e">
        <f t="shared" si="163"/>
        <v>#N/A</v>
      </c>
      <c r="PU113" s="261" t="e">
        <f t="shared" si="164"/>
        <v>#N/A</v>
      </c>
      <c r="PV113" s="310"/>
      <c r="PW113" s="310"/>
      <c r="PX113" s="310"/>
      <c r="PY113" s="310"/>
      <c r="PZ113" s="310"/>
      <c r="QA113" s="310"/>
      <c r="QB113" s="310"/>
      <c r="QC113" s="310"/>
      <c r="QD113" s="310"/>
      <c r="QE113" s="310"/>
      <c r="QF113" s="310"/>
      <c r="QG113" s="310"/>
      <c r="QH113" s="310"/>
      <c r="QI113" s="310"/>
      <c r="QJ113" s="310"/>
      <c r="QK113" s="310"/>
      <c r="QL113" s="310"/>
      <c r="QM113" s="310"/>
      <c r="QN113" s="310"/>
      <c r="QO113" s="310"/>
      <c r="QP113" s="310"/>
      <c r="QQ113" s="310"/>
      <c r="QR113" s="310"/>
      <c r="QS113" s="310"/>
      <c r="QT113" s="310"/>
      <c r="QU113" s="310"/>
      <c r="QV113" s="310"/>
      <c r="QW113" s="310"/>
      <c r="QX113" s="310"/>
      <c r="QY113" s="310"/>
      <c r="QZ113" s="310"/>
      <c r="RA113" s="310"/>
      <c r="RB113" s="310"/>
      <c r="RC113" s="310"/>
      <c r="RD113" s="310"/>
      <c r="RE113" s="310"/>
      <c r="RF113" s="310"/>
      <c r="RG113" s="310"/>
      <c r="RH113" s="310"/>
      <c r="RI113" s="310"/>
      <c r="RJ113" s="310"/>
      <c r="RK113" s="310"/>
      <c r="RL113" s="310"/>
      <c r="RM113" s="310"/>
      <c r="RN113" s="310"/>
      <c r="RO113" s="310"/>
      <c r="RP113" s="310"/>
      <c r="RQ113" s="310"/>
      <c r="RR113" s="310"/>
      <c r="RS113" s="310"/>
      <c r="RT113" s="310"/>
      <c r="RU113" s="310"/>
      <c r="RV113" s="310"/>
      <c r="RW113" s="310"/>
      <c r="RX113" s="310"/>
      <c r="RY113" s="310"/>
      <c r="RZ113" s="310"/>
      <c r="SA113" s="310"/>
      <c r="SB113" s="310"/>
      <c r="SC113" s="310"/>
      <c r="SD113" s="310"/>
      <c r="SE113" s="310"/>
      <c r="SF113" s="310"/>
      <c r="SG113" s="310"/>
      <c r="SH113" s="310"/>
      <c r="SI113" s="310"/>
      <c r="SJ113" s="310"/>
      <c r="SK113" s="310"/>
      <c r="SL113" s="310"/>
      <c r="SM113" s="310"/>
      <c r="SN113" s="310"/>
      <c r="SO113" s="220"/>
      <c r="SP113" s="220"/>
      <c r="SQ113" s="220"/>
      <c r="SR113" s="220"/>
      <c r="SS113" s="220"/>
      <c r="ST113" s="220"/>
      <c r="SU113" s="220"/>
      <c r="SV113" s="220"/>
      <c r="SW113" s="220"/>
      <c r="SX113" s="220"/>
      <c r="SY113" s="220"/>
      <c r="SZ113" s="220"/>
      <c r="TA113" s="220"/>
      <c r="TB113" s="220"/>
      <c r="TC113" s="220"/>
      <c r="TD113" s="220"/>
      <c r="TE113" s="220"/>
      <c r="TF113" s="220"/>
      <c r="TG113" s="220"/>
      <c r="TH113" s="220"/>
      <c r="TI113" s="220"/>
      <c r="TJ113" s="220"/>
      <c r="TK113" s="220"/>
      <c r="TL113" s="220"/>
      <c r="TM113" s="220"/>
      <c r="TN113" s="220"/>
      <c r="TO113" s="220"/>
      <c r="TP113" s="220"/>
      <c r="TQ113" s="220"/>
      <c r="TR113" s="220"/>
      <c r="TS113" s="220"/>
      <c r="TT113" s="220"/>
      <c r="TU113" s="220"/>
      <c r="TV113" s="220"/>
      <c r="TW113" s="220"/>
      <c r="TX113" s="220"/>
      <c r="TY113" s="220"/>
      <c r="TZ113" s="220"/>
      <c r="UA113" s="220"/>
      <c r="UB113" s="220"/>
      <c r="UC113" s="220"/>
      <c r="UD113" s="220"/>
      <c r="UE113" s="220"/>
      <c r="UF113" s="220"/>
      <c r="UG113" s="220"/>
      <c r="UH113" s="220"/>
      <c r="UI113" s="220"/>
      <c r="UJ113" s="220"/>
      <c r="UK113" s="216"/>
      <c r="UL113" s="216"/>
      <c r="UM113" s="216"/>
      <c r="UN113" s="216"/>
      <c r="UO113" s="216"/>
      <c r="UP113" s="216"/>
      <c r="UQ113" s="216"/>
      <c r="UR113" s="216"/>
      <c r="US113" s="216"/>
      <c r="UT113" s="216"/>
      <c r="UU113" s="216"/>
      <c r="UV113" s="216"/>
      <c r="UW113" s="216"/>
      <c r="UX113" s="216"/>
      <c r="UY113" s="216"/>
      <c r="UZ113" s="216"/>
      <c r="VA113" s="216"/>
    </row>
    <row r="114" spans="1:573" s="4" customFormat="1" x14ac:dyDescent="0.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AL114" s="45"/>
      <c r="AM114" s="45"/>
      <c r="AN114" s="45"/>
      <c r="AO114" s="45"/>
      <c r="AP114" s="310"/>
      <c r="AQ114" s="310"/>
      <c r="AR114" s="310"/>
      <c r="AS114" s="310"/>
      <c r="AT114" s="310"/>
      <c r="AU114" s="310"/>
      <c r="AV114" s="310"/>
      <c r="AW114" s="310"/>
      <c r="AX114" s="310"/>
      <c r="AY114" s="310"/>
      <c r="AZ114" s="310"/>
      <c r="BA114" s="310"/>
      <c r="BB114" s="310"/>
      <c r="BC114" s="310"/>
      <c r="BD114" s="310"/>
      <c r="BE114" s="310"/>
      <c r="BF114" s="310"/>
      <c r="BG114" s="310"/>
      <c r="BH114" s="310"/>
      <c r="BI114" s="310"/>
      <c r="BJ114" s="310"/>
      <c r="BK114" s="310"/>
      <c r="BL114" s="310"/>
      <c r="BM114" s="310"/>
      <c r="BN114" s="310"/>
      <c r="BO114" s="310"/>
      <c r="BP114" s="310"/>
      <c r="BQ114" s="310"/>
      <c r="BR114" s="310"/>
      <c r="BS114" s="310"/>
      <c r="BT114" s="310"/>
      <c r="BU114" s="310"/>
      <c r="BV114" s="310"/>
      <c r="BW114" s="310"/>
      <c r="BX114" s="310"/>
      <c r="BY114" s="310"/>
      <c r="BZ114" s="310"/>
      <c r="CA114" s="310"/>
      <c r="CB114" s="310"/>
      <c r="CC114" s="310"/>
      <c r="CD114" s="310"/>
      <c r="CE114" s="310"/>
      <c r="CF114" s="310"/>
      <c r="CG114" s="310"/>
      <c r="CH114" s="310"/>
      <c r="CI114" s="310"/>
      <c r="CJ114" s="310"/>
      <c r="CK114" s="310"/>
      <c r="CL114" s="310"/>
      <c r="CM114" s="310"/>
      <c r="CN114" s="310"/>
      <c r="CO114" s="310"/>
      <c r="CP114" s="310"/>
      <c r="CQ114" s="310"/>
      <c r="CR114" s="310"/>
      <c r="CS114" s="310"/>
      <c r="CT114" s="310"/>
      <c r="CU114" s="310"/>
      <c r="CV114" s="310"/>
      <c r="CW114" s="310"/>
      <c r="CX114" s="310"/>
      <c r="CY114" s="310"/>
      <c r="CZ114" s="310"/>
      <c r="DA114" s="310"/>
      <c r="DB114" s="310"/>
      <c r="DC114" s="310"/>
      <c r="DD114" s="310"/>
      <c r="DE114" s="310"/>
      <c r="DF114" s="310"/>
      <c r="DG114" s="310"/>
      <c r="DH114" s="310"/>
      <c r="DI114" s="310"/>
      <c r="DJ114" s="310"/>
      <c r="DK114" s="310"/>
      <c r="DL114" s="310"/>
      <c r="DM114" s="310"/>
      <c r="DN114" s="310"/>
      <c r="DO114" s="310"/>
      <c r="DP114" s="310"/>
      <c r="DQ114" s="310"/>
      <c r="DR114" s="310"/>
      <c r="DS114" s="310"/>
      <c r="DT114" s="310"/>
      <c r="DU114" s="230" t="e">
        <v>#N/A</v>
      </c>
      <c r="DV114" s="230" t="e">
        <v>#N/A</v>
      </c>
      <c r="DW114" s="310"/>
      <c r="DX114" s="310"/>
      <c r="DY114" s="310"/>
      <c r="DZ114" s="310"/>
      <c r="EA114" s="310"/>
      <c r="EB114" s="310"/>
      <c r="EC114" s="310"/>
      <c r="ED114" s="310"/>
      <c r="EE114" s="310"/>
      <c r="EF114" s="310"/>
      <c r="EG114" s="310"/>
      <c r="EH114" s="310"/>
      <c r="EI114" s="338">
        <v>43</v>
      </c>
      <c r="EJ114" s="338" t="b">
        <f t="shared" si="127"/>
        <v>0</v>
      </c>
      <c r="EK114" s="281" t="e">
        <f t="shared" si="128"/>
        <v>#N/A</v>
      </c>
      <c r="EL114" s="281" t="e">
        <f t="shared" si="129"/>
        <v>#N/A</v>
      </c>
      <c r="EM114" s="310"/>
      <c r="EN114" s="280" cm="1">
        <f t="array" ref="EN114">IF(DU20=TRUE,_xlfn.LET(_xlpm.x,_xlfn._xlws.FILTER(EK72:EK121,ISNUMBER(EK72:EK121)),INDEX(_xlpm.x,ROUNDUP(ROWS(_xlpm.x)/2,0))),#N/A)</f>
        <v>-0.12583333333333327</v>
      </c>
      <c r="EO114" s="280">
        <f>EL72</f>
        <v>0.12000000000000001</v>
      </c>
      <c r="EP114" s="310"/>
      <c r="EQ114" s="310"/>
      <c r="ER114" s="310"/>
      <c r="ES114" s="310"/>
      <c r="ET114" s="310"/>
      <c r="EU114" s="310"/>
      <c r="EV114" s="310"/>
      <c r="EW114" s="310"/>
      <c r="EX114" s="310"/>
      <c r="EY114" s="310"/>
      <c r="EZ114" s="310"/>
      <c r="FA114" s="310"/>
      <c r="FB114" s="310"/>
      <c r="FC114" s="310"/>
      <c r="FD114" s="310"/>
      <c r="FE114" s="310"/>
      <c r="FF114" s="310"/>
      <c r="FG114" s="310"/>
      <c r="FH114" s="310"/>
      <c r="FI114" s="310"/>
      <c r="FJ114" s="310"/>
      <c r="FK114" s="310"/>
      <c r="FL114" s="310"/>
      <c r="FM114" s="310"/>
      <c r="FN114" s="310"/>
      <c r="FO114" s="310"/>
      <c r="FP114" s="310"/>
      <c r="FQ114" s="310"/>
      <c r="FR114" s="310"/>
      <c r="FS114" s="310"/>
      <c r="FT114" s="310"/>
      <c r="FU114" s="310"/>
      <c r="FV114" s="310"/>
      <c r="FW114" s="310"/>
      <c r="FX114" s="310"/>
      <c r="FY114" s="310"/>
      <c r="FZ114" s="310"/>
      <c r="GA114" s="310"/>
      <c r="GB114" s="310"/>
      <c r="GC114" s="310"/>
      <c r="GD114" s="310"/>
      <c r="GE114" s="310"/>
      <c r="GF114" s="310"/>
      <c r="GG114" s="310"/>
      <c r="GH114" s="310"/>
      <c r="GI114" s="310"/>
      <c r="GJ114" s="310"/>
      <c r="GK114" s="310"/>
      <c r="GL114" s="310"/>
      <c r="GM114" s="310"/>
      <c r="GN114" s="310"/>
      <c r="GO114" s="310"/>
      <c r="GP114" s="310"/>
      <c r="GQ114" s="310"/>
      <c r="GR114" s="310"/>
      <c r="GS114" s="310"/>
      <c r="GT114" s="310"/>
      <c r="GU114" s="310"/>
      <c r="GV114" s="310"/>
      <c r="GW114" s="310"/>
      <c r="GX114" s="310"/>
      <c r="GY114" s="310"/>
      <c r="GZ114" s="310"/>
      <c r="HA114" s="310"/>
      <c r="HB114" s="310"/>
      <c r="HC114" s="310"/>
      <c r="HD114" s="310"/>
      <c r="HE114" s="310"/>
      <c r="HF114" s="310"/>
      <c r="HG114" s="310"/>
      <c r="HH114" s="310"/>
      <c r="HI114" s="310"/>
      <c r="HJ114" s="310"/>
      <c r="HK114" s="342">
        <v>100</v>
      </c>
      <c r="HL114" s="235" t="e">
        <f t="shared" si="139"/>
        <v>#N/A</v>
      </c>
      <c r="HM114" s="235" t="e">
        <f t="shared" si="140"/>
        <v>#N/A</v>
      </c>
      <c r="HN114" s="310"/>
      <c r="HO114" s="310"/>
      <c r="HP114" s="235" t="e">
        <f t="shared" si="141"/>
        <v>#N/A</v>
      </c>
      <c r="HQ114" s="235" t="e">
        <f t="shared" si="142"/>
        <v>#N/A</v>
      </c>
      <c r="HR114" s="310"/>
      <c r="HS114" s="310"/>
      <c r="HT114" s="235" t="e">
        <f t="shared" si="143"/>
        <v>#N/A</v>
      </c>
      <c r="HU114" s="235" t="e">
        <f t="shared" si="144"/>
        <v>#N/A</v>
      </c>
      <c r="HV114" s="310"/>
      <c r="HW114" s="310"/>
      <c r="HX114" s="235" t="e">
        <f t="shared" si="145"/>
        <v>#N/A</v>
      </c>
      <c r="HY114" s="235" t="e">
        <f t="shared" si="146"/>
        <v>#N/A</v>
      </c>
      <c r="HZ114" s="310"/>
      <c r="IA114" s="310"/>
      <c r="IB114" s="235" t="e">
        <f t="shared" si="147"/>
        <v>#N/A</v>
      </c>
      <c r="IC114" s="235" t="e">
        <f t="shared" si="148"/>
        <v>#N/A</v>
      </c>
      <c r="ID114" s="310"/>
      <c r="IE114" s="342">
        <v>100</v>
      </c>
      <c r="IF114" s="262" t="e">
        <f t="shared" si="149"/>
        <v>#N/A</v>
      </c>
      <c r="IG114" s="262" t="e">
        <f t="shared" si="150"/>
        <v>#N/A</v>
      </c>
      <c r="IH114" s="390"/>
      <c r="II114" s="390"/>
      <c r="IJ114" s="262" t="e">
        <f t="shared" si="151"/>
        <v>#N/A</v>
      </c>
      <c r="IK114" s="262" t="e">
        <f t="shared" si="152"/>
        <v>#N/A</v>
      </c>
      <c r="IL114" s="390"/>
      <c r="IM114" s="390"/>
      <c r="IN114" s="262" t="e">
        <f t="shared" si="153"/>
        <v>#N/A</v>
      </c>
      <c r="IO114" s="262" t="e">
        <f t="shared" si="154"/>
        <v>#N/A</v>
      </c>
      <c r="IP114" s="390"/>
      <c r="IQ114" s="390"/>
      <c r="IR114" s="262" t="e">
        <f t="shared" si="155"/>
        <v>#N/A</v>
      </c>
      <c r="IS114" s="262" t="e">
        <f t="shared" si="156"/>
        <v>#N/A</v>
      </c>
      <c r="IT114" s="390"/>
      <c r="IU114" s="390"/>
      <c r="IV114" s="262" t="e">
        <f t="shared" si="157"/>
        <v>#N/A</v>
      </c>
      <c r="IW114" s="262" t="e">
        <f t="shared" si="158"/>
        <v>#N/A</v>
      </c>
      <c r="IX114" s="310"/>
      <c r="IY114" s="328" t="s">
        <v>392</v>
      </c>
      <c r="IZ114" s="328">
        <v>1.4999999999999999E-2</v>
      </c>
      <c r="JA114" s="310"/>
      <c r="JB114" s="313" t="s">
        <v>394</v>
      </c>
      <c r="JC114" s="228">
        <f>JC113-$IZ$114</f>
        <v>-0.8</v>
      </c>
      <c r="JD114" s="228">
        <f>JD113+$IZ$114</f>
        <v>-0.78500000000000003</v>
      </c>
      <c r="JE114" s="310"/>
      <c r="JF114" s="328" t="s">
        <v>392</v>
      </c>
      <c r="JG114" s="328">
        <v>1.4999999999999999E-2</v>
      </c>
      <c r="JH114" s="310"/>
      <c r="JI114" s="313" t="s">
        <v>394</v>
      </c>
      <c r="JJ114" s="242">
        <f>JJ113-$IZ$114</f>
        <v>-0.8</v>
      </c>
      <c r="JK114" s="242">
        <f>JK113+$IZ$114</f>
        <v>-0.78500000000000003</v>
      </c>
      <c r="JL114" s="310"/>
      <c r="JM114" s="310"/>
      <c r="JN114" s="261" t="e">
        <f t="shared" si="159"/>
        <v>#N/A</v>
      </c>
      <c r="JO114" s="261" t="e">
        <f t="shared" si="160"/>
        <v>#N/A</v>
      </c>
      <c r="JP114" s="310"/>
      <c r="JQ114" s="310"/>
      <c r="JR114" s="261" t="e">
        <f t="shared" si="165"/>
        <v>#N/A</v>
      </c>
      <c r="JS114" s="261" t="e">
        <f t="shared" si="166"/>
        <v>#N/A</v>
      </c>
      <c r="JT114" s="310"/>
      <c r="JU114" s="310"/>
      <c r="JV114" s="261" t="e">
        <f t="shared" si="161"/>
        <v>#N/A</v>
      </c>
      <c r="JW114" s="261" t="e">
        <f t="shared" si="162"/>
        <v>#N/A</v>
      </c>
      <c r="JX114" s="310"/>
      <c r="JY114" s="311"/>
      <c r="JZ114" s="311"/>
      <c r="KA114" s="311"/>
      <c r="KB114" s="313" t="s">
        <v>399</v>
      </c>
      <c r="KC114" s="242" t="e">
        <f>KC113</f>
        <v>#N/A</v>
      </c>
      <c r="KD114" s="242" t="e">
        <f>KD101</f>
        <v>#N/A</v>
      </c>
      <c r="KE114" s="310"/>
      <c r="KF114" s="310"/>
      <c r="KG114" s="310"/>
      <c r="KH114" s="310"/>
      <c r="KI114" s="310"/>
      <c r="KJ114" s="310"/>
      <c r="KK114" s="310"/>
      <c r="KL114" s="310"/>
      <c r="KM114" s="310"/>
      <c r="KN114" s="310"/>
      <c r="KO114" s="310"/>
      <c r="KP114" s="310"/>
      <c r="KQ114" s="310"/>
      <c r="KR114" s="310"/>
      <c r="KS114" s="310"/>
      <c r="KT114" s="310"/>
      <c r="KU114" s="310"/>
      <c r="KV114" s="310"/>
      <c r="KW114" s="310"/>
      <c r="KX114" s="310"/>
      <c r="KY114" s="310"/>
      <c r="KZ114" s="310"/>
      <c r="LA114" s="310"/>
      <c r="LB114" s="310"/>
      <c r="LC114" s="310"/>
      <c r="LD114" s="310"/>
      <c r="LE114" s="310"/>
      <c r="LF114" s="310"/>
      <c r="LG114" s="310"/>
      <c r="LH114" s="310"/>
      <c r="LI114" s="310"/>
      <c r="LJ114" s="310"/>
      <c r="LK114" s="310"/>
      <c r="LL114" s="310"/>
      <c r="LM114" s="310"/>
      <c r="LN114" s="310"/>
      <c r="LO114" s="310"/>
      <c r="LP114" s="310"/>
      <c r="LQ114" s="310"/>
      <c r="LR114" s="310"/>
      <c r="LS114" s="310"/>
      <c r="LT114" s="310"/>
      <c r="LU114" s="310"/>
      <c r="LV114" s="310"/>
      <c r="LW114" s="310"/>
      <c r="LX114" s="310"/>
      <c r="LY114" s="310"/>
      <c r="LZ114" s="310"/>
      <c r="MA114" s="310"/>
      <c r="MB114" s="310"/>
      <c r="MC114" s="310"/>
      <c r="MD114" s="310"/>
      <c r="ME114" s="310"/>
      <c r="MF114" s="310"/>
      <c r="MG114" s="310"/>
      <c r="MH114" s="310"/>
      <c r="MI114" s="310"/>
      <c r="MJ114" s="310"/>
      <c r="MK114" s="310"/>
      <c r="ML114" s="310"/>
      <c r="MM114" s="310"/>
      <c r="MN114" s="310"/>
      <c r="MO114" s="310"/>
      <c r="MP114" s="310"/>
      <c r="MQ114" s="310"/>
      <c r="MR114" s="310"/>
      <c r="MS114" s="310"/>
      <c r="MT114" s="310"/>
      <c r="MU114" s="310"/>
      <c r="MV114" s="310"/>
      <c r="MW114" s="310"/>
      <c r="MX114" s="310"/>
      <c r="MY114" s="310"/>
      <c r="MZ114" s="310"/>
      <c r="NA114" s="310"/>
      <c r="NB114" s="310"/>
      <c r="NC114" s="310"/>
      <c r="ND114" s="310"/>
      <c r="NE114" s="310"/>
      <c r="NF114" s="310"/>
      <c r="NG114" s="310"/>
      <c r="NH114" s="310"/>
      <c r="NI114" s="310"/>
      <c r="NJ114" s="310"/>
      <c r="NK114" s="310"/>
      <c r="NL114" s="310"/>
      <c r="NM114" s="310"/>
      <c r="NN114" s="310"/>
      <c r="NO114" s="310"/>
      <c r="NP114" s="310"/>
      <c r="NQ114" s="310"/>
      <c r="NR114" s="310"/>
      <c r="NS114" s="310"/>
      <c r="NT114" s="310"/>
      <c r="NU114" s="310"/>
      <c r="NV114" s="310"/>
      <c r="NW114" s="310"/>
      <c r="NX114" s="310"/>
      <c r="NY114" s="310"/>
      <c r="NZ114" s="310"/>
      <c r="OA114" s="310"/>
      <c r="OB114" s="310"/>
      <c r="OC114" s="310"/>
      <c r="OD114" s="310"/>
      <c r="OE114" s="310"/>
      <c r="OF114" s="310"/>
      <c r="OG114" s="310"/>
      <c r="OH114" s="310"/>
      <c r="OI114" s="310"/>
      <c r="OJ114" s="310"/>
      <c r="OK114" s="310"/>
      <c r="OL114" s="310"/>
      <c r="OM114" s="310"/>
      <c r="ON114" s="310"/>
      <c r="OO114" s="310"/>
      <c r="OP114" s="310"/>
      <c r="OQ114" s="310"/>
      <c r="OR114" s="310"/>
      <c r="OS114" s="310"/>
      <c r="OT114" s="310"/>
      <c r="OU114" s="310"/>
      <c r="OV114" s="310"/>
      <c r="OW114" s="310"/>
      <c r="OX114" s="310"/>
      <c r="OY114" s="310"/>
      <c r="OZ114" s="310"/>
      <c r="PA114" s="310"/>
      <c r="PB114" s="310"/>
      <c r="PC114" s="310"/>
      <c r="PD114" s="310"/>
      <c r="PE114" s="310"/>
      <c r="PF114" s="310"/>
      <c r="PG114" s="310"/>
      <c r="PH114" s="310"/>
      <c r="PI114" s="310"/>
      <c r="PJ114" s="310"/>
      <c r="PK114" s="310"/>
      <c r="PL114" s="310"/>
      <c r="PM114" s="310"/>
      <c r="PN114" s="310"/>
      <c r="PO114" s="310"/>
      <c r="PP114" s="310"/>
      <c r="PQ114" s="310"/>
      <c r="PR114" s="310"/>
      <c r="PS114" s="342">
        <v>100</v>
      </c>
      <c r="PT114" s="261" t="e">
        <f t="shared" si="163"/>
        <v>#N/A</v>
      </c>
      <c r="PU114" s="261" t="e">
        <f t="shared" si="164"/>
        <v>#N/A</v>
      </c>
      <c r="PV114" s="310"/>
      <c r="PW114" s="310"/>
      <c r="PX114" s="310"/>
      <c r="PY114" s="310"/>
      <c r="PZ114" s="310"/>
      <c r="QA114" s="310"/>
      <c r="QB114" s="310"/>
      <c r="QC114" s="310"/>
      <c r="QD114" s="310"/>
      <c r="QE114" s="310"/>
      <c r="QF114" s="310"/>
      <c r="QG114" s="310"/>
      <c r="QH114" s="310"/>
      <c r="QI114" s="310"/>
      <c r="QJ114" s="310"/>
      <c r="QK114" s="310"/>
      <c r="QL114" s="310"/>
      <c r="QM114" s="310"/>
      <c r="QN114" s="310"/>
      <c r="QO114" s="310"/>
      <c r="QP114" s="310"/>
      <c r="QQ114" s="310"/>
      <c r="QR114" s="310"/>
      <c r="QS114" s="310"/>
      <c r="QT114" s="310"/>
      <c r="QU114" s="310"/>
      <c r="QV114" s="310"/>
      <c r="QW114" s="310"/>
      <c r="QX114" s="310"/>
      <c r="QY114" s="310"/>
      <c r="QZ114" s="310"/>
      <c r="RA114" s="310"/>
      <c r="RB114" s="310"/>
      <c r="RC114" s="310"/>
      <c r="RD114" s="310"/>
      <c r="RE114" s="310"/>
      <c r="RF114" s="310"/>
      <c r="RG114" s="310"/>
      <c r="RH114" s="310"/>
      <c r="RI114" s="310"/>
      <c r="RJ114" s="310"/>
      <c r="RK114" s="310"/>
      <c r="RL114" s="310"/>
      <c r="RM114" s="310"/>
      <c r="RN114" s="310"/>
      <c r="RO114" s="310"/>
      <c r="RP114" s="310"/>
      <c r="RQ114" s="310"/>
      <c r="RR114" s="310"/>
      <c r="RS114" s="310"/>
      <c r="RT114" s="310"/>
      <c r="RU114" s="310"/>
      <c r="RV114" s="310"/>
      <c r="RW114" s="310"/>
      <c r="RX114" s="310"/>
      <c r="RY114" s="310"/>
      <c r="RZ114" s="310"/>
      <c r="SA114" s="310"/>
      <c r="SB114" s="310"/>
      <c r="SC114" s="310"/>
      <c r="SD114" s="310"/>
      <c r="SE114" s="310"/>
      <c r="SF114" s="310"/>
      <c r="SG114" s="310"/>
      <c r="SH114" s="310"/>
      <c r="SI114" s="310"/>
      <c r="SJ114" s="310"/>
      <c r="SK114" s="310"/>
      <c r="SL114" s="310"/>
      <c r="SM114" s="310"/>
      <c r="SN114" s="310"/>
      <c r="SO114" s="220"/>
      <c r="SP114" s="220"/>
      <c r="SQ114" s="220"/>
      <c r="SR114" s="220"/>
      <c r="SS114" s="220"/>
      <c r="ST114" s="220"/>
      <c r="SU114" s="220"/>
      <c r="SV114" s="220"/>
      <c r="SW114" s="220"/>
      <c r="SX114" s="220"/>
      <c r="SY114" s="220"/>
      <c r="SZ114" s="220"/>
      <c r="TA114" s="220"/>
      <c r="TB114" s="220"/>
      <c r="TC114" s="220"/>
      <c r="TD114" s="220"/>
      <c r="TE114" s="220"/>
      <c r="TF114" s="220"/>
      <c r="TG114" s="220"/>
      <c r="TH114" s="220"/>
      <c r="TI114" s="220"/>
      <c r="TJ114" s="220"/>
      <c r="TK114" s="220"/>
      <c r="TL114" s="220"/>
      <c r="TM114" s="220"/>
      <c r="TN114" s="220"/>
      <c r="TO114" s="220"/>
      <c r="TP114" s="220"/>
      <c r="TQ114" s="220"/>
      <c r="TR114" s="220"/>
      <c r="TS114" s="220"/>
      <c r="TT114" s="220"/>
      <c r="TU114" s="220"/>
      <c r="TV114" s="220"/>
      <c r="TW114" s="220"/>
      <c r="TX114" s="220"/>
      <c r="TY114" s="220"/>
      <c r="TZ114" s="220"/>
      <c r="UA114" s="220"/>
      <c r="UB114" s="220"/>
      <c r="UC114" s="220"/>
      <c r="UD114" s="220"/>
      <c r="UE114" s="220"/>
      <c r="UF114" s="220"/>
      <c r="UG114" s="220"/>
      <c r="UH114" s="220"/>
      <c r="UI114" s="220"/>
      <c r="UJ114" s="220"/>
      <c r="UK114" s="216"/>
      <c r="UL114" s="216"/>
      <c r="UM114" s="216"/>
      <c r="UN114" s="216"/>
      <c r="UO114" s="216"/>
      <c r="UP114" s="216"/>
      <c r="UQ114" s="216"/>
      <c r="UR114" s="216"/>
      <c r="US114" s="216"/>
      <c r="UT114" s="216"/>
      <c r="UU114" s="216"/>
      <c r="UV114" s="216"/>
      <c r="UW114" s="216"/>
      <c r="UX114" s="216"/>
      <c r="UY114" s="216"/>
      <c r="UZ114" s="216"/>
      <c r="VA114" s="216"/>
    </row>
    <row r="115" spans="1:573" s="4" customFormat="1" x14ac:dyDescent="0.5">
      <c r="AP115" s="310"/>
      <c r="AQ115" s="310"/>
      <c r="AR115" s="310"/>
      <c r="AS115" s="310"/>
      <c r="AT115" s="310"/>
      <c r="AU115" s="310"/>
      <c r="AV115" s="310"/>
      <c r="AW115" s="310"/>
      <c r="AX115" s="310"/>
      <c r="AY115" s="310"/>
      <c r="AZ115" s="310"/>
      <c r="BA115" s="310"/>
      <c r="BB115" s="310"/>
      <c r="BC115" s="310"/>
      <c r="BD115" s="310"/>
      <c r="BE115" s="310"/>
      <c r="BF115" s="310"/>
      <c r="BG115" s="310"/>
      <c r="BH115" s="310"/>
      <c r="BI115" s="310"/>
      <c r="BJ115" s="310"/>
      <c r="BK115" s="310"/>
      <c r="BL115" s="310"/>
      <c r="BM115" s="310"/>
      <c r="BN115" s="310"/>
      <c r="BO115" s="310"/>
      <c r="BP115" s="310"/>
      <c r="BQ115" s="310"/>
      <c r="BR115" s="310"/>
      <c r="BS115" s="310"/>
      <c r="BT115" s="310"/>
      <c r="BU115" s="310"/>
      <c r="BV115" s="310"/>
      <c r="BW115" s="310"/>
      <c r="BX115" s="310"/>
      <c r="BY115" s="310"/>
      <c r="BZ115" s="310"/>
      <c r="CA115" s="310"/>
      <c r="CB115" s="310"/>
      <c r="CC115" s="310"/>
      <c r="CD115" s="310"/>
      <c r="CE115" s="310"/>
      <c r="CF115" s="310"/>
      <c r="CG115" s="310"/>
      <c r="CH115" s="310"/>
      <c r="CI115" s="310"/>
      <c r="CJ115" s="310"/>
      <c r="CK115" s="310"/>
      <c r="CL115" s="310"/>
      <c r="CM115" s="310"/>
      <c r="CN115" s="310"/>
      <c r="CO115" s="310"/>
      <c r="CP115" s="310"/>
      <c r="CQ115" s="310"/>
      <c r="CR115" s="310"/>
      <c r="CS115" s="310"/>
      <c r="CT115" s="310"/>
      <c r="CU115" s="310"/>
      <c r="CV115" s="310"/>
      <c r="CW115" s="310"/>
      <c r="CX115" s="310"/>
      <c r="CY115" s="310"/>
      <c r="CZ115" s="310"/>
      <c r="DA115" s="310"/>
      <c r="DB115" s="310"/>
      <c r="DC115" s="310"/>
      <c r="DD115" s="310"/>
      <c r="DE115" s="310"/>
      <c r="DF115" s="310"/>
      <c r="DG115" s="310"/>
      <c r="DH115" s="310"/>
      <c r="DI115" s="310"/>
      <c r="DJ115" s="310"/>
      <c r="DK115" s="310"/>
      <c r="DL115" s="310"/>
      <c r="DM115" s="310"/>
      <c r="DN115" s="310"/>
      <c r="DO115" s="310"/>
      <c r="DP115" s="310"/>
      <c r="DQ115" s="310"/>
      <c r="DR115" s="310"/>
      <c r="DS115" s="310"/>
      <c r="DT115" s="310"/>
      <c r="DU115" s="230" t="e">
        <v>#N/A</v>
      </c>
      <c r="DV115" s="230" t="e">
        <v>#N/A</v>
      </c>
      <c r="DW115" s="310"/>
      <c r="DX115" s="310"/>
      <c r="DY115" s="310"/>
      <c r="DZ115" s="310"/>
      <c r="EA115" s="310"/>
      <c r="EB115" s="310"/>
      <c r="EC115" s="310"/>
      <c r="ED115" s="310"/>
      <c r="EE115" s="310"/>
      <c r="EF115" s="310"/>
      <c r="EG115" s="310"/>
      <c r="EH115" s="310"/>
      <c r="EI115" s="338">
        <v>44</v>
      </c>
      <c r="EJ115" s="338" t="b">
        <f t="shared" si="127"/>
        <v>0</v>
      </c>
      <c r="EK115" s="281" t="e">
        <f t="shared" si="128"/>
        <v>#N/A</v>
      </c>
      <c r="EL115" s="281" t="e">
        <f t="shared" si="129"/>
        <v>#N/A</v>
      </c>
      <c r="EM115" s="310"/>
      <c r="EN115" s="280">
        <f>EN114+0.25</f>
        <v>0.12416666666666673</v>
      </c>
      <c r="EO115" s="280">
        <f>EF68</f>
        <v>1.1000000000000001</v>
      </c>
      <c r="EP115" s="310"/>
      <c r="EQ115" s="310"/>
      <c r="ER115" s="310"/>
      <c r="ES115" s="310"/>
      <c r="ET115" s="310"/>
      <c r="EU115" s="310"/>
      <c r="EV115" s="310"/>
      <c r="EW115" s="310"/>
      <c r="EX115" s="310"/>
      <c r="EY115" s="310"/>
      <c r="EZ115" s="310"/>
      <c r="FA115" s="310"/>
      <c r="FB115" s="310"/>
      <c r="FC115" s="310"/>
      <c r="FD115" s="310"/>
      <c r="FE115" s="310"/>
      <c r="FF115" s="310"/>
      <c r="FG115" s="310"/>
      <c r="FH115" s="310"/>
      <c r="FI115" s="310"/>
      <c r="FJ115" s="310"/>
      <c r="FK115" s="310"/>
      <c r="FL115" s="310"/>
      <c r="FM115" s="310"/>
      <c r="FN115" s="310"/>
      <c r="FO115" s="310"/>
      <c r="FP115" s="310"/>
      <c r="FQ115" s="310"/>
      <c r="FR115" s="310"/>
      <c r="FS115" s="310"/>
      <c r="FT115" s="310"/>
      <c r="FU115" s="310"/>
      <c r="FV115" s="310"/>
      <c r="FW115" s="310"/>
      <c r="FX115" s="310"/>
      <c r="FY115" s="310"/>
      <c r="FZ115" s="310"/>
      <c r="GA115" s="310"/>
      <c r="GB115" s="310"/>
      <c r="GC115" s="310"/>
      <c r="GD115" s="310"/>
      <c r="GE115" s="310"/>
      <c r="GF115" s="310"/>
      <c r="GG115" s="310"/>
      <c r="GH115" s="310"/>
      <c r="GI115" s="310"/>
      <c r="GJ115" s="310"/>
      <c r="GK115" s="310"/>
      <c r="GL115" s="310"/>
      <c r="GM115" s="310"/>
      <c r="GN115" s="310"/>
      <c r="GO115" s="310"/>
      <c r="GP115" s="310"/>
      <c r="GQ115" s="310"/>
      <c r="GR115" s="310"/>
      <c r="GS115" s="310"/>
      <c r="GT115" s="310"/>
      <c r="GU115" s="310"/>
      <c r="GV115" s="310"/>
      <c r="GW115" s="310"/>
      <c r="GX115" s="310"/>
      <c r="GY115" s="310"/>
      <c r="GZ115" s="310"/>
      <c r="HA115" s="310"/>
      <c r="HB115" s="310"/>
      <c r="HC115" s="310"/>
      <c r="HD115" s="310"/>
      <c r="HE115" s="310"/>
      <c r="HF115" s="310"/>
      <c r="HG115" s="310"/>
      <c r="HH115" s="310"/>
      <c r="HI115" s="310"/>
      <c r="HJ115" s="310"/>
      <c r="HK115" s="342">
        <v>101</v>
      </c>
      <c r="HL115" s="235" t="e">
        <f t="shared" si="139"/>
        <v>#N/A</v>
      </c>
      <c r="HM115" s="235" t="e">
        <f t="shared" si="140"/>
        <v>#N/A</v>
      </c>
      <c r="HN115" s="310"/>
      <c r="HO115" s="310"/>
      <c r="HP115" s="235" t="e">
        <f t="shared" si="141"/>
        <v>#N/A</v>
      </c>
      <c r="HQ115" s="235" t="e">
        <f t="shared" si="142"/>
        <v>#N/A</v>
      </c>
      <c r="HR115" s="310"/>
      <c r="HS115" s="310"/>
      <c r="HT115" s="235" t="e">
        <f t="shared" si="143"/>
        <v>#N/A</v>
      </c>
      <c r="HU115" s="235" t="e">
        <f t="shared" si="144"/>
        <v>#N/A</v>
      </c>
      <c r="HV115" s="310"/>
      <c r="HW115" s="310"/>
      <c r="HX115" s="235" t="e">
        <f t="shared" si="145"/>
        <v>#N/A</v>
      </c>
      <c r="HY115" s="235" t="e">
        <f t="shared" si="146"/>
        <v>#N/A</v>
      </c>
      <c r="HZ115" s="310"/>
      <c r="IA115" s="310"/>
      <c r="IB115" s="235" t="e">
        <f t="shared" si="147"/>
        <v>#N/A</v>
      </c>
      <c r="IC115" s="235" t="e">
        <f t="shared" si="148"/>
        <v>#N/A</v>
      </c>
      <c r="ID115" s="310"/>
      <c r="IE115" s="342">
        <v>101</v>
      </c>
      <c r="IF115" s="262" t="e">
        <f t="shared" si="149"/>
        <v>#N/A</v>
      </c>
      <c r="IG115" s="262" t="e">
        <f t="shared" si="150"/>
        <v>#N/A</v>
      </c>
      <c r="IH115" s="390"/>
      <c r="II115" s="390"/>
      <c r="IJ115" s="262" t="e">
        <f t="shared" si="151"/>
        <v>#N/A</v>
      </c>
      <c r="IK115" s="262" t="e">
        <f t="shared" si="152"/>
        <v>#N/A</v>
      </c>
      <c r="IL115" s="390"/>
      <c r="IM115" s="390"/>
      <c r="IN115" s="262" t="e">
        <f t="shared" si="153"/>
        <v>#N/A</v>
      </c>
      <c r="IO115" s="262" t="e">
        <f t="shared" si="154"/>
        <v>#N/A</v>
      </c>
      <c r="IP115" s="390"/>
      <c r="IQ115" s="390"/>
      <c r="IR115" s="262" t="e">
        <f t="shared" si="155"/>
        <v>#N/A</v>
      </c>
      <c r="IS115" s="262" t="e">
        <f t="shared" si="156"/>
        <v>#N/A</v>
      </c>
      <c r="IT115" s="390"/>
      <c r="IU115" s="390"/>
      <c r="IV115" s="262" t="e">
        <f t="shared" si="157"/>
        <v>#N/A</v>
      </c>
      <c r="IW115" s="262" t="e">
        <f t="shared" si="158"/>
        <v>#N/A</v>
      </c>
      <c r="IX115" s="310"/>
      <c r="IY115" s="310"/>
      <c r="IZ115" s="310"/>
      <c r="JA115" s="310"/>
      <c r="JB115" s="313" t="s">
        <v>395</v>
      </c>
      <c r="JC115" s="228">
        <f>JC114</f>
        <v>-0.8</v>
      </c>
      <c r="JD115" s="228">
        <f>JD110</f>
        <v>-0.72500000000000009</v>
      </c>
      <c r="JE115" s="310"/>
      <c r="JF115" s="310"/>
      <c r="JG115" s="310"/>
      <c r="JH115" s="310"/>
      <c r="JI115" s="313" t="s">
        <v>395</v>
      </c>
      <c r="JJ115" s="242">
        <f>JJ114</f>
        <v>-0.8</v>
      </c>
      <c r="JK115" s="242">
        <f>JK110</f>
        <v>-0.72500000000000009</v>
      </c>
      <c r="JL115" s="310"/>
      <c r="JM115" s="310"/>
      <c r="JN115" s="261" t="e">
        <f t="shared" si="159"/>
        <v>#N/A</v>
      </c>
      <c r="JO115" s="261" t="e">
        <f t="shared" si="160"/>
        <v>#N/A</v>
      </c>
      <c r="JP115" s="310"/>
      <c r="JQ115" s="310"/>
      <c r="JR115" s="261" t="e">
        <f t="shared" si="165"/>
        <v>#N/A</v>
      </c>
      <c r="JS115" s="261" t="e">
        <f t="shared" si="166"/>
        <v>#N/A</v>
      </c>
      <c r="JT115" s="310"/>
      <c r="JU115" s="310"/>
      <c r="JV115" s="261" t="e">
        <f t="shared" si="161"/>
        <v>#N/A</v>
      </c>
      <c r="JW115" s="261" t="e">
        <f t="shared" si="162"/>
        <v>#N/A</v>
      </c>
      <c r="JX115" s="310"/>
      <c r="JY115" s="311"/>
      <c r="JZ115" s="311"/>
      <c r="KA115" s="311"/>
      <c r="KB115" s="313" t="s">
        <v>400</v>
      </c>
      <c r="KC115" s="242" t="e">
        <f>KC99</f>
        <v>#N/A</v>
      </c>
      <c r="KD115" s="242" t="e">
        <f>KD99</f>
        <v>#N/A</v>
      </c>
      <c r="KE115" s="310"/>
      <c r="KF115" s="310"/>
      <c r="KG115" s="310"/>
      <c r="KH115" s="310"/>
      <c r="KI115" s="310"/>
      <c r="KJ115" s="310"/>
      <c r="KK115" s="310"/>
      <c r="KL115" s="310"/>
      <c r="KM115" s="310"/>
      <c r="KN115" s="310"/>
      <c r="KO115" s="310"/>
      <c r="KP115" s="310"/>
      <c r="KQ115" s="310"/>
      <c r="KR115" s="310"/>
      <c r="KS115" s="310"/>
      <c r="KT115" s="310"/>
      <c r="KU115" s="310"/>
      <c r="KV115" s="310"/>
      <c r="KW115" s="310"/>
      <c r="KX115" s="310"/>
      <c r="KY115" s="310"/>
      <c r="KZ115" s="310"/>
      <c r="LA115" s="310"/>
      <c r="LB115" s="310"/>
      <c r="LC115" s="310"/>
      <c r="LD115" s="310"/>
      <c r="LE115" s="310"/>
      <c r="LF115" s="310"/>
      <c r="LG115" s="310"/>
      <c r="LH115" s="310"/>
      <c r="LI115" s="310"/>
      <c r="LJ115" s="310"/>
      <c r="LK115" s="310"/>
      <c r="LL115" s="310"/>
      <c r="LM115" s="310"/>
      <c r="LN115" s="310"/>
      <c r="LO115" s="310"/>
      <c r="LP115" s="310"/>
      <c r="LQ115" s="310"/>
      <c r="LR115" s="310"/>
      <c r="LS115" s="310"/>
      <c r="LT115" s="310"/>
      <c r="LU115" s="310"/>
      <c r="LV115" s="310"/>
      <c r="LW115" s="310"/>
      <c r="LX115" s="310"/>
      <c r="LY115" s="310"/>
      <c r="LZ115" s="310"/>
      <c r="MA115" s="310"/>
      <c r="MB115" s="310"/>
      <c r="MC115" s="310"/>
      <c r="MD115" s="310"/>
      <c r="ME115" s="310"/>
      <c r="MF115" s="310"/>
      <c r="MG115" s="310"/>
      <c r="MH115" s="310"/>
      <c r="MI115" s="310"/>
      <c r="MJ115" s="310"/>
      <c r="MK115" s="310"/>
      <c r="ML115" s="310"/>
      <c r="MM115" s="310"/>
      <c r="MN115" s="310"/>
      <c r="MO115" s="310"/>
      <c r="MP115" s="310"/>
      <c r="MQ115" s="310"/>
      <c r="MR115" s="310"/>
      <c r="MS115" s="310"/>
      <c r="MT115" s="310"/>
      <c r="MU115" s="310"/>
      <c r="MV115" s="310"/>
      <c r="MW115" s="310"/>
      <c r="MX115" s="310"/>
      <c r="MY115" s="310"/>
      <c r="MZ115" s="310"/>
      <c r="NA115" s="310"/>
      <c r="NB115" s="310"/>
      <c r="NC115" s="310"/>
      <c r="ND115" s="310"/>
      <c r="NE115" s="310"/>
      <c r="NF115" s="310"/>
      <c r="NG115" s="310"/>
      <c r="NH115" s="310"/>
      <c r="NI115" s="310"/>
      <c r="NJ115" s="310"/>
      <c r="NK115" s="310"/>
      <c r="NL115" s="310"/>
      <c r="NM115" s="310"/>
      <c r="NN115" s="310"/>
      <c r="NO115" s="310"/>
      <c r="NP115" s="310"/>
      <c r="NQ115" s="310"/>
      <c r="NR115" s="310"/>
      <c r="NS115" s="310"/>
      <c r="NT115" s="310"/>
      <c r="NU115" s="310"/>
      <c r="NV115" s="310"/>
      <c r="NW115" s="310"/>
      <c r="NX115" s="310"/>
      <c r="NY115" s="310"/>
      <c r="NZ115" s="310"/>
      <c r="OA115" s="310"/>
      <c r="OB115" s="310"/>
      <c r="OC115" s="310"/>
      <c r="OD115" s="310"/>
      <c r="OE115" s="310"/>
      <c r="OF115" s="310"/>
      <c r="OG115" s="310"/>
      <c r="OH115" s="310"/>
      <c r="OI115" s="310"/>
      <c r="OJ115" s="310"/>
      <c r="OK115" s="310"/>
      <c r="OL115" s="310"/>
      <c r="OM115" s="310"/>
      <c r="ON115" s="310"/>
      <c r="OO115" s="310"/>
      <c r="OP115" s="310"/>
      <c r="OQ115" s="310"/>
      <c r="OR115" s="310"/>
      <c r="OS115" s="310"/>
      <c r="OT115" s="310"/>
      <c r="OU115" s="310"/>
      <c r="OV115" s="310"/>
      <c r="OW115" s="310"/>
      <c r="OX115" s="310"/>
      <c r="OY115" s="310"/>
      <c r="OZ115" s="310"/>
      <c r="PA115" s="310"/>
      <c r="PB115" s="310"/>
      <c r="PC115" s="310"/>
      <c r="PD115" s="310"/>
      <c r="PE115" s="310"/>
      <c r="PF115" s="310"/>
      <c r="PG115" s="310"/>
      <c r="PH115" s="310"/>
      <c r="PI115" s="310"/>
      <c r="PJ115" s="310"/>
      <c r="PK115" s="310"/>
      <c r="PL115" s="310"/>
      <c r="PM115" s="310"/>
      <c r="PN115" s="310"/>
      <c r="PO115" s="310"/>
      <c r="PP115" s="310"/>
      <c r="PQ115" s="310"/>
      <c r="PR115" s="310"/>
      <c r="PS115" s="342">
        <v>101</v>
      </c>
      <c r="PT115" s="261" t="e">
        <f t="shared" si="163"/>
        <v>#N/A</v>
      </c>
      <c r="PU115" s="261" t="e">
        <f t="shared" si="164"/>
        <v>#N/A</v>
      </c>
      <c r="PV115" s="310"/>
      <c r="PW115" s="310"/>
      <c r="PX115" s="310"/>
      <c r="PY115" s="310"/>
      <c r="PZ115" s="310"/>
      <c r="QA115" s="310"/>
      <c r="QB115" s="310"/>
      <c r="QC115" s="310"/>
      <c r="QD115" s="310"/>
      <c r="QE115" s="310"/>
      <c r="QF115" s="310"/>
      <c r="QG115" s="310"/>
      <c r="QH115" s="310"/>
      <c r="QI115" s="310"/>
      <c r="QJ115" s="310"/>
      <c r="QK115" s="310"/>
      <c r="QL115" s="310"/>
      <c r="QM115" s="310"/>
      <c r="QN115" s="310"/>
      <c r="QO115" s="310"/>
      <c r="QP115" s="310"/>
      <c r="QQ115" s="310"/>
      <c r="QR115" s="310"/>
      <c r="QS115" s="310"/>
      <c r="QT115" s="310"/>
      <c r="QU115" s="310"/>
      <c r="QV115" s="310"/>
      <c r="QW115" s="310"/>
      <c r="QX115" s="310"/>
      <c r="QY115" s="310"/>
      <c r="QZ115" s="310"/>
      <c r="RA115" s="310"/>
      <c r="RB115" s="310"/>
      <c r="RC115" s="310"/>
      <c r="RD115" s="310"/>
      <c r="RE115" s="310"/>
      <c r="RF115" s="310"/>
      <c r="RG115" s="310"/>
      <c r="RH115" s="310"/>
      <c r="RI115" s="310"/>
      <c r="RJ115" s="310"/>
      <c r="RK115" s="310"/>
      <c r="RL115" s="310"/>
      <c r="RM115" s="310"/>
      <c r="RN115" s="310"/>
      <c r="RO115" s="310"/>
      <c r="RP115" s="310"/>
      <c r="RQ115" s="310"/>
      <c r="RR115" s="310"/>
      <c r="RS115" s="310"/>
      <c r="RT115" s="310"/>
      <c r="RU115" s="310"/>
      <c r="RV115" s="310"/>
      <c r="RW115" s="310"/>
      <c r="RX115" s="310"/>
      <c r="RY115" s="310"/>
      <c r="RZ115" s="310"/>
      <c r="SA115" s="310"/>
      <c r="SB115" s="310"/>
      <c r="SC115" s="310"/>
      <c r="SD115" s="310"/>
      <c r="SE115" s="310"/>
      <c r="SF115" s="310"/>
      <c r="SG115" s="310"/>
      <c r="SH115" s="310"/>
      <c r="SI115" s="310"/>
      <c r="SJ115" s="310"/>
      <c r="SK115" s="310"/>
      <c r="SL115" s="310"/>
      <c r="SM115" s="310"/>
      <c r="SN115" s="310"/>
      <c r="SO115" s="220"/>
      <c r="SP115" s="220"/>
      <c r="SQ115" s="220"/>
      <c r="SR115" s="220"/>
      <c r="SS115" s="220"/>
      <c r="ST115" s="220"/>
      <c r="SU115" s="220"/>
      <c r="SV115" s="220"/>
      <c r="SW115" s="220"/>
      <c r="SX115" s="220"/>
      <c r="SY115" s="220"/>
      <c r="SZ115" s="220"/>
      <c r="TA115" s="220"/>
      <c r="TB115" s="220"/>
      <c r="TC115" s="220"/>
      <c r="TD115" s="220"/>
      <c r="TE115" s="220"/>
      <c r="TF115" s="220"/>
      <c r="TG115" s="220"/>
      <c r="TH115" s="220"/>
      <c r="TI115" s="220"/>
      <c r="TJ115" s="220"/>
      <c r="TK115" s="220"/>
      <c r="TL115" s="220"/>
      <c r="TM115" s="220"/>
      <c r="TN115" s="220"/>
      <c r="TO115" s="220"/>
      <c r="TP115" s="220"/>
      <c r="TQ115" s="220"/>
      <c r="TR115" s="220"/>
      <c r="TS115" s="220"/>
      <c r="TT115" s="220"/>
      <c r="TU115" s="220"/>
      <c r="TV115" s="220"/>
      <c r="TW115" s="220"/>
      <c r="TX115" s="220"/>
      <c r="TY115" s="220"/>
      <c r="TZ115" s="220"/>
      <c r="UA115" s="220"/>
      <c r="UB115" s="220"/>
      <c r="UC115" s="220"/>
      <c r="UD115" s="220"/>
      <c r="UE115" s="220"/>
      <c r="UF115" s="220"/>
      <c r="UG115" s="220"/>
      <c r="UH115" s="220"/>
      <c r="UI115" s="220"/>
      <c r="UJ115" s="220"/>
      <c r="UK115" s="216"/>
      <c r="UL115" s="216"/>
      <c r="UM115" s="216"/>
      <c r="UN115" s="216"/>
      <c r="UO115" s="216"/>
      <c r="UP115" s="216"/>
      <c r="UQ115" s="216"/>
      <c r="UR115" s="216"/>
      <c r="US115" s="216"/>
      <c r="UT115" s="216"/>
      <c r="UU115" s="216"/>
      <c r="UV115" s="216"/>
      <c r="UW115" s="216"/>
      <c r="UX115" s="216"/>
      <c r="UY115" s="216"/>
      <c r="UZ115" s="216"/>
      <c r="VA115" s="216"/>
    </row>
    <row r="116" spans="1:573" s="4" customFormat="1" x14ac:dyDescent="0.5">
      <c r="AP116" s="310"/>
      <c r="AQ116" s="310"/>
      <c r="AR116" s="310"/>
      <c r="AS116" s="310"/>
      <c r="AT116" s="310"/>
      <c r="AU116" s="310"/>
      <c r="AV116" s="310"/>
      <c r="AW116" s="310"/>
      <c r="AX116" s="310"/>
      <c r="AY116" s="310"/>
      <c r="AZ116" s="310"/>
      <c r="BA116" s="310"/>
      <c r="BB116" s="310"/>
      <c r="BC116" s="310"/>
      <c r="BD116" s="310"/>
      <c r="BE116" s="310"/>
      <c r="BF116" s="310"/>
      <c r="BG116" s="310"/>
      <c r="BH116" s="310"/>
      <c r="BI116" s="310"/>
      <c r="BJ116" s="310"/>
      <c r="BK116" s="310"/>
      <c r="BL116" s="310"/>
      <c r="BM116" s="310"/>
      <c r="BN116" s="310"/>
      <c r="BO116" s="310"/>
      <c r="BP116" s="310"/>
      <c r="BQ116" s="310"/>
      <c r="BR116" s="310"/>
      <c r="BS116" s="310"/>
      <c r="BT116" s="310"/>
      <c r="BU116" s="310"/>
      <c r="BV116" s="310"/>
      <c r="BW116" s="310"/>
      <c r="BX116" s="310"/>
      <c r="BY116" s="310"/>
      <c r="BZ116" s="310"/>
      <c r="CA116" s="310"/>
      <c r="CB116" s="310"/>
      <c r="CC116" s="310"/>
      <c r="CD116" s="310"/>
      <c r="CE116" s="310"/>
      <c r="CF116" s="310"/>
      <c r="CG116" s="310"/>
      <c r="CH116" s="310"/>
      <c r="CI116" s="310"/>
      <c r="CJ116" s="310"/>
      <c r="CK116" s="310"/>
      <c r="CL116" s="310"/>
      <c r="CM116" s="310"/>
      <c r="CN116" s="310"/>
      <c r="CO116" s="310"/>
      <c r="CP116" s="310"/>
      <c r="CQ116" s="310"/>
      <c r="CR116" s="310"/>
      <c r="CS116" s="310"/>
      <c r="CT116" s="310"/>
      <c r="CU116" s="310"/>
      <c r="CV116" s="310"/>
      <c r="CW116" s="310"/>
      <c r="CX116" s="310"/>
      <c r="CY116" s="310"/>
      <c r="CZ116" s="310"/>
      <c r="DA116" s="310"/>
      <c r="DB116" s="310"/>
      <c r="DC116" s="310"/>
      <c r="DD116" s="310"/>
      <c r="DE116" s="310"/>
      <c r="DF116" s="310"/>
      <c r="DG116" s="310"/>
      <c r="DH116" s="310"/>
      <c r="DI116" s="310"/>
      <c r="DJ116" s="310"/>
      <c r="DK116" s="310"/>
      <c r="DL116" s="310"/>
      <c r="DM116" s="310"/>
      <c r="DN116" s="310"/>
      <c r="DO116" s="310"/>
      <c r="DP116" s="310"/>
      <c r="DQ116" s="310"/>
      <c r="DR116" s="310"/>
      <c r="DS116" s="310"/>
      <c r="DT116" s="310"/>
      <c r="DU116" s="230" t="e">
        <v>#N/A</v>
      </c>
      <c r="DV116" s="230" t="e">
        <v>#N/A</v>
      </c>
      <c r="DW116" s="310"/>
      <c r="DX116" s="310"/>
      <c r="DY116" s="310"/>
      <c r="DZ116" s="310"/>
      <c r="EA116" s="310"/>
      <c r="EB116" s="310"/>
      <c r="EC116" s="310"/>
      <c r="ED116" s="310"/>
      <c r="EE116" s="310"/>
      <c r="EF116" s="310"/>
      <c r="EG116" s="310"/>
      <c r="EH116" s="310"/>
      <c r="EI116" s="338">
        <v>45</v>
      </c>
      <c r="EJ116" s="338" t="b">
        <f t="shared" si="127"/>
        <v>0</v>
      </c>
      <c r="EK116" s="281" t="e">
        <f t="shared" si="128"/>
        <v>#N/A</v>
      </c>
      <c r="EL116" s="281" t="e">
        <f t="shared" si="129"/>
        <v>#N/A</v>
      </c>
      <c r="EM116" s="310"/>
      <c r="EN116" s="280">
        <f>EN115+0.2</f>
        <v>0.32416666666666671</v>
      </c>
      <c r="EO116" s="280">
        <f>EO115</f>
        <v>1.1000000000000001</v>
      </c>
      <c r="EP116" s="310"/>
      <c r="EQ116" s="310"/>
      <c r="ER116" s="310"/>
      <c r="ES116" s="310"/>
      <c r="ET116" s="310"/>
      <c r="EU116" s="310"/>
      <c r="EV116" s="310"/>
      <c r="EW116" s="310"/>
      <c r="EX116" s="310"/>
      <c r="EY116" s="310"/>
      <c r="EZ116" s="310"/>
      <c r="FA116" s="310"/>
      <c r="FB116" s="310"/>
      <c r="FC116" s="310"/>
      <c r="FD116" s="310"/>
      <c r="FE116" s="310"/>
      <c r="FF116" s="310"/>
      <c r="FG116" s="310"/>
      <c r="FH116" s="310"/>
      <c r="FI116" s="310"/>
      <c r="FJ116" s="310"/>
      <c r="FK116" s="310"/>
      <c r="FL116" s="310"/>
      <c r="FM116" s="310"/>
      <c r="FN116" s="310"/>
      <c r="FO116" s="310"/>
      <c r="FP116" s="310"/>
      <c r="FQ116" s="310"/>
      <c r="FR116" s="310"/>
      <c r="FS116" s="310"/>
      <c r="FT116" s="310"/>
      <c r="FU116" s="310"/>
      <c r="FV116" s="310"/>
      <c r="FW116" s="310"/>
      <c r="FX116" s="310"/>
      <c r="FY116" s="310"/>
      <c r="FZ116" s="310"/>
      <c r="GA116" s="310"/>
      <c r="GB116" s="310"/>
      <c r="GC116" s="310"/>
      <c r="GD116" s="310"/>
      <c r="GE116" s="310"/>
      <c r="GF116" s="310"/>
      <c r="GG116" s="310"/>
      <c r="GH116" s="310"/>
      <c r="GI116" s="310"/>
      <c r="GJ116" s="310"/>
      <c r="GK116" s="310"/>
      <c r="GL116" s="310"/>
      <c r="GM116" s="310"/>
      <c r="GN116" s="310"/>
      <c r="GO116" s="310"/>
      <c r="GP116" s="310"/>
      <c r="GQ116" s="310"/>
      <c r="GR116" s="310"/>
      <c r="GS116" s="310"/>
      <c r="GT116" s="310"/>
      <c r="GU116" s="310"/>
      <c r="GV116" s="310"/>
      <c r="GW116" s="310"/>
      <c r="GX116" s="310"/>
      <c r="GY116" s="310"/>
      <c r="GZ116" s="310"/>
      <c r="HA116" s="310"/>
      <c r="HB116" s="310"/>
      <c r="HC116" s="310"/>
      <c r="HD116" s="310"/>
      <c r="HE116" s="310"/>
      <c r="HF116" s="310"/>
      <c r="HG116" s="310"/>
      <c r="HH116" s="310"/>
      <c r="HI116" s="310"/>
      <c r="HJ116" s="310"/>
      <c r="HK116" s="342">
        <v>102</v>
      </c>
      <c r="HL116" s="235" t="e">
        <f t="shared" si="139"/>
        <v>#N/A</v>
      </c>
      <c r="HM116" s="235" t="e">
        <f t="shared" si="140"/>
        <v>#N/A</v>
      </c>
      <c r="HN116" s="310"/>
      <c r="HO116" s="310"/>
      <c r="HP116" s="235" t="e">
        <f t="shared" si="141"/>
        <v>#N/A</v>
      </c>
      <c r="HQ116" s="235" t="e">
        <f t="shared" si="142"/>
        <v>#N/A</v>
      </c>
      <c r="HR116" s="310"/>
      <c r="HS116" s="310"/>
      <c r="HT116" s="235" t="e">
        <f t="shared" si="143"/>
        <v>#N/A</v>
      </c>
      <c r="HU116" s="235" t="e">
        <f t="shared" si="144"/>
        <v>#N/A</v>
      </c>
      <c r="HV116" s="310"/>
      <c r="HW116" s="310"/>
      <c r="HX116" s="235" t="e">
        <f t="shared" si="145"/>
        <v>#N/A</v>
      </c>
      <c r="HY116" s="235" t="e">
        <f t="shared" si="146"/>
        <v>#N/A</v>
      </c>
      <c r="HZ116" s="310"/>
      <c r="IA116" s="310"/>
      <c r="IB116" s="235" t="e">
        <f t="shared" si="147"/>
        <v>#N/A</v>
      </c>
      <c r="IC116" s="235" t="e">
        <f t="shared" si="148"/>
        <v>#N/A</v>
      </c>
      <c r="ID116" s="310"/>
      <c r="IE116" s="342">
        <v>102</v>
      </c>
      <c r="IF116" s="262" t="e">
        <f t="shared" si="149"/>
        <v>#N/A</v>
      </c>
      <c r="IG116" s="262" t="e">
        <f t="shared" si="150"/>
        <v>#N/A</v>
      </c>
      <c r="IH116" s="390"/>
      <c r="II116" s="390"/>
      <c r="IJ116" s="262" t="e">
        <f t="shared" si="151"/>
        <v>#N/A</v>
      </c>
      <c r="IK116" s="262" t="e">
        <f t="shared" si="152"/>
        <v>#N/A</v>
      </c>
      <c r="IL116" s="390"/>
      <c r="IM116" s="390"/>
      <c r="IN116" s="262" t="e">
        <f t="shared" si="153"/>
        <v>#N/A</v>
      </c>
      <c r="IO116" s="262" t="e">
        <f t="shared" si="154"/>
        <v>#N/A</v>
      </c>
      <c r="IP116" s="390"/>
      <c r="IQ116" s="390"/>
      <c r="IR116" s="262" t="e">
        <f t="shared" si="155"/>
        <v>#N/A</v>
      </c>
      <c r="IS116" s="262" t="e">
        <f t="shared" si="156"/>
        <v>#N/A</v>
      </c>
      <c r="IT116" s="390"/>
      <c r="IU116" s="390"/>
      <c r="IV116" s="262" t="e">
        <f t="shared" si="157"/>
        <v>#N/A</v>
      </c>
      <c r="IW116" s="262" t="e">
        <f t="shared" si="158"/>
        <v>#N/A</v>
      </c>
      <c r="IX116" s="310"/>
      <c r="IY116" s="310"/>
      <c r="IZ116" s="310"/>
      <c r="JA116" s="310"/>
      <c r="JB116" s="313" t="s">
        <v>396</v>
      </c>
      <c r="JC116" s="228">
        <f>IZ106-$IZ$112/2</f>
        <v>-0.70000000000000007</v>
      </c>
      <c r="JD116" s="237">
        <f>JD109</f>
        <v>-0.69500000000000006</v>
      </c>
      <c r="JE116" s="310"/>
      <c r="JF116" s="310"/>
      <c r="JG116" s="310"/>
      <c r="JH116" s="310"/>
      <c r="JI116" s="313" t="s">
        <v>396</v>
      </c>
      <c r="JJ116" s="242">
        <f>JG106-$IZ$112/2</f>
        <v>-0.70000000000000007</v>
      </c>
      <c r="JK116" s="266">
        <f>JK109</f>
        <v>-0.69500000000000006</v>
      </c>
      <c r="JL116" s="310"/>
      <c r="JM116" s="310"/>
      <c r="JN116" s="261" t="e">
        <f t="shared" si="159"/>
        <v>#N/A</v>
      </c>
      <c r="JO116" s="261" t="e">
        <f t="shared" si="160"/>
        <v>#N/A</v>
      </c>
      <c r="JP116" s="310"/>
      <c r="JQ116" s="310"/>
      <c r="JR116" s="261" t="e">
        <f t="shared" si="165"/>
        <v>#N/A</v>
      </c>
      <c r="JS116" s="261" t="e">
        <f t="shared" si="166"/>
        <v>#N/A</v>
      </c>
      <c r="JT116" s="310"/>
      <c r="JU116" s="310"/>
      <c r="JV116" s="261" t="e">
        <f t="shared" si="161"/>
        <v>#N/A</v>
      </c>
      <c r="JW116" s="261" t="e">
        <f t="shared" si="162"/>
        <v>#N/A</v>
      </c>
      <c r="JX116" s="310"/>
      <c r="JY116" s="311"/>
      <c r="JZ116" s="311"/>
      <c r="KA116" s="311"/>
      <c r="KB116" s="311"/>
      <c r="KC116" s="264" t="e">
        <v>#N/A</v>
      </c>
      <c r="KD116" s="264" t="e">
        <v>#N/A</v>
      </c>
      <c r="KE116" s="310"/>
      <c r="KF116" s="310"/>
      <c r="KG116" s="310"/>
      <c r="KH116" s="310"/>
      <c r="KI116" s="310"/>
      <c r="KJ116" s="310"/>
      <c r="KK116" s="310"/>
      <c r="KL116" s="310"/>
      <c r="KM116" s="310"/>
      <c r="KN116" s="310"/>
      <c r="KO116" s="310"/>
      <c r="KP116" s="310"/>
      <c r="KQ116" s="310"/>
      <c r="KR116" s="310"/>
      <c r="KS116" s="310"/>
      <c r="KT116" s="310"/>
      <c r="KU116" s="310"/>
      <c r="KV116" s="310"/>
      <c r="KW116" s="310"/>
      <c r="KX116" s="310"/>
      <c r="KY116" s="310"/>
      <c r="KZ116" s="310"/>
      <c r="LA116" s="310"/>
      <c r="LB116" s="310"/>
      <c r="LC116" s="310"/>
      <c r="LD116" s="310"/>
      <c r="LE116" s="310"/>
      <c r="LF116" s="310"/>
      <c r="LG116" s="310"/>
      <c r="LH116" s="310"/>
      <c r="LI116" s="310"/>
      <c r="LJ116" s="310"/>
      <c r="LK116" s="310"/>
      <c r="LL116" s="310"/>
      <c r="LM116" s="310"/>
      <c r="LN116" s="310"/>
      <c r="LO116" s="310"/>
      <c r="LP116" s="310"/>
      <c r="LQ116" s="310"/>
      <c r="LR116" s="310"/>
      <c r="LS116" s="310"/>
      <c r="LT116" s="310"/>
      <c r="LU116" s="310"/>
      <c r="LV116" s="310"/>
      <c r="LW116" s="310"/>
      <c r="LX116" s="310"/>
      <c r="LY116" s="310"/>
      <c r="LZ116" s="310"/>
      <c r="MA116" s="310"/>
      <c r="MB116" s="310"/>
      <c r="MC116" s="310"/>
      <c r="MD116" s="310"/>
      <c r="ME116" s="310"/>
      <c r="MF116" s="310"/>
      <c r="MG116" s="310"/>
      <c r="MH116" s="310"/>
      <c r="MI116" s="310"/>
      <c r="MJ116" s="310"/>
      <c r="MK116" s="310"/>
      <c r="ML116" s="310"/>
      <c r="MM116" s="310"/>
      <c r="MN116" s="310"/>
      <c r="MO116" s="310"/>
      <c r="MP116" s="310"/>
      <c r="MQ116" s="310"/>
      <c r="MR116" s="310"/>
      <c r="MS116" s="310"/>
      <c r="MT116" s="310"/>
      <c r="MU116" s="310"/>
      <c r="MV116" s="310"/>
      <c r="MW116" s="310"/>
      <c r="MX116" s="310"/>
      <c r="MY116" s="310"/>
      <c r="MZ116" s="310"/>
      <c r="NA116" s="310"/>
      <c r="NB116" s="310"/>
      <c r="NC116" s="310"/>
      <c r="ND116" s="310"/>
      <c r="NE116" s="310"/>
      <c r="NF116" s="310"/>
      <c r="NG116" s="310"/>
      <c r="NH116" s="310"/>
      <c r="NI116" s="310"/>
      <c r="NJ116" s="310"/>
      <c r="NK116" s="310"/>
      <c r="NL116" s="310"/>
      <c r="NM116" s="310"/>
      <c r="NN116" s="310"/>
      <c r="NO116" s="310"/>
      <c r="NP116" s="310"/>
      <c r="NQ116" s="310"/>
      <c r="NR116" s="310"/>
      <c r="NS116" s="310"/>
      <c r="NT116" s="310"/>
      <c r="NU116" s="310"/>
      <c r="NV116" s="310"/>
      <c r="NW116" s="310"/>
      <c r="NX116" s="310"/>
      <c r="NY116" s="310"/>
      <c r="NZ116" s="310"/>
      <c r="OA116" s="310"/>
      <c r="OB116" s="310"/>
      <c r="OC116" s="310"/>
      <c r="OD116" s="310"/>
      <c r="OE116" s="310"/>
      <c r="OF116" s="310"/>
      <c r="OG116" s="310"/>
      <c r="OH116" s="310"/>
      <c r="OI116" s="310"/>
      <c r="OJ116" s="310"/>
      <c r="OK116" s="310"/>
      <c r="OL116" s="310"/>
      <c r="OM116" s="310"/>
      <c r="ON116" s="310"/>
      <c r="OO116" s="310"/>
      <c r="OP116" s="310"/>
      <c r="OQ116" s="310"/>
      <c r="OR116" s="310"/>
      <c r="OS116" s="310"/>
      <c r="OT116" s="310"/>
      <c r="OU116" s="310"/>
      <c r="OV116" s="310"/>
      <c r="OW116" s="310"/>
      <c r="OX116" s="310"/>
      <c r="OY116" s="310"/>
      <c r="OZ116" s="310"/>
      <c r="PA116" s="310"/>
      <c r="PB116" s="310"/>
      <c r="PC116" s="310"/>
      <c r="PD116" s="310"/>
      <c r="PE116" s="310"/>
      <c r="PF116" s="310"/>
      <c r="PG116" s="310"/>
      <c r="PH116" s="310"/>
      <c r="PI116" s="310"/>
      <c r="PJ116" s="310"/>
      <c r="PK116" s="310"/>
      <c r="PL116" s="310"/>
      <c r="PM116" s="310"/>
      <c r="PN116" s="310"/>
      <c r="PO116" s="310"/>
      <c r="PP116" s="310"/>
      <c r="PQ116" s="310"/>
      <c r="PR116" s="310"/>
      <c r="PS116" s="342">
        <v>102</v>
      </c>
      <c r="PT116" s="261" t="e">
        <f t="shared" si="163"/>
        <v>#N/A</v>
      </c>
      <c r="PU116" s="261" t="e">
        <f t="shared" si="164"/>
        <v>#N/A</v>
      </c>
      <c r="PV116" s="310"/>
      <c r="PW116" s="310"/>
      <c r="PX116" s="310"/>
      <c r="PY116" s="310"/>
      <c r="PZ116" s="310"/>
      <c r="QA116" s="310"/>
      <c r="QB116" s="310"/>
      <c r="QC116" s="310"/>
      <c r="QD116" s="310"/>
      <c r="QE116" s="310"/>
      <c r="QF116" s="310"/>
      <c r="QG116" s="310"/>
      <c r="QH116" s="310"/>
      <c r="QI116" s="310"/>
      <c r="QJ116" s="310"/>
      <c r="QK116" s="310"/>
      <c r="QL116" s="310"/>
      <c r="QM116" s="310"/>
      <c r="QN116" s="310"/>
      <c r="QO116" s="310"/>
      <c r="QP116" s="310"/>
      <c r="QQ116" s="310"/>
      <c r="QR116" s="310"/>
      <c r="QS116" s="310"/>
      <c r="QT116" s="310"/>
      <c r="QU116" s="310"/>
      <c r="QV116" s="310"/>
      <c r="QW116" s="310"/>
      <c r="QX116" s="310"/>
      <c r="QY116" s="310"/>
      <c r="QZ116" s="310"/>
      <c r="RA116" s="310"/>
      <c r="RB116" s="310"/>
      <c r="RC116" s="310"/>
      <c r="RD116" s="310"/>
      <c r="RE116" s="310"/>
      <c r="RF116" s="310"/>
      <c r="RG116" s="310"/>
      <c r="RH116" s="310"/>
      <c r="RI116" s="310"/>
      <c r="RJ116" s="310"/>
      <c r="RK116" s="310"/>
      <c r="RL116" s="310"/>
      <c r="RM116" s="310"/>
      <c r="RN116" s="310"/>
      <c r="RO116" s="310"/>
      <c r="RP116" s="310"/>
      <c r="RQ116" s="310"/>
      <c r="RR116" s="310"/>
      <c r="RS116" s="310"/>
      <c r="RT116" s="310"/>
      <c r="RU116" s="310"/>
      <c r="RV116" s="310"/>
      <c r="RW116" s="310"/>
      <c r="RX116" s="310"/>
      <c r="RY116" s="310"/>
      <c r="RZ116" s="310"/>
      <c r="SA116" s="310"/>
      <c r="SB116" s="310"/>
      <c r="SC116" s="310"/>
      <c r="SD116" s="310"/>
      <c r="SE116" s="310"/>
      <c r="SF116" s="310"/>
      <c r="SG116" s="310"/>
      <c r="SH116" s="310"/>
      <c r="SI116" s="310"/>
      <c r="SJ116" s="310"/>
      <c r="SK116" s="310"/>
      <c r="SL116" s="310"/>
      <c r="SM116" s="310"/>
      <c r="SN116" s="310"/>
      <c r="SO116" s="220"/>
      <c r="SP116" s="220"/>
      <c r="SQ116" s="220"/>
      <c r="SR116" s="220"/>
      <c r="SS116" s="220"/>
      <c r="ST116" s="220"/>
      <c r="SU116" s="220"/>
      <c r="SV116" s="220"/>
      <c r="SW116" s="220"/>
      <c r="SX116" s="220"/>
      <c r="SY116" s="220"/>
      <c r="SZ116" s="220"/>
      <c r="TA116" s="220"/>
      <c r="TB116" s="220"/>
      <c r="TC116" s="220"/>
      <c r="TD116" s="220"/>
      <c r="TE116" s="220"/>
      <c r="TF116" s="220"/>
      <c r="TG116" s="220"/>
      <c r="TH116" s="220"/>
      <c r="TI116" s="220"/>
      <c r="TJ116" s="220"/>
      <c r="TK116" s="220"/>
      <c r="TL116" s="220"/>
      <c r="TM116" s="220"/>
      <c r="TN116" s="220"/>
      <c r="TO116" s="220"/>
      <c r="TP116" s="220"/>
      <c r="TQ116" s="220"/>
      <c r="TR116" s="220"/>
      <c r="TS116" s="220"/>
      <c r="TT116" s="220"/>
      <c r="TU116" s="220"/>
      <c r="TV116" s="220"/>
      <c r="TW116" s="220"/>
      <c r="TX116" s="220"/>
      <c r="TY116" s="220"/>
      <c r="TZ116" s="220"/>
      <c r="UA116" s="220"/>
      <c r="UB116" s="220"/>
      <c r="UC116" s="220"/>
      <c r="UD116" s="220"/>
      <c r="UE116" s="220"/>
      <c r="UF116" s="220"/>
      <c r="UG116" s="220"/>
      <c r="UH116" s="220"/>
      <c r="UI116" s="220"/>
      <c r="UJ116" s="220"/>
      <c r="UK116" s="216"/>
      <c r="UL116" s="216"/>
      <c r="UM116" s="216"/>
      <c r="UN116" s="216"/>
      <c r="UO116" s="216"/>
      <c r="UP116" s="216"/>
      <c r="UQ116" s="216"/>
      <c r="UR116" s="216"/>
      <c r="US116" s="216"/>
      <c r="UT116" s="216"/>
      <c r="UU116" s="216"/>
      <c r="UV116" s="216"/>
      <c r="UW116" s="216"/>
      <c r="UX116" s="216"/>
      <c r="UY116" s="216"/>
      <c r="UZ116" s="216"/>
      <c r="VA116" s="216"/>
    </row>
    <row r="117" spans="1:573" s="4" customFormat="1" x14ac:dyDescent="0.5">
      <c r="AP117" s="310"/>
      <c r="AQ117" s="310"/>
      <c r="AR117" s="310"/>
      <c r="AS117" s="310"/>
      <c r="AT117" s="310"/>
      <c r="AU117" s="310"/>
      <c r="AV117" s="310"/>
      <c r="AW117" s="310"/>
      <c r="AX117" s="310"/>
      <c r="AY117" s="310"/>
      <c r="AZ117" s="310"/>
      <c r="BA117" s="310"/>
      <c r="BB117" s="310"/>
      <c r="BC117" s="310"/>
      <c r="BD117" s="310"/>
      <c r="BE117" s="310"/>
      <c r="BF117" s="310"/>
      <c r="BG117" s="310"/>
      <c r="BH117" s="310"/>
      <c r="BI117" s="310"/>
      <c r="BJ117" s="310"/>
      <c r="BK117" s="310"/>
      <c r="BL117" s="310"/>
      <c r="BM117" s="310"/>
      <c r="BN117" s="310"/>
      <c r="BO117" s="310"/>
      <c r="BP117" s="310"/>
      <c r="BQ117" s="310"/>
      <c r="BR117" s="310"/>
      <c r="BS117" s="310"/>
      <c r="BT117" s="310"/>
      <c r="BU117" s="310"/>
      <c r="BV117" s="310"/>
      <c r="BW117" s="310"/>
      <c r="BX117" s="310"/>
      <c r="BY117" s="310"/>
      <c r="BZ117" s="310"/>
      <c r="CA117" s="310"/>
      <c r="CB117" s="310"/>
      <c r="CC117" s="310"/>
      <c r="CD117" s="310"/>
      <c r="CE117" s="310"/>
      <c r="CF117" s="310"/>
      <c r="CG117" s="310"/>
      <c r="CH117" s="310"/>
      <c r="CI117" s="310"/>
      <c r="CJ117" s="310"/>
      <c r="CK117" s="310"/>
      <c r="CL117" s="310"/>
      <c r="CM117" s="310"/>
      <c r="CN117" s="310"/>
      <c r="CO117" s="310"/>
      <c r="CP117" s="310"/>
      <c r="CQ117" s="310"/>
      <c r="CR117" s="310"/>
      <c r="CS117" s="310"/>
      <c r="CT117" s="310"/>
      <c r="CU117" s="310"/>
      <c r="CV117" s="310"/>
      <c r="CW117" s="310"/>
      <c r="CX117" s="310"/>
      <c r="CY117" s="310"/>
      <c r="CZ117" s="310"/>
      <c r="DA117" s="310"/>
      <c r="DB117" s="310"/>
      <c r="DC117" s="310"/>
      <c r="DD117" s="310"/>
      <c r="DE117" s="310"/>
      <c r="DF117" s="310"/>
      <c r="DG117" s="310"/>
      <c r="DH117" s="310"/>
      <c r="DI117" s="310"/>
      <c r="DJ117" s="310"/>
      <c r="DK117" s="310"/>
      <c r="DL117" s="310"/>
      <c r="DM117" s="310"/>
      <c r="DN117" s="310"/>
      <c r="DO117" s="310"/>
      <c r="DP117" s="310"/>
      <c r="DQ117" s="310"/>
      <c r="DR117" s="310"/>
      <c r="DS117" s="310"/>
      <c r="DT117" s="310"/>
      <c r="DU117" s="310"/>
      <c r="DV117" s="310"/>
      <c r="DW117" s="310"/>
      <c r="DX117" s="310"/>
      <c r="DY117" s="310"/>
      <c r="DZ117" s="310"/>
      <c r="EA117" s="310"/>
      <c r="EB117" s="310"/>
      <c r="EC117" s="310"/>
      <c r="ED117" s="310"/>
      <c r="EE117" s="310"/>
      <c r="EF117" s="310"/>
      <c r="EG117" s="310"/>
      <c r="EH117" s="310"/>
      <c r="EI117" s="338">
        <v>46</v>
      </c>
      <c r="EJ117" s="338" t="b">
        <f t="shared" si="127"/>
        <v>0</v>
      </c>
      <c r="EK117" s="281" t="e">
        <f t="shared" si="128"/>
        <v>#N/A</v>
      </c>
      <c r="EL117" s="281" t="e">
        <f t="shared" si="129"/>
        <v>#N/A</v>
      </c>
      <c r="EM117" s="310"/>
      <c r="EN117" s="280" t="e">
        <v>#N/A</v>
      </c>
      <c r="EO117" s="280" t="e">
        <v>#N/A</v>
      </c>
      <c r="EP117" s="310"/>
      <c r="EQ117" s="310"/>
      <c r="ER117" s="310"/>
      <c r="ES117" s="310"/>
      <c r="ET117" s="310"/>
      <c r="EU117" s="310"/>
      <c r="EV117" s="310"/>
      <c r="EW117" s="310"/>
      <c r="EX117" s="310"/>
      <c r="EY117" s="310"/>
      <c r="EZ117" s="310"/>
      <c r="FA117" s="310"/>
      <c r="FB117" s="310"/>
      <c r="FC117" s="310"/>
      <c r="FD117" s="310"/>
      <c r="FE117" s="310"/>
      <c r="FF117" s="310"/>
      <c r="FG117" s="310"/>
      <c r="FH117" s="310"/>
      <c r="FI117" s="310"/>
      <c r="FJ117" s="310"/>
      <c r="FK117" s="310"/>
      <c r="FL117" s="310"/>
      <c r="FM117" s="310"/>
      <c r="FN117" s="310"/>
      <c r="FO117" s="310"/>
      <c r="FP117" s="310"/>
      <c r="FQ117" s="310"/>
      <c r="FR117" s="310"/>
      <c r="FS117" s="310"/>
      <c r="FT117" s="310"/>
      <c r="FU117" s="310"/>
      <c r="FV117" s="310"/>
      <c r="FW117" s="310"/>
      <c r="FX117" s="310"/>
      <c r="FY117" s="310"/>
      <c r="FZ117" s="310"/>
      <c r="GA117" s="310"/>
      <c r="GB117" s="310"/>
      <c r="GC117" s="310"/>
      <c r="GD117" s="310"/>
      <c r="GE117" s="310"/>
      <c r="GF117" s="310"/>
      <c r="GG117" s="310"/>
      <c r="GH117" s="310"/>
      <c r="GI117" s="310"/>
      <c r="GJ117" s="310"/>
      <c r="GK117" s="310"/>
      <c r="GL117" s="310"/>
      <c r="GM117" s="310"/>
      <c r="GN117" s="310"/>
      <c r="GO117" s="310"/>
      <c r="GP117" s="310"/>
      <c r="GQ117" s="310"/>
      <c r="GR117" s="310"/>
      <c r="GS117" s="310"/>
      <c r="GT117" s="310"/>
      <c r="GU117" s="310"/>
      <c r="GV117" s="310"/>
      <c r="GW117" s="310"/>
      <c r="GX117" s="310"/>
      <c r="GY117" s="310"/>
      <c r="GZ117" s="310"/>
      <c r="HA117" s="310"/>
      <c r="HB117" s="310"/>
      <c r="HC117" s="310"/>
      <c r="HD117" s="310"/>
      <c r="HE117" s="310"/>
      <c r="HF117" s="310"/>
      <c r="HG117" s="310"/>
      <c r="HH117" s="310"/>
      <c r="HI117" s="310"/>
      <c r="HJ117" s="310"/>
      <c r="HK117" s="342">
        <v>103</v>
      </c>
      <c r="HL117" s="235" t="e">
        <f t="shared" si="139"/>
        <v>#N/A</v>
      </c>
      <c r="HM117" s="235" t="e">
        <f t="shared" si="140"/>
        <v>#N/A</v>
      </c>
      <c r="HN117" s="310"/>
      <c r="HO117" s="310"/>
      <c r="HP117" s="235" t="e">
        <f t="shared" si="141"/>
        <v>#N/A</v>
      </c>
      <c r="HQ117" s="235" t="e">
        <f t="shared" si="142"/>
        <v>#N/A</v>
      </c>
      <c r="HR117" s="310"/>
      <c r="HS117" s="310"/>
      <c r="HT117" s="235" t="e">
        <f t="shared" si="143"/>
        <v>#N/A</v>
      </c>
      <c r="HU117" s="235" t="e">
        <f t="shared" si="144"/>
        <v>#N/A</v>
      </c>
      <c r="HV117" s="310"/>
      <c r="HW117" s="310"/>
      <c r="HX117" s="235" t="e">
        <f t="shared" si="145"/>
        <v>#N/A</v>
      </c>
      <c r="HY117" s="235" t="e">
        <f t="shared" si="146"/>
        <v>#N/A</v>
      </c>
      <c r="HZ117" s="310"/>
      <c r="IA117" s="310"/>
      <c r="IB117" s="235" t="e">
        <f t="shared" si="147"/>
        <v>#N/A</v>
      </c>
      <c r="IC117" s="235" t="e">
        <f t="shared" si="148"/>
        <v>#N/A</v>
      </c>
      <c r="ID117" s="310"/>
      <c r="IE117" s="342">
        <v>103</v>
      </c>
      <c r="IF117" s="262" t="e">
        <f t="shared" si="149"/>
        <v>#N/A</v>
      </c>
      <c r="IG117" s="262" t="e">
        <f t="shared" si="150"/>
        <v>#N/A</v>
      </c>
      <c r="IH117" s="390"/>
      <c r="II117" s="390"/>
      <c r="IJ117" s="262" t="e">
        <f t="shared" si="151"/>
        <v>#N/A</v>
      </c>
      <c r="IK117" s="262" t="e">
        <f t="shared" si="152"/>
        <v>#N/A</v>
      </c>
      <c r="IL117" s="390"/>
      <c r="IM117" s="390"/>
      <c r="IN117" s="262" t="e">
        <f t="shared" si="153"/>
        <v>#N/A</v>
      </c>
      <c r="IO117" s="262" t="e">
        <f t="shared" si="154"/>
        <v>#N/A</v>
      </c>
      <c r="IP117" s="390"/>
      <c r="IQ117" s="390"/>
      <c r="IR117" s="262" t="e">
        <f t="shared" si="155"/>
        <v>#N/A</v>
      </c>
      <c r="IS117" s="262" t="e">
        <f t="shared" si="156"/>
        <v>#N/A</v>
      </c>
      <c r="IT117" s="390"/>
      <c r="IU117" s="390"/>
      <c r="IV117" s="262" t="e">
        <f t="shared" si="157"/>
        <v>#N/A</v>
      </c>
      <c r="IW117" s="262" t="e">
        <f t="shared" si="158"/>
        <v>#N/A</v>
      </c>
      <c r="IX117" s="310"/>
      <c r="IY117" s="310"/>
      <c r="IZ117" s="310"/>
      <c r="JA117" s="310"/>
      <c r="JB117" s="313" t="s">
        <v>397</v>
      </c>
      <c r="JC117" s="228">
        <f>JC116</f>
        <v>-0.70000000000000007</v>
      </c>
      <c r="JD117" s="234">
        <f>JD108</f>
        <v>-0.60499999999999998</v>
      </c>
      <c r="JE117" s="310"/>
      <c r="JF117" s="310"/>
      <c r="JG117" s="310"/>
      <c r="JH117" s="310"/>
      <c r="JI117" s="313" t="s">
        <v>397</v>
      </c>
      <c r="JJ117" s="242">
        <f>JJ116</f>
        <v>-0.70000000000000007</v>
      </c>
      <c r="JK117" s="265">
        <f>JK108</f>
        <v>-0.60499999999999998</v>
      </c>
      <c r="JL117" s="310"/>
      <c r="JM117" s="310"/>
      <c r="JN117" s="261" t="e">
        <f t="shared" si="159"/>
        <v>#N/A</v>
      </c>
      <c r="JO117" s="261" t="e">
        <f t="shared" si="160"/>
        <v>#N/A</v>
      </c>
      <c r="JP117" s="310"/>
      <c r="JQ117" s="310"/>
      <c r="JR117" s="261" t="e">
        <f t="shared" si="165"/>
        <v>#N/A</v>
      </c>
      <c r="JS117" s="261" t="e">
        <f t="shared" si="166"/>
        <v>#N/A</v>
      </c>
      <c r="JT117" s="310"/>
      <c r="JU117" s="310"/>
      <c r="JV117" s="261" t="e">
        <f t="shared" si="161"/>
        <v>#N/A</v>
      </c>
      <c r="JW117" s="261" t="e">
        <f t="shared" si="162"/>
        <v>#N/A</v>
      </c>
      <c r="JX117" s="310"/>
      <c r="JY117" s="311"/>
      <c r="JZ117" s="311"/>
      <c r="KA117" s="311"/>
      <c r="KB117" s="312"/>
      <c r="KC117" s="310"/>
      <c r="KD117" s="390"/>
      <c r="KE117" s="310"/>
      <c r="KF117" s="310"/>
      <c r="KG117" s="310"/>
      <c r="KH117" s="310"/>
      <c r="KI117" s="310"/>
      <c r="KJ117" s="310"/>
      <c r="KK117" s="310"/>
      <c r="KL117" s="310"/>
      <c r="KM117" s="310"/>
      <c r="KN117" s="310"/>
      <c r="KO117" s="310"/>
      <c r="KP117" s="310"/>
      <c r="KQ117" s="310"/>
      <c r="KR117" s="310"/>
      <c r="KS117" s="310"/>
      <c r="KT117" s="310"/>
      <c r="KU117" s="310"/>
      <c r="KV117" s="310"/>
      <c r="KW117" s="310"/>
      <c r="KX117" s="310"/>
      <c r="KY117" s="310"/>
      <c r="KZ117" s="310"/>
      <c r="LA117" s="310"/>
      <c r="LB117" s="310"/>
      <c r="LC117" s="310"/>
      <c r="LD117" s="310"/>
      <c r="LE117" s="310"/>
      <c r="LF117" s="310"/>
      <c r="LG117" s="310"/>
      <c r="LH117" s="310"/>
      <c r="LI117" s="310"/>
      <c r="LJ117" s="310"/>
      <c r="LK117" s="310"/>
      <c r="LL117" s="310"/>
      <c r="LM117" s="310"/>
      <c r="LN117" s="310"/>
      <c r="LO117" s="310"/>
      <c r="LP117" s="310"/>
      <c r="LQ117" s="310"/>
      <c r="LR117" s="310"/>
      <c r="LS117" s="310"/>
      <c r="LT117" s="310"/>
      <c r="LU117" s="310"/>
      <c r="LV117" s="310"/>
      <c r="LW117" s="310"/>
      <c r="LX117" s="310"/>
      <c r="LY117" s="310"/>
      <c r="LZ117" s="310"/>
      <c r="MA117" s="310"/>
      <c r="MB117" s="310"/>
      <c r="MC117" s="310"/>
      <c r="MD117" s="310"/>
      <c r="ME117" s="310"/>
      <c r="MF117" s="310"/>
      <c r="MG117" s="310"/>
      <c r="MH117" s="310"/>
      <c r="MI117" s="310"/>
      <c r="MJ117" s="310"/>
      <c r="MK117" s="310"/>
      <c r="ML117" s="310"/>
      <c r="MM117" s="310"/>
      <c r="MN117" s="310"/>
      <c r="MO117" s="310"/>
      <c r="MP117" s="310"/>
      <c r="MQ117" s="310"/>
      <c r="MR117" s="310"/>
      <c r="MS117" s="310"/>
      <c r="MT117" s="310"/>
      <c r="MU117" s="310"/>
      <c r="MV117" s="310"/>
      <c r="MW117" s="310"/>
      <c r="MX117" s="310"/>
      <c r="MY117" s="310"/>
      <c r="MZ117" s="310"/>
      <c r="NA117" s="310"/>
      <c r="NB117" s="310"/>
      <c r="NC117" s="310"/>
      <c r="ND117" s="310"/>
      <c r="NE117" s="310"/>
      <c r="NF117" s="310"/>
      <c r="NG117" s="310"/>
      <c r="NH117" s="310"/>
      <c r="NI117" s="310"/>
      <c r="NJ117" s="310"/>
      <c r="NK117" s="310"/>
      <c r="NL117" s="310"/>
      <c r="NM117" s="310"/>
      <c r="NN117" s="310"/>
      <c r="NO117" s="310"/>
      <c r="NP117" s="310"/>
      <c r="NQ117" s="310"/>
      <c r="NR117" s="310"/>
      <c r="NS117" s="310"/>
      <c r="NT117" s="310"/>
      <c r="NU117" s="310"/>
      <c r="NV117" s="310"/>
      <c r="NW117" s="310"/>
      <c r="NX117" s="310"/>
      <c r="NY117" s="310"/>
      <c r="NZ117" s="310"/>
      <c r="OA117" s="310"/>
      <c r="OB117" s="310"/>
      <c r="OC117" s="310"/>
      <c r="OD117" s="310"/>
      <c r="OE117" s="310"/>
      <c r="OF117" s="310"/>
      <c r="OG117" s="310"/>
      <c r="OH117" s="310"/>
      <c r="OI117" s="310"/>
      <c r="OJ117" s="310"/>
      <c r="OK117" s="310"/>
      <c r="OL117" s="310"/>
      <c r="OM117" s="310"/>
      <c r="ON117" s="310"/>
      <c r="OO117" s="310"/>
      <c r="OP117" s="310"/>
      <c r="OQ117" s="310"/>
      <c r="OR117" s="310"/>
      <c r="OS117" s="310"/>
      <c r="OT117" s="310"/>
      <c r="OU117" s="310"/>
      <c r="OV117" s="310"/>
      <c r="OW117" s="310"/>
      <c r="OX117" s="310"/>
      <c r="OY117" s="310"/>
      <c r="OZ117" s="310"/>
      <c r="PA117" s="310"/>
      <c r="PB117" s="310"/>
      <c r="PC117" s="310"/>
      <c r="PD117" s="310"/>
      <c r="PE117" s="310"/>
      <c r="PF117" s="310"/>
      <c r="PG117" s="310"/>
      <c r="PH117" s="310"/>
      <c r="PI117" s="310"/>
      <c r="PJ117" s="310"/>
      <c r="PK117" s="310"/>
      <c r="PL117" s="310"/>
      <c r="PM117" s="310"/>
      <c r="PN117" s="310"/>
      <c r="PO117" s="310"/>
      <c r="PP117" s="310"/>
      <c r="PQ117" s="310"/>
      <c r="PR117" s="310"/>
      <c r="PS117" s="342">
        <v>103</v>
      </c>
      <c r="PT117" s="261" t="e">
        <f t="shared" si="163"/>
        <v>#N/A</v>
      </c>
      <c r="PU117" s="261" t="e">
        <f t="shared" si="164"/>
        <v>#N/A</v>
      </c>
      <c r="PV117" s="310"/>
      <c r="PW117" s="310"/>
      <c r="PX117" s="310"/>
      <c r="PY117" s="310"/>
      <c r="PZ117" s="310"/>
      <c r="QA117" s="310"/>
      <c r="QB117" s="310"/>
      <c r="QC117" s="310"/>
      <c r="QD117" s="310"/>
      <c r="QE117" s="310"/>
      <c r="QF117" s="310"/>
      <c r="QG117" s="310"/>
      <c r="QH117" s="310"/>
      <c r="QI117" s="310"/>
      <c r="QJ117" s="310"/>
      <c r="QK117" s="310"/>
      <c r="QL117" s="310"/>
      <c r="QM117" s="310"/>
      <c r="QN117" s="310"/>
      <c r="QO117" s="310"/>
      <c r="QP117" s="310"/>
      <c r="QQ117" s="310"/>
      <c r="QR117" s="310"/>
      <c r="QS117" s="310"/>
      <c r="QT117" s="310"/>
      <c r="QU117" s="310"/>
      <c r="QV117" s="310"/>
      <c r="QW117" s="310"/>
      <c r="QX117" s="310"/>
      <c r="QY117" s="310"/>
      <c r="QZ117" s="310"/>
      <c r="RA117" s="310"/>
      <c r="RB117" s="310"/>
      <c r="RC117" s="310"/>
      <c r="RD117" s="310"/>
      <c r="RE117" s="310"/>
      <c r="RF117" s="310"/>
      <c r="RG117" s="310"/>
      <c r="RH117" s="310"/>
      <c r="RI117" s="310"/>
      <c r="RJ117" s="310"/>
      <c r="RK117" s="310"/>
      <c r="RL117" s="310"/>
      <c r="RM117" s="310"/>
      <c r="RN117" s="310"/>
      <c r="RO117" s="310"/>
      <c r="RP117" s="310"/>
      <c r="RQ117" s="310"/>
      <c r="RR117" s="310"/>
      <c r="RS117" s="310"/>
      <c r="RT117" s="310"/>
      <c r="RU117" s="310"/>
      <c r="RV117" s="310"/>
      <c r="RW117" s="310"/>
      <c r="RX117" s="310"/>
      <c r="RY117" s="310"/>
      <c r="RZ117" s="310"/>
      <c r="SA117" s="310"/>
      <c r="SB117" s="310"/>
      <c r="SC117" s="310"/>
      <c r="SD117" s="310"/>
      <c r="SE117" s="310"/>
      <c r="SF117" s="310"/>
      <c r="SG117" s="310"/>
      <c r="SH117" s="310"/>
      <c r="SI117" s="310"/>
      <c r="SJ117" s="310"/>
      <c r="SK117" s="310"/>
      <c r="SL117" s="310"/>
      <c r="SM117" s="310"/>
      <c r="SN117" s="310"/>
      <c r="SO117" s="220"/>
      <c r="SP117" s="220"/>
      <c r="SQ117" s="220"/>
      <c r="SR117" s="220"/>
      <c r="SS117" s="220"/>
      <c r="ST117" s="220"/>
      <c r="SU117" s="220"/>
      <c r="SV117" s="220"/>
      <c r="SW117" s="220"/>
      <c r="SX117" s="220"/>
      <c r="SY117" s="220"/>
      <c r="SZ117" s="220"/>
      <c r="TA117" s="220"/>
      <c r="TB117" s="220"/>
      <c r="TC117" s="220"/>
      <c r="TD117" s="220"/>
      <c r="TE117" s="220"/>
      <c r="TF117" s="220"/>
      <c r="TG117" s="220"/>
      <c r="TH117" s="220"/>
      <c r="TI117" s="220"/>
      <c r="TJ117" s="220"/>
      <c r="TK117" s="220"/>
      <c r="TL117" s="220"/>
      <c r="TM117" s="220"/>
      <c r="TN117" s="220"/>
      <c r="TO117" s="220"/>
      <c r="TP117" s="220"/>
      <c r="TQ117" s="220"/>
      <c r="TR117" s="220"/>
      <c r="TS117" s="220"/>
      <c r="TT117" s="220"/>
      <c r="TU117" s="220"/>
      <c r="TV117" s="220"/>
      <c r="TW117" s="220"/>
      <c r="TX117" s="220"/>
      <c r="TY117" s="220"/>
      <c r="TZ117" s="220"/>
      <c r="UA117" s="220"/>
      <c r="UB117" s="220"/>
      <c r="UC117" s="220"/>
      <c r="UD117" s="220"/>
      <c r="UE117" s="220"/>
      <c r="UF117" s="220"/>
      <c r="UG117" s="220"/>
      <c r="UH117" s="220"/>
      <c r="UI117" s="220"/>
      <c r="UJ117" s="220"/>
      <c r="UK117" s="216"/>
      <c r="UL117" s="216"/>
      <c r="UM117" s="216"/>
      <c r="UN117" s="216"/>
      <c r="UO117" s="216"/>
      <c r="UP117" s="216"/>
      <c r="UQ117" s="216"/>
      <c r="UR117" s="216"/>
      <c r="US117" s="216"/>
      <c r="UT117" s="216"/>
      <c r="UU117" s="216"/>
      <c r="UV117" s="216"/>
      <c r="UW117" s="216"/>
      <c r="UX117" s="216"/>
      <c r="UY117" s="216"/>
      <c r="UZ117" s="216"/>
      <c r="VA117" s="216"/>
    </row>
    <row r="118" spans="1:573" s="4" customFormat="1" x14ac:dyDescent="0.5">
      <c r="AP118" s="310"/>
      <c r="AQ118" s="310"/>
      <c r="AR118" s="310"/>
      <c r="AS118" s="310"/>
      <c r="AT118" s="310"/>
      <c r="AU118" s="310"/>
      <c r="AV118" s="310"/>
      <c r="AW118" s="310"/>
      <c r="AX118" s="310"/>
      <c r="AY118" s="310"/>
      <c r="AZ118" s="310"/>
      <c r="BA118" s="310"/>
      <c r="BB118" s="310"/>
      <c r="BC118" s="310"/>
      <c r="BD118" s="310"/>
      <c r="BE118" s="310"/>
      <c r="BF118" s="310"/>
      <c r="BG118" s="310"/>
      <c r="BH118" s="310"/>
      <c r="BI118" s="310"/>
      <c r="BJ118" s="310"/>
      <c r="BK118" s="310"/>
      <c r="BL118" s="310"/>
      <c r="BM118" s="310"/>
      <c r="BN118" s="310"/>
      <c r="BO118" s="310"/>
      <c r="BP118" s="310"/>
      <c r="BQ118" s="310"/>
      <c r="BR118" s="310"/>
      <c r="BS118" s="310"/>
      <c r="BT118" s="310"/>
      <c r="BU118" s="310"/>
      <c r="BV118" s="310"/>
      <c r="BW118" s="310"/>
      <c r="BX118" s="310"/>
      <c r="BY118" s="310"/>
      <c r="BZ118" s="310"/>
      <c r="CA118" s="310"/>
      <c r="CB118" s="310"/>
      <c r="CC118" s="310"/>
      <c r="CD118" s="310"/>
      <c r="CE118" s="310"/>
      <c r="CF118" s="310"/>
      <c r="CG118" s="310"/>
      <c r="CH118" s="310"/>
      <c r="CI118" s="310"/>
      <c r="CJ118" s="310"/>
      <c r="CK118" s="310"/>
      <c r="CL118" s="310"/>
      <c r="CM118" s="310"/>
      <c r="CN118" s="310"/>
      <c r="CO118" s="310"/>
      <c r="CP118" s="310"/>
      <c r="CQ118" s="310"/>
      <c r="CR118" s="310"/>
      <c r="CS118" s="310"/>
      <c r="CT118" s="310"/>
      <c r="CU118" s="310"/>
      <c r="CV118" s="310"/>
      <c r="CW118" s="310"/>
      <c r="CX118" s="310"/>
      <c r="CY118" s="310"/>
      <c r="CZ118" s="310"/>
      <c r="DA118" s="310"/>
      <c r="DB118" s="310"/>
      <c r="DC118" s="310"/>
      <c r="DD118" s="310"/>
      <c r="DE118" s="310"/>
      <c r="DF118" s="310"/>
      <c r="DG118" s="310"/>
      <c r="DH118" s="310"/>
      <c r="DI118" s="310"/>
      <c r="DJ118" s="310"/>
      <c r="DK118" s="310"/>
      <c r="DL118" s="310"/>
      <c r="DM118" s="310"/>
      <c r="DN118" s="310"/>
      <c r="DO118" s="310"/>
      <c r="DP118" s="310"/>
      <c r="DQ118" s="310"/>
      <c r="DR118" s="310"/>
      <c r="DS118" s="310"/>
      <c r="DT118" s="310"/>
      <c r="DU118" s="310"/>
      <c r="DV118" s="310"/>
      <c r="DW118" s="310"/>
      <c r="DX118" s="310"/>
      <c r="DY118" s="310"/>
      <c r="DZ118" s="310"/>
      <c r="EA118" s="310"/>
      <c r="EB118" s="310"/>
      <c r="EC118" s="310"/>
      <c r="ED118" s="310"/>
      <c r="EE118" s="310"/>
      <c r="EF118" s="310"/>
      <c r="EG118" s="310"/>
      <c r="EH118" s="310"/>
      <c r="EI118" s="338">
        <v>47</v>
      </c>
      <c r="EJ118" s="338" t="b">
        <f t="shared" si="127"/>
        <v>0</v>
      </c>
      <c r="EK118" s="281" t="e">
        <f t="shared" si="128"/>
        <v>#N/A</v>
      </c>
      <c r="EL118" s="281" t="e">
        <f t="shared" si="129"/>
        <v>#N/A</v>
      </c>
      <c r="EM118" s="310"/>
      <c r="EN118" s="280">
        <f>EN114+0.1</f>
        <v>-2.5833333333333264E-2</v>
      </c>
      <c r="EO118" s="280">
        <f>EO114</f>
        <v>0.12000000000000001</v>
      </c>
      <c r="EP118" s="310"/>
      <c r="EQ118" s="310"/>
      <c r="ER118" s="310"/>
      <c r="ES118" s="310"/>
      <c r="ET118" s="310"/>
      <c r="EU118" s="310"/>
      <c r="EV118" s="310"/>
      <c r="EW118" s="310"/>
      <c r="EX118" s="310"/>
      <c r="EY118" s="310"/>
      <c r="EZ118" s="310"/>
      <c r="FA118" s="310"/>
      <c r="FB118" s="310"/>
      <c r="FC118" s="310"/>
      <c r="FD118" s="310"/>
      <c r="FE118" s="310"/>
      <c r="FF118" s="310"/>
      <c r="FG118" s="310"/>
      <c r="FH118" s="310"/>
      <c r="FI118" s="310"/>
      <c r="FJ118" s="310"/>
      <c r="FK118" s="310"/>
      <c r="FL118" s="310"/>
      <c r="FM118" s="310"/>
      <c r="FN118" s="310"/>
      <c r="FO118" s="310"/>
      <c r="FP118" s="310"/>
      <c r="FQ118" s="310"/>
      <c r="FR118" s="310"/>
      <c r="FS118" s="310"/>
      <c r="FT118" s="310"/>
      <c r="FU118" s="310"/>
      <c r="FV118" s="310"/>
      <c r="FW118" s="310"/>
      <c r="FX118" s="310"/>
      <c r="FY118" s="310"/>
      <c r="FZ118" s="310"/>
      <c r="GA118" s="310"/>
      <c r="GB118" s="310"/>
      <c r="GC118" s="310"/>
      <c r="GD118" s="310"/>
      <c r="GE118" s="310"/>
      <c r="GF118" s="310"/>
      <c r="GG118" s="310"/>
      <c r="GH118" s="310"/>
      <c r="GI118" s="310"/>
      <c r="GJ118" s="310"/>
      <c r="GK118" s="310"/>
      <c r="GL118" s="310"/>
      <c r="GM118" s="310"/>
      <c r="GN118" s="310"/>
      <c r="GO118" s="310"/>
      <c r="GP118" s="310"/>
      <c r="GQ118" s="310"/>
      <c r="GR118" s="310"/>
      <c r="GS118" s="310"/>
      <c r="GT118" s="310"/>
      <c r="GU118" s="310"/>
      <c r="GV118" s="310"/>
      <c r="GW118" s="310"/>
      <c r="GX118" s="310"/>
      <c r="GY118" s="310"/>
      <c r="GZ118" s="310"/>
      <c r="HA118" s="310"/>
      <c r="HB118" s="310"/>
      <c r="HC118" s="310"/>
      <c r="HD118" s="310"/>
      <c r="HE118" s="310"/>
      <c r="HF118" s="310"/>
      <c r="HG118" s="310"/>
      <c r="HH118" s="310"/>
      <c r="HI118" s="310"/>
      <c r="HJ118" s="310"/>
      <c r="HK118" s="342">
        <v>104</v>
      </c>
      <c r="HL118" s="235" t="e">
        <f t="shared" si="139"/>
        <v>#N/A</v>
      </c>
      <c r="HM118" s="235" t="e">
        <f t="shared" si="140"/>
        <v>#N/A</v>
      </c>
      <c r="HN118" s="310"/>
      <c r="HO118" s="310"/>
      <c r="HP118" s="235" t="e">
        <f t="shared" si="141"/>
        <v>#N/A</v>
      </c>
      <c r="HQ118" s="235" t="e">
        <f t="shared" si="142"/>
        <v>#N/A</v>
      </c>
      <c r="HR118" s="310"/>
      <c r="HS118" s="310"/>
      <c r="HT118" s="235" t="e">
        <f t="shared" si="143"/>
        <v>#N/A</v>
      </c>
      <c r="HU118" s="235" t="e">
        <f t="shared" si="144"/>
        <v>#N/A</v>
      </c>
      <c r="HV118" s="310"/>
      <c r="HW118" s="310"/>
      <c r="HX118" s="235" t="e">
        <f t="shared" si="145"/>
        <v>#N/A</v>
      </c>
      <c r="HY118" s="235" t="e">
        <f t="shared" si="146"/>
        <v>#N/A</v>
      </c>
      <c r="HZ118" s="310"/>
      <c r="IA118" s="310"/>
      <c r="IB118" s="235" t="e">
        <f t="shared" si="147"/>
        <v>#N/A</v>
      </c>
      <c r="IC118" s="235" t="e">
        <f t="shared" si="148"/>
        <v>#N/A</v>
      </c>
      <c r="ID118" s="310"/>
      <c r="IE118" s="342">
        <v>104</v>
      </c>
      <c r="IF118" s="262" t="e">
        <f t="shared" si="149"/>
        <v>#N/A</v>
      </c>
      <c r="IG118" s="262" t="e">
        <f t="shared" si="150"/>
        <v>#N/A</v>
      </c>
      <c r="IH118" s="390"/>
      <c r="II118" s="390"/>
      <c r="IJ118" s="262" t="e">
        <f t="shared" si="151"/>
        <v>#N/A</v>
      </c>
      <c r="IK118" s="262" t="e">
        <f t="shared" si="152"/>
        <v>#N/A</v>
      </c>
      <c r="IL118" s="390"/>
      <c r="IM118" s="390"/>
      <c r="IN118" s="262" t="e">
        <f t="shared" si="153"/>
        <v>#N/A</v>
      </c>
      <c r="IO118" s="262" t="e">
        <f t="shared" si="154"/>
        <v>#N/A</v>
      </c>
      <c r="IP118" s="390"/>
      <c r="IQ118" s="390"/>
      <c r="IR118" s="262" t="e">
        <f t="shared" si="155"/>
        <v>#N/A</v>
      </c>
      <c r="IS118" s="262" t="e">
        <f t="shared" si="156"/>
        <v>#N/A</v>
      </c>
      <c r="IT118" s="390"/>
      <c r="IU118" s="390"/>
      <c r="IV118" s="262" t="e">
        <f t="shared" si="157"/>
        <v>#N/A</v>
      </c>
      <c r="IW118" s="262" t="e">
        <f t="shared" si="158"/>
        <v>#N/A</v>
      </c>
      <c r="IX118" s="310"/>
      <c r="IY118" s="310"/>
      <c r="IZ118" s="310"/>
      <c r="JA118" s="310"/>
      <c r="JB118" s="313" t="s">
        <v>398</v>
      </c>
      <c r="JC118" s="228">
        <f>IZ106-$IZ$108/2</f>
        <v>-0.8</v>
      </c>
      <c r="JD118" s="237">
        <f>JD107</f>
        <v>-0.57499999999999996</v>
      </c>
      <c r="JE118" s="310"/>
      <c r="JF118" s="310"/>
      <c r="JG118" s="310"/>
      <c r="JH118" s="310"/>
      <c r="JI118" s="313" t="s">
        <v>398</v>
      </c>
      <c r="JJ118" s="242">
        <f>JG106-$IZ$108/2</f>
        <v>-0.8</v>
      </c>
      <c r="JK118" s="266">
        <f>JK107</f>
        <v>-0.57499999999999996</v>
      </c>
      <c r="JL118" s="310"/>
      <c r="JM118" s="310"/>
      <c r="JN118" s="261" t="e">
        <f t="shared" si="159"/>
        <v>#N/A</v>
      </c>
      <c r="JO118" s="261" t="e">
        <f t="shared" si="160"/>
        <v>#N/A</v>
      </c>
      <c r="JP118" s="310"/>
      <c r="JQ118" s="310"/>
      <c r="JR118" s="261" t="e">
        <f t="shared" si="165"/>
        <v>#N/A</v>
      </c>
      <c r="JS118" s="261" t="e">
        <f t="shared" si="166"/>
        <v>#N/A</v>
      </c>
      <c r="JT118" s="310"/>
      <c r="JU118" s="310"/>
      <c r="JV118" s="261" t="e">
        <f t="shared" si="161"/>
        <v>#N/A</v>
      </c>
      <c r="JW118" s="261" t="e">
        <f t="shared" si="162"/>
        <v>#N/A</v>
      </c>
      <c r="JX118" s="310"/>
      <c r="JY118" s="311"/>
      <c r="JZ118" s="311"/>
      <c r="KA118" s="311"/>
      <c r="KB118" s="312"/>
      <c r="KC118" s="310"/>
      <c r="KD118" s="492"/>
      <c r="KE118" s="310"/>
      <c r="KF118" s="310"/>
      <c r="KG118" s="310"/>
      <c r="KH118" s="310"/>
      <c r="KI118" s="310"/>
      <c r="KJ118" s="310"/>
      <c r="KK118" s="310"/>
      <c r="KL118" s="310"/>
      <c r="KM118" s="310"/>
      <c r="KN118" s="310"/>
      <c r="KO118" s="310"/>
      <c r="KP118" s="310"/>
      <c r="KQ118" s="310"/>
      <c r="KR118" s="310"/>
      <c r="KS118" s="310"/>
      <c r="KT118" s="310"/>
      <c r="KU118" s="310"/>
      <c r="KV118" s="310"/>
      <c r="KW118" s="310"/>
      <c r="KX118" s="310"/>
      <c r="KY118" s="310"/>
      <c r="KZ118" s="310"/>
      <c r="LA118" s="310"/>
      <c r="LB118" s="310"/>
      <c r="LC118" s="310"/>
      <c r="LD118" s="310"/>
      <c r="LE118" s="310"/>
      <c r="LF118" s="310"/>
      <c r="LG118" s="310"/>
      <c r="LH118" s="310"/>
      <c r="LI118" s="310"/>
      <c r="LJ118" s="310"/>
      <c r="LK118" s="310"/>
      <c r="LL118" s="310"/>
      <c r="LM118" s="310"/>
      <c r="LN118" s="310"/>
      <c r="LO118" s="310"/>
      <c r="LP118" s="310"/>
      <c r="LQ118" s="310"/>
      <c r="LR118" s="310"/>
      <c r="LS118" s="310"/>
      <c r="LT118" s="310"/>
      <c r="LU118" s="310"/>
      <c r="LV118" s="310"/>
      <c r="LW118" s="310"/>
      <c r="LX118" s="310"/>
      <c r="LY118" s="310"/>
      <c r="LZ118" s="310"/>
      <c r="MA118" s="310"/>
      <c r="MB118" s="310"/>
      <c r="MC118" s="310"/>
      <c r="MD118" s="310"/>
      <c r="ME118" s="310"/>
      <c r="MF118" s="310"/>
      <c r="MG118" s="310"/>
      <c r="MH118" s="310"/>
      <c r="MI118" s="310"/>
      <c r="MJ118" s="310"/>
      <c r="MK118" s="310"/>
      <c r="ML118" s="310"/>
      <c r="MM118" s="310"/>
      <c r="MN118" s="310"/>
      <c r="MO118" s="310"/>
      <c r="MP118" s="310"/>
      <c r="MQ118" s="310"/>
      <c r="MR118" s="310"/>
      <c r="MS118" s="310"/>
      <c r="MT118" s="310"/>
      <c r="MU118" s="310"/>
      <c r="MV118" s="310"/>
      <c r="MW118" s="310"/>
      <c r="MX118" s="310"/>
      <c r="MY118" s="310"/>
      <c r="MZ118" s="310"/>
      <c r="NA118" s="310"/>
      <c r="NB118" s="310"/>
      <c r="NC118" s="310"/>
      <c r="ND118" s="310"/>
      <c r="NE118" s="310"/>
      <c r="NF118" s="310"/>
      <c r="NG118" s="310"/>
      <c r="NH118" s="310"/>
      <c r="NI118" s="310"/>
      <c r="NJ118" s="310"/>
      <c r="NK118" s="310"/>
      <c r="NL118" s="310"/>
      <c r="NM118" s="310"/>
      <c r="NN118" s="310"/>
      <c r="NO118" s="310"/>
      <c r="NP118" s="310"/>
      <c r="NQ118" s="310"/>
      <c r="NR118" s="310"/>
      <c r="NS118" s="310"/>
      <c r="NT118" s="310"/>
      <c r="NU118" s="310"/>
      <c r="NV118" s="310"/>
      <c r="NW118" s="310"/>
      <c r="NX118" s="310"/>
      <c r="NY118" s="310"/>
      <c r="NZ118" s="310"/>
      <c r="OA118" s="310"/>
      <c r="OB118" s="310"/>
      <c r="OC118" s="310"/>
      <c r="OD118" s="310"/>
      <c r="OE118" s="310"/>
      <c r="OF118" s="310"/>
      <c r="OG118" s="310"/>
      <c r="OH118" s="310"/>
      <c r="OI118" s="310"/>
      <c r="OJ118" s="310"/>
      <c r="OK118" s="310"/>
      <c r="OL118" s="310"/>
      <c r="OM118" s="310"/>
      <c r="ON118" s="310"/>
      <c r="OO118" s="310"/>
      <c r="OP118" s="310"/>
      <c r="OQ118" s="310"/>
      <c r="OR118" s="310"/>
      <c r="OS118" s="310"/>
      <c r="OT118" s="310"/>
      <c r="OU118" s="310"/>
      <c r="OV118" s="310"/>
      <c r="OW118" s="310"/>
      <c r="OX118" s="310"/>
      <c r="OY118" s="310"/>
      <c r="OZ118" s="310"/>
      <c r="PA118" s="310"/>
      <c r="PB118" s="310"/>
      <c r="PC118" s="310"/>
      <c r="PD118" s="310"/>
      <c r="PE118" s="310"/>
      <c r="PF118" s="310"/>
      <c r="PG118" s="310"/>
      <c r="PH118" s="310"/>
      <c r="PI118" s="310"/>
      <c r="PJ118" s="310"/>
      <c r="PK118" s="310"/>
      <c r="PL118" s="310"/>
      <c r="PM118" s="310"/>
      <c r="PN118" s="310"/>
      <c r="PO118" s="310"/>
      <c r="PP118" s="310"/>
      <c r="PQ118" s="310"/>
      <c r="PR118" s="310"/>
      <c r="PS118" s="342">
        <v>104</v>
      </c>
      <c r="PT118" s="261" t="e">
        <f t="shared" si="163"/>
        <v>#N/A</v>
      </c>
      <c r="PU118" s="261" t="e">
        <f t="shared" si="164"/>
        <v>#N/A</v>
      </c>
      <c r="PV118" s="310"/>
      <c r="PW118" s="310"/>
      <c r="PX118" s="310"/>
      <c r="PY118" s="310"/>
      <c r="PZ118" s="310"/>
      <c r="QA118" s="310"/>
      <c r="QB118" s="310"/>
      <c r="QC118" s="310"/>
      <c r="QD118" s="310"/>
      <c r="QE118" s="310"/>
      <c r="QF118" s="310"/>
      <c r="QG118" s="310"/>
      <c r="QH118" s="310"/>
      <c r="QI118" s="310"/>
      <c r="QJ118" s="310"/>
      <c r="QK118" s="310"/>
      <c r="QL118" s="310"/>
      <c r="QM118" s="310"/>
      <c r="QN118" s="310"/>
      <c r="QO118" s="310"/>
      <c r="QP118" s="310"/>
      <c r="QQ118" s="310"/>
      <c r="QR118" s="310"/>
      <c r="QS118" s="310"/>
      <c r="QT118" s="310"/>
      <c r="QU118" s="310"/>
      <c r="QV118" s="310"/>
      <c r="QW118" s="310"/>
      <c r="QX118" s="310"/>
      <c r="QY118" s="310"/>
      <c r="QZ118" s="310"/>
      <c r="RA118" s="310"/>
      <c r="RB118" s="310"/>
      <c r="RC118" s="310"/>
      <c r="RD118" s="310"/>
      <c r="RE118" s="310"/>
      <c r="RF118" s="310"/>
      <c r="RG118" s="310"/>
      <c r="RH118" s="310"/>
      <c r="RI118" s="310"/>
      <c r="RJ118" s="310"/>
      <c r="RK118" s="310"/>
      <c r="RL118" s="310"/>
      <c r="RM118" s="310"/>
      <c r="RN118" s="310"/>
      <c r="RO118" s="310"/>
      <c r="RP118" s="310"/>
      <c r="RQ118" s="310"/>
      <c r="RR118" s="310"/>
      <c r="RS118" s="310"/>
      <c r="RT118" s="310"/>
      <c r="RU118" s="310"/>
      <c r="RV118" s="310"/>
      <c r="RW118" s="310"/>
      <c r="RX118" s="310"/>
      <c r="RY118" s="310"/>
      <c r="RZ118" s="310"/>
      <c r="SA118" s="310"/>
      <c r="SB118" s="310"/>
      <c r="SC118" s="310"/>
      <c r="SD118" s="310"/>
      <c r="SE118" s="310"/>
      <c r="SF118" s="310"/>
      <c r="SG118" s="310"/>
      <c r="SH118" s="310"/>
      <c r="SI118" s="310"/>
      <c r="SJ118" s="310"/>
      <c r="SK118" s="310"/>
      <c r="SL118" s="310"/>
      <c r="SM118" s="310"/>
      <c r="SN118" s="310"/>
      <c r="SO118" s="220"/>
      <c r="SP118" s="220"/>
      <c r="SQ118" s="220"/>
      <c r="SR118" s="220"/>
      <c r="SS118" s="220"/>
      <c r="ST118" s="220"/>
      <c r="SU118" s="220"/>
      <c r="SV118" s="220"/>
      <c r="SW118" s="220"/>
      <c r="SX118" s="220"/>
      <c r="SY118" s="220"/>
      <c r="SZ118" s="220"/>
      <c r="TA118" s="220"/>
      <c r="TB118" s="220"/>
      <c r="TC118" s="220"/>
      <c r="TD118" s="220"/>
      <c r="TE118" s="220"/>
      <c r="TF118" s="220"/>
      <c r="TG118" s="220"/>
      <c r="TH118" s="220"/>
      <c r="TI118" s="220"/>
      <c r="TJ118" s="220"/>
      <c r="TK118" s="220"/>
      <c r="TL118" s="220"/>
      <c r="TM118" s="220"/>
      <c r="TN118" s="220"/>
      <c r="TO118" s="220"/>
      <c r="TP118" s="220"/>
      <c r="TQ118" s="220"/>
      <c r="TR118" s="220"/>
      <c r="TS118" s="220"/>
      <c r="TT118" s="220"/>
      <c r="TU118" s="220"/>
      <c r="TV118" s="220"/>
      <c r="TW118" s="220"/>
      <c r="TX118" s="220"/>
      <c r="TY118" s="220"/>
      <c r="TZ118" s="220"/>
      <c r="UA118" s="220"/>
      <c r="UB118" s="220"/>
      <c r="UC118" s="220"/>
      <c r="UD118" s="220"/>
      <c r="UE118" s="220"/>
      <c r="UF118" s="220"/>
      <c r="UG118" s="220"/>
      <c r="UH118" s="220"/>
      <c r="UI118" s="220"/>
      <c r="UJ118" s="220"/>
      <c r="UK118" s="216"/>
      <c r="UL118" s="216"/>
      <c r="UM118" s="216"/>
      <c r="UN118" s="216"/>
      <c r="UO118" s="216"/>
      <c r="UP118" s="216"/>
      <c r="UQ118" s="216"/>
      <c r="UR118" s="216"/>
      <c r="US118" s="216"/>
      <c r="UT118" s="216"/>
      <c r="UU118" s="216"/>
      <c r="UV118" s="216"/>
      <c r="UW118" s="216"/>
      <c r="UX118" s="216"/>
      <c r="UY118" s="216"/>
      <c r="UZ118" s="216"/>
      <c r="VA118" s="216"/>
    </row>
    <row r="119" spans="1:573" s="4" customFormat="1" x14ac:dyDescent="0.5">
      <c r="AP119" s="310"/>
      <c r="AQ119" s="310"/>
      <c r="AR119" s="310"/>
      <c r="AS119" s="310"/>
      <c r="AT119" s="310"/>
      <c r="AU119" s="310"/>
      <c r="AV119" s="310"/>
      <c r="AW119" s="310"/>
      <c r="AX119" s="310"/>
      <c r="AY119" s="310"/>
      <c r="AZ119" s="310"/>
      <c r="BA119" s="310"/>
      <c r="BB119" s="310"/>
      <c r="BC119" s="310"/>
      <c r="BD119" s="310"/>
      <c r="BE119" s="310"/>
      <c r="BF119" s="310"/>
      <c r="BG119" s="310"/>
      <c r="BH119" s="310"/>
      <c r="BI119" s="310"/>
      <c r="BJ119" s="310"/>
      <c r="BK119" s="310"/>
      <c r="BL119" s="310"/>
      <c r="BM119" s="310"/>
      <c r="BN119" s="310"/>
      <c r="BO119" s="310"/>
      <c r="BP119" s="310"/>
      <c r="BQ119" s="310"/>
      <c r="BR119" s="310"/>
      <c r="BS119" s="310"/>
      <c r="BT119" s="310"/>
      <c r="BU119" s="310"/>
      <c r="BV119" s="310"/>
      <c r="BW119" s="310"/>
      <c r="BX119" s="310"/>
      <c r="BY119" s="310"/>
      <c r="BZ119" s="310"/>
      <c r="CA119" s="310"/>
      <c r="CB119" s="310"/>
      <c r="CC119" s="310"/>
      <c r="CD119" s="310"/>
      <c r="CE119" s="310"/>
      <c r="CF119" s="310"/>
      <c r="CG119" s="310"/>
      <c r="CH119" s="310"/>
      <c r="CI119" s="310"/>
      <c r="CJ119" s="310"/>
      <c r="CK119" s="310"/>
      <c r="CL119" s="310"/>
      <c r="CM119" s="310"/>
      <c r="CN119" s="310"/>
      <c r="CO119" s="310"/>
      <c r="CP119" s="310"/>
      <c r="CQ119" s="310"/>
      <c r="CR119" s="310"/>
      <c r="CS119" s="310"/>
      <c r="CT119" s="310"/>
      <c r="CU119" s="310"/>
      <c r="CV119" s="310"/>
      <c r="CW119" s="310"/>
      <c r="CX119" s="310"/>
      <c r="CY119" s="310"/>
      <c r="CZ119" s="310"/>
      <c r="DA119" s="310"/>
      <c r="DB119" s="310"/>
      <c r="DC119" s="310"/>
      <c r="DD119" s="310"/>
      <c r="DE119" s="310"/>
      <c r="DF119" s="310"/>
      <c r="DG119" s="310"/>
      <c r="DH119" s="310"/>
      <c r="DI119" s="310"/>
      <c r="DJ119" s="310"/>
      <c r="DK119" s="310"/>
      <c r="DL119" s="310"/>
      <c r="DM119" s="310"/>
      <c r="DN119" s="310"/>
      <c r="DO119" s="310"/>
      <c r="DP119" s="310"/>
      <c r="DQ119" s="310"/>
      <c r="DR119" s="310"/>
      <c r="DS119" s="310"/>
      <c r="DT119" s="310"/>
      <c r="DU119" s="310"/>
      <c r="DV119" s="310"/>
      <c r="DW119" s="310"/>
      <c r="DX119" s="310"/>
      <c r="DY119" s="310"/>
      <c r="DZ119" s="310"/>
      <c r="EA119" s="310"/>
      <c r="EB119" s="310"/>
      <c r="EC119" s="310"/>
      <c r="ED119" s="310"/>
      <c r="EE119" s="310"/>
      <c r="EF119" s="310"/>
      <c r="EG119" s="310"/>
      <c r="EH119" s="310"/>
      <c r="EI119" s="338">
        <v>48</v>
      </c>
      <c r="EJ119" s="338" t="b">
        <f t="shared" si="127"/>
        <v>0</v>
      </c>
      <c r="EK119" s="281" t="e">
        <f t="shared" si="128"/>
        <v>#N/A</v>
      </c>
      <c r="EL119" s="281" t="e">
        <f t="shared" si="129"/>
        <v>#N/A</v>
      </c>
      <c r="EM119" s="310"/>
      <c r="EN119" s="280">
        <f>EN115+0.1</f>
        <v>0.22416666666666674</v>
      </c>
      <c r="EO119" s="280">
        <f>EO115</f>
        <v>1.1000000000000001</v>
      </c>
      <c r="EP119" s="310"/>
      <c r="EQ119" s="310"/>
      <c r="ER119" s="310"/>
      <c r="ES119" s="310"/>
      <c r="ET119" s="310"/>
      <c r="EU119" s="310"/>
      <c r="EV119" s="310"/>
      <c r="EW119" s="310"/>
      <c r="EX119" s="310"/>
      <c r="EY119" s="310"/>
      <c r="EZ119" s="310"/>
      <c r="FA119" s="310"/>
      <c r="FB119" s="310"/>
      <c r="FC119" s="310"/>
      <c r="FD119" s="310"/>
      <c r="FE119" s="310"/>
      <c r="FF119" s="310"/>
      <c r="FG119" s="310"/>
      <c r="FH119" s="310"/>
      <c r="FI119" s="310"/>
      <c r="FJ119" s="310"/>
      <c r="FK119" s="310"/>
      <c r="FL119" s="310"/>
      <c r="FM119" s="310"/>
      <c r="FN119" s="310"/>
      <c r="FO119" s="310"/>
      <c r="FP119" s="310"/>
      <c r="FQ119" s="310"/>
      <c r="FR119" s="310"/>
      <c r="FS119" s="310"/>
      <c r="FT119" s="310"/>
      <c r="FU119" s="310"/>
      <c r="FV119" s="310"/>
      <c r="FW119" s="310"/>
      <c r="FX119" s="310"/>
      <c r="FY119" s="310"/>
      <c r="FZ119" s="310"/>
      <c r="GA119" s="310"/>
      <c r="GB119" s="310"/>
      <c r="GC119" s="310"/>
      <c r="GD119" s="310"/>
      <c r="GE119" s="310"/>
      <c r="GF119" s="310"/>
      <c r="GG119" s="310"/>
      <c r="GH119" s="310"/>
      <c r="GI119" s="310"/>
      <c r="GJ119" s="310"/>
      <c r="GK119" s="310"/>
      <c r="GL119" s="310"/>
      <c r="GM119" s="310"/>
      <c r="GN119" s="310"/>
      <c r="GO119" s="310"/>
      <c r="GP119" s="310"/>
      <c r="GQ119" s="310"/>
      <c r="GR119" s="310"/>
      <c r="GS119" s="310"/>
      <c r="GT119" s="310"/>
      <c r="GU119" s="310"/>
      <c r="GV119" s="310"/>
      <c r="GW119" s="310"/>
      <c r="GX119" s="310"/>
      <c r="GY119" s="310"/>
      <c r="GZ119" s="310"/>
      <c r="HA119" s="310"/>
      <c r="HB119" s="310"/>
      <c r="HC119" s="310"/>
      <c r="HD119" s="310"/>
      <c r="HE119" s="310"/>
      <c r="HF119" s="310"/>
      <c r="HG119" s="310"/>
      <c r="HH119" s="310"/>
      <c r="HI119" s="310"/>
      <c r="HJ119" s="310"/>
      <c r="HK119" s="342">
        <v>105</v>
      </c>
      <c r="HL119" s="235" t="e">
        <f t="shared" si="139"/>
        <v>#N/A</v>
      </c>
      <c r="HM119" s="235" t="e">
        <f t="shared" si="140"/>
        <v>#N/A</v>
      </c>
      <c r="HN119" s="310"/>
      <c r="HO119" s="310"/>
      <c r="HP119" s="235" t="e">
        <f t="shared" si="141"/>
        <v>#N/A</v>
      </c>
      <c r="HQ119" s="235" t="e">
        <f t="shared" si="142"/>
        <v>#N/A</v>
      </c>
      <c r="HR119" s="310"/>
      <c r="HS119" s="310"/>
      <c r="HT119" s="235" t="e">
        <f t="shared" si="143"/>
        <v>#N/A</v>
      </c>
      <c r="HU119" s="235" t="e">
        <f t="shared" si="144"/>
        <v>#N/A</v>
      </c>
      <c r="HV119" s="310"/>
      <c r="HW119" s="310"/>
      <c r="HX119" s="235" t="e">
        <f t="shared" si="145"/>
        <v>#N/A</v>
      </c>
      <c r="HY119" s="235" t="e">
        <f t="shared" si="146"/>
        <v>#N/A</v>
      </c>
      <c r="HZ119" s="310"/>
      <c r="IA119" s="310"/>
      <c r="IB119" s="235" t="e">
        <f t="shared" si="147"/>
        <v>#N/A</v>
      </c>
      <c r="IC119" s="235" t="e">
        <f t="shared" si="148"/>
        <v>#N/A</v>
      </c>
      <c r="ID119" s="310"/>
      <c r="IE119" s="342">
        <v>105</v>
      </c>
      <c r="IF119" s="262" t="e">
        <f t="shared" si="149"/>
        <v>#N/A</v>
      </c>
      <c r="IG119" s="262" t="e">
        <f t="shared" si="150"/>
        <v>#N/A</v>
      </c>
      <c r="IH119" s="390"/>
      <c r="II119" s="390"/>
      <c r="IJ119" s="262" t="e">
        <f t="shared" si="151"/>
        <v>#N/A</v>
      </c>
      <c r="IK119" s="262" t="e">
        <f t="shared" si="152"/>
        <v>#N/A</v>
      </c>
      <c r="IL119" s="390"/>
      <c r="IM119" s="390"/>
      <c r="IN119" s="262" t="e">
        <f t="shared" si="153"/>
        <v>#N/A</v>
      </c>
      <c r="IO119" s="262" t="e">
        <f t="shared" si="154"/>
        <v>#N/A</v>
      </c>
      <c r="IP119" s="390"/>
      <c r="IQ119" s="390"/>
      <c r="IR119" s="262" t="e">
        <f t="shared" si="155"/>
        <v>#N/A</v>
      </c>
      <c r="IS119" s="262" t="e">
        <f t="shared" si="156"/>
        <v>#N/A</v>
      </c>
      <c r="IT119" s="390"/>
      <c r="IU119" s="390"/>
      <c r="IV119" s="262" t="e">
        <f t="shared" si="157"/>
        <v>#N/A</v>
      </c>
      <c r="IW119" s="262" t="e">
        <f t="shared" si="158"/>
        <v>#N/A</v>
      </c>
      <c r="IX119" s="310"/>
      <c r="IY119" s="310"/>
      <c r="IZ119" s="310"/>
      <c r="JA119" s="310"/>
      <c r="JB119" s="313" t="s">
        <v>399</v>
      </c>
      <c r="JC119" s="228">
        <f>JC118</f>
        <v>-0.8</v>
      </c>
      <c r="JD119" s="228">
        <f>JD106</f>
        <v>-0.51500000000000001</v>
      </c>
      <c r="JE119" s="310"/>
      <c r="JF119" s="310"/>
      <c r="JG119" s="310"/>
      <c r="JH119" s="310"/>
      <c r="JI119" s="313" t="s">
        <v>399</v>
      </c>
      <c r="JJ119" s="242">
        <f>JJ118</f>
        <v>-0.8</v>
      </c>
      <c r="JK119" s="242">
        <f>JK106</f>
        <v>-0.51500000000000001</v>
      </c>
      <c r="JL119" s="310"/>
      <c r="JM119" s="310"/>
      <c r="JN119" s="261" t="e">
        <f t="shared" si="159"/>
        <v>#N/A</v>
      </c>
      <c r="JO119" s="261" t="e">
        <f t="shared" si="160"/>
        <v>#N/A</v>
      </c>
      <c r="JP119" s="310"/>
      <c r="JQ119" s="310"/>
      <c r="JR119" s="261" t="e">
        <f t="shared" si="165"/>
        <v>#N/A</v>
      </c>
      <c r="JS119" s="261" t="e">
        <f t="shared" si="166"/>
        <v>#N/A</v>
      </c>
      <c r="JT119" s="310"/>
      <c r="JU119" s="310"/>
      <c r="JV119" s="261" t="e">
        <f t="shared" si="161"/>
        <v>#N/A</v>
      </c>
      <c r="JW119" s="261" t="e">
        <f t="shared" si="162"/>
        <v>#N/A</v>
      </c>
      <c r="JX119" s="310"/>
      <c r="JY119" s="311"/>
      <c r="JZ119" s="311"/>
      <c r="KA119" s="311"/>
      <c r="KB119" s="312"/>
      <c r="KC119" s="310"/>
      <c r="KD119" s="310"/>
      <c r="KE119" s="310"/>
      <c r="KF119" s="310"/>
      <c r="KG119" s="310"/>
      <c r="KH119" s="310"/>
      <c r="KI119" s="310"/>
      <c r="KJ119" s="310"/>
      <c r="KK119" s="310"/>
      <c r="KL119" s="310"/>
      <c r="KM119" s="310"/>
      <c r="KN119" s="310"/>
      <c r="KO119" s="310"/>
      <c r="KP119" s="310"/>
      <c r="KQ119" s="310"/>
      <c r="KR119" s="310"/>
      <c r="KS119" s="310"/>
      <c r="KT119" s="310"/>
      <c r="KU119" s="310"/>
      <c r="KV119" s="310"/>
      <c r="KW119" s="310"/>
      <c r="KX119" s="310"/>
      <c r="KY119" s="310"/>
      <c r="KZ119" s="310"/>
      <c r="LA119" s="310"/>
      <c r="LB119" s="310"/>
      <c r="LC119" s="310"/>
      <c r="LD119" s="310"/>
      <c r="LE119" s="310"/>
      <c r="LF119" s="310"/>
      <c r="LG119" s="310"/>
      <c r="LH119" s="310"/>
      <c r="LI119" s="310"/>
      <c r="LJ119" s="310"/>
      <c r="LK119" s="310"/>
      <c r="LL119" s="310"/>
      <c r="LM119" s="310"/>
      <c r="LN119" s="310"/>
      <c r="LO119" s="310"/>
      <c r="LP119" s="310"/>
      <c r="LQ119" s="310"/>
      <c r="LR119" s="310"/>
      <c r="LS119" s="310"/>
      <c r="LT119" s="310"/>
      <c r="LU119" s="310"/>
      <c r="LV119" s="310"/>
      <c r="LW119" s="310"/>
      <c r="LX119" s="310"/>
      <c r="LY119" s="310"/>
      <c r="LZ119" s="310"/>
      <c r="MA119" s="310"/>
      <c r="MB119" s="310"/>
      <c r="MC119" s="310"/>
      <c r="MD119" s="310"/>
      <c r="ME119" s="310"/>
      <c r="MF119" s="310"/>
      <c r="MG119" s="310"/>
      <c r="MH119" s="310"/>
      <c r="MI119" s="310"/>
      <c r="MJ119" s="310"/>
      <c r="MK119" s="310"/>
      <c r="ML119" s="310"/>
      <c r="MM119" s="310"/>
      <c r="MN119" s="310"/>
      <c r="MO119" s="310"/>
      <c r="MP119" s="310"/>
      <c r="MQ119" s="310"/>
      <c r="MR119" s="310"/>
      <c r="MS119" s="310"/>
      <c r="MT119" s="310"/>
      <c r="MU119" s="310"/>
      <c r="MV119" s="310"/>
      <c r="MW119" s="310"/>
      <c r="MX119" s="310"/>
      <c r="MY119" s="310"/>
      <c r="MZ119" s="310"/>
      <c r="NA119" s="310"/>
      <c r="NB119" s="310"/>
      <c r="NC119" s="310"/>
      <c r="ND119" s="310"/>
      <c r="NE119" s="310"/>
      <c r="NF119" s="310"/>
      <c r="NG119" s="310"/>
      <c r="NH119" s="310"/>
      <c r="NI119" s="310"/>
      <c r="NJ119" s="310"/>
      <c r="NK119" s="310"/>
      <c r="NL119" s="310"/>
      <c r="NM119" s="310"/>
      <c r="NN119" s="310"/>
      <c r="NO119" s="310"/>
      <c r="NP119" s="310"/>
      <c r="NQ119" s="310"/>
      <c r="NR119" s="310"/>
      <c r="NS119" s="310"/>
      <c r="NT119" s="310"/>
      <c r="NU119" s="310"/>
      <c r="NV119" s="310"/>
      <c r="NW119" s="310"/>
      <c r="NX119" s="310"/>
      <c r="NY119" s="310"/>
      <c r="NZ119" s="310"/>
      <c r="OA119" s="310"/>
      <c r="OB119" s="310"/>
      <c r="OC119" s="310"/>
      <c r="OD119" s="310"/>
      <c r="OE119" s="310"/>
      <c r="OF119" s="310"/>
      <c r="OG119" s="310"/>
      <c r="OH119" s="310"/>
      <c r="OI119" s="310"/>
      <c r="OJ119" s="310"/>
      <c r="OK119" s="310"/>
      <c r="OL119" s="310"/>
      <c r="OM119" s="310"/>
      <c r="ON119" s="310"/>
      <c r="OO119" s="310"/>
      <c r="OP119" s="310"/>
      <c r="OQ119" s="310"/>
      <c r="OR119" s="310"/>
      <c r="OS119" s="310"/>
      <c r="OT119" s="310"/>
      <c r="OU119" s="310"/>
      <c r="OV119" s="310"/>
      <c r="OW119" s="310"/>
      <c r="OX119" s="310"/>
      <c r="OY119" s="310"/>
      <c r="OZ119" s="310"/>
      <c r="PA119" s="310"/>
      <c r="PB119" s="310"/>
      <c r="PC119" s="310"/>
      <c r="PD119" s="310"/>
      <c r="PE119" s="310"/>
      <c r="PF119" s="310"/>
      <c r="PG119" s="310"/>
      <c r="PH119" s="310"/>
      <c r="PI119" s="310"/>
      <c r="PJ119" s="310"/>
      <c r="PK119" s="310"/>
      <c r="PL119" s="310"/>
      <c r="PM119" s="310"/>
      <c r="PN119" s="310"/>
      <c r="PO119" s="310"/>
      <c r="PP119" s="310"/>
      <c r="PQ119" s="310"/>
      <c r="PR119" s="310"/>
      <c r="PS119" s="342">
        <v>105</v>
      </c>
      <c r="PT119" s="261" t="e">
        <f t="shared" si="163"/>
        <v>#N/A</v>
      </c>
      <c r="PU119" s="261" t="e">
        <f t="shared" si="164"/>
        <v>#N/A</v>
      </c>
      <c r="PV119" s="310"/>
      <c r="PW119" s="310"/>
      <c r="PX119" s="310"/>
      <c r="PY119" s="310"/>
      <c r="PZ119" s="310"/>
      <c r="QA119" s="310"/>
      <c r="QB119" s="310"/>
      <c r="QC119" s="310"/>
      <c r="QD119" s="310"/>
      <c r="QE119" s="310"/>
      <c r="QF119" s="310"/>
      <c r="QG119" s="310"/>
      <c r="QH119" s="310"/>
      <c r="QI119" s="310"/>
      <c r="QJ119" s="310"/>
      <c r="QK119" s="310"/>
      <c r="QL119" s="310"/>
      <c r="QM119" s="310"/>
      <c r="QN119" s="310"/>
      <c r="QO119" s="310"/>
      <c r="QP119" s="310"/>
      <c r="QQ119" s="310"/>
      <c r="QR119" s="310"/>
      <c r="QS119" s="310"/>
      <c r="QT119" s="310"/>
      <c r="QU119" s="310"/>
      <c r="QV119" s="310"/>
      <c r="QW119" s="310"/>
      <c r="QX119" s="310"/>
      <c r="QY119" s="310"/>
      <c r="QZ119" s="310"/>
      <c r="RA119" s="310"/>
      <c r="RB119" s="310"/>
      <c r="RC119" s="310"/>
      <c r="RD119" s="310"/>
      <c r="RE119" s="310"/>
      <c r="RF119" s="310"/>
      <c r="RG119" s="310"/>
      <c r="RH119" s="310"/>
      <c r="RI119" s="310"/>
      <c r="RJ119" s="310"/>
      <c r="RK119" s="310"/>
      <c r="RL119" s="310"/>
      <c r="RM119" s="310"/>
      <c r="RN119" s="310"/>
      <c r="RO119" s="310"/>
      <c r="RP119" s="310"/>
      <c r="RQ119" s="310"/>
      <c r="RR119" s="310"/>
      <c r="RS119" s="310"/>
      <c r="RT119" s="310"/>
      <c r="RU119" s="310"/>
      <c r="RV119" s="310"/>
      <c r="RW119" s="310"/>
      <c r="RX119" s="310"/>
      <c r="RY119" s="310"/>
      <c r="RZ119" s="310"/>
      <c r="SA119" s="310"/>
      <c r="SB119" s="310"/>
      <c r="SC119" s="310"/>
      <c r="SD119" s="310"/>
      <c r="SE119" s="310"/>
      <c r="SF119" s="310"/>
      <c r="SG119" s="310"/>
      <c r="SH119" s="310"/>
      <c r="SI119" s="310"/>
      <c r="SJ119" s="310"/>
      <c r="SK119" s="310"/>
      <c r="SL119" s="310"/>
      <c r="SM119" s="310"/>
      <c r="SN119" s="310"/>
      <c r="SO119" s="220"/>
      <c r="SP119" s="220"/>
      <c r="SQ119" s="220"/>
      <c r="SR119" s="220"/>
      <c r="SS119" s="220"/>
      <c r="ST119" s="220"/>
      <c r="SU119" s="220"/>
      <c r="SV119" s="220"/>
      <c r="SW119" s="220"/>
      <c r="SX119" s="220"/>
      <c r="SY119" s="220"/>
      <c r="SZ119" s="220"/>
      <c r="TA119" s="220"/>
      <c r="TB119" s="220"/>
      <c r="TC119" s="220"/>
      <c r="TD119" s="220"/>
      <c r="TE119" s="220"/>
      <c r="TF119" s="220"/>
      <c r="TG119" s="220"/>
      <c r="TH119" s="220"/>
      <c r="TI119" s="220"/>
      <c r="TJ119" s="220"/>
      <c r="TK119" s="220"/>
      <c r="TL119" s="220"/>
      <c r="TM119" s="220"/>
      <c r="TN119" s="220"/>
      <c r="TO119" s="220"/>
      <c r="TP119" s="220"/>
      <c r="TQ119" s="220"/>
      <c r="TR119" s="220"/>
      <c r="TS119" s="220"/>
      <c r="TT119" s="220"/>
      <c r="TU119" s="220"/>
      <c r="TV119" s="220"/>
      <c r="TW119" s="220"/>
      <c r="TX119" s="220"/>
      <c r="TY119" s="220"/>
      <c r="TZ119" s="220"/>
      <c r="UA119" s="220"/>
      <c r="UB119" s="220"/>
      <c r="UC119" s="220"/>
      <c r="UD119" s="220"/>
      <c r="UE119" s="220"/>
      <c r="UF119" s="220"/>
      <c r="UG119" s="220"/>
      <c r="UH119" s="220"/>
      <c r="UI119" s="220"/>
      <c r="UJ119" s="220"/>
      <c r="UK119" s="216"/>
      <c r="UL119" s="216"/>
      <c r="UM119" s="216"/>
      <c r="UN119" s="216"/>
      <c r="UO119" s="216"/>
      <c r="UP119" s="216"/>
      <c r="UQ119" s="216"/>
      <c r="UR119" s="216"/>
      <c r="US119" s="216"/>
      <c r="UT119" s="216"/>
      <c r="UU119" s="216"/>
      <c r="UV119" s="216"/>
      <c r="UW119" s="216"/>
      <c r="UX119" s="216"/>
      <c r="UY119" s="216"/>
      <c r="UZ119" s="216"/>
      <c r="VA119" s="216"/>
    </row>
    <row r="120" spans="1:573" s="4" customFormat="1" x14ac:dyDescent="0.5">
      <c r="AP120" s="310"/>
      <c r="AQ120" s="310"/>
      <c r="AR120" s="310"/>
      <c r="AS120" s="310"/>
      <c r="AT120" s="310"/>
      <c r="AU120" s="310"/>
      <c r="AV120" s="310"/>
      <c r="AW120" s="310"/>
      <c r="AX120" s="310"/>
      <c r="AY120" s="310"/>
      <c r="AZ120" s="310"/>
      <c r="BA120" s="310"/>
      <c r="BB120" s="310"/>
      <c r="BC120" s="310"/>
      <c r="BD120" s="310"/>
      <c r="BE120" s="310"/>
      <c r="BF120" s="310"/>
      <c r="BG120" s="310"/>
      <c r="BH120" s="310"/>
      <c r="BI120" s="310"/>
      <c r="BJ120" s="310"/>
      <c r="BK120" s="310"/>
      <c r="BL120" s="310"/>
      <c r="BM120" s="310"/>
      <c r="BN120" s="310"/>
      <c r="BO120" s="310"/>
      <c r="BP120" s="310"/>
      <c r="BQ120" s="310"/>
      <c r="BR120" s="310"/>
      <c r="BS120" s="310"/>
      <c r="BT120" s="310"/>
      <c r="BU120" s="310"/>
      <c r="BV120" s="310"/>
      <c r="BW120" s="310"/>
      <c r="BX120" s="310"/>
      <c r="BY120" s="310"/>
      <c r="BZ120" s="310"/>
      <c r="CA120" s="310"/>
      <c r="CB120" s="310"/>
      <c r="CC120" s="310"/>
      <c r="CD120" s="310"/>
      <c r="CE120" s="310"/>
      <c r="CF120" s="310"/>
      <c r="CG120" s="310"/>
      <c r="CH120" s="310"/>
      <c r="CI120" s="310"/>
      <c r="CJ120" s="310"/>
      <c r="CK120" s="310"/>
      <c r="CL120" s="310"/>
      <c r="CM120" s="310"/>
      <c r="CN120" s="310"/>
      <c r="CO120" s="310"/>
      <c r="CP120" s="310"/>
      <c r="CQ120" s="310"/>
      <c r="CR120" s="310"/>
      <c r="CS120" s="310"/>
      <c r="CT120" s="310"/>
      <c r="CU120" s="310"/>
      <c r="CV120" s="310"/>
      <c r="CW120" s="310"/>
      <c r="CX120" s="310"/>
      <c r="CY120" s="310"/>
      <c r="CZ120" s="310"/>
      <c r="DA120" s="310"/>
      <c r="DB120" s="310"/>
      <c r="DC120" s="310"/>
      <c r="DD120" s="310"/>
      <c r="DE120" s="310"/>
      <c r="DF120" s="310"/>
      <c r="DG120" s="310"/>
      <c r="DH120" s="310"/>
      <c r="DI120" s="310"/>
      <c r="DJ120" s="310"/>
      <c r="DK120" s="310"/>
      <c r="DL120" s="310"/>
      <c r="DM120" s="310"/>
      <c r="DN120" s="310"/>
      <c r="DO120" s="310"/>
      <c r="DP120" s="310"/>
      <c r="DQ120" s="310"/>
      <c r="DR120" s="310"/>
      <c r="DS120" s="310"/>
      <c r="DT120" s="310"/>
      <c r="DU120" s="310"/>
      <c r="DV120" s="310"/>
      <c r="DW120" s="310"/>
      <c r="DX120" s="310"/>
      <c r="DY120" s="310"/>
      <c r="DZ120" s="310"/>
      <c r="EA120" s="310"/>
      <c r="EB120" s="310"/>
      <c r="EC120" s="310"/>
      <c r="ED120" s="310"/>
      <c r="EE120" s="310"/>
      <c r="EF120" s="310"/>
      <c r="EG120" s="310"/>
      <c r="EH120" s="310"/>
      <c r="EI120" s="338">
        <v>49</v>
      </c>
      <c r="EJ120" s="338" t="b">
        <f t="shared" si="127"/>
        <v>0</v>
      </c>
      <c r="EK120" s="281" t="e">
        <f t="shared" si="128"/>
        <v>#N/A</v>
      </c>
      <c r="EL120" s="281" t="e">
        <f t="shared" si="129"/>
        <v>#N/A</v>
      </c>
      <c r="EM120" s="310"/>
      <c r="EN120" s="280">
        <f>EN116+0.1</f>
        <v>0.42416666666666669</v>
      </c>
      <c r="EO120" s="280">
        <f>EO116</f>
        <v>1.1000000000000001</v>
      </c>
      <c r="EP120" s="310"/>
      <c r="EQ120" s="310"/>
      <c r="ER120" s="310"/>
      <c r="ES120" s="310"/>
      <c r="ET120" s="310"/>
      <c r="EU120" s="310"/>
      <c r="EV120" s="310"/>
      <c r="EW120" s="310"/>
      <c r="EX120" s="310"/>
      <c r="EY120" s="310"/>
      <c r="EZ120" s="310"/>
      <c r="FA120" s="310"/>
      <c r="FB120" s="310"/>
      <c r="FC120" s="310"/>
      <c r="FD120" s="310"/>
      <c r="FE120" s="310"/>
      <c r="FF120" s="310"/>
      <c r="FG120" s="310"/>
      <c r="FH120" s="310"/>
      <c r="FI120" s="310"/>
      <c r="FJ120" s="310"/>
      <c r="FK120" s="310"/>
      <c r="FL120" s="310"/>
      <c r="FM120" s="310"/>
      <c r="FN120" s="310"/>
      <c r="FO120" s="310"/>
      <c r="FP120" s="310"/>
      <c r="FQ120" s="310"/>
      <c r="FR120" s="310"/>
      <c r="FS120" s="310"/>
      <c r="FT120" s="310"/>
      <c r="FU120" s="310"/>
      <c r="FV120" s="310"/>
      <c r="FW120" s="310"/>
      <c r="FX120" s="310"/>
      <c r="FY120" s="310"/>
      <c r="FZ120" s="310"/>
      <c r="GA120" s="310"/>
      <c r="GB120" s="310"/>
      <c r="GC120" s="310"/>
      <c r="GD120" s="310"/>
      <c r="GE120" s="310"/>
      <c r="GF120" s="310"/>
      <c r="GG120" s="310"/>
      <c r="GH120" s="310"/>
      <c r="GI120" s="310"/>
      <c r="GJ120" s="310"/>
      <c r="GK120" s="310"/>
      <c r="GL120" s="310"/>
      <c r="GM120" s="310"/>
      <c r="GN120" s="310"/>
      <c r="GO120" s="310"/>
      <c r="GP120" s="310"/>
      <c r="GQ120" s="310"/>
      <c r="GR120" s="310"/>
      <c r="GS120" s="310"/>
      <c r="GT120" s="310"/>
      <c r="GU120" s="310"/>
      <c r="GV120" s="310"/>
      <c r="GW120" s="310"/>
      <c r="GX120" s="310"/>
      <c r="GY120" s="310"/>
      <c r="GZ120" s="310"/>
      <c r="HA120" s="310"/>
      <c r="HB120" s="310"/>
      <c r="HC120" s="310"/>
      <c r="HD120" s="310"/>
      <c r="HE120" s="310"/>
      <c r="HF120" s="310"/>
      <c r="HG120" s="310"/>
      <c r="HH120" s="310"/>
      <c r="HI120" s="310"/>
      <c r="HJ120" s="310"/>
      <c r="HK120" s="342">
        <v>106</v>
      </c>
      <c r="HL120" s="235" t="e">
        <f t="shared" si="139"/>
        <v>#N/A</v>
      </c>
      <c r="HM120" s="235" t="e">
        <f t="shared" si="140"/>
        <v>#N/A</v>
      </c>
      <c r="HN120" s="310"/>
      <c r="HO120" s="310"/>
      <c r="HP120" s="235" t="e">
        <f t="shared" si="141"/>
        <v>#N/A</v>
      </c>
      <c r="HQ120" s="235" t="e">
        <f t="shared" si="142"/>
        <v>#N/A</v>
      </c>
      <c r="HR120" s="310"/>
      <c r="HS120" s="310"/>
      <c r="HT120" s="235" t="e">
        <f t="shared" si="143"/>
        <v>#N/A</v>
      </c>
      <c r="HU120" s="235" t="e">
        <f t="shared" si="144"/>
        <v>#N/A</v>
      </c>
      <c r="HV120" s="310"/>
      <c r="HW120" s="310"/>
      <c r="HX120" s="235" t="e">
        <f t="shared" si="145"/>
        <v>#N/A</v>
      </c>
      <c r="HY120" s="235" t="e">
        <f t="shared" si="146"/>
        <v>#N/A</v>
      </c>
      <c r="HZ120" s="310"/>
      <c r="IA120" s="310"/>
      <c r="IB120" s="235" t="e">
        <f t="shared" si="147"/>
        <v>#N/A</v>
      </c>
      <c r="IC120" s="235" t="e">
        <f t="shared" si="148"/>
        <v>#N/A</v>
      </c>
      <c r="ID120" s="310"/>
      <c r="IE120" s="342">
        <v>106</v>
      </c>
      <c r="IF120" s="262" t="e">
        <f t="shared" si="149"/>
        <v>#N/A</v>
      </c>
      <c r="IG120" s="262" t="e">
        <f t="shared" si="150"/>
        <v>#N/A</v>
      </c>
      <c r="IH120" s="390"/>
      <c r="II120" s="390"/>
      <c r="IJ120" s="262" t="e">
        <f t="shared" si="151"/>
        <v>#N/A</v>
      </c>
      <c r="IK120" s="262" t="e">
        <f t="shared" si="152"/>
        <v>#N/A</v>
      </c>
      <c r="IL120" s="390"/>
      <c r="IM120" s="390"/>
      <c r="IN120" s="262" t="e">
        <f t="shared" si="153"/>
        <v>#N/A</v>
      </c>
      <c r="IO120" s="262" t="e">
        <f t="shared" si="154"/>
        <v>#N/A</v>
      </c>
      <c r="IP120" s="390"/>
      <c r="IQ120" s="390"/>
      <c r="IR120" s="262" t="e">
        <f t="shared" si="155"/>
        <v>#N/A</v>
      </c>
      <c r="IS120" s="262" t="e">
        <f t="shared" si="156"/>
        <v>#N/A</v>
      </c>
      <c r="IT120" s="390"/>
      <c r="IU120" s="390"/>
      <c r="IV120" s="262" t="e">
        <f t="shared" si="157"/>
        <v>#N/A</v>
      </c>
      <c r="IW120" s="262" t="e">
        <f t="shared" si="158"/>
        <v>#N/A</v>
      </c>
      <c r="IX120" s="310"/>
      <c r="IY120" s="310"/>
      <c r="IZ120" s="310"/>
      <c r="JA120" s="310"/>
      <c r="JB120" s="313" t="s">
        <v>400</v>
      </c>
      <c r="JC120" s="228">
        <f>JC104</f>
        <v>-0.78500000000000003</v>
      </c>
      <c r="JD120" s="228">
        <f>JD104</f>
        <v>-0.5</v>
      </c>
      <c r="JE120" s="310"/>
      <c r="JF120" s="310"/>
      <c r="JG120" s="310"/>
      <c r="JH120" s="310"/>
      <c r="JI120" s="313" t="s">
        <v>400</v>
      </c>
      <c r="JJ120" s="242">
        <f>JJ104</f>
        <v>-0.78500000000000003</v>
      </c>
      <c r="JK120" s="242">
        <f>JK104</f>
        <v>-0.5</v>
      </c>
      <c r="JL120" s="310"/>
      <c r="JM120" s="310"/>
      <c r="JN120" s="261" t="e">
        <f t="shared" si="159"/>
        <v>#N/A</v>
      </c>
      <c r="JO120" s="261" t="e">
        <f t="shared" si="160"/>
        <v>#N/A</v>
      </c>
      <c r="JP120" s="310"/>
      <c r="JQ120" s="310"/>
      <c r="JR120" s="261" t="e">
        <f t="shared" si="165"/>
        <v>#N/A</v>
      </c>
      <c r="JS120" s="261" t="e">
        <f t="shared" si="166"/>
        <v>#N/A</v>
      </c>
      <c r="JT120" s="310"/>
      <c r="JU120" s="310"/>
      <c r="JV120" s="261" t="e">
        <f t="shared" si="161"/>
        <v>#N/A</v>
      </c>
      <c r="JW120" s="261" t="e">
        <f t="shared" si="162"/>
        <v>#N/A</v>
      </c>
      <c r="JX120" s="310"/>
      <c r="JY120" s="311"/>
      <c r="JZ120" s="311"/>
      <c r="KA120" s="311"/>
      <c r="KB120" s="312"/>
      <c r="KC120" s="310"/>
      <c r="KD120" s="310"/>
      <c r="KE120" s="310"/>
      <c r="KF120" s="310"/>
      <c r="KG120" s="310"/>
      <c r="KH120" s="310"/>
      <c r="KI120" s="310"/>
      <c r="KJ120" s="310"/>
      <c r="KK120" s="310"/>
      <c r="KL120" s="310"/>
      <c r="KM120" s="310"/>
      <c r="KN120" s="310"/>
      <c r="KO120" s="310"/>
      <c r="KP120" s="310"/>
      <c r="KQ120" s="310"/>
      <c r="KR120" s="310"/>
      <c r="KS120" s="310"/>
      <c r="KT120" s="310"/>
      <c r="KU120" s="310"/>
      <c r="KV120" s="310"/>
      <c r="KW120" s="310"/>
      <c r="KX120" s="310"/>
      <c r="KY120" s="310"/>
      <c r="KZ120" s="310"/>
      <c r="LA120" s="310"/>
      <c r="LB120" s="310"/>
      <c r="LC120" s="310"/>
      <c r="LD120" s="310"/>
      <c r="LE120" s="310"/>
      <c r="LF120" s="310"/>
      <c r="LG120" s="310"/>
      <c r="LH120" s="310"/>
      <c r="LI120" s="310"/>
      <c r="LJ120" s="310"/>
      <c r="LK120" s="310"/>
      <c r="LL120" s="310"/>
      <c r="LM120" s="310"/>
      <c r="LN120" s="310"/>
      <c r="LO120" s="310"/>
      <c r="LP120" s="310"/>
      <c r="LQ120" s="310"/>
      <c r="LR120" s="310"/>
      <c r="LS120" s="310"/>
      <c r="LT120" s="310"/>
      <c r="LU120" s="310"/>
      <c r="LV120" s="310"/>
      <c r="LW120" s="310"/>
      <c r="LX120" s="310"/>
      <c r="LY120" s="310"/>
      <c r="LZ120" s="310"/>
      <c r="MA120" s="310"/>
      <c r="MB120" s="310"/>
      <c r="MC120" s="310"/>
      <c r="MD120" s="310"/>
      <c r="ME120" s="310"/>
      <c r="MF120" s="310"/>
      <c r="MG120" s="310"/>
      <c r="MH120" s="310"/>
      <c r="MI120" s="310"/>
      <c r="MJ120" s="310"/>
      <c r="MK120" s="310"/>
      <c r="ML120" s="310"/>
      <c r="MM120" s="310"/>
      <c r="MN120" s="310"/>
      <c r="MO120" s="310"/>
      <c r="MP120" s="310"/>
      <c r="MQ120" s="310"/>
      <c r="MR120" s="310"/>
      <c r="MS120" s="310"/>
      <c r="MT120" s="310"/>
      <c r="MU120" s="310"/>
      <c r="MV120" s="310"/>
      <c r="MW120" s="310"/>
      <c r="MX120" s="310"/>
      <c r="MY120" s="310"/>
      <c r="MZ120" s="310"/>
      <c r="NA120" s="310"/>
      <c r="NB120" s="310"/>
      <c r="NC120" s="310"/>
      <c r="ND120" s="310"/>
      <c r="NE120" s="310"/>
      <c r="NF120" s="310"/>
      <c r="NG120" s="310"/>
      <c r="NH120" s="310"/>
      <c r="NI120" s="310"/>
      <c r="NJ120" s="310"/>
      <c r="NK120" s="310"/>
      <c r="NL120" s="310"/>
      <c r="NM120" s="310"/>
      <c r="NN120" s="310"/>
      <c r="NO120" s="310"/>
      <c r="NP120" s="310"/>
      <c r="NQ120" s="310"/>
      <c r="NR120" s="310"/>
      <c r="NS120" s="310"/>
      <c r="NT120" s="310"/>
      <c r="NU120" s="310"/>
      <c r="NV120" s="310"/>
      <c r="NW120" s="310"/>
      <c r="NX120" s="310"/>
      <c r="NY120" s="310"/>
      <c r="NZ120" s="310"/>
      <c r="OA120" s="310"/>
      <c r="OB120" s="310"/>
      <c r="OC120" s="310"/>
      <c r="OD120" s="310"/>
      <c r="OE120" s="310"/>
      <c r="OF120" s="310"/>
      <c r="OG120" s="310"/>
      <c r="OH120" s="310"/>
      <c r="OI120" s="310"/>
      <c r="OJ120" s="310"/>
      <c r="OK120" s="310"/>
      <c r="OL120" s="310"/>
      <c r="OM120" s="310"/>
      <c r="ON120" s="310"/>
      <c r="OO120" s="310"/>
      <c r="OP120" s="310"/>
      <c r="OQ120" s="310"/>
      <c r="OR120" s="310"/>
      <c r="OS120" s="310"/>
      <c r="OT120" s="310"/>
      <c r="OU120" s="310"/>
      <c r="OV120" s="310"/>
      <c r="OW120" s="310"/>
      <c r="OX120" s="310"/>
      <c r="OY120" s="310"/>
      <c r="OZ120" s="310"/>
      <c r="PA120" s="310"/>
      <c r="PB120" s="310"/>
      <c r="PC120" s="310"/>
      <c r="PD120" s="310"/>
      <c r="PE120" s="310"/>
      <c r="PF120" s="310"/>
      <c r="PG120" s="310"/>
      <c r="PH120" s="310"/>
      <c r="PI120" s="310"/>
      <c r="PJ120" s="310"/>
      <c r="PK120" s="310"/>
      <c r="PL120" s="310"/>
      <c r="PM120" s="310"/>
      <c r="PN120" s="310"/>
      <c r="PO120" s="310"/>
      <c r="PP120" s="310"/>
      <c r="PQ120" s="310"/>
      <c r="PR120" s="310"/>
      <c r="PS120" s="342">
        <v>106</v>
      </c>
      <c r="PT120" s="261" t="e">
        <f t="shared" si="163"/>
        <v>#N/A</v>
      </c>
      <c r="PU120" s="261" t="e">
        <f t="shared" si="164"/>
        <v>#N/A</v>
      </c>
      <c r="PV120" s="310"/>
      <c r="PW120" s="310"/>
      <c r="PX120" s="310"/>
      <c r="PY120" s="310"/>
      <c r="PZ120" s="310"/>
      <c r="QA120" s="310"/>
      <c r="QB120" s="310"/>
      <c r="QC120" s="310"/>
      <c r="QD120" s="310"/>
      <c r="QE120" s="310"/>
      <c r="QF120" s="310"/>
      <c r="QG120" s="310"/>
      <c r="QH120" s="310"/>
      <c r="QI120" s="310"/>
      <c r="QJ120" s="310"/>
      <c r="QK120" s="310"/>
      <c r="QL120" s="310"/>
      <c r="QM120" s="310"/>
      <c r="QN120" s="310"/>
      <c r="QO120" s="310"/>
      <c r="QP120" s="310"/>
      <c r="QQ120" s="310"/>
      <c r="QR120" s="310"/>
      <c r="QS120" s="310"/>
      <c r="QT120" s="310"/>
      <c r="QU120" s="310"/>
      <c r="QV120" s="310"/>
      <c r="QW120" s="310"/>
      <c r="QX120" s="310"/>
      <c r="QY120" s="310"/>
      <c r="QZ120" s="310"/>
      <c r="RA120" s="310"/>
      <c r="RB120" s="310"/>
      <c r="RC120" s="310"/>
      <c r="RD120" s="310"/>
      <c r="RE120" s="310"/>
      <c r="RF120" s="310"/>
      <c r="RG120" s="310"/>
      <c r="RH120" s="310"/>
      <c r="RI120" s="310"/>
      <c r="RJ120" s="310"/>
      <c r="RK120" s="310"/>
      <c r="RL120" s="310"/>
      <c r="RM120" s="310"/>
      <c r="RN120" s="310"/>
      <c r="RO120" s="310"/>
      <c r="RP120" s="310"/>
      <c r="RQ120" s="310"/>
      <c r="RR120" s="310"/>
      <c r="RS120" s="310"/>
      <c r="RT120" s="310"/>
      <c r="RU120" s="310"/>
      <c r="RV120" s="310"/>
      <c r="RW120" s="310"/>
      <c r="RX120" s="310"/>
      <c r="RY120" s="310"/>
      <c r="RZ120" s="310"/>
      <c r="SA120" s="310"/>
      <c r="SB120" s="310"/>
      <c r="SC120" s="310"/>
      <c r="SD120" s="310"/>
      <c r="SE120" s="310"/>
      <c r="SF120" s="310"/>
      <c r="SG120" s="310"/>
      <c r="SH120" s="310"/>
      <c r="SI120" s="310"/>
      <c r="SJ120" s="310"/>
      <c r="SK120" s="310"/>
      <c r="SL120" s="310"/>
      <c r="SM120" s="310"/>
      <c r="SN120" s="310"/>
      <c r="SO120" s="220"/>
      <c r="SP120" s="220"/>
      <c r="SQ120" s="220"/>
      <c r="SR120" s="220"/>
      <c r="SS120" s="220"/>
      <c r="ST120" s="220"/>
      <c r="SU120" s="220"/>
      <c r="SV120" s="220"/>
      <c r="SW120" s="220"/>
      <c r="SX120" s="220"/>
      <c r="SY120" s="220"/>
      <c r="SZ120" s="220"/>
      <c r="TA120" s="220"/>
      <c r="TB120" s="220"/>
      <c r="TC120" s="220"/>
      <c r="TD120" s="220"/>
      <c r="TE120" s="220"/>
      <c r="TF120" s="220"/>
      <c r="TG120" s="220"/>
      <c r="TH120" s="220"/>
      <c r="TI120" s="220"/>
      <c r="TJ120" s="220"/>
      <c r="TK120" s="220"/>
      <c r="TL120" s="220"/>
      <c r="TM120" s="220"/>
      <c r="TN120" s="220"/>
      <c r="TO120" s="220"/>
      <c r="TP120" s="220"/>
      <c r="TQ120" s="220"/>
      <c r="TR120" s="220"/>
      <c r="TS120" s="220"/>
      <c r="TT120" s="220"/>
      <c r="TU120" s="220"/>
      <c r="TV120" s="220"/>
      <c r="TW120" s="220"/>
      <c r="TX120" s="220"/>
      <c r="TY120" s="220"/>
      <c r="TZ120" s="220"/>
      <c r="UA120" s="220"/>
      <c r="UB120" s="220"/>
      <c r="UC120" s="220"/>
      <c r="UD120" s="220"/>
      <c r="UE120" s="220"/>
      <c r="UF120" s="220"/>
      <c r="UG120" s="220"/>
      <c r="UH120" s="220"/>
      <c r="UI120" s="220"/>
      <c r="UJ120" s="220"/>
      <c r="UK120" s="216"/>
      <c r="UL120" s="216"/>
      <c r="UM120" s="216"/>
      <c r="UN120" s="216"/>
      <c r="UO120" s="216"/>
      <c r="UP120" s="216"/>
      <c r="UQ120" s="216"/>
      <c r="UR120" s="216"/>
      <c r="US120" s="216"/>
      <c r="UT120" s="216"/>
      <c r="UU120" s="216"/>
      <c r="UV120" s="216"/>
      <c r="UW120" s="216"/>
      <c r="UX120" s="216"/>
      <c r="UY120" s="216"/>
      <c r="UZ120" s="216"/>
      <c r="VA120" s="216"/>
    </row>
    <row r="121" spans="1:573" s="4" customFormat="1" x14ac:dyDescent="0.5">
      <c r="AP121" s="310"/>
      <c r="AQ121" s="310"/>
      <c r="AR121" s="310"/>
      <c r="AS121" s="310"/>
      <c r="AT121" s="310"/>
      <c r="AU121" s="310"/>
      <c r="AV121" s="310"/>
      <c r="AW121" s="310"/>
      <c r="AX121" s="310"/>
      <c r="AY121" s="310"/>
      <c r="AZ121" s="310"/>
      <c r="BA121" s="310"/>
      <c r="BB121" s="310"/>
      <c r="BC121" s="310"/>
      <c r="BD121" s="310"/>
      <c r="BE121" s="310"/>
      <c r="BF121" s="310"/>
      <c r="BG121" s="310"/>
      <c r="BH121" s="310"/>
      <c r="BI121" s="310"/>
      <c r="BJ121" s="310"/>
      <c r="BK121" s="310"/>
      <c r="BL121" s="310"/>
      <c r="BM121" s="310"/>
      <c r="BN121" s="310"/>
      <c r="BO121" s="310"/>
      <c r="BP121" s="310"/>
      <c r="BQ121" s="310"/>
      <c r="BR121" s="310"/>
      <c r="BS121" s="310"/>
      <c r="BT121" s="310"/>
      <c r="BU121" s="310"/>
      <c r="BV121" s="310"/>
      <c r="BW121" s="310"/>
      <c r="BX121" s="310"/>
      <c r="BY121" s="310"/>
      <c r="BZ121" s="310"/>
      <c r="CA121" s="310"/>
      <c r="CB121" s="310"/>
      <c r="CC121" s="310"/>
      <c r="CD121" s="310"/>
      <c r="CE121" s="310"/>
      <c r="CF121" s="310"/>
      <c r="CG121" s="310"/>
      <c r="CH121" s="310"/>
      <c r="CI121" s="310"/>
      <c r="CJ121" s="310"/>
      <c r="CK121" s="310"/>
      <c r="CL121" s="310"/>
      <c r="CM121" s="310"/>
      <c r="CN121" s="310"/>
      <c r="CO121" s="310"/>
      <c r="CP121" s="310"/>
      <c r="CQ121" s="310"/>
      <c r="CR121" s="310"/>
      <c r="CS121" s="310"/>
      <c r="CT121" s="310"/>
      <c r="CU121" s="310"/>
      <c r="CV121" s="310"/>
      <c r="CW121" s="310"/>
      <c r="CX121" s="310"/>
      <c r="CY121" s="310"/>
      <c r="CZ121" s="310"/>
      <c r="DA121" s="310"/>
      <c r="DB121" s="310"/>
      <c r="DC121" s="310"/>
      <c r="DD121" s="310"/>
      <c r="DE121" s="310"/>
      <c r="DF121" s="310"/>
      <c r="DG121" s="310"/>
      <c r="DH121" s="310"/>
      <c r="DI121" s="310"/>
      <c r="DJ121" s="310"/>
      <c r="DK121" s="310"/>
      <c r="DL121" s="310"/>
      <c r="DM121" s="310"/>
      <c r="DN121" s="310"/>
      <c r="DO121" s="310"/>
      <c r="DP121" s="310"/>
      <c r="DQ121" s="310"/>
      <c r="DR121" s="310"/>
      <c r="DS121" s="310"/>
      <c r="DT121" s="310"/>
      <c r="DU121" s="310"/>
      <c r="DV121" s="310"/>
      <c r="DW121" s="310"/>
      <c r="DX121" s="310"/>
      <c r="DY121" s="310"/>
      <c r="DZ121" s="310"/>
      <c r="EA121" s="310"/>
      <c r="EB121" s="310"/>
      <c r="EC121" s="310"/>
      <c r="ED121" s="310"/>
      <c r="EE121" s="310"/>
      <c r="EF121" s="310"/>
      <c r="EG121" s="310"/>
      <c r="EH121" s="310"/>
      <c r="EI121" s="338">
        <v>50</v>
      </c>
      <c r="EJ121" s="338" t="b">
        <f t="shared" si="127"/>
        <v>0</v>
      </c>
      <c r="EK121" s="281" t="e">
        <f t="shared" si="128"/>
        <v>#N/A</v>
      </c>
      <c r="EL121" s="281" t="e">
        <f t="shared" si="129"/>
        <v>#N/A</v>
      </c>
      <c r="EM121" s="310"/>
      <c r="EN121" s="310"/>
      <c r="EO121" s="310"/>
      <c r="EP121" s="310"/>
      <c r="EQ121" s="310"/>
      <c r="ER121" s="310"/>
      <c r="ES121" s="310"/>
      <c r="ET121" s="310"/>
      <c r="EU121" s="310"/>
      <c r="EV121" s="310"/>
      <c r="EW121" s="310"/>
      <c r="EX121" s="310"/>
      <c r="EY121" s="310"/>
      <c r="EZ121" s="310"/>
      <c r="FA121" s="310"/>
      <c r="FB121" s="310"/>
      <c r="FC121" s="310"/>
      <c r="FD121" s="310"/>
      <c r="FE121" s="310"/>
      <c r="FF121" s="310"/>
      <c r="FG121" s="310"/>
      <c r="FH121" s="310"/>
      <c r="FI121" s="310"/>
      <c r="FJ121" s="310"/>
      <c r="FK121" s="310"/>
      <c r="FL121" s="311"/>
      <c r="FM121" s="311"/>
      <c r="FN121" s="311"/>
      <c r="FO121" s="311"/>
      <c r="FP121" s="311"/>
      <c r="FQ121" s="311"/>
      <c r="FR121" s="311"/>
      <c r="FS121" s="311"/>
      <c r="FT121" s="311"/>
      <c r="FU121" s="311"/>
      <c r="FV121" s="311"/>
      <c r="FW121" s="311"/>
      <c r="FX121" s="311"/>
      <c r="FY121" s="311"/>
      <c r="FZ121" s="311"/>
      <c r="GA121" s="311"/>
      <c r="GB121" s="310"/>
      <c r="GC121" s="310"/>
      <c r="GD121" s="310"/>
      <c r="GE121" s="310"/>
      <c r="GF121" s="310"/>
      <c r="GG121" s="310"/>
      <c r="GH121" s="310"/>
      <c r="GI121" s="310"/>
      <c r="GJ121" s="310"/>
      <c r="GK121" s="310"/>
      <c r="GL121" s="310"/>
      <c r="GM121" s="310"/>
      <c r="GN121" s="310"/>
      <c r="GO121" s="310"/>
      <c r="GP121" s="310"/>
      <c r="GQ121" s="310"/>
      <c r="GR121" s="310"/>
      <c r="GS121" s="310"/>
      <c r="GT121" s="310"/>
      <c r="GU121" s="310"/>
      <c r="GV121" s="310"/>
      <c r="GW121" s="310"/>
      <c r="GX121" s="310"/>
      <c r="GY121" s="310"/>
      <c r="GZ121" s="310"/>
      <c r="HA121" s="310"/>
      <c r="HB121" s="310"/>
      <c r="HC121" s="310"/>
      <c r="HD121" s="310"/>
      <c r="HE121" s="310"/>
      <c r="HF121" s="310"/>
      <c r="HG121" s="310"/>
      <c r="HH121" s="310"/>
      <c r="HI121" s="310"/>
      <c r="HJ121" s="310"/>
      <c r="HK121" s="342">
        <v>107</v>
      </c>
      <c r="HL121" s="235" t="e">
        <f t="shared" si="139"/>
        <v>#N/A</v>
      </c>
      <c r="HM121" s="235" t="e">
        <f t="shared" si="140"/>
        <v>#N/A</v>
      </c>
      <c r="HN121" s="310"/>
      <c r="HO121" s="310"/>
      <c r="HP121" s="235" t="e">
        <f t="shared" si="141"/>
        <v>#N/A</v>
      </c>
      <c r="HQ121" s="235" t="e">
        <f t="shared" si="142"/>
        <v>#N/A</v>
      </c>
      <c r="HR121" s="310"/>
      <c r="HS121" s="310"/>
      <c r="HT121" s="235" t="e">
        <f t="shared" si="143"/>
        <v>#N/A</v>
      </c>
      <c r="HU121" s="235" t="e">
        <f t="shared" si="144"/>
        <v>#N/A</v>
      </c>
      <c r="HV121" s="310"/>
      <c r="HW121" s="310"/>
      <c r="HX121" s="235" t="e">
        <f t="shared" si="145"/>
        <v>#N/A</v>
      </c>
      <c r="HY121" s="235" t="e">
        <f t="shared" si="146"/>
        <v>#N/A</v>
      </c>
      <c r="HZ121" s="310"/>
      <c r="IA121" s="310"/>
      <c r="IB121" s="235" t="e">
        <f t="shared" si="147"/>
        <v>#N/A</v>
      </c>
      <c r="IC121" s="235" t="e">
        <f t="shared" si="148"/>
        <v>#N/A</v>
      </c>
      <c r="ID121" s="310"/>
      <c r="IE121" s="342">
        <v>107</v>
      </c>
      <c r="IF121" s="262" t="e">
        <f t="shared" si="149"/>
        <v>#N/A</v>
      </c>
      <c r="IG121" s="262" t="e">
        <f t="shared" si="150"/>
        <v>#N/A</v>
      </c>
      <c r="IH121" s="390"/>
      <c r="II121" s="390"/>
      <c r="IJ121" s="262" t="e">
        <f t="shared" si="151"/>
        <v>#N/A</v>
      </c>
      <c r="IK121" s="262" t="e">
        <f t="shared" si="152"/>
        <v>#N/A</v>
      </c>
      <c r="IL121" s="390"/>
      <c r="IM121" s="390"/>
      <c r="IN121" s="262" t="e">
        <f t="shared" si="153"/>
        <v>#N/A</v>
      </c>
      <c r="IO121" s="262" t="e">
        <f t="shared" si="154"/>
        <v>#N/A</v>
      </c>
      <c r="IP121" s="390"/>
      <c r="IQ121" s="390"/>
      <c r="IR121" s="262" t="e">
        <f t="shared" si="155"/>
        <v>#N/A</v>
      </c>
      <c r="IS121" s="262" t="e">
        <f t="shared" si="156"/>
        <v>#N/A</v>
      </c>
      <c r="IT121" s="390"/>
      <c r="IU121" s="390"/>
      <c r="IV121" s="262" t="e">
        <f t="shared" si="157"/>
        <v>#N/A</v>
      </c>
      <c r="IW121" s="262" t="e">
        <f t="shared" si="158"/>
        <v>#N/A</v>
      </c>
      <c r="IX121" s="310"/>
      <c r="IY121" s="310"/>
      <c r="IZ121" s="310"/>
      <c r="JA121" s="310"/>
      <c r="JB121" s="310"/>
      <c r="JC121" s="230" t="e">
        <v>#N/A</v>
      </c>
      <c r="JD121" s="230" t="e">
        <v>#N/A</v>
      </c>
      <c r="JE121" s="310"/>
      <c r="JF121" s="310"/>
      <c r="JG121" s="310"/>
      <c r="JH121" s="310"/>
      <c r="JI121" s="310"/>
      <c r="JJ121" s="264" t="e">
        <v>#N/A</v>
      </c>
      <c r="JK121" s="264" t="e">
        <v>#N/A</v>
      </c>
      <c r="JL121" s="310"/>
      <c r="JM121" s="310"/>
      <c r="JN121" s="261" t="e">
        <f t="shared" si="159"/>
        <v>#N/A</v>
      </c>
      <c r="JO121" s="261" t="e">
        <f t="shared" si="160"/>
        <v>#N/A</v>
      </c>
      <c r="JP121" s="310"/>
      <c r="JQ121" s="310"/>
      <c r="JR121" s="261" t="e">
        <f t="shared" si="165"/>
        <v>#N/A</v>
      </c>
      <c r="JS121" s="261" t="e">
        <f t="shared" si="166"/>
        <v>#N/A</v>
      </c>
      <c r="JT121" s="310"/>
      <c r="JU121" s="310"/>
      <c r="JV121" s="261" t="e">
        <f t="shared" si="161"/>
        <v>#N/A</v>
      </c>
      <c r="JW121" s="261" t="e">
        <f t="shared" si="162"/>
        <v>#N/A</v>
      </c>
      <c r="JX121" s="310"/>
      <c r="JY121" s="311"/>
      <c r="JZ121" s="311"/>
      <c r="KA121" s="311"/>
      <c r="KB121" s="311"/>
      <c r="KC121" s="309"/>
      <c r="KD121" s="309"/>
      <c r="KE121" s="310"/>
      <c r="KF121" s="310"/>
      <c r="KG121" s="310"/>
      <c r="KH121" s="310"/>
      <c r="KI121" s="310"/>
      <c r="KJ121" s="310"/>
      <c r="KK121" s="310"/>
      <c r="KL121" s="310"/>
      <c r="KM121" s="310"/>
      <c r="KN121" s="310"/>
      <c r="KO121" s="310"/>
      <c r="KP121" s="310"/>
      <c r="KQ121" s="310"/>
      <c r="KR121" s="310"/>
      <c r="KS121" s="310"/>
      <c r="KT121" s="310"/>
      <c r="KU121" s="310"/>
      <c r="KV121" s="310"/>
      <c r="KW121" s="310"/>
      <c r="KX121" s="310"/>
      <c r="KY121" s="310"/>
      <c r="KZ121" s="310"/>
      <c r="LA121" s="310"/>
      <c r="LB121" s="310"/>
      <c r="LC121" s="310"/>
      <c r="LD121" s="310"/>
      <c r="LE121" s="310"/>
      <c r="LF121" s="310"/>
      <c r="LG121" s="310"/>
      <c r="LH121" s="310"/>
      <c r="LI121" s="310"/>
      <c r="LJ121" s="310"/>
      <c r="LK121" s="310"/>
      <c r="LL121" s="310"/>
      <c r="LM121" s="310"/>
      <c r="LN121" s="310"/>
      <c r="LO121" s="310"/>
      <c r="LP121" s="310"/>
      <c r="LQ121" s="310"/>
      <c r="LR121" s="310"/>
      <c r="LS121" s="310"/>
      <c r="LT121" s="310"/>
      <c r="LU121" s="310"/>
      <c r="LV121" s="310"/>
      <c r="LW121" s="310"/>
      <c r="LX121" s="310"/>
      <c r="LY121" s="310"/>
      <c r="LZ121" s="310"/>
      <c r="MA121" s="310"/>
      <c r="MB121" s="310"/>
      <c r="MC121" s="310"/>
      <c r="MD121" s="310"/>
      <c r="ME121" s="310"/>
      <c r="MF121" s="310"/>
      <c r="MG121" s="310"/>
      <c r="MH121" s="310"/>
      <c r="MI121" s="310"/>
      <c r="MJ121" s="310"/>
      <c r="MK121" s="310"/>
      <c r="ML121" s="310"/>
      <c r="MM121" s="310"/>
      <c r="MN121" s="310"/>
      <c r="MO121" s="310"/>
      <c r="MP121" s="310"/>
      <c r="MQ121" s="310"/>
      <c r="MR121" s="310"/>
      <c r="MS121" s="310"/>
      <c r="MT121" s="310"/>
      <c r="MU121" s="310"/>
      <c r="MV121" s="310"/>
      <c r="MW121" s="310"/>
      <c r="MX121" s="310"/>
      <c r="MY121" s="310"/>
      <c r="MZ121" s="310"/>
      <c r="NA121" s="310"/>
      <c r="NB121" s="310"/>
      <c r="NC121" s="310"/>
      <c r="ND121" s="310"/>
      <c r="NE121" s="310"/>
      <c r="NF121" s="310"/>
      <c r="NG121" s="310"/>
      <c r="NH121" s="310"/>
      <c r="NI121" s="310"/>
      <c r="NJ121" s="310"/>
      <c r="NK121" s="310"/>
      <c r="NL121" s="310"/>
      <c r="NM121" s="310"/>
      <c r="NN121" s="310"/>
      <c r="NO121" s="310"/>
      <c r="NP121" s="310"/>
      <c r="NQ121" s="310"/>
      <c r="NR121" s="310"/>
      <c r="NS121" s="310"/>
      <c r="NT121" s="310"/>
      <c r="NU121" s="310"/>
      <c r="NV121" s="310"/>
      <c r="NW121" s="310"/>
      <c r="NX121" s="310"/>
      <c r="NY121" s="310"/>
      <c r="NZ121" s="310"/>
      <c r="OA121" s="310"/>
      <c r="OB121" s="310"/>
      <c r="OC121" s="310"/>
      <c r="OD121" s="310"/>
      <c r="OE121" s="310"/>
      <c r="OF121" s="310"/>
      <c r="OG121" s="310"/>
      <c r="OH121" s="310"/>
      <c r="OI121" s="310"/>
      <c r="OJ121" s="310"/>
      <c r="OK121" s="310"/>
      <c r="OL121" s="310"/>
      <c r="OM121" s="310"/>
      <c r="ON121" s="310"/>
      <c r="OO121" s="310"/>
      <c r="OP121" s="310"/>
      <c r="OQ121" s="310"/>
      <c r="OR121" s="310"/>
      <c r="OS121" s="310"/>
      <c r="OT121" s="310"/>
      <c r="OU121" s="310"/>
      <c r="OV121" s="310"/>
      <c r="OW121" s="310"/>
      <c r="OX121" s="310"/>
      <c r="OY121" s="310"/>
      <c r="OZ121" s="310"/>
      <c r="PA121" s="310"/>
      <c r="PB121" s="310"/>
      <c r="PC121" s="310"/>
      <c r="PD121" s="310"/>
      <c r="PE121" s="310"/>
      <c r="PF121" s="310"/>
      <c r="PG121" s="310"/>
      <c r="PH121" s="310"/>
      <c r="PI121" s="310"/>
      <c r="PJ121" s="310"/>
      <c r="PK121" s="310"/>
      <c r="PL121" s="310"/>
      <c r="PM121" s="310"/>
      <c r="PN121" s="310"/>
      <c r="PO121" s="310"/>
      <c r="PP121" s="310"/>
      <c r="PQ121" s="310"/>
      <c r="PR121" s="310"/>
      <c r="PS121" s="342">
        <v>107</v>
      </c>
      <c r="PT121" s="261" t="e">
        <f t="shared" si="163"/>
        <v>#N/A</v>
      </c>
      <c r="PU121" s="261" t="e">
        <f t="shared" si="164"/>
        <v>#N/A</v>
      </c>
      <c r="PV121" s="310"/>
      <c r="PW121" s="310"/>
      <c r="PX121" s="310"/>
      <c r="PY121" s="310"/>
      <c r="PZ121" s="310"/>
      <c r="QA121" s="310"/>
      <c r="QB121" s="310"/>
      <c r="QC121" s="310"/>
      <c r="QD121" s="310"/>
      <c r="QE121" s="310"/>
      <c r="QF121" s="310"/>
      <c r="QG121" s="310"/>
      <c r="QH121" s="310"/>
      <c r="QI121" s="310"/>
      <c r="QJ121" s="310"/>
      <c r="QK121" s="310"/>
      <c r="QL121" s="310"/>
      <c r="QM121" s="310"/>
      <c r="QN121" s="310"/>
      <c r="QO121" s="310"/>
      <c r="QP121" s="310"/>
      <c r="QQ121" s="310"/>
      <c r="QR121" s="310"/>
      <c r="QS121" s="310"/>
      <c r="QT121" s="310"/>
      <c r="QU121" s="310"/>
      <c r="QV121" s="310"/>
      <c r="QW121" s="310"/>
      <c r="QX121" s="310"/>
      <c r="QY121" s="310"/>
      <c r="QZ121" s="310"/>
      <c r="RA121" s="310"/>
      <c r="RB121" s="310"/>
      <c r="RC121" s="310"/>
      <c r="RD121" s="310"/>
      <c r="RE121" s="310"/>
      <c r="RF121" s="310"/>
      <c r="RG121" s="310"/>
      <c r="RH121" s="310"/>
      <c r="RI121" s="310"/>
      <c r="RJ121" s="310"/>
      <c r="RK121" s="310"/>
      <c r="RL121" s="310"/>
      <c r="RM121" s="310"/>
      <c r="RN121" s="310"/>
      <c r="RO121" s="310"/>
      <c r="RP121" s="310"/>
      <c r="RQ121" s="310"/>
      <c r="RR121" s="310"/>
      <c r="RS121" s="310"/>
      <c r="RT121" s="310"/>
      <c r="RU121" s="310"/>
      <c r="RV121" s="310"/>
      <c r="RW121" s="310"/>
      <c r="RX121" s="310"/>
      <c r="RY121" s="310"/>
      <c r="RZ121" s="310"/>
      <c r="SA121" s="310"/>
      <c r="SB121" s="310"/>
      <c r="SC121" s="310"/>
      <c r="SD121" s="310"/>
      <c r="SE121" s="310"/>
      <c r="SF121" s="310"/>
      <c r="SG121" s="310"/>
      <c r="SH121" s="310"/>
      <c r="SI121" s="310"/>
      <c r="SJ121" s="310"/>
      <c r="SK121" s="310"/>
      <c r="SL121" s="310"/>
      <c r="SM121" s="310"/>
      <c r="SN121" s="310"/>
      <c r="SO121" s="220"/>
      <c r="SP121" s="220"/>
      <c r="SQ121" s="220"/>
      <c r="SR121" s="220"/>
      <c r="SS121" s="220"/>
      <c r="ST121" s="220"/>
      <c r="SU121" s="220"/>
      <c r="SV121" s="220"/>
      <c r="SW121" s="220"/>
      <c r="SX121" s="220"/>
      <c r="SY121" s="220"/>
      <c r="SZ121" s="220"/>
      <c r="TA121" s="220"/>
      <c r="TB121" s="220"/>
      <c r="TC121" s="220"/>
      <c r="TD121" s="220"/>
      <c r="TE121" s="220"/>
      <c r="TF121" s="220"/>
      <c r="TG121" s="220"/>
      <c r="TH121" s="220"/>
      <c r="TI121" s="220"/>
      <c r="TJ121" s="220"/>
      <c r="TK121" s="220"/>
      <c r="TL121" s="220"/>
      <c r="TM121" s="220"/>
      <c r="TN121" s="220"/>
      <c r="TO121" s="220"/>
      <c r="TP121" s="220"/>
      <c r="TQ121" s="220"/>
      <c r="TR121" s="220"/>
      <c r="TS121" s="220"/>
      <c r="TT121" s="220"/>
      <c r="TU121" s="220"/>
      <c r="TV121" s="220"/>
      <c r="TW121" s="220"/>
      <c r="TX121" s="220"/>
      <c r="TY121" s="220"/>
      <c r="TZ121" s="220"/>
      <c r="UA121" s="220"/>
      <c r="UB121" s="220"/>
      <c r="UC121" s="220"/>
      <c r="UD121" s="220"/>
      <c r="UE121" s="220"/>
      <c r="UF121" s="220"/>
      <c r="UG121" s="220"/>
      <c r="UH121" s="220"/>
      <c r="UI121" s="220"/>
      <c r="UJ121" s="220"/>
      <c r="UK121" s="216"/>
      <c r="UL121" s="216"/>
      <c r="UM121" s="216"/>
      <c r="UN121" s="216"/>
      <c r="UO121" s="216"/>
      <c r="UP121" s="216"/>
      <c r="UQ121" s="216"/>
      <c r="UR121" s="216"/>
      <c r="US121" s="216"/>
      <c r="UT121" s="216"/>
      <c r="UU121" s="216"/>
      <c r="UV121" s="216"/>
      <c r="UW121" s="216"/>
      <c r="UX121" s="216"/>
      <c r="UY121" s="216"/>
      <c r="UZ121" s="216"/>
      <c r="VA121" s="216"/>
    </row>
    <row r="122" spans="1:573" s="4" customFormat="1" x14ac:dyDescent="0.5">
      <c r="AP122" s="310"/>
      <c r="AQ122" s="310"/>
      <c r="AR122" s="310"/>
      <c r="AS122" s="310"/>
      <c r="AT122" s="310"/>
      <c r="AU122" s="310"/>
      <c r="AV122" s="310"/>
      <c r="AW122" s="310"/>
      <c r="AX122" s="310"/>
      <c r="AY122" s="310"/>
      <c r="AZ122" s="310"/>
      <c r="BA122" s="310"/>
      <c r="BB122" s="310"/>
      <c r="BC122" s="310"/>
      <c r="BD122" s="310"/>
      <c r="BE122" s="310"/>
      <c r="BF122" s="310"/>
      <c r="BG122" s="310"/>
      <c r="BH122" s="310"/>
      <c r="BI122" s="310"/>
      <c r="BJ122" s="310"/>
      <c r="BK122" s="310"/>
      <c r="BL122" s="310"/>
      <c r="BM122" s="310"/>
      <c r="BN122" s="310"/>
      <c r="BO122" s="310"/>
      <c r="BP122" s="310"/>
      <c r="BQ122" s="310"/>
      <c r="BR122" s="310"/>
      <c r="BS122" s="310"/>
      <c r="BT122" s="310"/>
      <c r="BU122" s="310"/>
      <c r="BV122" s="310"/>
      <c r="BW122" s="310"/>
      <c r="BX122" s="310"/>
      <c r="BY122" s="310"/>
      <c r="BZ122" s="310"/>
      <c r="CA122" s="310"/>
      <c r="CB122" s="310"/>
      <c r="CC122" s="310"/>
      <c r="CD122" s="310"/>
      <c r="CE122" s="310"/>
      <c r="CF122" s="310"/>
      <c r="CG122" s="310"/>
      <c r="CH122" s="310"/>
      <c r="CI122" s="310"/>
      <c r="CJ122" s="310"/>
      <c r="CK122" s="310"/>
      <c r="CL122" s="310"/>
      <c r="CM122" s="310"/>
      <c r="CN122" s="310"/>
      <c r="CO122" s="310"/>
      <c r="CP122" s="310"/>
      <c r="CQ122" s="310"/>
      <c r="CR122" s="310"/>
      <c r="CS122" s="310"/>
      <c r="CT122" s="310"/>
      <c r="CU122" s="310"/>
      <c r="CV122" s="310"/>
      <c r="CW122" s="310"/>
      <c r="CX122" s="310"/>
      <c r="CY122" s="310"/>
      <c r="CZ122" s="310"/>
      <c r="DA122" s="310"/>
      <c r="DB122" s="310"/>
      <c r="DC122" s="310"/>
      <c r="DD122" s="310"/>
      <c r="DE122" s="310"/>
      <c r="DF122" s="310"/>
      <c r="DG122" s="310"/>
      <c r="DH122" s="310"/>
      <c r="DI122" s="310"/>
      <c r="DJ122" s="310"/>
      <c r="DK122" s="310"/>
      <c r="DL122" s="310"/>
      <c r="DM122" s="310"/>
      <c r="DN122" s="310"/>
      <c r="DO122" s="310"/>
      <c r="DP122" s="310"/>
      <c r="DQ122" s="310"/>
      <c r="DR122" s="310"/>
      <c r="DS122" s="310"/>
      <c r="DT122" s="310"/>
      <c r="DU122" s="310"/>
      <c r="DV122" s="310"/>
      <c r="DW122" s="310"/>
      <c r="DX122" s="310"/>
      <c r="DY122" s="310"/>
      <c r="DZ122" s="310"/>
      <c r="EA122" s="310"/>
      <c r="EB122" s="310"/>
      <c r="EC122" s="310"/>
      <c r="ED122" s="310"/>
      <c r="EE122" s="310"/>
      <c r="EF122" s="310"/>
      <c r="EG122" s="310"/>
      <c r="EH122" s="310"/>
      <c r="EI122" s="310"/>
      <c r="EJ122" s="310"/>
      <c r="EK122" s="310"/>
      <c r="EL122" s="310"/>
      <c r="EM122" s="310"/>
      <c r="EN122" s="310" t="s">
        <v>194</v>
      </c>
      <c r="EO122" s="310"/>
      <c r="EP122" s="310"/>
      <c r="EQ122" s="310"/>
      <c r="ER122" s="310"/>
      <c r="ES122" s="310"/>
      <c r="ET122" s="310"/>
      <c r="EU122" s="310"/>
      <c r="EV122" s="310"/>
      <c r="EW122" s="310"/>
      <c r="EX122" s="310"/>
      <c r="EY122" s="310"/>
      <c r="EZ122" s="310"/>
      <c r="FA122" s="310"/>
      <c r="FB122" s="310"/>
      <c r="FC122" s="310"/>
      <c r="FD122" s="310"/>
      <c r="FE122" s="310"/>
      <c r="FF122" s="310"/>
      <c r="FG122" s="310"/>
      <c r="FH122" s="310"/>
      <c r="FI122" s="310"/>
      <c r="FJ122" s="310"/>
      <c r="FK122" s="310"/>
      <c r="FL122" s="311"/>
      <c r="FM122" s="311"/>
      <c r="FN122" s="311"/>
      <c r="FO122" s="311"/>
      <c r="FP122" s="311"/>
      <c r="FQ122" s="311"/>
      <c r="FR122" s="311"/>
      <c r="FS122" s="311"/>
      <c r="FT122" s="311"/>
      <c r="FU122" s="311"/>
      <c r="FV122" s="311"/>
      <c r="FW122" s="311"/>
      <c r="FX122" s="311"/>
      <c r="FY122" s="311"/>
      <c r="FZ122" s="311"/>
      <c r="GA122" s="311"/>
      <c r="GB122" s="310"/>
      <c r="GC122" s="310"/>
      <c r="GD122" s="310"/>
      <c r="GE122" s="310"/>
      <c r="GF122" s="310"/>
      <c r="GG122" s="310"/>
      <c r="GH122" s="310"/>
      <c r="GI122" s="310"/>
      <c r="GJ122" s="310"/>
      <c r="GK122" s="310"/>
      <c r="GL122" s="310"/>
      <c r="GM122" s="310"/>
      <c r="GN122" s="310"/>
      <c r="GO122" s="310"/>
      <c r="GP122" s="310"/>
      <c r="GQ122" s="310"/>
      <c r="GR122" s="310"/>
      <c r="GS122" s="310"/>
      <c r="GT122" s="310"/>
      <c r="GU122" s="310"/>
      <c r="GV122" s="310"/>
      <c r="GW122" s="310"/>
      <c r="GX122" s="310"/>
      <c r="GY122" s="310"/>
      <c r="GZ122" s="310"/>
      <c r="HA122" s="310"/>
      <c r="HB122" s="310"/>
      <c r="HC122" s="310"/>
      <c r="HD122" s="310"/>
      <c r="HE122" s="310"/>
      <c r="HF122" s="310"/>
      <c r="HG122" s="310"/>
      <c r="HH122" s="310"/>
      <c r="HI122" s="310"/>
      <c r="HJ122" s="310"/>
      <c r="HK122" s="342">
        <v>108</v>
      </c>
      <c r="HL122" s="235" t="e">
        <f t="shared" si="139"/>
        <v>#N/A</v>
      </c>
      <c r="HM122" s="235" t="e">
        <f t="shared" si="140"/>
        <v>#N/A</v>
      </c>
      <c r="HN122" s="310"/>
      <c r="HO122" s="310"/>
      <c r="HP122" s="235" t="e">
        <f t="shared" si="141"/>
        <v>#N/A</v>
      </c>
      <c r="HQ122" s="235" t="e">
        <f t="shared" si="142"/>
        <v>#N/A</v>
      </c>
      <c r="HR122" s="310"/>
      <c r="HS122" s="310"/>
      <c r="HT122" s="235" t="e">
        <f t="shared" si="143"/>
        <v>#N/A</v>
      </c>
      <c r="HU122" s="235" t="e">
        <f t="shared" si="144"/>
        <v>#N/A</v>
      </c>
      <c r="HV122" s="310"/>
      <c r="HW122" s="310"/>
      <c r="HX122" s="235" t="e">
        <f t="shared" si="145"/>
        <v>#N/A</v>
      </c>
      <c r="HY122" s="235" t="e">
        <f t="shared" si="146"/>
        <v>#N/A</v>
      </c>
      <c r="HZ122" s="310"/>
      <c r="IA122" s="310"/>
      <c r="IB122" s="235" t="e">
        <f t="shared" si="147"/>
        <v>#N/A</v>
      </c>
      <c r="IC122" s="235" t="e">
        <f t="shared" si="148"/>
        <v>#N/A</v>
      </c>
      <c r="ID122" s="310"/>
      <c r="IE122" s="342">
        <v>108</v>
      </c>
      <c r="IF122" s="262" t="e">
        <f t="shared" si="149"/>
        <v>#N/A</v>
      </c>
      <c r="IG122" s="262" t="e">
        <f t="shared" si="150"/>
        <v>#N/A</v>
      </c>
      <c r="IH122" s="390"/>
      <c r="II122" s="390"/>
      <c r="IJ122" s="262" t="e">
        <f t="shared" si="151"/>
        <v>#N/A</v>
      </c>
      <c r="IK122" s="262" t="e">
        <f t="shared" si="152"/>
        <v>#N/A</v>
      </c>
      <c r="IL122" s="390"/>
      <c r="IM122" s="390"/>
      <c r="IN122" s="262" t="e">
        <f t="shared" si="153"/>
        <v>#N/A</v>
      </c>
      <c r="IO122" s="262" t="e">
        <f t="shared" si="154"/>
        <v>#N/A</v>
      </c>
      <c r="IP122" s="390"/>
      <c r="IQ122" s="390"/>
      <c r="IR122" s="262" t="e">
        <f t="shared" si="155"/>
        <v>#N/A</v>
      </c>
      <c r="IS122" s="262" t="e">
        <f t="shared" si="156"/>
        <v>#N/A</v>
      </c>
      <c r="IT122" s="390"/>
      <c r="IU122" s="390"/>
      <c r="IV122" s="262" t="e">
        <f t="shared" si="157"/>
        <v>#N/A</v>
      </c>
      <c r="IW122" s="262" t="e">
        <f t="shared" si="158"/>
        <v>#N/A</v>
      </c>
      <c r="IX122" s="310"/>
      <c r="IY122" s="342" t="s">
        <v>353</v>
      </c>
      <c r="IZ122" s="328" t="s">
        <v>401</v>
      </c>
      <c r="JA122" s="328" t="b">
        <f>AND($GY$6&gt;=$GX$7,$GY$6&lt;=$GX$13,$BM$8=TRUE)</f>
        <v>1</v>
      </c>
      <c r="JB122" s="313" t="s">
        <v>106</v>
      </c>
      <c r="JC122" s="228">
        <f>IZ124-($IZ$108/2)+$IZ$114</f>
        <v>-0.78500000000000003</v>
      </c>
      <c r="JD122" s="228">
        <f>JA124+$IZ$108/2</f>
        <v>0.8</v>
      </c>
      <c r="JE122" s="310"/>
      <c r="JF122" s="342" t="s">
        <v>353</v>
      </c>
      <c r="JG122" s="328" t="s">
        <v>401</v>
      </c>
      <c r="JH122" s="328" t="b">
        <f>IF(CP13=TRUE,AND($GY$6&gt;=$GX$7,$GY$6&lt;=$GX$13,$BM$8=TRUE,$BE$7=TRUE,CU11=TRUE),FALSE)</f>
        <v>1</v>
      </c>
      <c r="JI122" s="313" t="s">
        <v>106</v>
      </c>
      <c r="JJ122" s="242">
        <f>JG124-($IZ$108/2)+$IZ$114</f>
        <v>-0.78500000000000003</v>
      </c>
      <c r="JK122" s="242">
        <f>JH124+$IZ$108/2</f>
        <v>0.8</v>
      </c>
      <c r="JL122" s="310"/>
      <c r="JM122" s="310"/>
      <c r="JN122" s="261" t="e">
        <f t="shared" si="159"/>
        <v>#N/A</v>
      </c>
      <c r="JO122" s="261" t="e">
        <f t="shared" si="160"/>
        <v>#N/A</v>
      </c>
      <c r="JP122" s="310"/>
      <c r="JQ122" s="310"/>
      <c r="JR122" s="261" t="e">
        <f t="shared" si="165"/>
        <v>#N/A</v>
      </c>
      <c r="JS122" s="261" t="e">
        <f t="shared" si="166"/>
        <v>#N/A</v>
      </c>
      <c r="JT122" s="310"/>
      <c r="JU122" s="310"/>
      <c r="JV122" s="261" t="e">
        <f t="shared" si="161"/>
        <v>#N/A</v>
      </c>
      <c r="JW122" s="261" t="e">
        <f t="shared" si="162"/>
        <v>#N/A</v>
      </c>
      <c r="JX122" s="310"/>
      <c r="JY122" s="310"/>
      <c r="JZ122" s="310"/>
      <c r="KA122" s="310"/>
      <c r="KB122" s="310"/>
      <c r="KC122" s="310"/>
      <c r="KD122" s="310"/>
      <c r="KE122" s="310"/>
      <c r="KF122" s="310"/>
      <c r="KG122" s="310"/>
      <c r="KH122" s="310"/>
      <c r="KI122" s="310"/>
      <c r="KJ122" s="310"/>
      <c r="KK122" s="310"/>
      <c r="KL122" s="310"/>
      <c r="KM122" s="310"/>
      <c r="KN122" s="310"/>
      <c r="KO122" s="310"/>
      <c r="KP122" s="310"/>
      <c r="KQ122" s="310"/>
      <c r="KR122" s="310"/>
      <c r="KS122" s="310"/>
      <c r="KT122" s="310"/>
      <c r="KU122" s="310"/>
      <c r="KV122" s="310"/>
      <c r="KW122" s="310"/>
      <c r="KX122" s="310"/>
      <c r="KY122" s="310"/>
      <c r="KZ122" s="310"/>
      <c r="LA122" s="310"/>
      <c r="LB122" s="310"/>
      <c r="LC122" s="310"/>
      <c r="LD122" s="310"/>
      <c r="LE122" s="310"/>
      <c r="LF122" s="310"/>
      <c r="LG122" s="310"/>
      <c r="LH122" s="310"/>
      <c r="LI122" s="310"/>
      <c r="LJ122" s="310"/>
      <c r="LK122" s="310"/>
      <c r="LL122" s="310"/>
      <c r="LM122" s="310"/>
      <c r="LN122" s="310"/>
      <c r="LO122" s="310"/>
      <c r="LP122" s="310"/>
      <c r="LQ122" s="310"/>
      <c r="LR122" s="310"/>
      <c r="LS122" s="310"/>
      <c r="LT122" s="310"/>
      <c r="LU122" s="310"/>
      <c r="LV122" s="310"/>
      <c r="LW122" s="310"/>
      <c r="LX122" s="310"/>
      <c r="LY122" s="310"/>
      <c r="LZ122" s="310"/>
      <c r="MA122" s="310"/>
      <c r="MB122" s="310"/>
      <c r="MC122" s="310"/>
      <c r="MD122" s="310"/>
      <c r="ME122" s="310"/>
      <c r="MF122" s="310"/>
      <c r="MG122" s="310"/>
      <c r="MH122" s="310"/>
      <c r="MI122" s="310"/>
      <c r="MJ122" s="310"/>
      <c r="MK122" s="310"/>
      <c r="ML122" s="310"/>
      <c r="MM122" s="310"/>
      <c r="MN122" s="310"/>
      <c r="MO122" s="310"/>
      <c r="MP122" s="310"/>
      <c r="MQ122" s="310"/>
      <c r="MR122" s="310"/>
      <c r="MS122" s="310"/>
      <c r="MT122" s="310"/>
      <c r="MU122" s="310"/>
      <c r="MV122" s="310"/>
      <c r="MW122" s="310"/>
      <c r="MX122" s="310"/>
      <c r="MY122" s="310"/>
      <c r="MZ122" s="310"/>
      <c r="NA122" s="310"/>
      <c r="NB122" s="310"/>
      <c r="NC122" s="310"/>
      <c r="ND122" s="310"/>
      <c r="NE122" s="310"/>
      <c r="NF122" s="310"/>
      <c r="NG122" s="310"/>
      <c r="NH122" s="310"/>
      <c r="NI122" s="310"/>
      <c r="NJ122" s="310"/>
      <c r="NK122" s="310"/>
      <c r="NL122" s="310"/>
      <c r="NM122" s="310"/>
      <c r="NN122" s="310"/>
      <c r="NO122" s="310"/>
      <c r="NP122" s="310"/>
      <c r="NQ122" s="310"/>
      <c r="NR122" s="310"/>
      <c r="NS122" s="310"/>
      <c r="NT122" s="310"/>
      <c r="NU122" s="310"/>
      <c r="NV122" s="310"/>
      <c r="NW122" s="310"/>
      <c r="NX122" s="310"/>
      <c r="NY122" s="310"/>
      <c r="NZ122" s="310"/>
      <c r="OA122" s="310"/>
      <c r="OB122" s="310"/>
      <c r="OC122" s="310"/>
      <c r="OD122" s="310"/>
      <c r="OE122" s="310"/>
      <c r="OF122" s="310"/>
      <c r="OG122" s="310"/>
      <c r="OH122" s="310"/>
      <c r="OI122" s="310"/>
      <c r="OJ122" s="310"/>
      <c r="OK122" s="310"/>
      <c r="OL122" s="310"/>
      <c r="OM122" s="310"/>
      <c r="ON122" s="310"/>
      <c r="OO122" s="310"/>
      <c r="OP122" s="310"/>
      <c r="OQ122" s="310"/>
      <c r="OR122" s="310"/>
      <c r="OS122" s="310"/>
      <c r="OT122" s="310"/>
      <c r="OU122" s="310"/>
      <c r="OV122" s="310"/>
      <c r="OW122" s="310"/>
      <c r="OX122" s="310"/>
      <c r="OY122" s="310"/>
      <c r="OZ122" s="310"/>
      <c r="PA122" s="310"/>
      <c r="PB122" s="310"/>
      <c r="PC122" s="310"/>
      <c r="PD122" s="310"/>
      <c r="PE122" s="310"/>
      <c r="PF122" s="310"/>
      <c r="PG122" s="310"/>
      <c r="PH122" s="310"/>
      <c r="PI122" s="310"/>
      <c r="PJ122" s="310"/>
      <c r="PK122" s="310"/>
      <c r="PL122" s="310"/>
      <c r="PM122" s="310"/>
      <c r="PN122" s="310"/>
      <c r="PO122" s="310"/>
      <c r="PP122" s="310"/>
      <c r="PQ122" s="310"/>
      <c r="PR122" s="310"/>
      <c r="PS122" s="342">
        <v>108</v>
      </c>
      <c r="PT122" s="261" t="e">
        <f t="shared" si="163"/>
        <v>#N/A</v>
      </c>
      <c r="PU122" s="261" t="e">
        <f t="shared" si="164"/>
        <v>#N/A</v>
      </c>
      <c r="PV122" s="310"/>
      <c r="PW122" s="310"/>
      <c r="PX122" s="310"/>
      <c r="PY122" s="310"/>
      <c r="PZ122" s="310"/>
      <c r="QA122" s="310"/>
      <c r="QB122" s="310"/>
      <c r="QC122" s="310"/>
      <c r="QD122" s="310"/>
      <c r="QE122" s="310"/>
      <c r="QF122" s="310"/>
      <c r="QG122" s="310"/>
      <c r="QH122" s="310"/>
      <c r="QI122" s="310"/>
      <c r="QJ122" s="310"/>
      <c r="QK122" s="310"/>
      <c r="QL122" s="310"/>
      <c r="QM122" s="310"/>
      <c r="QN122" s="310"/>
      <c r="QO122" s="310"/>
      <c r="QP122" s="310"/>
      <c r="QQ122" s="310"/>
      <c r="QR122" s="310"/>
      <c r="QS122" s="310"/>
      <c r="QT122" s="310"/>
      <c r="QU122" s="310"/>
      <c r="QV122" s="310"/>
      <c r="QW122" s="310"/>
      <c r="QX122" s="310"/>
      <c r="QY122" s="310"/>
      <c r="QZ122" s="310"/>
      <c r="RA122" s="310"/>
      <c r="RB122" s="310"/>
      <c r="RC122" s="310"/>
      <c r="RD122" s="310"/>
      <c r="RE122" s="310"/>
      <c r="RF122" s="310"/>
      <c r="RG122" s="310"/>
      <c r="RH122" s="310"/>
      <c r="RI122" s="310"/>
      <c r="RJ122" s="310"/>
      <c r="RK122" s="310"/>
      <c r="RL122" s="310"/>
      <c r="RM122" s="310"/>
      <c r="RN122" s="310"/>
      <c r="RO122" s="310"/>
      <c r="RP122" s="310"/>
      <c r="RQ122" s="310"/>
      <c r="RR122" s="310"/>
      <c r="RS122" s="310"/>
      <c r="RT122" s="310"/>
      <c r="RU122" s="310"/>
      <c r="RV122" s="310"/>
      <c r="RW122" s="310"/>
      <c r="RX122" s="310"/>
      <c r="RY122" s="310"/>
      <c r="RZ122" s="310"/>
      <c r="SA122" s="310"/>
      <c r="SB122" s="310"/>
      <c r="SC122" s="310"/>
      <c r="SD122" s="310"/>
      <c r="SE122" s="310"/>
      <c r="SF122" s="310"/>
      <c r="SG122" s="310"/>
      <c r="SH122" s="310"/>
      <c r="SI122" s="310"/>
      <c r="SJ122" s="310"/>
      <c r="SK122" s="310"/>
      <c r="SL122" s="310"/>
      <c r="SM122" s="310"/>
      <c r="SN122" s="310"/>
      <c r="SO122" s="220"/>
      <c r="SP122" s="220"/>
      <c r="SQ122" s="220"/>
      <c r="SR122" s="220"/>
      <c r="SS122" s="220"/>
      <c r="ST122" s="220"/>
      <c r="SU122" s="220"/>
      <c r="SV122" s="220"/>
      <c r="SW122" s="220"/>
      <c r="SX122" s="220"/>
      <c r="SY122" s="220"/>
      <c r="SZ122" s="220"/>
      <c r="TA122" s="220"/>
      <c r="TB122" s="220"/>
      <c r="TC122" s="220"/>
      <c r="TD122" s="220"/>
      <c r="TE122" s="220"/>
      <c r="TF122" s="220"/>
      <c r="TG122" s="220"/>
      <c r="TH122" s="220"/>
      <c r="TI122" s="220"/>
      <c r="TJ122" s="220"/>
      <c r="TK122" s="220"/>
      <c r="TL122" s="220"/>
      <c r="TM122" s="220"/>
      <c r="TN122" s="220"/>
      <c r="TO122" s="220"/>
      <c r="TP122" s="220"/>
      <c r="TQ122" s="220"/>
      <c r="TR122" s="220"/>
      <c r="TS122" s="220"/>
      <c r="TT122" s="220"/>
      <c r="TU122" s="220"/>
      <c r="TV122" s="220"/>
      <c r="TW122" s="220"/>
      <c r="TX122" s="220"/>
      <c r="TY122" s="220"/>
      <c r="TZ122" s="220"/>
      <c r="UA122" s="220"/>
      <c r="UB122" s="220"/>
      <c r="UC122" s="220"/>
      <c r="UD122" s="220"/>
      <c r="UE122" s="220"/>
      <c r="UF122" s="220"/>
      <c r="UG122" s="220"/>
      <c r="UH122" s="220"/>
      <c r="UI122" s="220"/>
      <c r="UJ122" s="220"/>
      <c r="UK122" s="216"/>
      <c r="UL122" s="216"/>
      <c r="UM122" s="216"/>
      <c r="UN122" s="216"/>
      <c r="UO122" s="216"/>
      <c r="UP122" s="216"/>
      <c r="UQ122" s="216"/>
      <c r="UR122" s="216"/>
      <c r="US122" s="216"/>
      <c r="UT122" s="216"/>
      <c r="UU122" s="216"/>
      <c r="UV122" s="216"/>
      <c r="UW122" s="216"/>
      <c r="UX122" s="216"/>
      <c r="UY122" s="216"/>
      <c r="UZ122" s="216"/>
      <c r="VA122" s="216"/>
    </row>
    <row r="123" spans="1:573" s="4" customFormat="1" x14ac:dyDescent="0.5">
      <c r="AP123" s="310"/>
      <c r="AQ123" s="310"/>
      <c r="AR123" s="310"/>
      <c r="AS123" s="310"/>
      <c r="AT123" s="310"/>
      <c r="AU123" s="310"/>
      <c r="AV123" s="310"/>
      <c r="AW123" s="310"/>
      <c r="AX123" s="310"/>
      <c r="AY123" s="310"/>
      <c r="AZ123" s="310"/>
      <c r="BA123" s="310"/>
      <c r="BB123" s="310"/>
      <c r="BC123" s="310"/>
      <c r="BD123" s="310"/>
      <c r="BE123" s="310"/>
      <c r="BF123" s="310"/>
      <c r="BG123" s="310"/>
      <c r="BH123" s="310"/>
      <c r="BI123" s="310"/>
      <c r="BJ123" s="310"/>
      <c r="BK123" s="310"/>
      <c r="BL123" s="310"/>
      <c r="BM123" s="310"/>
      <c r="BN123" s="310"/>
      <c r="BO123" s="310"/>
      <c r="BP123" s="310"/>
      <c r="BQ123" s="310"/>
      <c r="BR123" s="310"/>
      <c r="BS123" s="310"/>
      <c r="BT123" s="310"/>
      <c r="BU123" s="310"/>
      <c r="BV123" s="310"/>
      <c r="BW123" s="310"/>
      <c r="BX123" s="310"/>
      <c r="BY123" s="310"/>
      <c r="BZ123" s="310"/>
      <c r="CA123" s="310"/>
      <c r="CB123" s="310"/>
      <c r="CC123" s="310"/>
      <c r="CD123" s="310"/>
      <c r="CE123" s="310"/>
      <c r="CF123" s="310"/>
      <c r="CG123" s="310"/>
      <c r="CH123" s="310"/>
      <c r="CI123" s="310"/>
      <c r="CJ123" s="310"/>
      <c r="CK123" s="310"/>
      <c r="CL123" s="310"/>
      <c r="CM123" s="310"/>
      <c r="CN123" s="310"/>
      <c r="CO123" s="310"/>
      <c r="CP123" s="310"/>
      <c r="CQ123" s="310"/>
      <c r="CR123" s="310"/>
      <c r="CS123" s="310"/>
      <c r="CT123" s="310"/>
      <c r="CU123" s="310"/>
      <c r="CV123" s="310"/>
      <c r="CW123" s="310"/>
      <c r="CX123" s="310"/>
      <c r="CY123" s="310"/>
      <c r="CZ123" s="310"/>
      <c r="DA123" s="310"/>
      <c r="DB123" s="310"/>
      <c r="DC123" s="310"/>
      <c r="DD123" s="310"/>
      <c r="DE123" s="310"/>
      <c r="DF123" s="310"/>
      <c r="DG123" s="310"/>
      <c r="DH123" s="310"/>
      <c r="DI123" s="310"/>
      <c r="DJ123" s="310"/>
      <c r="DK123" s="310"/>
      <c r="DL123" s="310"/>
      <c r="DM123" s="310"/>
      <c r="DN123" s="310"/>
      <c r="DO123" s="310"/>
      <c r="DP123" s="310"/>
      <c r="DQ123" s="310"/>
      <c r="DR123" s="310"/>
      <c r="DS123" s="310"/>
      <c r="DT123" s="310"/>
      <c r="DU123" s="310"/>
      <c r="DV123" s="310"/>
      <c r="DW123" s="310"/>
      <c r="DX123" s="310"/>
      <c r="DY123" s="310"/>
      <c r="DZ123" s="310"/>
      <c r="EA123" s="310"/>
      <c r="EB123" s="310"/>
      <c r="EC123" s="310"/>
      <c r="ED123" s="310"/>
      <c r="EE123" s="310"/>
      <c r="EF123" s="310"/>
      <c r="EG123" s="310"/>
      <c r="EH123" s="310"/>
      <c r="EI123" s="310"/>
      <c r="EJ123" s="310"/>
      <c r="EK123" s="310"/>
      <c r="EL123" s="310"/>
      <c r="EM123" s="310">
        <f>EF61/D63</f>
        <v>0.6</v>
      </c>
      <c r="EN123" s="310" t="s">
        <v>48</v>
      </c>
      <c r="EO123" s="310" t="s">
        <v>49</v>
      </c>
      <c r="EP123" s="310"/>
      <c r="EQ123" s="310"/>
      <c r="ER123" s="310"/>
      <c r="ES123" s="310"/>
      <c r="ET123" s="310"/>
      <c r="EU123" s="310"/>
      <c r="EV123" s="310"/>
      <c r="EW123" s="310"/>
      <c r="EX123" s="310"/>
      <c r="EY123" s="310"/>
      <c r="EZ123" s="310"/>
      <c r="FA123" s="310"/>
      <c r="FB123" s="310"/>
      <c r="FC123" s="310"/>
      <c r="FD123" s="310"/>
      <c r="FE123" s="310"/>
      <c r="FF123" s="310"/>
      <c r="FG123" s="310"/>
      <c r="FH123" s="310"/>
      <c r="FI123" s="310"/>
      <c r="FJ123" s="310"/>
      <c r="FK123" s="310"/>
      <c r="FL123" s="311"/>
      <c r="FM123" s="311"/>
      <c r="FN123" s="311"/>
      <c r="FO123" s="311"/>
      <c r="FP123" s="311"/>
      <c r="FQ123" s="311"/>
      <c r="FR123" s="311"/>
      <c r="FS123" s="311"/>
      <c r="FT123" s="311"/>
      <c r="FU123" s="311"/>
      <c r="FV123" s="311"/>
      <c r="FW123" s="311"/>
      <c r="FX123" s="311"/>
      <c r="FY123" s="311"/>
      <c r="FZ123" s="311"/>
      <c r="GA123" s="311"/>
      <c r="GB123" s="310"/>
      <c r="GC123" s="310"/>
      <c r="GD123" s="310"/>
      <c r="GE123" s="310"/>
      <c r="GF123" s="310"/>
      <c r="GG123" s="310"/>
      <c r="GH123" s="310"/>
      <c r="GI123" s="310"/>
      <c r="GJ123" s="310"/>
      <c r="GK123" s="310"/>
      <c r="GL123" s="310"/>
      <c r="GM123" s="310"/>
      <c r="GN123" s="310"/>
      <c r="GO123" s="310"/>
      <c r="GP123" s="310"/>
      <c r="GQ123" s="310"/>
      <c r="GR123" s="310"/>
      <c r="GS123" s="310"/>
      <c r="GT123" s="310"/>
      <c r="GU123" s="310"/>
      <c r="GV123" s="310"/>
      <c r="GW123" s="310"/>
      <c r="GX123" s="310"/>
      <c r="GY123" s="310"/>
      <c r="GZ123" s="310"/>
      <c r="HA123" s="310"/>
      <c r="HB123" s="310"/>
      <c r="HC123" s="310"/>
      <c r="HD123" s="310"/>
      <c r="HE123" s="310"/>
      <c r="HF123" s="310"/>
      <c r="HG123" s="310"/>
      <c r="HH123" s="310"/>
      <c r="HI123" s="310"/>
      <c r="HJ123" s="310"/>
      <c r="HK123" s="342">
        <v>109</v>
      </c>
      <c r="HL123" s="235" t="e">
        <f t="shared" si="139"/>
        <v>#N/A</v>
      </c>
      <c r="HM123" s="235" t="e">
        <f t="shared" si="140"/>
        <v>#N/A</v>
      </c>
      <c r="HN123" s="310"/>
      <c r="HO123" s="310"/>
      <c r="HP123" s="235" t="e">
        <f t="shared" si="141"/>
        <v>#N/A</v>
      </c>
      <c r="HQ123" s="235" t="e">
        <f t="shared" si="142"/>
        <v>#N/A</v>
      </c>
      <c r="HR123" s="310"/>
      <c r="HS123" s="310"/>
      <c r="HT123" s="235" t="e">
        <f t="shared" si="143"/>
        <v>#N/A</v>
      </c>
      <c r="HU123" s="235" t="e">
        <f t="shared" si="144"/>
        <v>#N/A</v>
      </c>
      <c r="HV123" s="310"/>
      <c r="HW123" s="310"/>
      <c r="HX123" s="235" t="e">
        <f t="shared" si="145"/>
        <v>#N/A</v>
      </c>
      <c r="HY123" s="235" t="e">
        <f t="shared" si="146"/>
        <v>#N/A</v>
      </c>
      <c r="HZ123" s="310"/>
      <c r="IA123" s="310"/>
      <c r="IB123" s="235" t="e">
        <f t="shared" si="147"/>
        <v>#N/A</v>
      </c>
      <c r="IC123" s="235" t="e">
        <f t="shared" si="148"/>
        <v>#N/A</v>
      </c>
      <c r="ID123" s="310"/>
      <c r="IE123" s="342">
        <v>109</v>
      </c>
      <c r="IF123" s="262" t="e">
        <f t="shared" si="149"/>
        <v>#N/A</v>
      </c>
      <c r="IG123" s="262" t="e">
        <f t="shared" si="150"/>
        <v>#N/A</v>
      </c>
      <c r="IH123" s="390"/>
      <c r="II123" s="390"/>
      <c r="IJ123" s="262" t="e">
        <f t="shared" si="151"/>
        <v>#N/A</v>
      </c>
      <c r="IK123" s="262" t="e">
        <f t="shared" si="152"/>
        <v>#N/A</v>
      </c>
      <c r="IL123" s="390"/>
      <c r="IM123" s="390"/>
      <c r="IN123" s="262" t="e">
        <f t="shared" si="153"/>
        <v>#N/A</v>
      </c>
      <c r="IO123" s="262" t="e">
        <f t="shared" si="154"/>
        <v>#N/A</v>
      </c>
      <c r="IP123" s="390"/>
      <c r="IQ123" s="390"/>
      <c r="IR123" s="262" t="e">
        <f t="shared" si="155"/>
        <v>#N/A</v>
      </c>
      <c r="IS123" s="262" t="e">
        <f t="shared" si="156"/>
        <v>#N/A</v>
      </c>
      <c r="IT123" s="390"/>
      <c r="IU123" s="390"/>
      <c r="IV123" s="262" t="e">
        <f t="shared" si="157"/>
        <v>#N/A</v>
      </c>
      <c r="IW123" s="262" t="e">
        <f t="shared" si="158"/>
        <v>#N/A</v>
      </c>
      <c r="IX123" s="310"/>
      <c r="IY123" s="342" t="s">
        <v>355</v>
      </c>
      <c r="IZ123" s="342" t="s">
        <v>48</v>
      </c>
      <c r="JA123" s="342" t="s">
        <v>49</v>
      </c>
      <c r="JB123" s="313" t="s">
        <v>144</v>
      </c>
      <c r="JC123" s="228">
        <f>IZ124+($IZ$108/2)-$IZ$114</f>
        <v>-0.51500000000000001</v>
      </c>
      <c r="JD123" s="228">
        <f>JD122</f>
        <v>0.8</v>
      </c>
      <c r="JE123" s="310"/>
      <c r="JF123" s="342" t="s">
        <v>355</v>
      </c>
      <c r="JG123" s="342" t="s">
        <v>48</v>
      </c>
      <c r="JH123" s="342" t="s">
        <v>49</v>
      </c>
      <c r="JI123" s="313" t="s">
        <v>144</v>
      </c>
      <c r="JJ123" s="242">
        <f>JG124+($IZ$108/2)-$IZ$114</f>
        <v>-0.51500000000000001</v>
      </c>
      <c r="JK123" s="242">
        <f>JK122</f>
        <v>0.8</v>
      </c>
      <c r="JL123" s="310"/>
      <c r="JM123" s="310"/>
      <c r="JN123" s="261" t="e">
        <f t="shared" si="159"/>
        <v>#N/A</v>
      </c>
      <c r="JO123" s="261" t="e">
        <f t="shared" si="160"/>
        <v>#N/A</v>
      </c>
      <c r="JP123" s="310"/>
      <c r="JQ123" s="310"/>
      <c r="JR123" s="261" t="e">
        <f t="shared" si="165"/>
        <v>#N/A</v>
      </c>
      <c r="JS123" s="261" t="e">
        <f t="shared" si="166"/>
        <v>#N/A</v>
      </c>
      <c r="JT123" s="310"/>
      <c r="JU123" s="310"/>
      <c r="JV123" s="261" t="e">
        <f t="shared" si="161"/>
        <v>#N/A</v>
      </c>
      <c r="JW123" s="261" t="e">
        <f t="shared" si="162"/>
        <v>#N/A</v>
      </c>
      <c r="JX123" s="310"/>
      <c r="JY123" s="310"/>
      <c r="JZ123" s="310"/>
      <c r="KA123" s="310"/>
      <c r="KB123" s="310"/>
      <c r="KC123" s="310"/>
      <c r="KD123" s="310"/>
      <c r="KE123" s="310"/>
      <c r="KF123" s="310"/>
      <c r="KG123" s="310"/>
      <c r="KH123" s="310"/>
      <c r="KI123" s="310"/>
      <c r="KJ123" s="310"/>
      <c r="KK123" s="310"/>
      <c r="KL123" s="310"/>
      <c r="KM123" s="310"/>
      <c r="KN123" s="310"/>
      <c r="KO123" s="310"/>
      <c r="KP123" s="310"/>
      <c r="KQ123" s="310"/>
      <c r="KR123" s="310"/>
      <c r="KS123" s="310"/>
      <c r="KT123" s="310"/>
      <c r="KU123" s="310"/>
      <c r="KV123" s="310"/>
      <c r="KW123" s="310"/>
      <c r="KX123" s="310"/>
      <c r="KY123" s="310"/>
      <c r="KZ123" s="310"/>
      <c r="LA123" s="310"/>
      <c r="LB123" s="310"/>
      <c r="LC123" s="310"/>
      <c r="LD123" s="310"/>
      <c r="LE123" s="310"/>
      <c r="LF123" s="310"/>
      <c r="LG123" s="310"/>
      <c r="LH123" s="310"/>
      <c r="LI123" s="310"/>
      <c r="LJ123" s="310"/>
      <c r="LK123" s="310"/>
      <c r="LL123" s="310"/>
      <c r="LM123" s="310"/>
      <c r="LN123" s="310"/>
      <c r="LO123" s="310"/>
      <c r="LP123" s="310"/>
      <c r="LQ123" s="310"/>
      <c r="LR123" s="310"/>
      <c r="LS123" s="310"/>
      <c r="LT123" s="310"/>
      <c r="LU123" s="310"/>
      <c r="LV123" s="310"/>
      <c r="LW123" s="310"/>
      <c r="LX123" s="310"/>
      <c r="LY123" s="310"/>
      <c r="LZ123" s="310"/>
      <c r="MA123" s="310"/>
      <c r="MB123" s="310"/>
      <c r="MC123" s="310"/>
      <c r="MD123" s="310"/>
      <c r="ME123" s="310"/>
      <c r="MF123" s="310"/>
      <c r="MG123" s="310"/>
      <c r="MH123" s="310"/>
      <c r="MI123" s="310"/>
      <c r="MJ123" s="310"/>
      <c r="MK123" s="310"/>
      <c r="ML123" s="310"/>
      <c r="MM123" s="310"/>
      <c r="MN123" s="310"/>
      <c r="MO123" s="310"/>
      <c r="MP123" s="310"/>
      <c r="MQ123" s="310"/>
      <c r="MR123" s="310"/>
      <c r="MS123" s="310"/>
      <c r="MT123" s="310"/>
      <c r="MU123" s="310"/>
      <c r="MV123" s="310"/>
      <c r="MW123" s="310"/>
      <c r="MX123" s="310"/>
      <c r="MY123" s="310"/>
      <c r="MZ123" s="310"/>
      <c r="NA123" s="310"/>
      <c r="NB123" s="310"/>
      <c r="NC123" s="310"/>
      <c r="ND123" s="310"/>
      <c r="NE123" s="310"/>
      <c r="NF123" s="310"/>
      <c r="NG123" s="310"/>
      <c r="NH123" s="310"/>
      <c r="NI123" s="310"/>
      <c r="NJ123" s="310"/>
      <c r="NK123" s="310"/>
      <c r="NL123" s="310"/>
      <c r="NM123" s="310"/>
      <c r="NN123" s="310"/>
      <c r="NO123" s="310"/>
      <c r="NP123" s="310"/>
      <c r="NQ123" s="310"/>
      <c r="NR123" s="310"/>
      <c r="NS123" s="310"/>
      <c r="NT123" s="310"/>
      <c r="NU123" s="310"/>
      <c r="NV123" s="310"/>
      <c r="NW123" s="310"/>
      <c r="NX123" s="310"/>
      <c r="NY123" s="310"/>
      <c r="NZ123" s="310"/>
      <c r="OA123" s="310"/>
      <c r="OB123" s="310"/>
      <c r="OC123" s="310"/>
      <c r="OD123" s="310"/>
      <c r="OE123" s="310"/>
      <c r="OF123" s="310"/>
      <c r="OG123" s="310"/>
      <c r="OH123" s="310"/>
      <c r="OI123" s="310"/>
      <c r="OJ123" s="310"/>
      <c r="OK123" s="310"/>
      <c r="OL123" s="310"/>
      <c r="OM123" s="310"/>
      <c r="ON123" s="310"/>
      <c r="OO123" s="310"/>
      <c r="OP123" s="310"/>
      <c r="OQ123" s="310"/>
      <c r="OR123" s="310"/>
      <c r="OS123" s="310"/>
      <c r="OT123" s="310"/>
      <c r="OU123" s="310"/>
      <c r="OV123" s="310"/>
      <c r="OW123" s="310"/>
      <c r="OX123" s="310"/>
      <c r="OY123" s="310"/>
      <c r="OZ123" s="310"/>
      <c r="PA123" s="310"/>
      <c r="PB123" s="310"/>
      <c r="PC123" s="310"/>
      <c r="PD123" s="310"/>
      <c r="PE123" s="310"/>
      <c r="PF123" s="310"/>
      <c r="PG123" s="310"/>
      <c r="PH123" s="310"/>
      <c r="PI123" s="310"/>
      <c r="PJ123" s="310"/>
      <c r="PK123" s="310"/>
      <c r="PL123" s="310"/>
      <c r="PM123" s="310"/>
      <c r="PN123" s="310"/>
      <c r="PO123" s="310"/>
      <c r="PP123" s="310"/>
      <c r="PQ123" s="310"/>
      <c r="PR123" s="310"/>
      <c r="PS123" s="342">
        <v>109</v>
      </c>
      <c r="PT123" s="261" t="e">
        <f t="shared" si="163"/>
        <v>#N/A</v>
      </c>
      <c r="PU123" s="261" t="e">
        <f t="shared" si="164"/>
        <v>#N/A</v>
      </c>
      <c r="PV123" s="310"/>
      <c r="PW123" s="310"/>
      <c r="PX123" s="310"/>
      <c r="PY123" s="310"/>
      <c r="PZ123" s="310"/>
      <c r="QA123" s="310"/>
      <c r="QB123" s="310"/>
      <c r="QC123" s="310"/>
      <c r="QD123" s="310"/>
      <c r="QE123" s="310"/>
      <c r="QF123" s="310"/>
      <c r="QG123" s="310"/>
      <c r="QH123" s="310"/>
      <c r="QI123" s="310"/>
      <c r="QJ123" s="310"/>
      <c r="QK123" s="310"/>
      <c r="QL123" s="310"/>
      <c r="QM123" s="310"/>
      <c r="QN123" s="310"/>
      <c r="QO123" s="310"/>
      <c r="QP123" s="310"/>
      <c r="QQ123" s="310"/>
      <c r="QR123" s="310"/>
      <c r="QS123" s="310"/>
      <c r="QT123" s="310"/>
      <c r="QU123" s="310"/>
      <c r="QV123" s="310"/>
      <c r="QW123" s="310"/>
      <c r="QX123" s="310"/>
      <c r="QY123" s="310"/>
      <c r="QZ123" s="310"/>
      <c r="RA123" s="310"/>
      <c r="RB123" s="310"/>
      <c r="RC123" s="310"/>
      <c r="RD123" s="310"/>
      <c r="RE123" s="310"/>
      <c r="RF123" s="310"/>
      <c r="RG123" s="310"/>
      <c r="RH123" s="310"/>
      <c r="RI123" s="310"/>
      <c r="RJ123" s="310"/>
      <c r="RK123" s="310"/>
      <c r="RL123" s="310"/>
      <c r="RM123" s="310"/>
      <c r="RN123" s="310"/>
      <c r="RO123" s="310"/>
      <c r="RP123" s="310"/>
      <c r="RQ123" s="310"/>
      <c r="RR123" s="310"/>
      <c r="RS123" s="310"/>
      <c r="RT123" s="310"/>
      <c r="RU123" s="310"/>
      <c r="RV123" s="310"/>
      <c r="RW123" s="310"/>
      <c r="RX123" s="310"/>
      <c r="RY123" s="310"/>
      <c r="RZ123" s="310"/>
      <c r="SA123" s="310"/>
      <c r="SB123" s="310"/>
      <c r="SC123" s="310"/>
      <c r="SD123" s="310"/>
      <c r="SE123" s="310"/>
      <c r="SF123" s="310"/>
      <c r="SG123" s="310"/>
      <c r="SH123" s="310"/>
      <c r="SI123" s="310"/>
      <c r="SJ123" s="310"/>
      <c r="SK123" s="310"/>
      <c r="SL123" s="310"/>
      <c r="SM123" s="310"/>
      <c r="SN123" s="310"/>
      <c r="SO123" s="220"/>
      <c r="SP123" s="220"/>
      <c r="SQ123" s="220"/>
      <c r="SR123" s="220"/>
      <c r="SS123" s="220"/>
      <c r="ST123" s="220"/>
      <c r="SU123" s="220"/>
      <c r="SV123" s="220"/>
      <c r="SW123" s="220"/>
      <c r="SX123" s="220"/>
      <c r="SY123" s="220"/>
      <c r="SZ123" s="220"/>
      <c r="TA123" s="220"/>
      <c r="TB123" s="220"/>
      <c r="TC123" s="220"/>
      <c r="TD123" s="220"/>
      <c r="TE123" s="220"/>
      <c r="TF123" s="220"/>
      <c r="TG123" s="220"/>
      <c r="TH123" s="220"/>
      <c r="TI123" s="220"/>
      <c r="TJ123" s="220"/>
      <c r="TK123" s="220"/>
      <c r="TL123" s="220"/>
      <c r="TM123" s="220"/>
      <c r="TN123" s="220"/>
      <c r="TO123" s="220"/>
      <c r="TP123" s="220"/>
      <c r="TQ123" s="220"/>
      <c r="TR123" s="220"/>
      <c r="TS123" s="220"/>
      <c r="TT123" s="220"/>
      <c r="TU123" s="220"/>
      <c r="TV123" s="220"/>
      <c r="TW123" s="220"/>
      <c r="TX123" s="220"/>
      <c r="TY123" s="220"/>
      <c r="TZ123" s="220"/>
      <c r="UA123" s="220"/>
      <c r="UB123" s="220"/>
      <c r="UC123" s="220"/>
      <c r="UD123" s="220"/>
      <c r="UE123" s="220"/>
      <c r="UF123" s="220"/>
      <c r="UG123" s="220"/>
      <c r="UH123" s="220"/>
      <c r="UI123" s="220"/>
      <c r="UJ123" s="220"/>
      <c r="UK123" s="216"/>
      <c r="UL123" s="216"/>
      <c r="UM123" s="216"/>
      <c r="UN123" s="216"/>
      <c r="UO123" s="216"/>
      <c r="UP123" s="216"/>
      <c r="UQ123" s="216"/>
      <c r="UR123" s="216"/>
      <c r="US123" s="216"/>
      <c r="UT123" s="216"/>
      <c r="UU123" s="216"/>
      <c r="UV123" s="216"/>
      <c r="UW123" s="216"/>
      <c r="UX123" s="216"/>
      <c r="UY123" s="216"/>
      <c r="UZ123" s="216"/>
      <c r="VA123" s="216"/>
    </row>
    <row r="124" spans="1:573" s="4" customFormat="1" x14ac:dyDescent="0.5">
      <c r="AP124" s="310"/>
      <c r="AQ124" s="310"/>
      <c r="AR124" s="310"/>
      <c r="AS124" s="310"/>
      <c r="AT124" s="310"/>
      <c r="AU124" s="310"/>
      <c r="AV124" s="310"/>
      <c r="AW124" s="310"/>
      <c r="AX124" s="310"/>
      <c r="AY124" s="310"/>
      <c r="AZ124" s="310"/>
      <c r="BA124" s="310"/>
      <c r="BB124" s="310"/>
      <c r="BC124" s="310"/>
      <c r="BD124" s="310"/>
      <c r="BE124" s="310"/>
      <c r="BF124" s="310"/>
      <c r="BG124" s="310"/>
      <c r="BH124" s="310"/>
      <c r="BI124" s="310"/>
      <c r="BJ124" s="310"/>
      <c r="BK124" s="310"/>
      <c r="BL124" s="310"/>
      <c r="BM124" s="310"/>
      <c r="BN124" s="310"/>
      <c r="BO124" s="310"/>
      <c r="BP124" s="310"/>
      <c r="BQ124" s="310"/>
      <c r="BR124" s="310"/>
      <c r="BS124" s="310"/>
      <c r="BT124" s="310"/>
      <c r="BU124" s="310"/>
      <c r="BV124" s="310"/>
      <c r="BW124" s="310"/>
      <c r="BX124" s="310"/>
      <c r="BY124" s="310"/>
      <c r="BZ124" s="310"/>
      <c r="CA124" s="310"/>
      <c r="CB124" s="310"/>
      <c r="CC124" s="310"/>
      <c r="CD124" s="310"/>
      <c r="CE124" s="310"/>
      <c r="CF124" s="310"/>
      <c r="CG124" s="310"/>
      <c r="CH124" s="310"/>
      <c r="CI124" s="310"/>
      <c r="CJ124" s="310"/>
      <c r="CK124" s="310"/>
      <c r="CL124" s="310"/>
      <c r="CM124" s="310"/>
      <c r="CN124" s="310"/>
      <c r="CO124" s="310"/>
      <c r="CP124" s="310"/>
      <c r="CQ124" s="310"/>
      <c r="CR124" s="310"/>
      <c r="CS124" s="310"/>
      <c r="CT124" s="310"/>
      <c r="CU124" s="310"/>
      <c r="CV124" s="310"/>
      <c r="CW124" s="310"/>
      <c r="CX124" s="310"/>
      <c r="CY124" s="310"/>
      <c r="CZ124" s="310"/>
      <c r="DA124" s="310"/>
      <c r="DB124" s="310"/>
      <c r="DC124" s="310"/>
      <c r="DD124" s="310"/>
      <c r="DE124" s="310"/>
      <c r="DF124" s="310"/>
      <c r="DG124" s="310"/>
      <c r="DH124" s="310"/>
      <c r="DI124" s="310"/>
      <c r="DJ124" s="310"/>
      <c r="DK124" s="310"/>
      <c r="DL124" s="310"/>
      <c r="DM124" s="310"/>
      <c r="DN124" s="310"/>
      <c r="DO124" s="310"/>
      <c r="DP124" s="310"/>
      <c r="DQ124" s="310"/>
      <c r="DR124" s="310"/>
      <c r="DS124" s="310"/>
      <c r="DT124" s="310"/>
      <c r="DU124" s="310"/>
      <c r="DV124" s="310"/>
      <c r="DW124" s="310"/>
      <c r="DX124" s="310"/>
      <c r="DY124" s="310"/>
      <c r="DZ124" s="310"/>
      <c r="EA124" s="310"/>
      <c r="EB124" s="310"/>
      <c r="EC124" s="310"/>
      <c r="ED124" s="310"/>
      <c r="EE124" s="310"/>
      <c r="EF124" s="310"/>
      <c r="EG124" s="310"/>
      <c r="EH124" s="310"/>
      <c r="EI124" s="310"/>
      <c r="EJ124" s="310"/>
      <c r="EK124" s="310"/>
      <c r="EL124" s="310">
        <v>1</v>
      </c>
      <c r="EM124" s="310" t="b">
        <f>IF($D$63&gt;=EL124,TRUE,FALSE)</f>
        <v>1</v>
      </c>
      <c r="EN124" s="280">
        <f>IF($DU$20=TRUE,EK67-0.009,#N/A)</f>
        <v>-0.88400000000000001</v>
      </c>
      <c r="EO124" s="280">
        <f>EK61-0.025</f>
        <v>0.5</v>
      </c>
      <c r="EP124" s="310"/>
      <c r="EQ124" s="310"/>
      <c r="ER124" s="310"/>
      <c r="ES124" s="310"/>
      <c r="ET124" s="310"/>
      <c r="EU124" s="310"/>
      <c r="EV124" s="310"/>
      <c r="EW124" s="310"/>
      <c r="EX124" s="310"/>
      <c r="EY124" s="310"/>
      <c r="EZ124" s="310"/>
      <c r="FA124" s="310"/>
      <c r="FB124" s="310"/>
      <c r="FC124" s="310"/>
      <c r="FD124" s="310"/>
      <c r="FE124" s="310"/>
      <c r="FF124" s="310"/>
      <c r="FG124" s="310"/>
      <c r="FH124" s="310"/>
      <c r="FI124" s="310"/>
      <c r="FJ124" s="310"/>
      <c r="FK124" s="310"/>
      <c r="FL124" s="311"/>
      <c r="FM124" s="311"/>
      <c r="FN124" s="311"/>
      <c r="FO124" s="311"/>
      <c r="FP124" s="311"/>
      <c r="FQ124" s="311"/>
      <c r="FR124" s="311"/>
      <c r="FS124" s="311"/>
      <c r="FT124" s="311"/>
      <c r="FU124" s="311"/>
      <c r="FV124" s="311"/>
      <c r="FW124" s="311"/>
      <c r="FX124" s="311"/>
      <c r="FY124" s="311"/>
      <c r="FZ124" s="311"/>
      <c r="GA124" s="311"/>
      <c r="GB124" s="310"/>
      <c r="GC124" s="310"/>
      <c r="GD124" s="310"/>
      <c r="GE124" s="310"/>
      <c r="GF124" s="310"/>
      <c r="GG124" s="310"/>
      <c r="GH124" s="310"/>
      <c r="GI124" s="310"/>
      <c r="GJ124" s="310"/>
      <c r="GK124" s="310"/>
      <c r="GL124" s="310"/>
      <c r="GM124" s="310"/>
      <c r="GN124" s="310"/>
      <c r="GO124" s="310"/>
      <c r="GP124" s="310"/>
      <c r="GQ124" s="310"/>
      <c r="GR124" s="310"/>
      <c r="GS124" s="310"/>
      <c r="GT124" s="310"/>
      <c r="GU124" s="310"/>
      <c r="GV124" s="310"/>
      <c r="GW124" s="310"/>
      <c r="GX124" s="310"/>
      <c r="GY124" s="310"/>
      <c r="GZ124" s="310"/>
      <c r="HA124" s="310"/>
      <c r="HB124" s="310"/>
      <c r="HC124" s="310"/>
      <c r="HD124" s="310"/>
      <c r="HE124" s="310"/>
      <c r="HF124" s="310"/>
      <c r="HG124" s="310"/>
      <c r="HH124" s="310"/>
      <c r="HI124" s="310"/>
      <c r="HJ124" s="310"/>
      <c r="HK124" s="342">
        <v>110</v>
      </c>
      <c r="HL124" s="235" t="e">
        <f t="shared" si="139"/>
        <v>#N/A</v>
      </c>
      <c r="HM124" s="235" t="e">
        <f t="shared" si="140"/>
        <v>#N/A</v>
      </c>
      <c r="HN124" s="310"/>
      <c r="HO124" s="310"/>
      <c r="HP124" s="235" t="e">
        <f t="shared" si="141"/>
        <v>#N/A</v>
      </c>
      <c r="HQ124" s="235" t="e">
        <f t="shared" si="142"/>
        <v>#N/A</v>
      </c>
      <c r="HR124" s="310"/>
      <c r="HS124" s="310"/>
      <c r="HT124" s="235" t="e">
        <f t="shared" si="143"/>
        <v>#N/A</v>
      </c>
      <c r="HU124" s="235" t="e">
        <f t="shared" si="144"/>
        <v>#N/A</v>
      </c>
      <c r="HV124" s="310"/>
      <c r="HW124" s="310"/>
      <c r="HX124" s="235" t="e">
        <f t="shared" si="145"/>
        <v>#N/A</v>
      </c>
      <c r="HY124" s="235" t="e">
        <f t="shared" si="146"/>
        <v>#N/A</v>
      </c>
      <c r="HZ124" s="310"/>
      <c r="IA124" s="310"/>
      <c r="IB124" s="235" t="e">
        <f t="shared" si="147"/>
        <v>#N/A</v>
      </c>
      <c r="IC124" s="235" t="e">
        <f t="shared" si="148"/>
        <v>#N/A</v>
      </c>
      <c r="ID124" s="310"/>
      <c r="IE124" s="342">
        <v>110</v>
      </c>
      <c r="IF124" s="262" t="e">
        <f t="shared" si="149"/>
        <v>#N/A</v>
      </c>
      <c r="IG124" s="262" t="e">
        <f t="shared" si="150"/>
        <v>#N/A</v>
      </c>
      <c r="IH124" s="390"/>
      <c r="II124" s="390"/>
      <c r="IJ124" s="262" t="e">
        <f t="shared" si="151"/>
        <v>#N/A</v>
      </c>
      <c r="IK124" s="262" t="e">
        <f t="shared" si="152"/>
        <v>#N/A</v>
      </c>
      <c r="IL124" s="390"/>
      <c r="IM124" s="390"/>
      <c r="IN124" s="262" t="e">
        <f t="shared" si="153"/>
        <v>#N/A</v>
      </c>
      <c r="IO124" s="262" t="e">
        <f t="shared" si="154"/>
        <v>#N/A</v>
      </c>
      <c r="IP124" s="390"/>
      <c r="IQ124" s="390"/>
      <c r="IR124" s="262" t="e">
        <f t="shared" si="155"/>
        <v>#N/A</v>
      </c>
      <c r="IS124" s="262" t="e">
        <f t="shared" si="156"/>
        <v>#N/A</v>
      </c>
      <c r="IT124" s="390"/>
      <c r="IU124" s="390"/>
      <c r="IV124" s="262" t="e">
        <f t="shared" si="157"/>
        <v>#N/A</v>
      </c>
      <c r="IW124" s="262" t="e">
        <f t="shared" si="158"/>
        <v>#N/A</v>
      </c>
      <c r="IX124" s="310"/>
      <c r="IY124" s="313" t="s">
        <v>72</v>
      </c>
      <c r="IZ124" s="362">
        <f>IF(JA122=TRUE,$M$20,#N/A)</f>
        <v>-0.65</v>
      </c>
      <c r="JA124" s="362">
        <f>IF(JA122=TRUE,$J$20,#N/A)</f>
        <v>0.65</v>
      </c>
      <c r="JB124" s="313" t="s">
        <v>149</v>
      </c>
      <c r="JC124" s="228">
        <f>IZ124+$IZ$108/2</f>
        <v>-0.5</v>
      </c>
      <c r="JD124" s="228">
        <f>JA124+$IZ$108/2-$IZ$114</f>
        <v>0.78500000000000003</v>
      </c>
      <c r="JE124" s="310"/>
      <c r="JF124" s="313" t="s">
        <v>72</v>
      </c>
      <c r="JG124" s="362">
        <f>IF(JH122=TRUE,$J$27,#N/A)</f>
        <v>-0.65</v>
      </c>
      <c r="JH124" s="363">
        <f>IF(JH122=TRUE,$H$27,#N/A)</f>
        <v>0.65</v>
      </c>
      <c r="JI124" s="313" t="s">
        <v>149</v>
      </c>
      <c r="JJ124" s="242">
        <f>JG124+$IZ$108/2</f>
        <v>-0.5</v>
      </c>
      <c r="JK124" s="242">
        <f>JH124+$IZ$108/2-$IZ$114</f>
        <v>0.78500000000000003</v>
      </c>
      <c r="JL124" s="310"/>
      <c r="JM124" s="310"/>
      <c r="JN124" s="261" t="e">
        <f t="shared" si="159"/>
        <v>#N/A</v>
      </c>
      <c r="JO124" s="261" t="e">
        <f t="shared" si="160"/>
        <v>#N/A</v>
      </c>
      <c r="JP124" s="310"/>
      <c r="JQ124" s="310"/>
      <c r="JR124" s="261" t="e">
        <f t="shared" si="165"/>
        <v>#N/A</v>
      </c>
      <c r="JS124" s="261" t="e">
        <f t="shared" si="166"/>
        <v>#N/A</v>
      </c>
      <c r="JT124" s="310"/>
      <c r="JU124" s="310"/>
      <c r="JV124" s="261" t="e">
        <f t="shared" si="161"/>
        <v>#N/A</v>
      </c>
      <c r="JW124" s="261" t="e">
        <f t="shared" si="162"/>
        <v>#N/A</v>
      </c>
      <c r="JX124" s="310"/>
      <c r="JY124" s="310"/>
      <c r="JZ124" s="310"/>
      <c r="KA124" s="310"/>
      <c r="KB124" s="310"/>
      <c r="KC124" s="310"/>
      <c r="KD124" s="310"/>
      <c r="KE124" s="310"/>
      <c r="KF124" s="310"/>
      <c r="KG124" s="310"/>
      <c r="KH124" s="310"/>
      <c r="KI124" s="310"/>
      <c r="KJ124" s="310"/>
      <c r="KK124" s="310"/>
      <c r="KL124" s="310"/>
      <c r="KM124" s="310"/>
      <c r="KN124" s="310"/>
      <c r="KO124" s="310"/>
      <c r="KP124" s="310"/>
      <c r="KQ124" s="310"/>
      <c r="KR124" s="310"/>
      <c r="KS124" s="310"/>
      <c r="KT124" s="310"/>
      <c r="KU124" s="310"/>
      <c r="KV124" s="310"/>
      <c r="KW124" s="310"/>
      <c r="KX124" s="310"/>
      <c r="KY124" s="310"/>
      <c r="KZ124" s="310"/>
      <c r="LA124" s="310"/>
      <c r="LB124" s="310"/>
      <c r="LC124" s="310"/>
      <c r="LD124" s="310"/>
      <c r="LE124" s="310"/>
      <c r="LF124" s="310"/>
      <c r="LG124" s="310"/>
      <c r="LH124" s="310"/>
      <c r="LI124" s="310"/>
      <c r="LJ124" s="310"/>
      <c r="LK124" s="310"/>
      <c r="LL124" s="310"/>
      <c r="LM124" s="310"/>
      <c r="LN124" s="310"/>
      <c r="LO124" s="310"/>
      <c r="LP124" s="310"/>
      <c r="LQ124" s="310"/>
      <c r="LR124" s="310"/>
      <c r="LS124" s="310"/>
      <c r="LT124" s="310"/>
      <c r="LU124" s="310"/>
      <c r="LV124" s="310"/>
      <c r="LW124" s="310"/>
      <c r="LX124" s="310"/>
      <c r="LY124" s="310"/>
      <c r="LZ124" s="310"/>
      <c r="MA124" s="310"/>
      <c r="MB124" s="310"/>
      <c r="MC124" s="310"/>
      <c r="MD124" s="310"/>
      <c r="ME124" s="310"/>
      <c r="MF124" s="310"/>
      <c r="MG124" s="310"/>
      <c r="MH124" s="310"/>
      <c r="MI124" s="310"/>
      <c r="MJ124" s="310"/>
      <c r="MK124" s="310"/>
      <c r="ML124" s="310"/>
      <c r="MM124" s="310"/>
      <c r="MN124" s="310"/>
      <c r="MO124" s="310"/>
      <c r="MP124" s="310"/>
      <c r="MQ124" s="310"/>
      <c r="MR124" s="310"/>
      <c r="MS124" s="310"/>
      <c r="MT124" s="310"/>
      <c r="MU124" s="310"/>
      <c r="MV124" s="310"/>
      <c r="MW124" s="310"/>
      <c r="MX124" s="310"/>
      <c r="MY124" s="310"/>
      <c r="MZ124" s="310"/>
      <c r="NA124" s="310"/>
      <c r="NB124" s="310"/>
      <c r="NC124" s="310"/>
      <c r="ND124" s="310"/>
      <c r="NE124" s="310"/>
      <c r="NF124" s="310"/>
      <c r="NG124" s="310"/>
      <c r="NH124" s="310"/>
      <c r="NI124" s="310"/>
      <c r="NJ124" s="310"/>
      <c r="NK124" s="310"/>
      <c r="NL124" s="310"/>
      <c r="NM124" s="310"/>
      <c r="NN124" s="310"/>
      <c r="NO124" s="310"/>
      <c r="NP124" s="310"/>
      <c r="NQ124" s="310"/>
      <c r="NR124" s="310"/>
      <c r="NS124" s="310"/>
      <c r="NT124" s="310"/>
      <c r="NU124" s="310"/>
      <c r="NV124" s="310"/>
      <c r="NW124" s="310"/>
      <c r="NX124" s="310"/>
      <c r="NY124" s="310"/>
      <c r="NZ124" s="310"/>
      <c r="OA124" s="310"/>
      <c r="OB124" s="310"/>
      <c r="OC124" s="310"/>
      <c r="OD124" s="310"/>
      <c r="OE124" s="310"/>
      <c r="OF124" s="310"/>
      <c r="OG124" s="310"/>
      <c r="OH124" s="310"/>
      <c r="OI124" s="310"/>
      <c r="OJ124" s="310"/>
      <c r="OK124" s="310"/>
      <c r="OL124" s="310"/>
      <c r="OM124" s="310"/>
      <c r="ON124" s="310"/>
      <c r="OO124" s="310"/>
      <c r="OP124" s="310"/>
      <c r="OQ124" s="310"/>
      <c r="OR124" s="310"/>
      <c r="OS124" s="310"/>
      <c r="OT124" s="310"/>
      <c r="OU124" s="310"/>
      <c r="OV124" s="310"/>
      <c r="OW124" s="310"/>
      <c r="OX124" s="310"/>
      <c r="OY124" s="310"/>
      <c r="OZ124" s="310"/>
      <c r="PA124" s="310"/>
      <c r="PB124" s="310"/>
      <c r="PC124" s="310"/>
      <c r="PD124" s="310"/>
      <c r="PE124" s="310"/>
      <c r="PF124" s="310"/>
      <c r="PG124" s="310"/>
      <c r="PH124" s="310"/>
      <c r="PI124" s="310"/>
      <c r="PJ124" s="310"/>
      <c r="PK124" s="310"/>
      <c r="PL124" s="310"/>
      <c r="PM124" s="310"/>
      <c r="PN124" s="310"/>
      <c r="PO124" s="310"/>
      <c r="PP124" s="310"/>
      <c r="PQ124" s="310"/>
      <c r="PR124" s="310"/>
      <c r="PS124" s="342">
        <v>110</v>
      </c>
      <c r="PT124" s="261" t="e">
        <f t="shared" si="163"/>
        <v>#N/A</v>
      </c>
      <c r="PU124" s="261" t="e">
        <f t="shared" si="164"/>
        <v>#N/A</v>
      </c>
      <c r="PV124" s="310"/>
      <c r="PW124" s="310"/>
      <c r="PX124" s="310"/>
      <c r="PY124" s="310"/>
      <c r="PZ124" s="310"/>
      <c r="QA124" s="310"/>
      <c r="QB124" s="310"/>
      <c r="QC124" s="310"/>
      <c r="QD124" s="310"/>
      <c r="QE124" s="310"/>
      <c r="QF124" s="310"/>
      <c r="QG124" s="310"/>
      <c r="QH124" s="310"/>
      <c r="QI124" s="310"/>
      <c r="QJ124" s="310"/>
      <c r="QK124" s="310"/>
      <c r="QL124" s="310"/>
      <c r="QM124" s="310"/>
      <c r="QN124" s="310"/>
      <c r="QO124" s="310"/>
      <c r="QP124" s="310"/>
      <c r="QQ124" s="310"/>
      <c r="QR124" s="310"/>
      <c r="QS124" s="310"/>
      <c r="QT124" s="310"/>
      <c r="QU124" s="310"/>
      <c r="QV124" s="310"/>
      <c r="QW124" s="310"/>
      <c r="QX124" s="310"/>
      <c r="QY124" s="310"/>
      <c r="QZ124" s="310"/>
      <c r="RA124" s="310"/>
      <c r="RB124" s="310"/>
      <c r="RC124" s="310"/>
      <c r="RD124" s="310"/>
      <c r="RE124" s="310"/>
      <c r="RF124" s="310"/>
      <c r="RG124" s="310"/>
      <c r="RH124" s="310"/>
      <c r="RI124" s="310"/>
      <c r="RJ124" s="310"/>
      <c r="RK124" s="310"/>
      <c r="RL124" s="310"/>
      <c r="RM124" s="310"/>
      <c r="RN124" s="310"/>
      <c r="RO124" s="310"/>
      <c r="RP124" s="310"/>
      <c r="RQ124" s="310"/>
      <c r="RR124" s="310"/>
      <c r="RS124" s="310"/>
      <c r="RT124" s="310"/>
      <c r="RU124" s="310"/>
      <c r="RV124" s="310"/>
      <c r="RW124" s="310"/>
      <c r="RX124" s="310"/>
      <c r="RY124" s="310"/>
      <c r="RZ124" s="310"/>
      <c r="SA124" s="310"/>
      <c r="SB124" s="310"/>
      <c r="SC124" s="310"/>
      <c r="SD124" s="310"/>
      <c r="SE124" s="310"/>
      <c r="SF124" s="310"/>
      <c r="SG124" s="310"/>
      <c r="SH124" s="310"/>
      <c r="SI124" s="310"/>
      <c r="SJ124" s="310"/>
      <c r="SK124" s="310"/>
      <c r="SL124" s="310"/>
      <c r="SM124" s="310"/>
      <c r="SN124" s="310"/>
      <c r="SO124" s="220"/>
      <c r="SP124" s="220"/>
      <c r="SQ124" s="220"/>
      <c r="SR124" s="220"/>
      <c r="SS124" s="220"/>
      <c r="ST124" s="220"/>
      <c r="SU124" s="220"/>
      <c r="SV124" s="220"/>
      <c r="SW124" s="220"/>
      <c r="SX124" s="220"/>
      <c r="SY124" s="220"/>
      <c r="SZ124" s="220"/>
      <c r="TA124" s="220"/>
      <c r="TB124" s="220"/>
      <c r="TC124" s="220"/>
      <c r="TD124" s="220"/>
      <c r="TE124" s="220"/>
      <c r="TF124" s="220"/>
      <c r="TG124" s="220"/>
      <c r="TH124" s="220"/>
      <c r="TI124" s="220"/>
      <c r="TJ124" s="220"/>
      <c r="TK124" s="220"/>
      <c r="TL124" s="220"/>
      <c r="TM124" s="220"/>
      <c r="TN124" s="220"/>
      <c r="TO124" s="220"/>
      <c r="TP124" s="220"/>
      <c r="TQ124" s="220"/>
      <c r="TR124" s="220"/>
      <c r="TS124" s="220"/>
      <c r="TT124" s="220"/>
      <c r="TU124" s="220"/>
      <c r="TV124" s="220"/>
      <c r="TW124" s="220"/>
      <c r="TX124" s="220"/>
      <c r="TY124" s="220"/>
      <c r="TZ124" s="220"/>
      <c r="UA124" s="220"/>
      <c r="UB124" s="220"/>
      <c r="UC124" s="220"/>
      <c r="UD124" s="220"/>
      <c r="UE124" s="220"/>
      <c r="UF124" s="220"/>
      <c r="UG124" s="220"/>
      <c r="UH124" s="220"/>
      <c r="UI124" s="220"/>
      <c r="UJ124" s="220"/>
      <c r="UK124" s="216"/>
      <c r="UL124" s="216"/>
      <c r="UM124" s="216"/>
      <c r="UN124" s="216"/>
      <c r="UO124" s="216"/>
      <c r="UP124" s="216"/>
      <c r="UQ124" s="216"/>
      <c r="UR124" s="216"/>
      <c r="US124" s="216"/>
      <c r="UT124" s="216"/>
      <c r="UU124" s="216"/>
      <c r="UV124" s="216"/>
      <c r="UW124" s="216"/>
      <c r="UX124" s="216"/>
      <c r="UY124" s="216"/>
      <c r="UZ124" s="216"/>
      <c r="VA124" s="216"/>
    </row>
    <row r="125" spans="1:573" s="4" customFormat="1" x14ac:dyDescent="0.5">
      <c r="AP125" s="310"/>
      <c r="AQ125" s="310"/>
      <c r="AR125" s="310"/>
      <c r="AS125" s="310"/>
      <c r="AT125" s="310"/>
      <c r="AU125" s="310"/>
      <c r="AV125" s="310"/>
      <c r="AW125" s="310"/>
      <c r="AX125" s="310"/>
      <c r="AY125" s="310"/>
      <c r="AZ125" s="310"/>
      <c r="BA125" s="310"/>
      <c r="BB125" s="310"/>
      <c r="BC125" s="310"/>
      <c r="BD125" s="310"/>
      <c r="BE125" s="310"/>
      <c r="BF125" s="310"/>
      <c r="BG125" s="310"/>
      <c r="BH125" s="310"/>
      <c r="BI125" s="310"/>
      <c r="BJ125" s="310"/>
      <c r="BK125" s="310"/>
      <c r="BL125" s="310"/>
      <c r="BM125" s="310"/>
      <c r="BN125" s="310"/>
      <c r="BO125" s="310"/>
      <c r="BP125" s="310"/>
      <c r="BQ125" s="310"/>
      <c r="BR125" s="310"/>
      <c r="BS125" s="310"/>
      <c r="BT125" s="310"/>
      <c r="BU125" s="310"/>
      <c r="BV125" s="310"/>
      <c r="BW125" s="310"/>
      <c r="BX125" s="310"/>
      <c r="BY125" s="310"/>
      <c r="BZ125" s="310"/>
      <c r="CA125" s="310"/>
      <c r="CB125" s="310"/>
      <c r="CC125" s="310"/>
      <c r="CD125" s="310"/>
      <c r="CE125" s="310"/>
      <c r="CF125" s="310"/>
      <c r="CG125" s="310"/>
      <c r="CH125" s="310"/>
      <c r="CI125" s="310"/>
      <c r="CJ125" s="310"/>
      <c r="CK125" s="310"/>
      <c r="CL125" s="310"/>
      <c r="CM125" s="310"/>
      <c r="CN125" s="310"/>
      <c r="CO125" s="310"/>
      <c r="CP125" s="310"/>
      <c r="CQ125" s="310"/>
      <c r="CR125" s="310"/>
      <c r="CS125" s="310"/>
      <c r="CT125" s="310"/>
      <c r="CU125" s="310"/>
      <c r="CV125" s="310"/>
      <c r="CW125" s="310"/>
      <c r="CX125" s="310"/>
      <c r="CY125" s="310"/>
      <c r="CZ125" s="310"/>
      <c r="DA125" s="310"/>
      <c r="DB125" s="310"/>
      <c r="DC125" s="310"/>
      <c r="DD125" s="310"/>
      <c r="DE125" s="310"/>
      <c r="DF125" s="310"/>
      <c r="DG125" s="310"/>
      <c r="DH125" s="310"/>
      <c r="DI125" s="310"/>
      <c r="DJ125" s="310"/>
      <c r="DK125" s="310"/>
      <c r="DL125" s="310"/>
      <c r="DM125" s="310"/>
      <c r="DN125" s="310"/>
      <c r="DO125" s="310"/>
      <c r="DP125" s="310"/>
      <c r="DQ125" s="310"/>
      <c r="DR125" s="310"/>
      <c r="DS125" s="310"/>
      <c r="DT125" s="310"/>
      <c r="DU125" s="310"/>
      <c r="DV125" s="310"/>
      <c r="DW125" s="310"/>
      <c r="DX125" s="310"/>
      <c r="DY125" s="310"/>
      <c r="DZ125" s="310"/>
      <c r="EA125" s="310"/>
      <c r="EB125" s="310"/>
      <c r="EC125" s="310"/>
      <c r="ED125" s="310"/>
      <c r="EE125" s="310"/>
      <c r="EF125" s="310"/>
      <c r="EG125" s="310"/>
      <c r="EH125" s="310"/>
      <c r="EI125" s="310"/>
      <c r="EJ125" s="310"/>
      <c r="EK125" s="310"/>
      <c r="EL125" s="310"/>
      <c r="EM125" s="310"/>
      <c r="EN125" s="280">
        <f>IF($DU$20=TRUE,EK66+0.009,#N/A)</f>
        <v>0.88400000000000001</v>
      </c>
      <c r="EO125" s="280">
        <f>EO124</f>
        <v>0.5</v>
      </c>
      <c r="EP125" s="310"/>
      <c r="EQ125" s="310"/>
      <c r="ER125" s="310"/>
      <c r="ES125" s="310"/>
      <c r="ET125" s="310"/>
      <c r="EU125" s="310"/>
      <c r="EV125" s="310"/>
      <c r="EW125" s="310"/>
      <c r="EX125" s="310"/>
      <c r="EY125" s="310"/>
      <c r="EZ125" s="310"/>
      <c r="FA125" s="310"/>
      <c r="FB125" s="310"/>
      <c r="FC125" s="310"/>
      <c r="FD125" s="310"/>
      <c r="FE125" s="310"/>
      <c r="FF125" s="310"/>
      <c r="FG125" s="310"/>
      <c r="FH125" s="310"/>
      <c r="FI125" s="310"/>
      <c r="FJ125" s="310"/>
      <c r="FK125" s="310"/>
      <c r="FL125" s="311"/>
      <c r="FM125" s="311"/>
      <c r="FN125" s="311"/>
      <c r="FO125" s="311"/>
      <c r="FP125" s="311"/>
      <c r="FQ125" s="311"/>
      <c r="FR125" s="311"/>
      <c r="FS125" s="311"/>
      <c r="FT125" s="311"/>
      <c r="FU125" s="311"/>
      <c r="FV125" s="311"/>
      <c r="FW125" s="311"/>
      <c r="FX125" s="311"/>
      <c r="FY125" s="311"/>
      <c r="FZ125" s="311"/>
      <c r="GA125" s="311"/>
      <c r="GB125" s="310"/>
      <c r="GC125" s="310"/>
      <c r="GD125" s="310"/>
      <c r="GE125" s="310"/>
      <c r="GF125" s="310"/>
      <c r="GG125" s="310"/>
      <c r="GH125" s="310"/>
      <c r="GI125" s="310"/>
      <c r="GJ125" s="310"/>
      <c r="GK125" s="310"/>
      <c r="GL125" s="310"/>
      <c r="GM125" s="310"/>
      <c r="GN125" s="310"/>
      <c r="GO125" s="310"/>
      <c r="GP125" s="310"/>
      <c r="GQ125" s="310"/>
      <c r="GR125" s="310"/>
      <c r="GS125" s="310"/>
      <c r="GT125" s="310"/>
      <c r="GU125" s="310"/>
      <c r="GV125" s="310"/>
      <c r="GW125" s="310"/>
      <c r="GX125" s="310"/>
      <c r="GY125" s="310"/>
      <c r="GZ125" s="310"/>
      <c r="HA125" s="310"/>
      <c r="HB125" s="310"/>
      <c r="HC125" s="310"/>
      <c r="HD125" s="310"/>
      <c r="HE125" s="310"/>
      <c r="HF125" s="310"/>
      <c r="HG125" s="310"/>
      <c r="HH125" s="310"/>
      <c r="HI125" s="310"/>
      <c r="HJ125" s="310"/>
      <c r="HK125" s="342">
        <v>111</v>
      </c>
      <c r="HL125" s="235" t="e">
        <f t="shared" si="139"/>
        <v>#N/A</v>
      </c>
      <c r="HM125" s="235" t="e">
        <f t="shared" si="140"/>
        <v>#N/A</v>
      </c>
      <c r="HN125" s="310"/>
      <c r="HO125" s="310"/>
      <c r="HP125" s="235" t="e">
        <f t="shared" si="141"/>
        <v>#N/A</v>
      </c>
      <c r="HQ125" s="235" t="e">
        <f t="shared" si="142"/>
        <v>#N/A</v>
      </c>
      <c r="HR125" s="310"/>
      <c r="HS125" s="310"/>
      <c r="HT125" s="235" t="e">
        <f t="shared" si="143"/>
        <v>#N/A</v>
      </c>
      <c r="HU125" s="235" t="e">
        <f t="shared" si="144"/>
        <v>#N/A</v>
      </c>
      <c r="HV125" s="310"/>
      <c r="HW125" s="310"/>
      <c r="HX125" s="235" t="e">
        <f t="shared" si="145"/>
        <v>#N/A</v>
      </c>
      <c r="HY125" s="235" t="e">
        <f t="shared" si="146"/>
        <v>#N/A</v>
      </c>
      <c r="HZ125" s="310"/>
      <c r="IA125" s="310"/>
      <c r="IB125" s="235" t="e">
        <f t="shared" si="147"/>
        <v>#N/A</v>
      </c>
      <c r="IC125" s="235" t="e">
        <f t="shared" si="148"/>
        <v>#N/A</v>
      </c>
      <c r="ID125" s="310"/>
      <c r="IE125" s="342">
        <v>111</v>
      </c>
      <c r="IF125" s="262" t="e">
        <f t="shared" si="149"/>
        <v>#N/A</v>
      </c>
      <c r="IG125" s="262" t="e">
        <f t="shared" si="150"/>
        <v>#N/A</v>
      </c>
      <c r="IH125" s="390"/>
      <c r="II125" s="390"/>
      <c r="IJ125" s="262" t="e">
        <f t="shared" si="151"/>
        <v>#N/A</v>
      </c>
      <c r="IK125" s="262" t="e">
        <f t="shared" si="152"/>
        <v>#N/A</v>
      </c>
      <c r="IL125" s="390"/>
      <c r="IM125" s="390"/>
      <c r="IN125" s="262" t="e">
        <f t="shared" si="153"/>
        <v>#N/A</v>
      </c>
      <c r="IO125" s="262" t="e">
        <f t="shared" si="154"/>
        <v>#N/A</v>
      </c>
      <c r="IP125" s="390"/>
      <c r="IQ125" s="390"/>
      <c r="IR125" s="262" t="e">
        <f t="shared" si="155"/>
        <v>#N/A</v>
      </c>
      <c r="IS125" s="262" t="e">
        <f t="shared" si="156"/>
        <v>#N/A</v>
      </c>
      <c r="IT125" s="390"/>
      <c r="IU125" s="390"/>
      <c r="IV125" s="262" t="e">
        <f t="shared" si="157"/>
        <v>#N/A</v>
      </c>
      <c r="IW125" s="262" t="e">
        <f t="shared" si="158"/>
        <v>#N/A</v>
      </c>
      <c r="IX125" s="310"/>
      <c r="IY125" s="310"/>
      <c r="IZ125" s="310"/>
      <c r="JA125" s="310"/>
      <c r="JB125" s="313" t="s">
        <v>152</v>
      </c>
      <c r="JC125" s="228">
        <f>JC124</f>
        <v>-0.5</v>
      </c>
      <c r="JD125" s="234">
        <f>JA124+($IZ$108/2)-$IZ$109</f>
        <v>0.72500000000000009</v>
      </c>
      <c r="JE125" s="310"/>
      <c r="JF125" s="310"/>
      <c r="JG125" s="310"/>
      <c r="JH125" s="310"/>
      <c r="JI125" s="313" t="s">
        <v>152</v>
      </c>
      <c r="JJ125" s="242">
        <f>JJ124</f>
        <v>-0.5</v>
      </c>
      <c r="JK125" s="265">
        <f>JH124+($IZ$108/2)-$IZ$109</f>
        <v>0.72500000000000009</v>
      </c>
      <c r="JL125" s="310"/>
      <c r="JM125" s="310"/>
      <c r="JN125" s="261" t="e">
        <f t="shared" si="159"/>
        <v>#N/A</v>
      </c>
      <c r="JO125" s="261" t="e">
        <f t="shared" si="160"/>
        <v>#N/A</v>
      </c>
      <c r="JP125" s="310"/>
      <c r="JQ125" s="310"/>
      <c r="JR125" s="261" t="e">
        <f t="shared" si="165"/>
        <v>#N/A</v>
      </c>
      <c r="JS125" s="261" t="e">
        <f t="shared" si="166"/>
        <v>#N/A</v>
      </c>
      <c r="JT125" s="310"/>
      <c r="JU125" s="310"/>
      <c r="JV125" s="261" t="e">
        <f t="shared" si="161"/>
        <v>#N/A</v>
      </c>
      <c r="JW125" s="261" t="e">
        <f t="shared" si="162"/>
        <v>#N/A</v>
      </c>
      <c r="JX125" s="310"/>
      <c r="JY125" s="310"/>
      <c r="JZ125" s="310"/>
      <c r="KA125" s="310"/>
      <c r="KB125" s="310"/>
      <c r="KC125" s="310"/>
      <c r="KD125" s="310"/>
      <c r="KE125" s="310"/>
      <c r="KF125" s="310"/>
      <c r="KG125" s="310"/>
      <c r="KH125" s="310"/>
      <c r="KI125" s="310"/>
      <c r="KJ125" s="310"/>
      <c r="KK125" s="310"/>
      <c r="KL125" s="310"/>
      <c r="KM125" s="310"/>
      <c r="KN125" s="310"/>
      <c r="KO125" s="310"/>
      <c r="KP125" s="310"/>
      <c r="KQ125" s="310"/>
      <c r="KR125" s="310"/>
      <c r="KS125" s="310"/>
      <c r="KT125" s="310"/>
      <c r="KU125" s="310"/>
      <c r="KV125" s="310"/>
      <c r="KW125" s="310"/>
      <c r="KX125" s="310"/>
      <c r="KY125" s="310"/>
      <c r="KZ125" s="310"/>
      <c r="LA125" s="310"/>
      <c r="LB125" s="310"/>
      <c r="LC125" s="310"/>
      <c r="LD125" s="310"/>
      <c r="LE125" s="310"/>
      <c r="LF125" s="310"/>
      <c r="LG125" s="310"/>
      <c r="LH125" s="310"/>
      <c r="LI125" s="310"/>
      <c r="LJ125" s="310"/>
      <c r="LK125" s="310"/>
      <c r="LL125" s="310"/>
      <c r="LM125" s="310"/>
      <c r="LN125" s="310"/>
      <c r="LO125" s="310"/>
      <c r="LP125" s="310"/>
      <c r="LQ125" s="310"/>
      <c r="LR125" s="310"/>
      <c r="LS125" s="310"/>
      <c r="LT125" s="310"/>
      <c r="LU125" s="310"/>
      <c r="LV125" s="310"/>
      <c r="LW125" s="310"/>
      <c r="LX125" s="310"/>
      <c r="LY125" s="310"/>
      <c r="LZ125" s="310"/>
      <c r="MA125" s="310"/>
      <c r="MB125" s="310"/>
      <c r="MC125" s="310"/>
      <c r="MD125" s="310"/>
      <c r="ME125" s="310"/>
      <c r="MF125" s="310"/>
      <c r="MG125" s="310"/>
      <c r="MH125" s="310"/>
      <c r="MI125" s="310"/>
      <c r="MJ125" s="310"/>
      <c r="MK125" s="310"/>
      <c r="ML125" s="310"/>
      <c r="MM125" s="310"/>
      <c r="MN125" s="310"/>
      <c r="MO125" s="310"/>
      <c r="MP125" s="310"/>
      <c r="MQ125" s="310"/>
      <c r="MR125" s="310"/>
      <c r="MS125" s="310"/>
      <c r="MT125" s="310"/>
      <c r="MU125" s="310"/>
      <c r="MV125" s="310"/>
      <c r="MW125" s="310"/>
      <c r="MX125" s="310"/>
      <c r="MY125" s="310"/>
      <c r="MZ125" s="310"/>
      <c r="NA125" s="310"/>
      <c r="NB125" s="310"/>
      <c r="NC125" s="310"/>
      <c r="ND125" s="310"/>
      <c r="NE125" s="310"/>
      <c r="NF125" s="310"/>
      <c r="NG125" s="310"/>
      <c r="NH125" s="310"/>
      <c r="NI125" s="310"/>
      <c r="NJ125" s="310"/>
      <c r="NK125" s="310"/>
      <c r="NL125" s="310"/>
      <c r="NM125" s="310"/>
      <c r="NN125" s="310"/>
      <c r="NO125" s="310"/>
      <c r="NP125" s="310"/>
      <c r="NQ125" s="310"/>
      <c r="NR125" s="310"/>
      <c r="NS125" s="310"/>
      <c r="NT125" s="310"/>
      <c r="NU125" s="310"/>
      <c r="NV125" s="310"/>
      <c r="NW125" s="310"/>
      <c r="NX125" s="310"/>
      <c r="NY125" s="310"/>
      <c r="NZ125" s="310"/>
      <c r="OA125" s="310"/>
      <c r="OB125" s="310"/>
      <c r="OC125" s="310"/>
      <c r="OD125" s="310"/>
      <c r="OE125" s="310"/>
      <c r="OF125" s="310"/>
      <c r="OG125" s="310"/>
      <c r="OH125" s="310"/>
      <c r="OI125" s="310"/>
      <c r="OJ125" s="310"/>
      <c r="OK125" s="310"/>
      <c r="OL125" s="310"/>
      <c r="OM125" s="310"/>
      <c r="ON125" s="310"/>
      <c r="OO125" s="310"/>
      <c r="OP125" s="310"/>
      <c r="OQ125" s="310"/>
      <c r="OR125" s="310"/>
      <c r="OS125" s="310"/>
      <c r="OT125" s="310"/>
      <c r="OU125" s="310"/>
      <c r="OV125" s="310"/>
      <c r="OW125" s="310"/>
      <c r="OX125" s="310"/>
      <c r="OY125" s="310"/>
      <c r="OZ125" s="310"/>
      <c r="PA125" s="310"/>
      <c r="PB125" s="310"/>
      <c r="PC125" s="310"/>
      <c r="PD125" s="310"/>
      <c r="PE125" s="310"/>
      <c r="PF125" s="310"/>
      <c r="PG125" s="310"/>
      <c r="PH125" s="310"/>
      <c r="PI125" s="310"/>
      <c r="PJ125" s="310"/>
      <c r="PK125" s="310"/>
      <c r="PL125" s="310"/>
      <c r="PM125" s="310"/>
      <c r="PN125" s="310"/>
      <c r="PO125" s="310"/>
      <c r="PP125" s="310"/>
      <c r="PQ125" s="310"/>
      <c r="PR125" s="310"/>
      <c r="PS125" s="342">
        <v>111</v>
      </c>
      <c r="PT125" s="261" t="e">
        <f t="shared" si="163"/>
        <v>#N/A</v>
      </c>
      <c r="PU125" s="261" t="e">
        <f t="shared" si="164"/>
        <v>#N/A</v>
      </c>
      <c r="PV125" s="310"/>
      <c r="PW125" s="310"/>
      <c r="PX125" s="310"/>
      <c r="PY125" s="310"/>
      <c r="PZ125" s="310"/>
      <c r="QA125" s="310"/>
      <c r="QB125" s="310"/>
      <c r="QC125" s="310"/>
      <c r="QD125" s="310"/>
      <c r="QE125" s="310"/>
      <c r="QF125" s="310"/>
      <c r="QG125" s="310"/>
      <c r="QH125" s="310"/>
      <c r="QI125" s="310"/>
      <c r="QJ125" s="310"/>
      <c r="QK125" s="310"/>
      <c r="QL125" s="310"/>
      <c r="QM125" s="310"/>
      <c r="QN125" s="310"/>
      <c r="QO125" s="310"/>
      <c r="QP125" s="310"/>
      <c r="QQ125" s="310"/>
      <c r="QR125" s="310"/>
      <c r="QS125" s="310"/>
      <c r="QT125" s="310"/>
      <c r="QU125" s="310"/>
      <c r="QV125" s="310"/>
      <c r="QW125" s="310"/>
      <c r="QX125" s="310"/>
      <c r="QY125" s="310"/>
      <c r="QZ125" s="310"/>
      <c r="RA125" s="310"/>
      <c r="RB125" s="310"/>
      <c r="RC125" s="310"/>
      <c r="RD125" s="310"/>
      <c r="RE125" s="310"/>
      <c r="RF125" s="310"/>
      <c r="RG125" s="310"/>
      <c r="RH125" s="310"/>
      <c r="RI125" s="310"/>
      <c r="RJ125" s="310"/>
      <c r="RK125" s="310"/>
      <c r="RL125" s="310"/>
      <c r="RM125" s="310"/>
      <c r="RN125" s="310"/>
      <c r="RO125" s="310"/>
      <c r="RP125" s="310"/>
      <c r="RQ125" s="310"/>
      <c r="RR125" s="310"/>
      <c r="RS125" s="310"/>
      <c r="RT125" s="310"/>
      <c r="RU125" s="310"/>
      <c r="RV125" s="310"/>
      <c r="RW125" s="310"/>
      <c r="RX125" s="310"/>
      <c r="RY125" s="310"/>
      <c r="RZ125" s="310"/>
      <c r="SA125" s="310"/>
      <c r="SB125" s="310"/>
      <c r="SC125" s="310"/>
      <c r="SD125" s="310"/>
      <c r="SE125" s="310"/>
      <c r="SF125" s="310"/>
      <c r="SG125" s="310"/>
      <c r="SH125" s="310"/>
      <c r="SI125" s="310"/>
      <c r="SJ125" s="310"/>
      <c r="SK125" s="310"/>
      <c r="SL125" s="310"/>
      <c r="SM125" s="310"/>
      <c r="SN125" s="310"/>
      <c r="SO125" s="220"/>
      <c r="SP125" s="220"/>
      <c r="SQ125" s="220"/>
      <c r="SR125" s="220"/>
      <c r="SS125" s="220"/>
      <c r="ST125" s="220"/>
      <c r="SU125" s="220"/>
      <c r="SV125" s="220"/>
      <c r="SW125" s="220"/>
      <c r="SX125" s="220"/>
      <c r="SY125" s="220"/>
      <c r="SZ125" s="220"/>
      <c r="TA125" s="220"/>
      <c r="TB125" s="220"/>
      <c r="TC125" s="220"/>
      <c r="TD125" s="220"/>
      <c r="TE125" s="220"/>
      <c r="TF125" s="220"/>
      <c r="TG125" s="220"/>
      <c r="TH125" s="220"/>
      <c r="TI125" s="220"/>
      <c r="TJ125" s="220"/>
      <c r="TK125" s="220"/>
      <c r="TL125" s="220"/>
      <c r="TM125" s="220"/>
      <c r="TN125" s="220"/>
      <c r="TO125" s="220"/>
      <c r="TP125" s="220"/>
      <c r="TQ125" s="220"/>
      <c r="TR125" s="220"/>
      <c r="TS125" s="220"/>
      <c r="TT125" s="220"/>
      <c r="TU125" s="220"/>
      <c r="TV125" s="220"/>
      <c r="TW125" s="220"/>
      <c r="TX125" s="220"/>
      <c r="TY125" s="220"/>
      <c r="TZ125" s="220"/>
      <c r="UA125" s="220"/>
      <c r="UB125" s="220"/>
      <c r="UC125" s="220"/>
      <c r="UD125" s="220"/>
      <c r="UE125" s="220"/>
      <c r="UF125" s="220"/>
      <c r="UG125" s="220"/>
      <c r="UH125" s="220"/>
      <c r="UI125" s="220"/>
      <c r="UJ125" s="220"/>
      <c r="UK125" s="216"/>
      <c r="UL125" s="216"/>
      <c r="UM125" s="216"/>
      <c r="UN125" s="216"/>
      <c r="UO125" s="216"/>
      <c r="UP125" s="216"/>
      <c r="UQ125" s="216"/>
      <c r="UR125" s="216"/>
      <c r="US125" s="216"/>
      <c r="UT125" s="216"/>
      <c r="UU125" s="216"/>
      <c r="UV125" s="216"/>
      <c r="UW125" s="216"/>
      <c r="UX125" s="216"/>
      <c r="UY125" s="216"/>
      <c r="UZ125" s="216"/>
      <c r="VA125" s="216"/>
    </row>
    <row r="126" spans="1:573" s="4" customFormat="1" x14ac:dyDescent="0.5">
      <c r="AP126" s="310"/>
      <c r="AQ126" s="310"/>
      <c r="AR126" s="310"/>
      <c r="AS126" s="310"/>
      <c r="AT126" s="310"/>
      <c r="AU126" s="310"/>
      <c r="AV126" s="310"/>
      <c r="AW126" s="310"/>
      <c r="AX126" s="310"/>
      <c r="AY126" s="310"/>
      <c r="AZ126" s="310"/>
      <c r="BA126" s="310"/>
      <c r="BB126" s="310"/>
      <c r="BC126" s="310"/>
      <c r="BD126" s="310"/>
      <c r="BE126" s="310"/>
      <c r="BF126" s="310"/>
      <c r="BG126" s="310"/>
      <c r="BH126" s="310"/>
      <c r="BI126" s="310"/>
      <c r="BJ126" s="310"/>
      <c r="BK126" s="310"/>
      <c r="BL126" s="310"/>
      <c r="BM126" s="310"/>
      <c r="BN126" s="310"/>
      <c r="BO126" s="310"/>
      <c r="BP126" s="310"/>
      <c r="BQ126" s="310"/>
      <c r="BR126" s="310"/>
      <c r="BS126" s="310"/>
      <c r="BT126" s="310"/>
      <c r="BU126" s="310"/>
      <c r="BV126" s="310"/>
      <c r="BW126" s="310"/>
      <c r="BX126" s="310"/>
      <c r="BY126" s="310"/>
      <c r="BZ126" s="310"/>
      <c r="CA126" s="310"/>
      <c r="CB126" s="310"/>
      <c r="CC126" s="310"/>
      <c r="CD126" s="310"/>
      <c r="CE126" s="310"/>
      <c r="CF126" s="310"/>
      <c r="CG126" s="310"/>
      <c r="CH126" s="310"/>
      <c r="CI126" s="310"/>
      <c r="CJ126" s="310"/>
      <c r="CK126" s="310"/>
      <c r="CL126" s="310"/>
      <c r="CM126" s="310"/>
      <c r="CN126" s="310"/>
      <c r="CO126" s="310"/>
      <c r="CP126" s="310"/>
      <c r="CQ126" s="310"/>
      <c r="CR126" s="310"/>
      <c r="CS126" s="310"/>
      <c r="CT126" s="310"/>
      <c r="CU126" s="310"/>
      <c r="CV126" s="310"/>
      <c r="CW126" s="310"/>
      <c r="CX126" s="310"/>
      <c r="CY126" s="310"/>
      <c r="CZ126" s="310"/>
      <c r="DA126" s="310"/>
      <c r="DB126" s="310"/>
      <c r="DC126" s="310"/>
      <c r="DD126" s="310"/>
      <c r="DE126" s="310"/>
      <c r="DF126" s="310"/>
      <c r="DG126" s="310"/>
      <c r="DH126" s="310"/>
      <c r="DI126" s="310"/>
      <c r="DJ126" s="310"/>
      <c r="DK126" s="310"/>
      <c r="DL126" s="310"/>
      <c r="DM126" s="310"/>
      <c r="DN126" s="310"/>
      <c r="DO126" s="310"/>
      <c r="DP126" s="310"/>
      <c r="DQ126" s="310"/>
      <c r="DR126" s="310"/>
      <c r="DS126" s="310"/>
      <c r="DT126" s="310"/>
      <c r="DU126" s="310"/>
      <c r="DV126" s="310"/>
      <c r="DW126" s="310"/>
      <c r="DX126" s="310"/>
      <c r="DY126" s="310"/>
      <c r="DZ126" s="310"/>
      <c r="EA126" s="310"/>
      <c r="EB126" s="310"/>
      <c r="EC126" s="310"/>
      <c r="ED126" s="310"/>
      <c r="EE126" s="310"/>
      <c r="EF126" s="310"/>
      <c r="EG126" s="310"/>
      <c r="EH126" s="310"/>
      <c r="EI126" s="310"/>
      <c r="EJ126" s="310"/>
      <c r="EK126" s="310"/>
      <c r="EL126" s="310"/>
      <c r="EM126" s="310"/>
      <c r="EN126" s="280" t="e">
        <v>#N/A</v>
      </c>
      <c r="EO126" s="280" t="e">
        <v>#N/A</v>
      </c>
      <c r="EP126" s="310"/>
      <c r="EQ126" s="310"/>
      <c r="ER126" s="310"/>
      <c r="ES126" s="310"/>
      <c r="ET126" s="310"/>
      <c r="EU126" s="310"/>
      <c r="EV126" s="310"/>
      <c r="EW126" s="310"/>
      <c r="EX126" s="310"/>
      <c r="EY126" s="310"/>
      <c r="EZ126" s="310"/>
      <c r="FA126" s="310"/>
      <c r="FB126" s="310"/>
      <c r="FC126" s="310"/>
      <c r="FD126" s="310"/>
      <c r="FE126" s="310"/>
      <c r="FF126" s="310"/>
      <c r="FG126" s="310"/>
      <c r="FH126" s="310"/>
      <c r="FI126" s="310"/>
      <c r="FJ126" s="310"/>
      <c r="FK126" s="310"/>
      <c r="FL126" s="311"/>
      <c r="FM126" s="311"/>
      <c r="FN126" s="311"/>
      <c r="FO126" s="311"/>
      <c r="FP126" s="311"/>
      <c r="FQ126" s="311"/>
      <c r="FR126" s="311"/>
      <c r="FS126" s="311"/>
      <c r="FT126" s="311"/>
      <c r="FU126" s="311"/>
      <c r="FV126" s="311"/>
      <c r="FW126" s="311"/>
      <c r="FX126" s="311"/>
      <c r="FY126" s="311"/>
      <c r="FZ126" s="311"/>
      <c r="GA126" s="311"/>
      <c r="GB126" s="310"/>
      <c r="GC126" s="310"/>
      <c r="GD126" s="310"/>
      <c r="GE126" s="310"/>
      <c r="GF126" s="310"/>
      <c r="GG126" s="310"/>
      <c r="GH126" s="310"/>
      <c r="GI126" s="310"/>
      <c r="GJ126" s="310"/>
      <c r="GK126" s="310"/>
      <c r="GL126" s="310"/>
      <c r="GM126" s="310"/>
      <c r="GN126" s="310"/>
      <c r="GO126" s="310"/>
      <c r="GP126" s="310"/>
      <c r="GQ126" s="310"/>
      <c r="GR126" s="310"/>
      <c r="GS126" s="310"/>
      <c r="GT126" s="310"/>
      <c r="GU126" s="310"/>
      <c r="GV126" s="310"/>
      <c r="GW126" s="310"/>
      <c r="GX126" s="310"/>
      <c r="GY126" s="310"/>
      <c r="GZ126" s="310"/>
      <c r="HA126" s="310"/>
      <c r="HB126" s="310"/>
      <c r="HC126" s="310"/>
      <c r="HD126" s="310"/>
      <c r="HE126" s="310"/>
      <c r="HF126" s="310"/>
      <c r="HG126" s="310"/>
      <c r="HH126" s="310"/>
      <c r="HI126" s="310"/>
      <c r="HJ126" s="310"/>
      <c r="HK126" s="342">
        <v>112</v>
      </c>
      <c r="HL126" s="235" t="e">
        <f t="shared" si="139"/>
        <v>#N/A</v>
      </c>
      <c r="HM126" s="235" t="e">
        <f t="shared" si="140"/>
        <v>#N/A</v>
      </c>
      <c r="HN126" s="310"/>
      <c r="HO126" s="310"/>
      <c r="HP126" s="235" t="e">
        <f t="shared" si="141"/>
        <v>#N/A</v>
      </c>
      <c r="HQ126" s="235" t="e">
        <f t="shared" si="142"/>
        <v>#N/A</v>
      </c>
      <c r="HR126" s="310"/>
      <c r="HS126" s="310"/>
      <c r="HT126" s="235" t="e">
        <f t="shared" si="143"/>
        <v>#N/A</v>
      </c>
      <c r="HU126" s="235" t="e">
        <f t="shared" si="144"/>
        <v>#N/A</v>
      </c>
      <c r="HV126" s="310"/>
      <c r="HW126" s="310"/>
      <c r="HX126" s="235" t="e">
        <f t="shared" si="145"/>
        <v>#N/A</v>
      </c>
      <c r="HY126" s="235" t="e">
        <f t="shared" si="146"/>
        <v>#N/A</v>
      </c>
      <c r="HZ126" s="310"/>
      <c r="IA126" s="310"/>
      <c r="IB126" s="235" t="e">
        <f t="shared" si="147"/>
        <v>#N/A</v>
      </c>
      <c r="IC126" s="235" t="e">
        <f t="shared" si="148"/>
        <v>#N/A</v>
      </c>
      <c r="ID126" s="310"/>
      <c r="IE126" s="342">
        <v>112</v>
      </c>
      <c r="IF126" s="262" t="e">
        <f t="shared" si="149"/>
        <v>#N/A</v>
      </c>
      <c r="IG126" s="262" t="e">
        <f t="shared" si="150"/>
        <v>#N/A</v>
      </c>
      <c r="IH126" s="390"/>
      <c r="II126" s="390"/>
      <c r="IJ126" s="262" t="e">
        <f t="shared" si="151"/>
        <v>#N/A</v>
      </c>
      <c r="IK126" s="262" t="e">
        <f t="shared" si="152"/>
        <v>#N/A</v>
      </c>
      <c r="IL126" s="390"/>
      <c r="IM126" s="390"/>
      <c r="IN126" s="262" t="e">
        <f t="shared" si="153"/>
        <v>#N/A</v>
      </c>
      <c r="IO126" s="262" t="e">
        <f t="shared" si="154"/>
        <v>#N/A</v>
      </c>
      <c r="IP126" s="390"/>
      <c r="IQ126" s="390"/>
      <c r="IR126" s="262" t="e">
        <f t="shared" si="155"/>
        <v>#N/A</v>
      </c>
      <c r="IS126" s="262" t="e">
        <f t="shared" si="156"/>
        <v>#N/A</v>
      </c>
      <c r="IT126" s="390"/>
      <c r="IU126" s="390"/>
      <c r="IV126" s="262" t="e">
        <f t="shared" si="157"/>
        <v>#N/A</v>
      </c>
      <c r="IW126" s="262" t="e">
        <f t="shared" si="158"/>
        <v>#N/A</v>
      </c>
      <c r="IX126" s="310"/>
      <c r="IY126" s="310"/>
      <c r="IZ126" s="310"/>
      <c r="JA126" s="310"/>
      <c r="JB126" s="313" t="s">
        <v>167</v>
      </c>
      <c r="JC126" s="228">
        <f>IZ124+$IZ$112/2</f>
        <v>-0.6</v>
      </c>
      <c r="JD126" s="237">
        <f>JA124+($IZ$108/2)-($IZ$108-$IZ$111-$IZ$110)</f>
        <v>0.69500000000000006</v>
      </c>
      <c r="JE126" s="310"/>
      <c r="JF126" s="310"/>
      <c r="JG126" s="310"/>
      <c r="JH126" s="310"/>
      <c r="JI126" s="313" t="s">
        <v>167</v>
      </c>
      <c r="JJ126" s="242">
        <f>JG124+$IZ$112/2</f>
        <v>-0.6</v>
      </c>
      <c r="JK126" s="266">
        <f>JH124+($IZ$108/2)-($IZ$108-$IZ$111-$IZ$110)</f>
        <v>0.69500000000000006</v>
      </c>
      <c r="JL126" s="310"/>
      <c r="JM126" s="310"/>
      <c r="JN126" s="261" t="e">
        <f t="shared" si="159"/>
        <v>#N/A</v>
      </c>
      <c r="JO126" s="261" t="e">
        <f t="shared" si="160"/>
        <v>#N/A</v>
      </c>
      <c r="JP126" s="310"/>
      <c r="JQ126" s="310"/>
      <c r="JR126" s="261" t="e">
        <f t="shared" si="165"/>
        <v>#N/A</v>
      </c>
      <c r="JS126" s="261" t="e">
        <f t="shared" si="166"/>
        <v>#N/A</v>
      </c>
      <c r="JT126" s="310"/>
      <c r="JU126" s="310"/>
      <c r="JV126" s="261" t="e">
        <f t="shared" si="161"/>
        <v>#N/A</v>
      </c>
      <c r="JW126" s="261" t="e">
        <f t="shared" si="162"/>
        <v>#N/A</v>
      </c>
      <c r="JX126" s="310"/>
      <c r="JY126" s="310"/>
      <c r="JZ126" s="310"/>
      <c r="KA126" s="310"/>
      <c r="KB126" s="310"/>
      <c r="KC126" s="310"/>
      <c r="KD126" s="310"/>
      <c r="KE126" s="310"/>
      <c r="KF126" s="310"/>
      <c r="KG126" s="310"/>
      <c r="KH126" s="310"/>
      <c r="KI126" s="310"/>
      <c r="KJ126" s="310"/>
      <c r="KK126" s="310"/>
      <c r="KL126" s="310"/>
      <c r="KM126" s="310"/>
      <c r="KN126" s="310"/>
      <c r="KO126" s="310"/>
      <c r="KP126" s="310"/>
      <c r="KQ126" s="310"/>
      <c r="KR126" s="310"/>
      <c r="KS126" s="310"/>
      <c r="KT126" s="310"/>
      <c r="KU126" s="310"/>
      <c r="KV126" s="310"/>
      <c r="KW126" s="310"/>
      <c r="KX126" s="310"/>
      <c r="KY126" s="310"/>
      <c r="KZ126" s="310"/>
      <c r="LA126" s="310"/>
      <c r="LB126" s="310"/>
      <c r="LC126" s="310"/>
      <c r="LD126" s="310"/>
      <c r="LE126" s="310"/>
      <c r="LF126" s="310"/>
      <c r="LG126" s="310"/>
      <c r="LH126" s="310"/>
      <c r="LI126" s="310"/>
      <c r="LJ126" s="310"/>
      <c r="LK126" s="310"/>
      <c r="LL126" s="310"/>
      <c r="LM126" s="310"/>
      <c r="LN126" s="310"/>
      <c r="LO126" s="310"/>
      <c r="LP126" s="310"/>
      <c r="LQ126" s="310"/>
      <c r="LR126" s="310"/>
      <c r="LS126" s="310"/>
      <c r="LT126" s="310"/>
      <c r="LU126" s="310"/>
      <c r="LV126" s="310"/>
      <c r="LW126" s="310"/>
      <c r="LX126" s="310"/>
      <c r="LY126" s="310"/>
      <c r="LZ126" s="310"/>
      <c r="MA126" s="310"/>
      <c r="MB126" s="310"/>
      <c r="MC126" s="310"/>
      <c r="MD126" s="310"/>
      <c r="ME126" s="310"/>
      <c r="MF126" s="310"/>
      <c r="MG126" s="310"/>
      <c r="MH126" s="310"/>
      <c r="MI126" s="310"/>
      <c r="MJ126" s="310"/>
      <c r="MK126" s="310"/>
      <c r="ML126" s="310"/>
      <c r="MM126" s="310"/>
      <c r="MN126" s="310"/>
      <c r="MO126" s="310"/>
      <c r="MP126" s="310"/>
      <c r="MQ126" s="310"/>
      <c r="MR126" s="310"/>
      <c r="MS126" s="310"/>
      <c r="MT126" s="310"/>
      <c r="MU126" s="310"/>
      <c r="MV126" s="310"/>
      <c r="MW126" s="310"/>
      <c r="MX126" s="310"/>
      <c r="MY126" s="310"/>
      <c r="MZ126" s="310"/>
      <c r="NA126" s="310"/>
      <c r="NB126" s="310"/>
      <c r="NC126" s="310"/>
      <c r="ND126" s="310"/>
      <c r="NE126" s="310"/>
      <c r="NF126" s="310"/>
      <c r="NG126" s="310"/>
      <c r="NH126" s="310"/>
      <c r="NI126" s="310"/>
      <c r="NJ126" s="310"/>
      <c r="NK126" s="310"/>
      <c r="NL126" s="310"/>
      <c r="NM126" s="310"/>
      <c r="NN126" s="310"/>
      <c r="NO126" s="310"/>
      <c r="NP126" s="310"/>
      <c r="NQ126" s="310"/>
      <c r="NR126" s="310"/>
      <c r="NS126" s="310"/>
      <c r="NT126" s="310"/>
      <c r="NU126" s="310"/>
      <c r="NV126" s="310"/>
      <c r="NW126" s="310"/>
      <c r="NX126" s="310"/>
      <c r="NY126" s="310"/>
      <c r="NZ126" s="310"/>
      <c r="OA126" s="310"/>
      <c r="OB126" s="310"/>
      <c r="OC126" s="310"/>
      <c r="OD126" s="310"/>
      <c r="OE126" s="310"/>
      <c r="OF126" s="310"/>
      <c r="OG126" s="310"/>
      <c r="OH126" s="310"/>
      <c r="OI126" s="310"/>
      <c r="OJ126" s="310"/>
      <c r="OK126" s="310"/>
      <c r="OL126" s="310"/>
      <c r="OM126" s="310"/>
      <c r="ON126" s="310"/>
      <c r="OO126" s="310"/>
      <c r="OP126" s="310"/>
      <c r="OQ126" s="310"/>
      <c r="OR126" s="310"/>
      <c r="OS126" s="310"/>
      <c r="OT126" s="310"/>
      <c r="OU126" s="310"/>
      <c r="OV126" s="310"/>
      <c r="OW126" s="310"/>
      <c r="OX126" s="310"/>
      <c r="OY126" s="310"/>
      <c r="OZ126" s="310"/>
      <c r="PA126" s="310"/>
      <c r="PB126" s="310"/>
      <c r="PC126" s="310"/>
      <c r="PD126" s="310"/>
      <c r="PE126" s="310"/>
      <c r="PF126" s="310"/>
      <c r="PG126" s="310"/>
      <c r="PH126" s="310"/>
      <c r="PI126" s="310"/>
      <c r="PJ126" s="310"/>
      <c r="PK126" s="310"/>
      <c r="PL126" s="310"/>
      <c r="PM126" s="310"/>
      <c r="PN126" s="310"/>
      <c r="PO126" s="310"/>
      <c r="PP126" s="310"/>
      <c r="PQ126" s="310"/>
      <c r="PR126" s="310"/>
      <c r="PS126" s="342">
        <v>112</v>
      </c>
      <c r="PT126" s="261" t="e">
        <f t="shared" si="163"/>
        <v>#N/A</v>
      </c>
      <c r="PU126" s="261" t="e">
        <f t="shared" si="164"/>
        <v>#N/A</v>
      </c>
      <c r="PV126" s="310"/>
      <c r="PW126" s="310"/>
      <c r="PX126" s="310"/>
      <c r="PY126" s="310"/>
      <c r="PZ126" s="310"/>
      <c r="QA126" s="310"/>
      <c r="QB126" s="310"/>
      <c r="QC126" s="310"/>
      <c r="QD126" s="310"/>
      <c r="QE126" s="310"/>
      <c r="QF126" s="310"/>
      <c r="QG126" s="310"/>
      <c r="QH126" s="310"/>
      <c r="QI126" s="310"/>
      <c r="QJ126" s="310"/>
      <c r="QK126" s="310"/>
      <c r="QL126" s="310"/>
      <c r="QM126" s="310"/>
      <c r="QN126" s="310"/>
      <c r="QO126" s="310"/>
      <c r="QP126" s="310"/>
      <c r="QQ126" s="310"/>
      <c r="QR126" s="310"/>
      <c r="QS126" s="310"/>
      <c r="QT126" s="310"/>
      <c r="QU126" s="310"/>
      <c r="QV126" s="310"/>
      <c r="QW126" s="310"/>
      <c r="QX126" s="310"/>
      <c r="QY126" s="310"/>
      <c r="QZ126" s="310"/>
      <c r="RA126" s="310"/>
      <c r="RB126" s="310"/>
      <c r="RC126" s="310"/>
      <c r="RD126" s="310"/>
      <c r="RE126" s="310"/>
      <c r="RF126" s="310"/>
      <c r="RG126" s="310"/>
      <c r="RH126" s="310"/>
      <c r="RI126" s="310"/>
      <c r="RJ126" s="310"/>
      <c r="RK126" s="310"/>
      <c r="RL126" s="310"/>
      <c r="RM126" s="310"/>
      <c r="RN126" s="310"/>
      <c r="RO126" s="310"/>
      <c r="RP126" s="310"/>
      <c r="RQ126" s="310"/>
      <c r="RR126" s="310"/>
      <c r="RS126" s="310"/>
      <c r="RT126" s="310"/>
      <c r="RU126" s="310"/>
      <c r="RV126" s="310"/>
      <c r="RW126" s="310"/>
      <c r="RX126" s="310"/>
      <c r="RY126" s="310"/>
      <c r="RZ126" s="310"/>
      <c r="SA126" s="310"/>
      <c r="SB126" s="310"/>
      <c r="SC126" s="310"/>
      <c r="SD126" s="310"/>
      <c r="SE126" s="310"/>
      <c r="SF126" s="310"/>
      <c r="SG126" s="310"/>
      <c r="SH126" s="310"/>
      <c r="SI126" s="310"/>
      <c r="SJ126" s="310"/>
      <c r="SK126" s="310"/>
      <c r="SL126" s="310"/>
      <c r="SM126" s="310"/>
      <c r="SN126" s="310"/>
      <c r="SO126" s="220"/>
      <c r="SP126" s="220"/>
      <c r="SQ126" s="220"/>
      <c r="SR126" s="220"/>
      <c r="SS126" s="220"/>
      <c r="ST126" s="220"/>
      <c r="SU126" s="220"/>
      <c r="SV126" s="220"/>
      <c r="SW126" s="220"/>
      <c r="SX126" s="220"/>
      <c r="SY126" s="220"/>
      <c r="SZ126" s="220"/>
      <c r="TA126" s="220"/>
      <c r="TB126" s="220"/>
      <c r="TC126" s="220"/>
      <c r="TD126" s="220"/>
      <c r="TE126" s="220"/>
      <c r="TF126" s="220"/>
      <c r="TG126" s="220"/>
      <c r="TH126" s="220"/>
      <c r="TI126" s="220"/>
      <c r="TJ126" s="220"/>
      <c r="TK126" s="220"/>
      <c r="TL126" s="220"/>
      <c r="TM126" s="220"/>
      <c r="TN126" s="220"/>
      <c r="TO126" s="220"/>
      <c r="TP126" s="220"/>
      <c r="TQ126" s="220"/>
      <c r="TR126" s="220"/>
      <c r="TS126" s="220"/>
      <c r="TT126" s="220"/>
      <c r="TU126" s="220"/>
      <c r="TV126" s="220"/>
      <c r="TW126" s="220"/>
      <c r="TX126" s="220"/>
      <c r="TY126" s="220"/>
      <c r="TZ126" s="220"/>
      <c r="UA126" s="220"/>
      <c r="UB126" s="220"/>
      <c r="UC126" s="220"/>
      <c r="UD126" s="220"/>
      <c r="UE126" s="220"/>
      <c r="UF126" s="220"/>
      <c r="UG126" s="220"/>
      <c r="UH126" s="220"/>
      <c r="UI126" s="220"/>
      <c r="UJ126" s="220"/>
      <c r="UK126" s="216"/>
      <c r="UL126" s="216"/>
      <c r="UM126" s="216"/>
      <c r="UN126" s="216"/>
      <c r="UO126" s="216"/>
      <c r="UP126" s="216"/>
      <c r="UQ126" s="216"/>
      <c r="UR126" s="216"/>
      <c r="US126" s="216"/>
      <c r="UT126" s="216"/>
      <c r="UU126" s="216"/>
      <c r="UV126" s="216"/>
      <c r="UW126" s="216"/>
      <c r="UX126" s="216"/>
      <c r="UY126" s="216"/>
      <c r="UZ126" s="216"/>
      <c r="VA126" s="216"/>
    </row>
    <row r="127" spans="1:573" s="4" customFormat="1" x14ac:dyDescent="0.5">
      <c r="AP127" s="310"/>
      <c r="AQ127" s="310"/>
      <c r="AR127" s="310"/>
      <c r="AS127" s="310"/>
      <c r="AT127" s="310"/>
      <c r="AU127" s="310"/>
      <c r="AV127" s="310"/>
      <c r="AW127" s="310"/>
      <c r="AX127" s="310"/>
      <c r="AY127" s="310"/>
      <c r="AZ127" s="310"/>
      <c r="BA127" s="310"/>
      <c r="BB127" s="310"/>
      <c r="BC127" s="310"/>
      <c r="BD127" s="310"/>
      <c r="BE127" s="310"/>
      <c r="BF127" s="310"/>
      <c r="BG127" s="310"/>
      <c r="BH127" s="310"/>
      <c r="BI127" s="310"/>
      <c r="BJ127" s="310"/>
      <c r="BK127" s="310"/>
      <c r="BL127" s="310"/>
      <c r="BM127" s="310"/>
      <c r="BN127" s="310"/>
      <c r="BO127" s="310"/>
      <c r="BP127" s="310"/>
      <c r="BQ127" s="310"/>
      <c r="BR127" s="310"/>
      <c r="BS127" s="310"/>
      <c r="BT127" s="310"/>
      <c r="BU127" s="310"/>
      <c r="BV127" s="310"/>
      <c r="BW127" s="310"/>
      <c r="BX127" s="310"/>
      <c r="BY127" s="310"/>
      <c r="BZ127" s="310"/>
      <c r="CA127" s="310"/>
      <c r="CB127" s="310"/>
      <c r="CC127" s="310"/>
      <c r="CD127" s="310"/>
      <c r="CE127" s="310"/>
      <c r="CF127" s="310"/>
      <c r="CG127" s="310"/>
      <c r="CH127" s="310"/>
      <c r="CI127" s="310"/>
      <c r="CJ127" s="310"/>
      <c r="CK127" s="310"/>
      <c r="CL127" s="310"/>
      <c r="CM127" s="310"/>
      <c r="CN127" s="310"/>
      <c r="CO127" s="310"/>
      <c r="CP127" s="310"/>
      <c r="CQ127" s="310"/>
      <c r="CR127" s="310"/>
      <c r="CS127" s="310"/>
      <c r="CT127" s="310"/>
      <c r="CU127" s="310"/>
      <c r="CV127" s="310"/>
      <c r="CW127" s="310"/>
      <c r="CX127" s="310"/>
      <c r="CY127" s="310"/>
      <c r="CZ127" s="310"/>
      <c r="DA127" s="310"/>
      <c r="DB127" s="310"/>
      <c r="DC127" s="310"/>
      <c r="DD127" s="310"/>
      <c r="DE127" s="310"/>
      <c r="DF127" s="310"/>
      <c r="DG127" s="310"/>
      <c r="DH127" s="310"/>
      <c r="DI127" s="310"/>
      <c r="DJ127" s="310"/>
      <c r="DK127" s="310"/>
      <c r="DL127" s="310"/>
      <c r="DM127" s="310"/>
      <c r="DN127" s="310"/>
      <c r="DO127" s="310"/>
      <c r="DP127" s="310"/>
      <c r="DQ127" s="310"/>
      <c r="DR127" s="310"/>
      <c r="DS127" s="310"/>
      <c r="DT127" s="310"/>
      <c r="DU127" s="310"/>
      <c r="DV127" s="310"/>
      <c r="DW127" s="310"/>
      <c r="DX127" s="310"/>
      <c r="DY127" s="310"/>
      <c r="DZ127" s="310"/>
      <c r="EA127" s="310"/>
      <c r="EB127" s="310"/>
      <c r="EC127" s="310"/>
      <c r="ED127" s="310"/>
      <c r="EE127" s="310"/>
      <c r="EF127" s="310"/>
      <c r="EG127" s="310"/>
      <c r="EH127" s="310"/>
      <c r="EI127" s="310"/>
      <c r="EJ127" s="310"/>
      <c r="EK127" s="310"/>
      <c r="EL127" s="310">
        <v>2</v>
      </c>
      <c r="EM127" s="310" t="b">
        <f>IF($D$63&gt;=EL127,TRUE,FALSE)</f>
        <v>0</v>
      </c>
      <c r="EN127" s="280" t="e">
        <f>IF(EM127=TRUE,EN124,#N/A)</f>
        <v>#N/A</v>
      </c>
      <c r="EO127" s="280" t="e">
        <f>IF(EM127=TRUE,EO124-$EM$123,#N/A)</f>
        <v>#N/A</v>
      </c>
      <c r="EP127" s="310"/>
      <c r="EQ127" s="310"/>
      <c r="ER127" s="310"/>
      <c r="ES127" s="310"/>
      <c r="ET127" s="310"/>
      <c r="EU127" s="310"/>
      <c r="EV127" s="310"/>
      <c r="EW127" s="310"/>
      <c r="EX127" s="310"/>
      <c r="EY127" s="310"/>
      <c r="EZ127" s="310"/>
      <c r="FA127" s="310"/>
      <c r="FB127" s="310"/>
      <c r="FC127" s="310"/>
      <c r="FD127" s="310"/>
      <c r="FE127" s="310"/>
      <c r="FF127" s="310"/>
      <c r="FG127" s="310"/>
      <c r="FH127" s="310"/>
      <c r="FI127" s="310"/>
      <c r="FJ127" s="310"/>
      <c r="FK127" s="310"/>
      <c r="FL127" s="311"/>
      <c r="FM127" s="311"/>
      <c r="FN127" s="311"/>
      <c r="FO127" s="311"/>
      <c r="FP127" s="311"/>
      <c r="FQ127" s="311"/>
      <c r="FR127" s="311"/>
      <c r="FS127" s="311"/>
      <c r="FT127" s="311"/>
      <c r="FU127" s="311"/>
      <c r="FV127" s="311"/>
      <c r="FW127" s="311"/>
      <c r="FX127" s="311"/>
      <c r="FY127" s="311"/>
      <c r="FZ127" s="311"/>
      <c r="GA127" s="311"/>
      <c r="GB127" s="310"/>
      <c r="GC127" s="310"/>
      <c r="GD127" s="310"/>
      <c r="GE127" s="310"/>
      <c r="GF127" s="310"/>
      <c r="GG127" s="310"/>
      <c r="GH127" s="310"/>
      <c r="GI127" s="310"/>
      <c r="GJ127" s="310"/>
      <c r="GK127" s="310"/>
      <c r="GL127" s="310"/>
      <c r="GM127" s="310"/>
      <c r="GN127" s="310"/>
      <c r="GO127" s="310"/>
      <c r="GP127" s="310"/>
      <c r="GQ127" s="310"/>
      <c r="GR127" s="310"/>
      <c r="GS127" s="310"/>
      <c r="GT127" s="310"/>
      <c r="GU127" s="310"/>
      <c r="GV127" s="310"/>
      <c r="GW127" s="310"/>
      <c r="GX127" s="310"/>
      <c r="GY127" s="310"/>
      <c r="GZ127" s="310"/>
      <c r="HA127" s="310"/>
      <c r="HB127" s="310"/>
      <c r="HC127" s="310"/>
      <c r="HD127" s="310"/>
      <c r="HE127" s="310"/>
      <c r="HF127" s="310"/>
      <c r="HG127" s="310"/>
      <c r="HH127" s="310"/>
      <c r="HI127" s="310"/>
      <c r="HJ127" s="310"/>
      <c r="HK127" s="342">
        <v>113</v>
      </c>
      <c r="HL127" s="235" t="e">
        <f t="shared" si="139"/>
        <v>#N/A</v>
      </c>
      <c r="HM127" s="235" t="e">
        <f t="shared" si="140"/>
        <v>#N/A</v>
      </c>
      <c r="HN127" s="310"/>
      <c r="HO127" s="310"/>
      <c r="HP127" s="235" t="e">
        <f t="shared" si="141"/>
        <v>#N/A</v>
      </c>
      <c r="HQ127" s="235" t="e">
        <f t="shared" si="142"/>
        <v>#N/A</v>
      </c>
      <c r="HR127" s="310"/>
      <c r="HS127" s="310"/>
      <c r="HT127" s="235" t="e">
        <f t="shared" si="143"/>
        <v>#N/A</v>
      </c>
      <c r="HU127" s="235" t="e">
        <f t="shared" si="144"/>
        <v>#N/A</v>
      </c>
      <c r="HV127" s="310"/>
      <c r="HW127" s="310"/>
      <c r="HX127" s="235" t="e">
        <f t="shared" si="145"/>
        <v>#N/A</v>
      </c>
      <c r="HY127" s="235" t="e">
        <f t="shared" si="146"/>
        <v>#N/A</v>
      </c>
      <c r="HZ127" s="310"/>
      <c r="IA127" s="310"/>
      <c r="IB127" s="235" t="e">
        <f t="shared" si="147"/>
        <v>#N/A</v>
      </c>
      <c r="IC127" s="235" t="e">
        <f t="shared" si="148"/>
        <v>#N/A</v>
      </c>
      <c r="ID127" s="310"/>
      <c r="IE127" s="342">
        <v>113</v>
      </c>
      <c r="IF127" s="262" t="e">
        <f t="shared" si="149"/>
        <v>#N/A</v>
      </c>
      <c r="IG127" s="262" t="e">
        <f t="shared" si="150"/>
        <v>#N/A</v>
      </c>
      <c r="IH127" s="390"/>
      <c r="II127" s="390"/>
      <c r="IJ127" s="262" t="e">
        <f t="shared" si="151"/>
        <v>#N/A</v>
      </c>
      <c r="IK127" s="262" t="e">
        <f t="shared" si="152"/>
        <v>#N/A</v>
      </c>
      <c r="IL127" s="390"/>
      <c r="IM127" s="390"/>
      <c r="IN127" s="262" t="e">
        <f t="shared" si="153"/>
        <v>#N/A</v>
      </c>
      <c r="IO127" s="262" t="e">
        <f t="shared" si="154"/>
        <v>#N/A</v>
      </c>
      <c r="IP127" s="390"/>
      <c r="IQ127" s="390"/>
      <c r="IR127" s="262" t="e">
        <f t="shared" si="155"/>
        <v>#N/A</v>
      </c>
      <c r="IS127" s="262" t="e">
        <f t="shared" si="156"/>
        <v>#N/A</v>
      </c>
      <c r="IT127" s="390"/>
      <c r="IU127" s="390"/>
      <c r="IV127" s="262" t="e">
        <f t="shared" si="157"/>
        <v>#N/A</v>
      </c>
      <c r="IW127" s="262" t="e">
        <f t="shared" si="158"/>
        <v>#N/A</v>
      </c>
      <c r="IX127" s="310"/>
      <c r="IY127" s="310"/>
      <c r="IZ127" s="310"/>
      <c r="JA127" s="310"/>
      <c r="JB127" s="313" t="s">
        <v>325</v>
      </c>
      <c r="JC127" s="228">
        <f>JC126</f>
        <v>-0.6</v>
      </c>
      <c r="JD127" s="237">
        <f>JA124-($IZ$108/2-$IZ$110)</f>
        <v>0.60499999999999998</v>
      </c>
      <c r="JE127" s="310"/>
      <c r="JF127" s="310"/>
      <c r="JG127" s="310"/>
      <c r="JH127" s="310"/>
      <c r="JI127" s="313" t="s">
        <v>325</v>
      </c>
      <c r="JJ127" s="242">
        <f>JJ126</f>
        <v>-0.6</v>
      </c>
      <c r="JK127" s="266">
        <f>JH124-($IZ$108/2-$IZ$110)</f>
        <v>0.60499999999999998</v>
      </c>
      <c r="JL127" s="310"/>
      <c r="JM127" s="310"/>
      <c r="JN127" s="261" t="e">
        <f t="shared" si="159"/>
        <v>#N/A</v>
      </c>
      <c r="JO127" s="261" t="e">
        <f t="shared" si="160"/>
        <v>#N/A</v>
      </c>
      <c r="JP127" s="310"/>
      <c r="JQ127" s="310"/>
      <c r="JR127" s="261" t="e">
        <f t="shared" si="165"/>
        <v>#N/A</v>
      </c>
      <c r="JS127" s="261" t="e">
        <f t="shared" si="166"/>
        <v>#N/A</v>
      </c>
      <c r="JT127" s="310"/>
      <c r="JU127" s="310"/>
      <c r="JV127" s="261" t="e">
        <f t="shared" si="161"/>
        <v>#N/A</v>
      </c>
      <c r="JW127" s="261" t="e">
        <f t="shared" si="162"/>
        <v>#N/A</v>
      </c>
      <c r="JX127" s="310"/>
      <c r="JY127" s="310"/>
      <c r="JZ127" s="310"/>
      <c r="KA127" s="310"/>
      <c r="KB127" s="310"/>
      <c r="KC127" s="310"/>
      <c r="KD127" s="310"/>
      <c r="KE127" s="310"/>
      <c r="KF127" s="310"/>
      <c r="KG127" s="310"/>
      <c r="KH127" s="310"/>
      <c r="KI127" s="310"/>
      <c r="KJ127" s="310"/>
      <c r="KK127" s="310"/>
      <c r="KL127" s="310"/>
      <c r="KM127" s="310"/>
      <c r="KN127" s="310"/>
      <c r="KO127" s="310"/>
      <c r="KP127" s="310"/>
      <c r="KQ127" s="310"/>
      <c r="KR127" s="310"/>
      <c r="KS127" s="310"/>
      <c r="KT127" s="310"/>
      <c r="KU127" s="310"/>
      <c r="KV127" s="310"/>
      <c r="KW127" s="310"/>
      <c r="KX127" s="310"/>
      <c r="KY127" s="310"/>
      <c r="KZ127" s="310"/>
      <c r="LA127" s="310"/>
      <c r="LB127" s="310"/>
      <c r="LC127" s="310"/>
      <c r="LD127" s="310"/>
      <c r="LE127" s="310"/>
      <c r="LF127" s="310"/>
      <c r="LG127" s="310"/>
      <c r="LH127" s="310"/>
      <c r="LI127" s="310"/>
      <c r="LJ127" s="310"/>
      <c r="LK127" s="310"/>
      <c r="LL127" s="310"/>
      <c r="LM127" s="310"/>
      <c r="LN127" s="310"/>
      <c r="LO127" s="310"/>
      <c r="LP127" s="310"/>
      <c r="LQ127" s="310"/>
      <c r="LR127" s="310"/>
      <c r="LS127" s="310"/>
      <c r="LT127" s="310"/>
      <c r="LU127" s="310"/>
      <c r="LV127" s="310"/>
      <c r="LW127" s="310"/>
      <c r="LX127" s="310"/>
      <c r="LY127" s="310"/>
      <c r="LZ127" s="310"/>
      <c r="MA127" s="310"/>
      <c r="MB127" s="310"/>
      <c r="MC127" s="310"/>
      <c r="MD127" s="310"/>
      <c r="ME127" s="310"/>
      <c r="MF127" s="310"/>
      <c r="MG127" s="310"/>
      <c r="MH127" s="310"/>
      <c r="MI127" s="310"/>
      <c r="MJ127" s="310"/>
      <c r="MK127" s="310"/>
      <c r="ML127" s="310"/>
      <c r="MM127" s="310"/>
      <c r="MN127" s="310"/>
      <c r="MO127" s="310"/>
      <c r="MP127" s="310"/>
      <c r="MQ127" s="310"/>
      <c r="MR127" s="310"/>
      <c r="MS127" s="310"/>
      <c r="MT127" s="310"/>
      <c r="MU127" s="310"/>
      <c r="MV127" s="310"/>
      <c r="MW127" s="310"/>
      <c r="MX127" s="310"/>
      <c r="MY127" s="310"/>
      <c r="MZ127" s="310"/>
      <c r="NA127" s="310"/>
      <c r="NB127" s="310"/>
      <c r="NC127" s="310"/>
      <c r="ND127" s="310"/>
      <c r="NE127" s="310"/>
      <c r="NF127" s="310"/>
      <c r="NG127" s="310"/>
      <c r="NH127" s="310"/>
      <c r="NI127" s="310"/>
      <c r="NJ127" s="310"/>
      <c r="NK127" s="310"/>
      <c r="NL127" s="310"/>
      <c r="NM127" s="310"/>
      <c r="NN127" s="310"/>
      <c r="NO127" s="310"/>
      <c r="NP127" s="310"/>
      <c r="NQ127" s="310"/>
      <c r="NR127" s="310"/>
      <c r="NS127" s="310"/>
      <c r="NT127" s="310"/>
      <c r="NU127" s="310"/>
      <c r="NV127" s="310"/>
      <c r="NW127" s="310"/>
      <c r="NX127" s="310"/>
      <c r="NY127" s="310"/>
      <c r="NZ127" s="310"/>
      <c r="OA127" s="310"/>
      <c r="OB127" s="310"/>
      <c r="OC127" s="310"/>
      <c r="OD127" s="310"/>
      <c r="OE127" s="310"/>
      <c r="OF127" s="310"/>
      <c r="OG127" s="310"/>
      <c r="OH127" s="310"/>
      <c r="OI127" s="310"/>
      <c r="OJ127" s="310"/>
      <c r="OK127" s="310"/>
      <c r="OL127" s="310"/>
      <c r="OM127" s="310"/>
      <c r="ON127" s="310"/>
      <c r="OO127" s="310"/>
      <c r="OP127" s="310"/>
      <c r="OQ127" s="310"/>
      <c r="OR127" s="310"/>
      <c r="OS127" s="310"/>
      <c r="OT127" s="310"/>
      <c r="OU127" s="310"/>
      <c r="OV127" s="310"/>
      <c r="OW127" s="310"/>
      <c r="OX127" s="310"/>
      <c r="OY127" s="310"/>
      <c r="OZ127" s="310"/>
      <c r="PA127" s="310"/>
      <c r="PB127" s="310"/>
      <c r="PC127" s="310"/>
      <c r="PD127" s="310"/>
      <c r="PE127" s="310"/>
      <c r="PF127" s="310"/>
      <c r="PG127" s="310"/>
      <c r="PH127" s="310"/>
      <c r="PI127" s="310"/>
      <c r="PJ127" s="310"/>
      <c r="PK127" s="310"/>
      <c r="PL127" s="310"/>
      <c r="PM127" s="310"/>
      <c r="PN127" s="310"/>
      <c r="PO127" s="310"/>
      <c r="PP127" s="310"/>
      <c r="PQ127" s="310"/>
      <c r="PR127" s="310"/>
      <c r="PS127" s="342">
        <v>113</v>
      </c>
      <c r="PT127" s="261" t="e">
        <f t="shared" si="163"/>
        <v>#N/A</v>
      </c>
      <c r="PU127" s="261" t="e">
        <f t="shared" si="164"/>
        <v>#N/A</v>
      </c>
      <c r="PV127" s="310"/>
      <c r="PW127" s="310"/>
      <c r="PX127" s="310"/>
      <c r="PY127" s="310"/>
      <c r="PZ127" s="310"/>
      <c r="QA127" s="310"/>
      <c r="QB127" s="310"/>
      <c r="QC127" s="310"/>
      <c r="QD127" s="310"/>
      <c r="QE127" s="310"/>
      <c r="QF127" s="310"/>
      <c r="QG127" s="310"/>
      <c r="QH127" s="310"/>
      <c r="QI127" s="310"/>
      <c r="QJ127" s="310"/>
      <c r="QK127" s="310"/>
      <c r="QL127" s="310"/>
      <c r="QM127" s="310"/>
      <c r="QN127" s="310"/>
      <c r="QO127" s="310"/>
      <c r="QP127" s="310"/>
      <c r="QQ127" s="310"/>
      <c r="QR127" s="310"/>
      <c r="QS127" s="310"/>
      <c r="QT127" s="310"/>
      <c r="QU127" s="310"/>
      <c r="QV127" s="310"/>
      <c r="QW127" s="310"/>
      <c r="QX127" s="310"/>
      <c r="QY127" s="310"/>
      <c r="QZ127" s="310"/>
      <c r="RA127" s="310"/>
      <c r="RB127" s="310"/>
      <c r="RC127" s="310"/>
      <c r="RD127" s="310"/>
      <c r="RE127" s="310"/>
      <c r="RF127" s="310"/>
      <c r="RG127" s="310"/>
      <c r="RH127" s="310"/>
      <c r="RI127" s="310"/>
      <c r="RJ127" s="310"/>
      <c r="RK127" s="310"/>
      <c r="RL127" s="310"/>
      <c r="RM127" s="310"/>
      <c r="RN127" s="310"/>
      <c r="RO127" s="310"/>
      <c r="RP127" s="310"/>
      <c r="RQ127" s="310"/>
      <c r="RR127" s="310"/>
      <c r="RS127" s="310"/>
      <c r="RT127" s="310"/>
      <c r="RU127" s="310"/>
      <c r="RV127" s="310"/>
      <c r="RW127" s="310"/>
      <c r="RX127" s="310"/>
      <c r="RY127" s="310"/>
      <c r="RZ127" s="310"/>
      <c r="SA127" s="310"/>
      <c r="SB127" s="310"/>
      <c r="SC127" s="310"/>
      <c r="SD127" s="310"/>
      <c r="SE127" s="310"/>
      <c r="SF127" s="310"/>
      <c r="SG127" s="310"/>
      <c r="SH127" s="310"/>
      <c r="SI127" s="310"/>
      <c r="SJ127" s="310"/>
      <c r="SK127" s="310"/>
      <c r="SL127" s="310"/>
      <c r="SM127" s="310"/>
      <c r="SN127" s="310"/>
      <c r="SO127" s="220"/>
      <c r="SP127" s="220"/>
      <c r="SQ127" s="220"/>
      <c r="SR127" s="220"/>
      <c r="SS127" s="220"/>
      <c r="ST127" s="220"/>
      <c r="SU127" s="220"/>
      <c r="SV127" s="220"/>
      <c r="SW127" s="220"/>
      <c r="SX127" s="220"/>
      <c r="SY127" s="220"/>
      <c r="SZ127" s="220"/>
      <c r="TA127" s="220"/>
      <c r="TB127" s="220"/>
      <c r="TC127" s="220"/>
      <c r="TD127" s="220"/>
      <c r="TE127" s="220"/>
      <c r="TF127" s="220"/>
      <c r="TG127" s="220"/>
      <c r="TH127" s="220"/>
      <c r="TI127" s="220"/>
      <c r="TJ127" s="220"/>
      <c r="TK127" s="220"/>
      <c r="TL127" s="220"/>
      <c r="TM127" s="220"/>
      <c r="TN127" s="220"/>
      <c r="TO127" s="220"/>
      <c r="TP127" s="220"/>
      <c r="TQ127" s="220"/>
      <c r="TR127" s="220"/>
      <c r="TS127" s="220"/>
      <c r="TT127" s="220"/>
      <c r="TU127" s="220"/>
      <c r="TV127" s="220"/>
      <c r="TW127" s="220"/>
      <c r="TX127" s="220"/>
      <c r="TY127" s="220"/>
      <c r="TZ127" s="220"/>
      <c r="UA127" s="220"/>
      <c r="UB127" s="220"/>
      <c r="UC127" s="220"/>
      <c r="UD127" s="220"/>
      <c r="UE127" s="220"/>
      <c r="UF127" s="220"/>
      <c r="UG127" s="220"/>
      <c r="UH127" s="220"/>
      <c r="UI127" s="220"/>
      <c r="UJ127" s="220"/>
      <c r="UK127" s="216"/>
      <c r="UL127" s="216"/>
      <c r="UM127" s="216"/>
      <c r="UN127" s="216"/>
      <c r="UO127" s="216"/>
      <c r="UP127" s="216"/>
      <c r="UQ127" s="216"/>
      <c r="UR127" s="216"/>
      <c r="US127" s="216"/>
      <c r="UT127" s="216"/>
      <c r="UU127" s="216"/>
      <c r="UV127" s="216"/>
      <c r="UW127" s="216"/>
      <c r="UX127" s="216"/>
      <c r="UY127" s="216"/>
      <c r="UZ127" s="216"/>
      <c r="VA127" s="216"/>
    </row>
    <row r="128" spans="1:573" s="4" customFormat="1" x14ac:dyDescent="0.5">
      <c r="AP128" s="310"/>
      <c r="AQ128" s="310"/>
      <c r="AR128" s="310"/>
      <c r="AS128" s="310"/>
      <c r="AT128" s="310"/>
      <c r="AU128" s="310"/>
      <c r="AV128" s="310"/>
      <c r="AW128" s="310"/>
      <c r="AX128" s="310"/>
      <c r="AY128" s="310"/>
      <c r="AZ128" s="310"/>
      <c r="BA128" s="310"/>
      <c r="BB128" s="310"/>
      <c r="BC128" s="310"/>
      <c r="BD128" s="310"/>
      <c r="BE128" s="310"/>
      <c r="BF128" s="310"/>
      <c r="BG128" s="310"/>
      <c r="BH128" s="310"/>
      <c r="BI128" s="310"/>
      <c r="BJ128" s="310"/>
      <c r="BK128" s="310"/>
      <c r="BL128" s="310"/>
      <c r="BM128" s="310"/>
      <c r="BN128" s="310"/>
      <c r="BO128" s="310"/>
      <c r="BP128" s="310"/>
      <c r="BQ128" s="310"/>
      <c r="BR128" s="310"/>
      <c r="BS128" s="310"/>
      <c r="BT128" s="310"/>
      <c r="BU128" s="310"/>
      <c r="BV128" s="310"/>
      <c r="BW128" s="310"/>
      <c r="BX128" s="310"/>
      <c r="BY128" s="310"/>
      <c r="BZ128" s="310"/>
      <c r="CA128" s="310"/>
      <c r="CB128" s="310"/>
      <c r="CC128" s="310"/>
      <c r="CD128" s="310"/>
      <c r="CE128" s="310"/>
      <c r="CF128" s="310"/>
      <c r="CG128" s="310"/>
      <c r="CH128" s="310"/>
      <c r="CI128" s="310"/>
      <c r="CJ128" s="310"/>
      <c r="CK128" s="310"/>
      <c r="CL128" s="310"/>
      <c r="CM128" s="310"/>
      <c r="CN128" s="310"/>
      <c r="CO128" s="310"/>
      <c r="CP128" s="310"/>
      <c r="CQ128" s="310"/>
      <c r="CR128" s="310"/>
      <c r="CS128" s="310"/>
      <c r="CT128" s="310"/>
      <c r="CU128" s="310"/>
      <c r="CV128" s="310"/>
      <c r="CW128" s="310"/>
      <c r="CX128" s="310"/>
      <c r="CY128" s="310"/>
      <c r="CZ128" s="310"/>
      <c r="DA128" s="310"/>
      <c r="DB128" s="310"/>
      <c r="DC128" s="310"/>
      <c r="DD128" s="310"/>
      <c r="DE128" s="310"/>
      <c r="DF128" s="310"/>
      <c r="DG128" s="310"/>
      <c r="DH128" s="310"/>
      <c r="DI128" s="310"/>
      <c r="DJ128" s="310"/>
      <c r="DK128" s="310"/>
      <c r="DL128" s="310"/>
      <c r="DM128" s="310"/>
      <c r="DN128" s="310"/>
      <c r="DO128" s="310"/>
      <c r="DP128" s="310"/>
      <c r="DQ128" s="310"/>
      <c r="DR128" s="310"/>
      <c r="DS128" s="310"/>
      <c r="DT128" s="310"/>
      <c r="DU128" s="310"/>
      <c r="DV128" s="310"/>
      <c r="DW128" s="310"/>
      <c r="DX128" s="310"/>
      <c r="DY128" s="310"/>
      <c r="DZ128" s="310"/>
      <c r="EA128" s="310"/>
      <c r="EB128" s="310"/>
      <c r="EC128" s="310"/>
      <c r="ED128" s="310"/>
      <c r="EE128" s="310"/>
      <c r="EF128" s="310"/>
      <c r="EG128" s="310"/>
      <c r="EH128" s="310"/>
      <c r="EI128" s="310"/>
      <c r="EJ128" s="310"/>
      <c r="EK128" s="310"/>
      <c r="EL128" s="310"/>
      <c r="EM128" s="310"/>
      <c r="EN128" s="280" t="e">
        <f>IF(EM127=TRUE,EN125,#N/A)</f>
        <v>#N/A</v>
      </c>
      <c r="EO128" s="280" t="e">
        <f>EO127</f>
        <v>#N/A</v>
      </c>
      <c r="EP128" s="310"/>
      <c r="EQ128" s="310"/>
      <c r="ER128" s="310"/>
      <c r="ES128" s="310"/>
      <c r="ET128" s="310"/>
      <c r="EU128" s="310"/>
      <c r="EV128" s="310"/>
      <c r="EW128" s="310"/>
      <c r="EX128" s="310"/>
      <c r="EY128" s="310"/>
      <c r="EZ128" s="310"/>
      <c r="FA128" s="310"/>
      <c r="FB128" s="310"/>
      <c r="FC128" s="310"/>
      <c r="FD128" s="310"/>
      <c r="FE128" s="310"/>
      <c r="FF128" s="310"/>
      <c r="FG128" s="310"/>
      <c r="FH128" s="310"/>
      <c r="FI128" s="310"/>
      <c r="FJ128" s="310"/>
      <c r="FK128" s="310"/>
      <c r="FL128" s="311"/>
      <c r="FM128" s="311"/>
      <c r="FN128" s="311"/>
      <c r="FO128" s="311"/>
      <c r="FP128" s="311"/>
      <c r="FQ128" s="311"/>
      <c r="FR128" s="311"/>
      <c r="FS128" s="311"/>
      <c r="FT128" s="311"/>
      <c r="FU128" s="311"/>
      <c r="FV128" s="311"/>
      <c r="FW128" s="311"/>
      <c r="FX128" s="311"/>
      <c r="FY128" s="311"/>
      <c r="FZ128" s="311"/>
      <c r="GA128" s="311"/>
      <c r="GB128" s="310"/>
      <c r="GC128" s="310"/>
      <c r="GD128" s="310"/>
      <c r="GE128" s="310"/>
      <c r="GF128" s="310"/>
      <c r="GG128" s="310"/>
      <c r="GH128" s="310"/>
      <c r="GI128" s="310"/>
      <c r="GJ128" s="310"/>
      <c r="GK128" s="310"/>
      <c r="GL128" s="310"/>
      <c r="GM128" s="310"/>
      <c r="GN128" s="310"/>
      <c r="GO128" s="310"/>
      <c r="GP128" s="310"/>
      <c r="GQ128" s="310"/>
      <c r="GR128" s="310"/>
      <c r="GS128" s="310"/>
      <c r="GT128" s="310"/>
      <c r="GU128" s="310"/>
      <c r="GV128" s="310"/>
      <c r="GW128" s="310"/>
      <c r="GX128" s="310"/>
      <c r="GY128" s="310"/>
      <c r="GZ128" s="310"/>
      <c r="HA128" s="310"/>
      <c r="HB128" s="310"/>
      <c r="HC128" s="310"/>
      <c r="HD128" s="310"/>
      <c r="HE128" s="310"/>
      <c r="HF128" s="310"/>
      <c r="HG128" s="310"/>
      <c r="HH128" s="310"/>
      <c r="HI128" s="310"/>
      <c r="HJ128" s="310"/>
      <c r="HK128" s="342">
        <v>114</v>
      </c>
      <c r="HL128" s="235" t="e">
        <f t="shared" si="139"/>
        <v>#N/A</v>
      </c>
      <c r="HM128" s="235" t="e">
        <f t="shared" si="140"/>
        <v>#N/A</v>
      </c>
      <c r="HN128" s="310"/>
      <c r="HO128" s="310"/>
      <c r="HP128" s="235" t="e">
        <f t="shared" si="141"/>
        <v>#N/A</v>
      </c>
      <c r="HQ128" s="235" t="e">
        <f t="shared" si="142"/>
        <v>#N/A</v>
      </c>
      <c r="HR128" s="310"/>
      <c r="HS128" s="310"/>
      <c r="HT128" s="235" t="e">
        <f t="shared" si="143"/>
        <v>#N/A</v>
      </c>
      <c r="HU128" s="235" t="e">
        <f t="shared" si="144"/>
        <v>#N/A</v>
      </c>
      <c r="HV128" s="310"/>
      <c r="HW128" s="310"/>
      <c r="HX128" s="235" t="e">
        <f t="shared" si="145"/>
        <v>#N/A</v>
      </c>
      <c r="HY128" s="235" t="e">
        <f t="shared" si="146"/>
        <v>#N/A</v>
      </c>
      <c r="HZ128" s="310"/>
      <c r="IA128" s="310"/>
      <c r="IB128" s="235" t="e">
        <f t="shared" si="147"/>
        <v>#N/A</v>
      </c>
      <c r="IC128" s="235" t="e">
        <f t="shared" si="148"/>
        <v>#N/A</v>
      </c>
      <c r="ID128" s="310"/>
      <c r="IE128" s="342">
        <v>114</v>
      </c>
      <c r="IF128" s="262" t="e">
        <f t="shared" si="149"/>
        <v>#N/A</v>
      </c>
      <c r="IG128" s="262" t="e">
        <f t="shared" si="150"/>
        <v>#N/A</v>
      </c>
      <c r="IH128" s="390"/>
      <c r="II128" s="390"/>
      <c r="IJ128" s="262" t="e">
        <f t="shared" si="151"/>
        <v>#N/A</v>
      </c>
      <c r="IK128" s="262" t="e">
        <f t="shared" si="152"/>
        <v>#N/A</v>
      </c>
      <c r="IL128" s="390"/>
      <c r="IM128" s="390"/>
      <c r="IN128" s="262" t="e">
        <f t="shared" si="153"/>
        <v>#N/A</v>
      </c>
      <c r="IO128" s="262" t="e">
        <f t="shared" si="154"/>
        <v>#N/A</v>
      </c>
      <c r="IP128" s="390"/>
      <c r="IQ128" s="390"/>
      <c r="IR128" s="262" t="e">
        <f t="shared" si="155"/>
        <v>#N/A</v>
      </c>
      <c r="IS128" s="262" t="e">
        <f t="shared" si="156"/>
        <v>#N/A</v>
      </c>
      <c r="IT128" s="390"/>
      <c r="IU128" s="390"/>
      <c r="IV128" s="262" t="e">
        <f t="shared" si="157"/>
        <v>#N/A</v>
      </c>
      <c r="IW128" s="262" t="e">
        <f t="shared" si="158"/>
        <v>#N/A</v>
      </c>
      <c r="IX128" s="310"/>
      <c r="IY128" s="310"/>
      <c r="IZ128" s="310"/>
      <c r="JA128" s="310"/>
      <c r="JB128" s="313" t="s">
        <v>326</v>
      </c>
      <c r="JC128" s="228">
        <f>JC125</f>
        <v>-0.5</v>
      </c>
      <c r="JD128" s="228">
        <f>JA124-($IZ$108/2)+$IZ$109</f>
        <v>0.57499999999999996</v>
      </c>
      <c r="JE128" s="310"/>
      <c r="JF128" s="310"/>
      <c r="JG128" s="310"/>
      <c r="JH128" s="310"/>
      <c r="JI128" s="313" t="s">
        <v>326</v>
      </c>
      <c r="JJ128" s="242">
        <f>JJ125</f>
        <v>-0.5</v>
      </c>
      <c r="JK128" s="242">
        <f>JH124-($IZ$108/2)+$IZ$109</f>
        <v>0.57499999999999996</v>
      </c>
      <c r="JL128" s="310"/>
      <c r="JM128" s="310"/>
      <c r="JN128" s="261" t="e">
        <f t="shared" si="159"/>
        <v>#N/A</v>
      </c>
      <c r="JO128" s="261" t="e">
        <f t="shared" si="160"/>
        <v>#N/A</v>
      </c>
      <c r="JP128" s="310"/>
      <c r="JQ128" s="310"/>
      <c r="JR128" s="261" t="e">
        <f t="shared" si="165"/>
        <v>#N/A</v>
      </c>
      <c r="JS128" s="261" t="e">
        <f t="shared" si="166"/>
        <v>#N/A</v>
      </c>
      <c r="JT128" s="310"/>
      <c r="JU128" s="310"/>
      <c r="JV128" s="261" t="e">
        <f t="shared" si="161"/>
        <v>#N/A</v>
      </c>
      <c r="JW128" s="261" t="e">
        <f t="shared" si="162"/>
        <v>#N/A</v>
      </c>
      <c r="JX128" s="310"/>
      <c r="JY128" s="310"/>
      <c r="JZ128" s="310"/>
      <c r="KA128" s="310"/>
      <c r="KB128" s="310"/>
      <c r="KC128" s="310"/>
      <c r="KD128" s="310"/>
      <c r="KE128" s="310"/>
      <c r="KF128" s="310"/>
      <c r="KG128" s="310"/>
      <c r="KH128" s="310"/>
      <c r="KI128" s="310"/>
      <c r="KJ128" s="310"/>
      <c r="KK128" s="310"/>
      <c r="KL128" s="310"/>
      <c r="KM128" s="310"/>
      <c r="KN128" s="310"/>
      <c r="KO128" s="310"/>
      <c r="KP128" s="310"/>
      <c r="KQ128" s="310"/>
      <c r="KR128" s="310"/>
      <c r="KS128" s="310"/>
      <c r="KT128" s="310"/>
      <c r="KU128" s="310"/>
      <c r="KV128" s="310"/>
      <c r="KW128" s="310"/>
      <c r="KX128" s="310"/>
      <c r="KY128" s="310"/>
      <c r="KZ128" s="310"/>
      <c r="LA128" s="310"/>
      <c r="LB128" s="310"/>
      <c r="LC128" s="310"/>
      <c r="LD128" s="310"/>
      <c r="LE128" s="310"/>
      <c r="LF128" s="310"/>
      <c r="LG128" s="310"/>
      <c r="LH128" s="310"/>
      <c r="LI128" s="310"/>
      <c r="LJ128" s="310"/>
      <c r="LK128" s="310"/>
      <c r="LL128" s="310"/>
      <c r="LM128" s="310"/>
      <c r="LN128" s="310"/>
      <c r="LO128" s="310"/>
      <c r="LP128" s="310"/>
      <c r="LQ128" s="310"/>
      <c r="LR128" s="310"/>
      <c r="LS128" s="310"/>
      <c r="LT128" s="310"/>
      <c r="LU128" s="310"/>
      <c r="LV128" s="310"/>
      <c r="LW128" s="310"/>
      <c r="LX128" s="310"/>
      <c r="LY128" s="310"/>
      <c r="LZ128" s="310"/>
      <c r="MA128" s="310"/>
      <c r="MB128" s="310"/>
      <c r="MC128" s="310"/>
      <c r="MD128" s="310"/>
      <c r="ME128" s="310"/>
      <c r="MF128" s="310"/>
      <c r="MG128" s="310"/>
      <c r="MH128" s="310"/>
      <c r="MI128" s="310"/>
      <c r="MJ128" s="310"/>
      <c r="MK128" s="310"/>
      <c r="ML128" s="310"/>
      <c r="MM128" s="310"/>
      <c r="MN128" s="310"/>
      <c r="MO128" s="310"/>
      <c r="MP128" s="310"/>
      <c r="MQ128" s="310"/>
      <c r="MR128" s="310"/>
      <c r="MS128" s="310"/>
      <c r="MT128" s="310"/>
      <c r="MU128" s="310"/>
      <c r="MV128" s="310"/>
      <c r="MW128" s="310"/>
      <c r="MX128" s="310"/>
      <c r="MY128" s="310"/>
      <c r="MZ128" s="310"/>
      <c r="NA128" s="310"/>
      <c r="NB128" s="310"/>
      <c r="NC128" s="310"/>
      <c r="ND128" s="310"/>
      <c r="NE128" s="310"/>
      <c r="NF128" s="310"/>
      <c r="NG128" s="310"/>
      <c r="NH128" s="310"/>
      <c r="NI128" s="310"/>
      <c r="NJ128" s="310"/>
      <c r="NK128" s="310"/>
      <c r="NL128" s="310"/>
      <c r="NM128" s="310"/>
      <c r="NN128" s="310"/>
      <c r="NO128" s="310"/>
      <c r="NP128" s="310"/>
      <c r="NQ128" s="310"/>
      <c r="NR128" s="310"/>
      <c r="NS128" s="310"/>
      <c r="NT128" s="310"/>
      <c r="NU128" s="310"/>
      <c r="NV128" s="310"/>
      <c r="NW128" s="310"/>
      <c r="NX128" s="310"/>
      <c r="NY128" s="310"/>
      <c r="NZ128" s="310"/>
      <c r="OA128" s="310"/>
      <c r="OB128" s="310"/>
      <c r="OC128" s="310"/>
      <c r="OD128" s="310"/>
      <c r="OE128" s="310"/>
      <c r="OF128" s="310"/>
      <c r="OG128" s="310"/>
      <c r="OH128" s="310"/>
      <c r="OI128" s="310"/>
      <c r="OJ128" s="310"/>
      <c r="OK128" s="310"/>
      <c r="OL128" s="310"/>
      <c r="OM128" s="310"/>
      <c r="ON128" s="310"/>
      <c r="OO128" s="310"/>
      <c r="OP128" s="310"/>
      <c r="OQ128" s="310"/>
      <c r="OR128" s="310"/>
      <c r="OS128" s="310"/>
      <c r="OT128" s="310"/>
      <c r="OU128" s="310"/>
      <c r="OV128" s="310"/>
      <c r="OW128" s="310"/>
      <c r="OX128" s="310"/>
      <c r="OY128" s="310"/>
      <c r="OZ128" s="310"/>
      <c r="PA128" s="310"/>
      <c r="PB128" s="310"/>
      <c r="PC128" s="310"/>
      <c r="PD128" s="310"/>
      <c r="PE128" s="310"/>
      <c r="PF128" s="310"/>
      <c r="PG128" s="310"/>
      <c r="PH128" s="310"/>
      <c r="PI128" s="310"/>
      <c r="PJ128" s="310"/>
      <c r="PK128" s="310"/>
      <c r="PL128" s="310"/>
      <c r="PM128" s="310"/>
      <c r="PN128" s="310"/>
      <c r="PO128" s="310"/>
      <c r="PP128" s="310"/>
      <c r="PQ128" s="310"/>
      <c r="PR128" s="310"/>
      <c r="PS128" s="342">
        <v>114</v>
      </c>
      <c r="PT128" s="261" t="e">
        <f t="shared" si="163"/>
        <v>#N/A</v>
      </c>
      <c r="PU128" s="261" t="e">
        <f t="shared" si="164"/>
        <v>#N/A</v>
      </c>
      <c r="PV128" s="310"/>
      <c r="PW128" s="310"/>
      <c r="PX128" s="310"/>
      <c r="PY128" s="310"/>
      <c r="PZ128" s="310"/>
      <c r="QA128" s="310"/>
      <c r="QB128" s="310"/>
      <c r="QC128" s="310"/>
      <c r="QD128" s="310"/>
      <c r="QE128" s="310"/>
      <c r="QF128" s="310"/>
      <c r="QG128" s="310"/>
      <c r="QH128" s="310"/>
      <c r="QI128" s="310"/>
      <c r="QJ128" s="310"/>
      <c r="QK128" s="310"/>
      <c r="QL128" s="310"/>
      <c r="QM128" s="310"/>
      <c r="QN128" s="310"/>
      <c r="QO128" s="310"/>
      <c r="QP128" s="310"/>
      <c r="QQ128" s="310"/>
      <c r="QR128" s="310"/>
      <c r="QS128" s="310"/>
      <c r="QT128" s="310"/>
      <c r="QU128" s="310"/>
      <c r="QV128" s="310"/>
      <c r="QW128" s="310"/>
      <c r="QX128" s="310"/>
      <c r="QY128" s="310"/>
      <c r="QZ128" s="310"/>
      <c r="RA128" s="310"/>
      <c r="RB128" s="310"/>
      <c r="RC128" s="310"/>
      <c r="RD128" s="310"/>
      <c r="RE128" s="310"/>
      <c r="RF128" s="310"/>
      <c r="RG128" s="310"/>
      <c r="RH128" s="310"/>
      <c r="RI128" s="310"/>
      <c r="RJ128" s="310"/>
      <c r="RK128" s="310"/>
      <c r="RL128" s="310"/>
      <c r="RM128" s="310"/>
      <c r="RN128" s="310"/>
      <c r="RO128" s="310"/>
      <c r="RP128" s="310"/>
      <c r="RQ128" s="310"/>
      <c r="RR128" s="310"/>
      <c r="RS128" s="310"/>
      <c r="RT128" s="310"/>
      <c r="RU128" s="310"/>
      <c r="RV128" s="310"/>
      <c r="RW128" s="310"/>
      <c r="RX128" s="310"/>
      <c r="RY128" s="310"/>
      <c r="RZ128" s="310"/>
      <c r="SA128" s="310"/>
      <c r="SB128" s="310"/>
      <c r="SC128" s="310"/>
      <c r="SD128" s="310"/>
      <c r="SE128" s="310"/>
      <c r="SF128" s="310"/>
      <c r="SG128" s="310"/>
      <c r="SH128" s="310"/>
      <c r="SI128" s="310"/>
      <c r="SJ128" s="310"/>
      <c r="SK128" s="310"/>
      <c r="SL128" s="310"/>
      <c r="SM128" s="310"/>
      <c r="SN128" s="310"/>
      <c r="SO128" s="220"/>
      <c r="SP128" s="220"/>
      <c r="SQ128" s="220"/>
      <c r="SR128" s="220"/>
      <c r="SS128" s="220"/>
      <c r="ST128" s="220"/>
      <c r="SU128" s="220"/>
      <c r="SV128" s="220"/>
      <c r="SW128" s="220"/>
      <c r="SX128" s="220"/>
      <c r="SY128" s="220"/>
      <c r="SZ128" s="220"/>
      <c r="TA128" s="220"/>
      <c r="TB128" s="220"/>
      <c r="TC128" s="220"/>
      <c r="TD128" s="220"/>
      <c r="TE128" s="220"/>
      <c r="TF128" s="220"/>
      <c r="TG128" s="220"/>
      <c r="TH128" s="220"/>
      <c r="TI128" s="220"/>
      <c r="TJ128" s="220"/>
      <c r="TK128" s="220"/>
      <c r="TL128" s="220"/>
      <c r="TM128" s="220"/>
      <c r="TN128" s="220"/>
      <c r="TO128" s="220"/>
      <c r="TP128" s="220"/>
      <c r="TQ128" s="220"/>
      <c r="TR128" s="220"/>
      <c r="TS128" s="220"/>
      <c r="TT128" s="220"/>
      <c r="TU128" s="220"/>
      <c r="TV128" s="220"/>
      <c r="TW128" s="220"/>
      <c r="TX128" s="220"/>
      <c r="TY128" s="220"/>
      <c r="TZ128" s="220"/>
      <c r="UA128" s="220"/>
      <c r="UB128" s="220"/>
      <c r="UC128" s="220"/>
      <c r="UD128" s="220"/>
      <c r="UE128" s="220"/>
      <c r="UF128" s="220"/>
      <c r="UG128" s="220"/>
      <c r="UH128" s="220"/>
      <c r="UI128" s="220"/>
      <c r="UJ128" s="220"/>
      <c r="UK128" s="216"/>
      <c r="UL128" s="216"/>
      <c r="UM128" s="216"/>
      <c r="UN128" s="216"/>
      <c r="UO128" s="216"/>
      <c r="UP128" s="216"/>
      <c r="UQ128" s="216"/>
      <c r="UR128" s="216"/>
      <c r="US128" s="216"/>
      <c r="UT128" s="216"/>
      <c r="UU128" s="216"/>
      <c r="UV128" s="216"/>
      <c r="UW128" s="216"/>
      <c r="UX128" s="216"/>
      <c r="UY128" s="216"/>
      <c r="UZ128" s="216"/>
      <c r="VA128" s="216"/>
    </row>
    <row r="129" spans="1:574" s="4" customFormat="1" x14ac:dyDescent="0.5">
      <c r="AP129" s="310"/>
      <c r="AQ129" s="310"/>
      <c r="AR129" s="310"/>
      <c r="AS129" s="310"/>
      <c r="AT129" s="310"/>
      <c r="AU129" s="310"/>
      <c r="AV129" s="310"/>
      <c r="AW129" s="310"/>
      <c r="AX129" s="310"/>
      <c r="AY129" s="310"/>
      <c r="AZ129" s="310"/>
      <c r="BA129" s="310"/>
      <c r="BB129" s="310"/>
      <c r="BC129" s="310"/>
      <c r="BD129" s="310"/>
      <c r="BE129" s="310"/>
      <c r="BF129" s="310"/>
      <c r="BG129" s="310"/>
      <c r="BH129" s="310"/>
      <c r="BI129" s="310"/>
      <c r="BJ129" s="310"/>
      <c r="BK129" s="310"/>
      <c r="BL129" s="310"/>
      <c r="BM129" s="310"/>
      <c r="BN129" s="310"/>
      <c r="BO129" s="310"/>
      <c r="BP129" s="310"/>
      <c r="BQ129" s="310"/>
      <c r="BR129" s="310"/>
      <c r="BS129" s="310"/>
      <c r="BT129" s="310"/>
      <c r="BU129" s="310"/>
      <c r="BV129" s="310"/>
      <c r="BW129" s="310"/>
      <c r="BX129" s="310"/>
      <c r="BY129" s="310"/>
      <c r="BZ129" s="310"/>
      <c r="CA129" s="310"/>
      <c r="CB129" s="310"/>
      <c r="CC129" s="310"/>
      <c r="CD129" s="310"/>
      <c r="CE129" s="310"/>
      <c r="CF129" s="310"/>
      <c r="CG129" s="310"/>
      <c r="CH129" s="310"/>
      <c r="CI129" s="310"/>
      <c r="CJ129" s="310"/>
      <c r="CK129" s="310"/>
      <c r="CL129" s="310"/>
      <c r="CM129" s="310"/>
      <c r="CN129" s="310"/>
      <c r="CO129" s="310"/>
      <c r="CP129" s="310"/>
      <c r="CQ129" s="310"/>
      <c r="CR129" s="310"/>
      <c r="CS129" s="310"/>
      <c r="CT129" s="310"/>
      <c r="CU129" s="310"/>
      <c r="CV129" s="310"/>
      <c r="CW129" s="310"/>
      <c r="CX129" s="310"/>
      <c r="CY129" s="310"/>
      <c r="CZ129" s="310"/>
      <c r="DA129" s="310"/>
      <c r="DB129" s="310"/>
      <c r="DC129" s="310"/>
      <c r="DD129" s="310"/>
      <c r="DE129" s="310"/>
      <c r="DF129" s="310"/>
      <c r="DG129" s="310"/>
      <c r="DH129" s="310"/>
      <c r="DI129" s="310"/>
      <c r="DJ129" s="310"/>
      <c r="DK129" s="310"/>
      <c r="DL129" s="310"/>
      <c r="DM129" s="310"/>
      <c r="DN129" s="310"/>
      <c r="DO129" s="310"/>
      <c r="DP129" s="310"/>
      <c r="DQ129" s="310"/>
      <c r="DR129" s="310"/>
      <c r="DS129" s="310"/>
      <c r="DT129" s="310"/>
      <c r="DU129" s="310"/>
      <c r="DV129" s="310"/>
      <c r="DW129" s="310"/>
      <c r="DX129" s="310"/>
      <c r="DY129" s="310"/>
      <c r="DZ129" s="310"/>
      <c r="EA129" s="310"/>
      <c r="EB129" s="310"/>
      <c r="EC129" s="310"/>
      <c r="ED129" s="310"/>
      <c r="EE129" s="310"/>
      <c r="EF129" s="310"/>
      <c r="EG129" s="310"/>
      <c r="EH129" s="310"/>
      <c r="EI129" s="310"/>
      <c r="EJ129" s="310"/>
      <c r="EK129" s="310"/>
      <c r="EL129" s="310"/>
      <c r="EM129" s="310"/>
      <c r="EN129" s="280" t="e">
        <v>#N/A</v>
      </c>
      <c r="EO129" s="280" t="e">
        <v>#N/A</v>
      </c>
      <c r="EP129" s="310"/>
      <c r="EQ129" s="310"/>
      <c r="ER129" s="310"/>
      <c r="ES129" s="310"/>
      <c r="ET129" s="310"/>
      <c r="EU129" s="310"/>
      <c r="EV129" s="310"/>
      <c r="EW129" s="310"/>
      <c r="EX129" s="310"/>
      <c r="EY129" s="310"/>
      <c r="EZ129" s="310"/>
      <c r="FA129" s="310"/>
      <c r="FB129" s="310"/>
      <c r="FC129" s="310"/>
      <c r="FD129" s="310"/>
      <c r="FE129" s="310"/>
      <c r="FF129" s="310"/>
      <c r="FG129" s="310"/>
      <c r="FH129" s="310"/>
      <c r="FI129" s="310"/>
      <c r="FJ129" s="310"/>
      <c r="FK129" s="310"/>
      <c r="FL129" s="311"/>
      <c r="FM129" s="311"/>
      <c r="FN129" s="311"/>
      <c r="FO129" s="311"/>
      <c r="FP129" s="311"/>
      <c r="FQ129" s="311"/>
      <c r="FR129" s="311"/>
      <c r="FS129" s="311"/>
      <c r="FT129" s="311"/>
      <c r="FU129" s="311"/>
      <c r="FV129" s="311"/>
      <c r="FW129" s="311"/>
      <c r="FX129" s="311"/>
      <c r="FY129" s="311"/>
      <c r="FZ129" s="311"/>
      <c r="GA129" s="311"/>
      <c r="GB129" s="310"/>
      <c r="GC129" s="310"/>
      <c r="GD129" s="310"/>
      <c r="GE129" s="310"/>
      <c r="GF129" s="310"/>
      <c r="GG129" s="310"/>
      <c r="GH129" s="310"/>
      <c r="GI129" s="310"/>
      <c r="GJ129" s="310"/>
      <c r="GK129" s="310"/>
      <c r="GL129" s="310"/>
      <c r="GM129" s="310"/>
      <c r="GN129" s="310"/>
      <c r="GO129" s="310"/>
      <c r="GP129" s="310"/>
      <c r="GQ129" s="310"/>
      <c r="GR129" s="310"/>
      <c r="GS129" s="310"/>
      <c r="GT129" s="310"/>
      <c r="GU129" s="310"/>
      <c r="GV129" s="310"/>
      <c r="GW129" s="310"/>
      <c r="GX129" s="310"/>
      <c r="GY129" s="310"/>
      <c r="GZ129" s="310"/>
      <c r="HA129" s="310"/>
      <c r="HB129" s="310"/>
      <c r="HC129" s="310"/>
      <c r="HD129" s="310"/>
      <c r="HE129" s="310"/>
      <c r="HF129" s="310"/>
      <c r="HG129" s="310"/>
      <c r="HH129" s="310"/>
      <c r="HI129" s="310"/>
      <c r="HJ129" s="310"/>
      <c r="HK129" s="342">
        <v>115</v>
      </c>
      <c r="HL129" s="235" t="e">
        <f t="shared" si="139"/>
        <v>#N/A</v>
      </c>
      <c r="HM129" s="235" t="e">
        <f t="shared" si="140"/>
        <v>#N/A</v>
      </c>
      <c r="HN129" s="310"/>
      <c r="HO129" s="310"/>
      <c r="HP129" s="235" t="e">
        <f t="shared" si="141"/>
        <v>#N/A</v>
      </c>
      <c r="HQ129" s="235" t="e">
        <f t="shared" si="142"/>
        <v>#N/A</v>
      </c>
      <c r="HR129" s="310"/>
      <c r="HS129" s="310"/>
      <c r="HT129" s="235" t="e">
        <f t="shared" si="143"/>
        <v>#N/A</v>
      </c>
      <c r="HU129" s="235" t="e">
        <f t="shared" si="144"/>
        <v>#N/A</v>
      </c>
      <c r="HV129" s="310"/>
      <c r="HW129" s="310"/>
      <c r="HX129" s="235" t="e">
        <f t="shared" si="145"/>
        <v>#N/A</v>
      </c>
      <c r="HY129" s="235" t="e">
        <f t="shared" si="146"/>
        <v>#N/A</v>
      </c>
      <c r="HZ129" s="310"/>
      <c r="IA129" s="310"/>
      <c r="IB129" s="235" t="e">
        <f t="shared" si="147"/>
        <v>#N/A</v>
      </c>
      <c r="IC129" s="235" t="e">
        <f t="shared" si="148"/>
        <v>#N/A</v>
      </c>
      <c r="ID129" s="310"/>
      <c r="IE129" s="342">
        <v>115</v>
      </c>
      <c r="IF129" s="262" t="e">
        <f t="shared" si="149"/>
        <v>#N/A</v>
      </c>
      <c r="IG129" s="262" t="e">
        <f t="shared" si="150"/>
        <v>#N/A</v>
      </c>
      <c r="IH129" s="390"/>
      <c r="II129" s="390"/>
      <c r="IJ129" s="262" t="e">
        <f t="shared" si="151"/>
        <v>#N/A</v>
      </c>
      <c r="IK129" s="262" t="e">
        <f t="shared" si="152"/>
        <v>#N/A</v>
      </c>
      <c r="IL129" s="390"/>
      <c r="IM129" s="390"/>
      <c r="IN129" s="262" t="e">
        <f t="shared" si="153"/>
        <v>#N/A</v>
      </c>
      <c r="IO129" s="262" t="e">
        <f t="shared" si="154"/>
        <v>#N/A</v>
      </c>
      <c r="IP129" s="390"/>
      <c r="IQ129" s="390"/>
      <c r="IR129" s="262" t="e">
        <f t="shared" si="155"/>
        <v>#N/A</v>
      </c>
      <c r="IS129" s="262" t="e">
        <f t="shared" si="156"/>
        <v>#N/A</v>
      </c>
      <c r="IT129" s="390"/>
      <c r="IU129" s="390"/>
      <c r="IV129" s="262" t="e">
        <f t="shared" si="157"/>
        <v>#N/A</v>
      </c>
      <c r="IW129" s="262" t="e">
        <f t="shared" si="158"/>
        <v>#N/A</v>
      </c>
      <c r="IX129" s="310"/>
      <c r="IY129" s="310"/>
      <c r="IZ129" s="310"/>
      <c r="JA129" s="310"/>
      <c r="JB129" s="313" t="s">
        <v>372</v>
      </c>
      <c r="JC129" s="228">
        <f>JC128</f>
        <v>-0.5</v>
      </c>
      <c r="JD129" s="228">
        <f>JA124-($IZ$108/2)+$IZ$114</f>
        <v>0.51500000000000001</v>
      </c>
      <c r="JE129" s="310"/>
      <c r="JF129" s="310"/>
      <c r="JG129" s="310"/>
      <c r="JH129" s="310"/>
      <c r="JI129" s="313" t="s">
        <v>372</v>
      </c>
      <c r="JJ129" s="242">
        <f>JJ128</f>
        <v>-0.5</v>
      </c>
      <c r="JK129" s="242">
        <f>JH124-($IZ$108/2)+$IZ$114</f>
        <v>0.51500000000000001</v>
      </c>
      <c r="JL129" s="310"/>
      <c r="JM129" s="310"/>
      <c r="JN129" s="261" t="e">
        <f t="shared" si="159"/>
        <v>#N/A</v>
      </c>
      <c r="JO129" s="261" t="e">
        <f t="shared" si="160"/>
        <v>#N/A</v>
      </c>
      <c r="JP129" s="310"/>
      <c r="JQ129" s="310"/>
      <c r="JR129" s="261" t="e">
        <f t="shared" si="165"/>
        <v>#N/A</v>
      </c>
      <c r="JS129" s="261" t="e">
        <f t="shared" si="166"/>
        <v>#N/A</v>
      </c>
      <c r="JT129" s="310"/>
      <c r="JU129" s="310"/>
      <c r="JV129" s="261" t="e">
        <f t="shared" si="161"/>
        <v>#N/A</v>
      </c>
      <c r="JW129" s="261" t="e">
        <f t="shared" si="162"/>
        <v>#N/A</v>
      </c>
      <c r="JX129" s="310"/>
      <c r="JY129" s="310"/>
      <c r="JZ129" s="310"/>
      <c r="KA129" s="310"/>
      <c r="KB129" s="310"/>
      <c r="KC129" s="310"/>
      <c r="KD129" s="310"/>
      <c r="KE129" s="310"/>
      <c r="KF129" s="310"/>
      <c r="KG129" s="310"/>
      <c r="KH129" s="310"/>
      <c r="KI129" s="310"/>
      <c r="KJ129" s="310"/>
      <c r="KK129" s="310"/>
      <c r="KL129" s="310"/>
      <c r="KM129" s="310"/>
      <c r="KN129" s="310"/>
      <c r="KO129" s="310"/>
      <c r="KP129" s="310"/>
      <c r="KQ129" s="310"/>
      <c r="KR129" s="310"/>
      <c r="KS129" s="310"/>
      <c r="KT129" s="310"/>
      <c r="KU129" s="310"/>
      <c r="KV129" s="310"/>
      <c r="KW129" s="310"/>
      <c r="KX129" s="310"/>
      <c r="KY129" s="310"/>
      <c r="KZ129" s="310"/>
      <c r="LA129" s="310"/>
      <c r="LB129" s="310"/>
      <c r="LC129" s="310"/>
      <c r="LD129" s="310"/>
      <c r="LE129" s="310"/>
      <c r="LF129" s="310"/>
      <c r="LG129" s="310"/>
      <c r="LH129" s="310"/>
      <c r="LI129" s="310"/>
      <c r="LJ129" s="310"/>
      <c r="LK129" s="310"/>
      <c r="LL129" s="310"/>
      <c r="LM129" s="310"/>
      <c r="LN129" s="310"/>
      <c r="LO129" s="310"/>
      <c r="LP129" s="310"/>
      <c r="LQ129" s="310"/>
      <c r="LR129" s="310"/>
      <c r="LS129" s="310"/>
      <c r="LT129" s="310"/>
      <c r="LU129" s="310"/>
      <c r="LV129" s="310"/>
      <c r="LW129" s="310"/>
      <c r="LX129" s="310"/>
      <c r="LY129" s="310"/>
      <c r="LZ129" s="310"/>
      <c r="MA129" s="310"/>
      <c r="MB129" s="310"/>
      <c r="MC129" s="310"/>
      <c r="MD129" s="310"/>
      <c r="ME129" s="310"/>
      <c r="MF129" s="310"/>
      <c r="MG129" s="310"/>
      <c r="MH129" s="310"/>
      <c r="MI129" s="310"/>
      <c r="MJ129" s="310"/>
      <c r="MK129" s="310"/>
      <c r="ML129" s="310"/>
      <c r="MM129" s="310"/>
      <c r="MN129" s="310"/>
      <c r="MO129" s="310"/>
      <c r="MP129" s="310"/>
      <c r="MQ129" s="310"/>
      <c r="MR129" s="310"/>
      <c r="MS129" s="310"/>
      <c r="MT129" s="310"/>
      <c r="MU129" s="310"/>
      <c r="MV129" s="310"/>
      <c r="MW129" s="310"/>
      <c r="MX129" s="310"/>
      <c r="MY129" s="310"/>
      <c r="MZ129" s="310"/>
      <c r="NA129" s="310"/>
      <c r="NB129" s="310"/>
      <c r="NC129" s="310"/>
      <c r="ND129" s="310"/>
      <c r="NE129" s="310"/>
      <c r="NF129" s="310"/>
      <c r="NG129" s="310"/>
      <c r="NH129" s="310"/>
      <c r="NI129" s="310"/>
      <c r="NJ129" s="310"/>
      <c r="NK129" s="310"/>
      <c r="NL129" s="310"/>
      <c r="NM129" s="310"/>
      <c r="NN129" s="310"/>
      <c r="NO129" s="310"/>
      <c r="NP129" s="310"/>
      <c r="NQ129" s="310"/>
      <c r="NR129" s="310"/>
      <c r="NS129" s="310"/>
      <c r="NT129" s="310"/>
      <c r="NU129" s="310"/>
      <c r="NV129" s="310"/>
      <c r="NW129" s="310"/>
      <c r="NX129" s="310"/>
      <c r="NY129" s="310"/>
      <c r="NZ129" s="310"/>
      <c r="OA129" s="310"/>
      <c r="OB129" s="310"/>
      <c r="OC129" s="310"/>
      <c r="OD129" s="310"/>
      <c r="OE129" s="310"/>
      <c r="OF129" s="310"/>
      <c r="OG129" s="310"/>
      <c r="OH129" s="310"/>
      <c r="OI129" s="310"/>
      <c r="OJ129" s="310"/>
      <c r="OK129" s="310"/>
      <c r="OL129" s="310"/>
      <c r="OM129" s="310"/>
      <c r="ON129" s="310"/>
      <c r="OO129" s="310"/>
      <c r="OP129" s="310"/>
      <c r="OQ129" s="310"/>
      <c r="OR129" s="310"/>
      <c r="OS129" s="310"/>
      <c r="OT129" s="310"/>
      <c r="OU129" s="310"/>
      <c r="OV129" s="310"/>
      <c r="OW129" s="310"/>
      <c r="OX129" s="310"/>
      <c r="OY129" s="310"/>
      <c r="OZ129" s="310"/>
      <c r="PA129" s="310"/>
      <c r="PB129" s="310"/>
      <c r="PC129" s="310"/>
      <c r="PD129" s="310"/>
      <c r="PE129" s="310"/>
      <c r="PF129" s="310"/>
      <c r="PG129" s="310"/>
      <c r="PH129" s="310"/>
      <c r="PI129" s="310"/>
      <c r="PJ129" s="310"/>
      <c r="PK129" s="310"/>
      <c r="PL129" s="310"/>
      <c r="PM129" s="310"/>
      <c r="PN129" s="310"/>
      <c r="PO129" s="310"/>
      <c r="PP129" s="310"/>
      <c r="PQ129" s="310"/>
      <c r="PR129" s="310"/>
      <c r="PS129" s="342">
        <v>115</v>
      </c>
      <c r="PT129" s="261" t="e">
        <f t="shared" si="163"/>
        <v>#N/A</v>
      </c>
      <c r="PU129" s="261" t="e">
        <f t="shared" si="164"/>
        <v>#N/A</v>
      </c>
      <c r="PV129" s="310"/>
      <c r="PW129" s="310"/>
      <c r="PX129" s="310"/>
      <c r="PY129" s="310"/>
      <c r="PZ129" s="310"/>
      <c r="QA129" s="310"/>
      <c r="QB129" s="310"/>
      <c r="QC129" s="310"/>
      <c r="QD129" s="310"/>
      <c r="QE129" s="310"/>
      <c r="QF129" s="310"/>
      <c r="QG129" s="310"/>
      <c r="QH129" s="310"/>
      <c r="QI129" s="310"/>
      <c r="QJ129" s="310"/>
      <c r="QK129" s="310"/>
      <c r="QL129" s="310"/>
      <c r="QM129" s="310"/>
      <c r="QN129" s="310"/>
      <c r="QO129" s="310"/>
      <c r="QP129" s="310"/>
      <c r="QQ129" s="310"/>
      <c r="QR129" s="310"/>
      <c r="QS129" s="310"/>
      <c r="QT129" s="310"/>
      <c r="QU129" s="310"/>
      <c r="QV129" s="310"/>
      <c r="QW129" s="310"/>
      <c r="QX129" s="310"/>
      <c r="QY129" s="310"/>
      <c r="QZ129" s="310"/>
      <c r="RA129" s="310"/>
      <c r="RB129" s="310"/>
      <c r="RC129" s="310"/>
      <c r="RD129" s="310"/>
      <c r="RE129" s="310"/>
      <c r="RF129" s="310"/>
      <c r="RG129" s="310"/>
      <c r="RH129" s="310"/>
      <c r="RI129" s="310"/>
      <c r="RJ129" s="310"/>
      <c r="RK129" s="310"/>
      <c r="RL129" s="310"/>
      <c r="RM129" s="310"/>
      <c r="RN129" s="310"/>
      <c r="RO129" s="310"/>
      <c r="RP129" s="310"/>
      <c r="RQ129" s="310"/>
      <c r="RR129" s="310"/>
      <c r="RS129" s="310"/>
      <c r="RT129" s="310"/>
      <c r="RU129" s="310"/>
      <c r="RV129" s="310"/>
      <c r="RW129" s="310"/>
      <c r="RX129" s="310"/>
      <c r="RY129" s="310"/>
      <c r="RZ129" s="310"/>
      <c r="SA129" s="310"/>
      <c r="SB129" s="310"/>
      <c r="SC129" s="310"/>
      <c r="SD129" s="310"/>
      <c r="SE129" s="310"/>
      <c r="SF129" s="310"/>
      <c r="SG129" s="310"/>
      <c r="SH129" s="310"/>
      <c r="SI129" s="310"/>
      <c r="SJ129" s="310"/>
      <c r="SK129" s="310"/>
      <c r="SL129" s="310"/>
      <c r="SM129" s="310"/>
      <c r="SN129" s="310"/>
      <c r="SO129" s="220"/>
      <c r="SP129" s="220"/>
      <c r="SQ129" s="220"/>
      <c r="SR129" s="220"/>
      <c r="SS129" s="220"/>
      <c r="ST129" s="220"/>
      <c r="SU129" s="220"/>
      <c r="SV129" s="220"/>
      <c r="SW129" s="220"/>
      <c r="SX129" s="220"/>
      <c r="SY129" s="220"/>
      <c r="SZ129" s="220"/>
      <c r="TA129" s="220"/>
      <c r="TB129" s="220"/>
      <c r="TC129" s="220"/>
      <c r="TD129" s="220"/>
      <c r="TE129" s="220"/>
      <c r="TF129" s="220"/>
      <c r="TG129" s="220"/>
      <c r="TH129" s="220"/>
      <c r="TI129" s="220"/>
      <c r="TJ129" s="220"/>
      <c r="TK129" s="220"/>
      <c r="TL129" s="220"/>
      <c r="TM129" s="220"/>
      <c r="TN129" s="220"/>
      <c r="TO129" s="220"/>
      <c r="TP129" s="220"/>
      <c r="TQ129" s="220"/>
      <c r="TR129" s="220"/>
      <c r="TS129" s="220"/>
      <c r="TT129" s="220"/>
      <c r="TU129" s="220"/>
      <c r="TV129" s="220"/>
      <c r="TW129" s="220"/>
      <c r="TX129" s="220"/>
      <c r="TY129" s="220"/>
      <c r="TZ129" s="220"/>
      <c r="UA129" s="220"/>
      <c r="UB129" s="220"/>
      <c r="UC129" s="220"/>
      <c r="UD129" s="220"/>
      <c r="UE129" s="220"/>
      <c r="UF129" s="220"/>
      <c r="UG129" s="220"/>
      <c r="UH129" s="220"/>
      <c r="UI129" s="220"/>
      <c r="UJ129" s="220"/>
      <c r="UK129" s="216"/>
      <c r="UL129" s="216"/>
      <c r="UM129" s="216"/>
      <c r="UN129" s="216"/>
      <c r="UO129" s="216"/>
      <c r="UP129" s="216"/>
      <c r="UQ129" s="216"/>
      <c r="UR129" s="216"/>
      <c r="US129" s="216"/>
      <c r="UT129" s="216"/>
      <c r="UU129" s="216"/>
      <c r="UV129" s="216"/>
      <c r="UW129" s="216"/>
      <c r="UX129" s="216"/>
      <c r="UY129" s="216"/>
      <c r="UZ129" s="216"/>
      <c r="VA129" s="216"/>
    </row>
    <row r="130" spans="1:574" s="4" customFormat="1" x14ac:dyDescent="0.5">
      <c r="AP130" s="310"/>
      <c r="AQ130" s="310"/>
      <c r="AR130" s="310"/>
      <c r="AS130" s="310"/>
      <c r="AT130" s="310"/>
      <c r="AU130" s="310"/>
      <c r="AV130" s="310"/>
      <c r="AW130" s="310"/>
      <c r="AX130" s="310"/>
      <c r="AY130" s="310"/>
      <c r="AZ130" s="310"/>
      <c r="BA130" s="310"/>
      <c r="BB130" s="310"/>
      <c r="BC130" s="310"/>
      <c r="BD130" s="310"/>
      <c r="BE130" s="310"/>
      <c r="BF130" s="310"/>
      <c r="BG130" s="310"/>
      <c r="BH130" s="310"/>
      <c r="BI130" s="310"/>
      <c r="BJ130" s="310"/>
      <c r="BK130" s="310"/>
      <c r="BL130" s="310"/>
      <c r="BM130" s="310"/>
      <c r="BN130" s="310"/>
      <c r="BO130" s="310"/>
      <c r="BP130" s="310"/>
      <c r="BQ130" s="310"/>
      <c r="BR130" s="310"/>
      <c r="BS130" s="310"/>
      <c r="BT130" s="310"/>
      <c r="BU130" s="310"/>
      <c r="BV130" s="310"/>
      <c r="BW130" s="310"/>
      <c r="BX130" s="310"/>
      <c r="BY130" s="310"/>
      <c r="BZ130" s="310"/>
      <c r="CA130" s="310"/>
      <c r="CB130" s="310"/>
      <c r="CC130" s="310"/>
      <c r="CD130" s="310"/>
      <c r="CE130" s="310"/>
      <c r="CF130" s="310"/>
      <c r="CG130" s="310"/>
      <c r="CH130" s="310"/>
      <c r="CI130" s="310"/>
      <c r="CJ130" s="310"/>
      <c r="CK130" s="310"/>
      <c r="CL130" s="310"/>
      <c r="CM130" s="310"/>
      <c r="CN130" s="310"/>
      <c r="CO130" s="310"/>
      <c r="CP130" s="310"/>
      <c r="CQ130" s="310"/>
      <c r="CR130" s="310"/>
      <c r="CS130" s="310"/>
      <c r="CT130" s="310"/>
      <c r="CU130" s="310"/>
      <c r="CV130" s="310"/>
      <c r="CW130" s="310"/>
      <c r="CX130" s="310"/>
      <c r="CY130" s="310"/>
      <c r="CZ130" s="310"/>
      <c r="DA130" s="310"/>
      <c r="DB130" s="310"/>
      <c r="DC130" s="310"/>
      <c r="DD130" s="310"/>
      <c r="DE130" s="310"/>
      <c r="DF130" s="310"/>
      <c r="DG130" s="310"/>
      <c r="DH130" s="310"/>
      <c r="DI130" s="310"/>
      <c r="DJ130" s="310"/>
      <c r="DK130" s="310"/>
      <c r="DL130" s="310"/>
      <c r="DM130" s="310"/>
      <c r="DN130" s="310"/>
      <c r="DO130" s="310"/>
      <c r="DP130" s="310"/>
      <c r="DQ130" s="310"/>
      <c r="DR130" s="310"/>
      <c r="DS130" s="310"/>
      <c r="DT130" s="310"/>
      <c r="DU130" s="310"/>
      <c r="DV130" s="310"/>
      <c r="DW130" s="310"/>
      <c r="DX130" s="310"/>
      <c r="DY130" s="310"/>
      <c r="DZ130" s="310"/>
      <c r="EA130" s="310"/>
      <c r="EB130" s="310"/>
      <c r="EC130" s="310"/>
      <c r="ED130" s="310"/>
      <c r="EE130" s="310"/>
      <c r="EF130" s="310"/>
      <c r="EG130" s="310"/>
      <c r="EH130" s="310"/>
      <c r="EI130" s="310"/>
      <c r="EJ130" s="310"/>
      <c r="EK130" s="310"/>
      <c r="EL130" s="310">
        <v>3</v>
      </c>
      <c r="EM130" s="310" t="b">
        <f>IF($D$63&gt;=EL130,TRUE,FALSE)</f>
        <v>0</v>
      </c>
      <c r="EN130" s="280" t="e">
        <f>IF(EM130=TRUE,EN127,#N/A)</f>
        <v>#N/A</v>
      </c>
      <c r="EO130" s="280" t="e">
        <f>IF(EM130=TRUE,EO127-$EM$123,#N/A)</f>
        <v>#N/A</v>
      </c>
      <c r="EP130" s="310"/>
      <c r="EQ130" s="310"/>
      <c r="ER130" s="310"/>
      <c r="ES130" s="310"/>
      <c r="ET130" s="310"/>
      <c r="EU130" s="310"/>
      <c r="EV130" s="310"/>
      <c r="EW130" s="310"/>
      <c r="EX130" s="310"/>
      <c r="EY130" s="310"/>
      <c r="EZ130" s="310"/>
      <c r="FA130" s="310"/>
      <c r="FB130" s="310"/>
      <c r="FC130" s="310"/>
      <c r="FD130" s="310"/>
      <c r="FE130" s="310"/>
      <c r="FF130" s="310"/>
      <c r="FG130" s="310"/>
      <c r="FH130" s="310"/>
      <c r="FI130" s="310"/>
      <c r="FJ130" s="310"/>
      <c r="FK130" s="310"/>
      <c r="FL130" s="311"/>
      <c r="FM130" s="311"/>
      <c r="FN130" s="311"/>
      <c r="FO130" s="311"/>
      <c r="FP130" s="311"/>
      <c r="FQ130" s="311"/>
      <c r="FR130" s="311"/>
      <c r="FS130" s="311"/>
      <c r="FT130" s="311"/>
      <c r="FU130" s="311"/>
      <c r="FV130" s="311"/>
      <c r="FW130" s="311"/>
      <c r="FX130" s="311"/>
      <c r="FY130" s="311"/>
      <c r="FZ130" s="311"/>
      <c r="GA130" s="311"/>
      <c r="GB130" s="310"/>
      <c r="GC130" s="310"/>
      <c r="GD130" s="310"/>
      <c r="GE130" s="310"/>
      <c r="GF130" s="310"/>
      <c r="GG130" s="310"/>
      <c r="GH130" s="310"/>
      <c r="GI130" s="310"/>
      <c r="GJ130" s="310"/>
      <c r="GK130" s="310"/>
      <c r="GL130" s="310"/>
      <c r="GM130" s="310"/>
      <c r="GN130" s="310"/>
      <c r="GO130" s="310"/>
      <c r="GP130" s="310"/>
      <c r="GQ130" s="310"/>
      <c r="GR130" s="310"/>
      <c r="GS130" s="310"/>
      <c r="GT130" s="310"/>
      <c r="GU130" s="310"/>
      <c r="GV130" s="310"/>
      <c r="GW130" s="310"/>
      <c r="GX130" s="310"/>
      <c r="GY130" s="310"/>
      <c r="GZ130" s="310"/>
      <c r="HA130" s="310"/>
      <c r="HB130" s="310"/>
      <c r="HC130" s="310"/>
      <c r="HD130" s="310"/>
      <c r="HE130" s="310"/>
      <c r="HF130" s="310"/>
      <c r="HG130" s="310"/>
      <c r="HH130" s="310"/>
      <c r="HI130" s="310"/>
      <c r="HJ130" s="310"/>
      <c r="HK130" s="342">
        <v>116</v>
      </c>
      <c r="HL130" s="235" t="e">
        <f t="shared" si="139"/>
        <v>#N/A</v>
      </c>
      <c r="HM130" s="235" t="e">
        <f t="shared" si="140"/>
        <v>#N/A</v>
      </c>
      <c r="HN130" s="310"/>
      <c r="HO130" s="310"/>
      <c r="HP130" s="235" t="e">
        <f t="shared" si="141"/>
        <v>#N/A</v>
      </c>
      <c r="HQ130" s="235" t="e">
        <f t="shared" si="142"/>
        <v>#N/A</v>
      </c>
      <c r="HR130" s="310"/>
      <c r="HS130" s="310"/>
      <c r="HT130" s="235" t="e">
        <f t="shared" si="143"/>
        <v>#N/A</v>
      </c>
      <c r="HU130" s="235" t="e">
        <f t="shared" si="144"/>
        <v>#N/A</v>
      </c>
      <c r="HV130" s="310"/>
      <c r="HW130" s="310"/>
      <c r="HX130" s="235" t="e">
        <f t="shared" si="145"/>
        <v>#N/A</v>
      </c>
      <c r="HY130" s="235" t="e">
        <f t="shared" si="146"/>
        <v>#N/A</v>
      </c>
      <c r="HZ130" s="310"/>
      <c r="IA130" s="310"/>
      <c r="IB130" s="235" t="e">
        <f t="shared" si="147"/>
        <v>#N/A</v>
      </c>
      <c r="IC130" s="235" t="e">
        <f t="shared" si="148"/>
        <v>#N/A</v>
      </c>
      <c r="ID130" s="310"/>
      <c r="IE130" s="342">
        <v>116</v>
      </c>
      <c r="IF130" s="262" t="e">
        <f t="shared" si="149"/>
        <v>#N/A</v>
      </c>
      <c r="IG130" s="262" t="e">
        <f t="shared" si="150"/>
        <v>#N/A</v>
      </c>
      <c r="IH130" s="390"/>
      <c r="II130" s="390"/>
      <c r="IJ130" s="262" t="e">
        <f t="shared" si="151"/>
        <v>#N/A</v>
      </c>
      <c r="IK130" s="262" t="e">
        <f t="shared" si="152"/>
        <v>#N/A</v>
      </c>
      <c r="IL130" s="390"/>
      <c r="IM130" s="390"/>
      <c r="IN130" s="262" t="e">
        <f t="shared" si="153"/>
        <v>#N/A</v>
      </c>
      <c r="IO130" s="262" t="e">
        <f t="shared" si="154"/>
        <v>#N/A</v>
      </c>
      <c r="IP130" s="390"/>
      <c r="IQ130" s="390"/>
      <c r="IR130" s="262" t="e">
        <f t="shared" si="155"/>
        <v>#N/A</v>
      </c>
      <c r="IS130" s="262" t="e">
        <f t="shared" si="156"/>
        <v>#N/A</v>
      </c>
      <c r="IT130" s="390"/>
      <c r="IU130" s="390"/>
      <c r="IV130" s="262" t="e">
        <f t="shared" si="157"/>
        <v>#N/A</v>
      </c>
      <c r="IW130" s="262" t="e">
        <f t="shared" si="158"/>
        <v>#N/A</v>
      </c>
      <c r="IX130" s="310"/>
      <c r="IY130" s="310"/>
      <c r="IZ130" s="310"/>
      <c r="JA130" s="310"/>
      <c r="JB130" s="313" t="s">
        <v>373</v>
      </c>
      <c r="JC130" s="228">
        <f>JC123</f>
        <v>-0.51500000000000001</v>
      </c>
      <c r="JD130" s="228">
        <f>JA124-$IZ$108/2</f>
        <v>0.5</v>
      </c>
      <c r="JE130" s="310"/>
      <c r="JF130" s="310"/>
      <c r="JG130" s="310"/>
      <c r="JH130" s="310"/>
      <c r="JI130" s="313" t="s">
        <v>373</v>
      </c>
      <c r="JJ130" s="242">
        <f>JJ123</f>
        <v>-0.51500000000000001</v>
      </c>
      <c r="JK130" s="242">
        <f>JH124-$IZ$108/2</f>
        <v>0.5</v>
      </c>
      <c r="JL130" s="310"/>
      <c r="JM130" s="310"/>
      <c r="JN130" s="261" t="e">
        <f t="shared" si="159"/>
        <v>#N/A</v>
      </c>
      <c r="JO130" s="261" t="e">
        <f t="shared" si="160"/>
        <v>#N/A</v>
      </c>
      <c r="JP130" s="310"/>
      <c r="JQ130" s="310"/>
      <c r="JR130" s="261" t="e">
        <f t="shared" si="165"/>
        <v>#N/A</v>
      </c>
      <c r="JS130" s="261" t="e">
        <f t="shared" si="166"/>
        <v>#N/A</v>
      </c>
      <c r="JT130" s="310"/>
      <c r="JU130" s="310"/>
      <c r="JV130" s="261" t="e">
        <f t="shared" si="161"/>
        <v>#N/A</v>
      </c>
      <c r="JW130" s="261" t="e">
        <f t="shared" si="162"/>
        <v>#N/A</v>
      </c>
      <c r="JX130" s="310"/>
      <c r="JY130" s="310"/>
      <c r="JZ130" s="310"/>
      <c r="KA130" s="310"/>
      <c r="KB130" s="310"/>
      <c r="KC130" s="310"/>
      <c r="KD130" s="310"/>
      <c r="KE130" s="310"/>
      <c r="KF130" s="310"/>
      <c r="KG130" s="310"/>
      <c r="KH130" s="310"/>
      <c r="KI130" s="310"/>
      <c r="KJ130" s="310"/>
      <c r="KK130" s="310"/>
      <c r="KL130" s="310"/>
      <c r="KM130" s="310"/>
      <c r="KN130" s="310"/>
      <c r="KO130" s="310"/>
      <c r="KP130" s="310"/>
      <c r="KQ130" s="310"/>
      <c r="KR130" s="310"/>
      <c r="KS130" s="310"/>
      <c r="KT130" s="310"/>
      <c r="KU130" s="310"/>
      <c r="KV130" s="310"/>
      <c r="KW130" s="310"/>
      <c r="KX130" s="310"/>
      <c r="KY130" s="310"/>
      <c r="KZ130" s="310"/>
      <c r="LA130" s="310"/>
      <c r="LB130" s="310"/>
      <c r="LC130" s="310"/>
      <c r="LD130" s="310"/>
      <c r="LE130" s="310"/>
      <c r="LF130" s="310"/>
      <c r="LG130" s="310"/>
      <c r="LH130" s="310"/>
      <c r="LI130" s="310"/>
      <c r="LJ130" s="310"/>
      <c r="LK130" s="310"/>
      <c r="LL130" s="310"/>
      <c r="LM130" s="310"/>
      <c r="LN130" s="310"/>
      <c r="LO130" s="310"/>
      <c r="LP130" s="310"/>
      <c r="LQ130" s="310"/>
      <c r="LR130" s="310"/>
      <c r="LS130" s="310"/>
      <c r="LT130" s="310"/>
      <c r="LU130" s="310"/>
      <c r="LV130" s="310"/>
      <c r="LW130" s="310"/>
      <c r="LX130" s="310"/>
      <c r="LY130" s="310"/>
      <c r="LZ130" s="310"/>
      <c r="MA130" s="310"/>
      <c r="MB130" s="310"/>
      <c r="MC130" s="310"/>
      <c r="MD130" s="310"/>
      <c r="ME130" s="310"/>
      <c r="MF130" s="310"/>
      <c r="MG130" s="310"/>
      <c r="MH130" s="310"/>
      <c r="MI130" s="310"/>
      <c r="MJ130" s="310"/>
      <c r="MK130" s="310"/>
      <c r="ML130" s="310"/>
      <c r="MM130" s="310"/>
      <c r="MN130" s="310"/>
      <c r="MO130" s="310"/>
      <c r="MP130" s="310"/>
      <c r="MQ130" s="310"/>
      <c r="MR130" s="310"/>
      <c r="MS130" s="310"/>
      <c r="MT130" s="310"/>
      <c r="MU130" s="310"/>
      <c r="MV130" s="310"/>
      <c r="MW130" s="310"/>
      <c r="MX130" s="310"/>
      <c r="MY130" s="310"/>
      <c r="MZ130" s="310"/>
      <c r="NA130" s="310"/>
      <c r="NB130" s="310"/>
      <c r="NC130" s="310"/>
      <c r="ND130" s="310"/>
      <c r="NE130" s="310"/>
      <c r="NF130" s="310"/>
      <c r="NG130" s="310"/>
      <c r="NH130" s="310"/>
      <c r="NI130" s="310"/>
      <c r="NJ130" s="310"/>
      <c r="NK130" s="310"/>
      <c r="NL130" s="310"/>
      <c r="NM130" s="310"/>
      <c r="NN130" s="310"/>
      <c r="NO130" s="310"/>
      <c r="NP130" s="310"/>
      <c r="NQ130" s="310"/>
      <c r="NR130" s="310"/>
      <c r="NS130" s="310"/>
      <c r="NT130" s="310"/>
      <c r="NU130" s="310"/>
      <c r="NV130" s="310"/>
      <c r="NW130" s="310"/>
      <c r="NX130" s="310"/>
      <c r="NY130" s="310"/>
      <c r="NZ130" s="310"/>
      <c r="OA130" s="310"/>
      <c r="OB130" s="310"/>
      <c r="OC130" s="310"/>
      <c r="OD130" s="310"/>
      <c r="OE130" s="310"/>
      <c r="OF130" s="310"/>
      <c r="OG130" s="310"/>
      <c r="OH130" s="310"/>
      <c r="OI130" s="310"/>
      <c r="OJ130" s="310"/>
      <c r="OK130" s="310"/>
      <c r="OL130" s="310"/>
      <c r="OM130" s="310"/>
      <c r="ON130" s="310"/>
      <c r="OO130" s="310"/>
      <c r="OP130" s="310"/>
      <c r="OQ130" s="310"/>
      <c r="OR130" s="310"/>
      <c r="OS130" s="310"/>
      <c r="OT130" s="310"/>
      <c r="OU130" s="310"/>
      <c r="OV130" s="310"/>
      <c r="OW130" s="310"/>
      <c r="OX130" s="310"/>
      <c r="OY130" s="310"/>
      <c r="OZ130" s="310"/>
      <c r="PA130" s="310"/>
      <c r="PB130" s="310"/>
      <c r="PC130" s="310"/>
      <c r="PD130" s="310"/>
      <c r="PE130" s="310"/>
      <c r="PF130" s="310"/>
      <c r="PG130" s="310"/>
      <c r="PH130" s="310"/>
      <c r="PI130" s="310"/>
      <c r="PJ130" s="310"/>
      <c r="PK130" s="310"/>
      <c r="PL130" s="310"/>
      <c r="PM130" s="310"/>
      <c r="PN130" s="310"/>
      <c r="PO130" s="310"/>
      <c r="PP130" s="310"/>
      <c r="PQ130" s="310"/>
      <c r="PR130" s="310"/>
      <c r="PS130" s="342">
        <v>116</v>
      </c>
      <c r="PT130" s="261" t="e">
        <f t="shared" si="163"/>
        <v>#N/A</v>
      </c>
      <c r="PU130" s="261" t="e">
        <f t="shared" si="164"/>
        <v>#N/A</v>
      </c>
      <c r="PV130" s="310"/>
      <c r="PW130" s="310"/>
      <c r="PX130" s="310"/>
      <c r="PY130" s="310"/>
      <c r="PZ130" s="310"/>
      <c r="QA130" s="310"/>
      <c r="QB130" s="310"/>
      <c r="QC130" s="310"/>
      <c r="QD130" s="310"/>
      <c r="QE130" s="310"/>
      <c r="QF130" s="310"/>
      <c r="QG130" s="310"/>
      <c r="QH130" s="310"/>
      <c r="QI130" s="310"/>
      <c r="QJ130" s="310"/>
      <c r="QK130" s="310"/>
      <c r="QL130" s="310"/>
      <c r="QM130" s="310"/>
      <c r="QN130" s="310"/>
      <c r="QO130" s="310"/>
      <c r="QP130" s="310"/>
      <c r="QQ130" s="310"/>
      <c r="QR130" s="310"/>
      <c r="QS130" s="310"/>
      <c r="QT130" s="310"/>
      <c r="QU130" s="310"/>
      <c r="QV130" s="310"/>
      <c r="QW130" s="310"/>
      <c r="QX130" s="310"/>
      <c r="QY130" s="310"/>
      <c r="QZ130" s="310"/>
      <c r="RA130" s="310"/>
      <c r="RB130" s="310"/>
      <c r="RC130" s="310"/>
      <c r="RD130" s="310"/>
      <c r="RE130" s="310"/>
      <c r="RF130" s="310"/>
      <c r="RG130" s="310"/>
      <c r="RH130" s="310"/>
      <c r="RI130" s="310"/>
      <c r="RJ130" s="310"/>
      <c r="RK130" s="310"/>
      <c r="RL130" s="310"/>
      <c r="RM130" s="310"/>
      <c r="RN130" s="310"/>
      <c r="RO130" s="310"/>
      <c r="RP130" s="310"/>
      <c r="RQ130" s="310"/>
      <c r="RR130" s="310"/>
      <c r="RS130" s="310"/>
      <c r="RT130" s="310"/>
      <c r="RU130" s="310"/>
      <c r="RV130" s="310"/>
      <c r="RW130" s="310"/>
      <c r="RX130" s="310"/>
      <c r="RY130" s="310"/>
      <c r="RZ130" s="310"/>
      <c r="SA130" s="310"/>
      <c r="SB130" s="310"/>
      <c r="SC130" s="310"/>
      <c r="SD130" s="310"/>
      <c r="SE130" s="310"/>
      <c r="SF130" s="310"/>
      <c r="SG130" s="310"/>
      <c r="SH130" s="310"/>
      <c r="SI130" s="310"/>
      <c r="SJ130" s="310"/>
      <c r="SK130" s="310"/>
      <c r="SL130" s="310"/>
      <c r="SM130" s="310"/>
      <c r="SN130" s="310"/>
      <c r="SO130" s="220"/>
      <c r="SP130" s="220"/>
      <c r="SQ130" s="220"/>
      <c r="SR130" s="220"/>
      <c r="SS130" s="220"/>
      <c r="ST130" s="220"/>
      <c r="SU130" s="220"/>
      <c r="SV130" s="220"/>
      <c r="SW130" s="220"/>
      <c r="SX130" s="220"/>
      <c r="SY130" s="220"/>
      <c r="SZ130" s="220"/>
      <c r="TA130" s="220"/>
      <c r="TB130" s="220"/>
      <c r="TC130" s="220"/>
      <c r="TD130" s="220"/>
      <c r="TE130" s="220"/>
      <c r="TF130" s="220"/>
      <c r="TG130" s="220"/>
      <c r="TH130" s="220"/>
      <c r="TI130" s="220"/>
      <c r="TJ130" s="220"/>
      <c r="TK130" s="220"/>
      <c r="TL130" s="220"/>
      <c r="TM130" s="220"/>
      <c r="TN130" s="220"/>
      <c r="TO130" s="220"/>
      <c r="TP130" s="220"/>
      <c r="TQ130" s="220"/>
      <c r="TR130" s="220"/>
      <c r="TS130" s="220"/>
      <c r="TT130" s="220"/>
      <c r="TU130" s="220"/>
      <c r="TV130" s="220"/>
      <c r="TW130" s="220"/>
      <c r="TX130" s="220"/>
      <c r="TY130" s="220"/>
      <c r="TZ130" s="220"/>
      <c r="UA130" s="220"/>
      <c r="UB130" s="220"/>
      <c r="UC130" s="220"/>
      <c r="UD130" s="220"/>
      <c r="UE130" s="220"/>
      <c r="UF130" s="220"/>
      <c r="UG130" s="220"/>
      <c r="UH130" s="220"/>
      <c r="UI130" s="220"/>
      <c r="UJ130" s="220"/>
      <c r="UK130" s="216"/>
      <c r="UL130" s="216"/>
      <c r="UM130" s="216"/>
      <c r="UN130" s="216"/>
      <c r="UO130" s="216"/>
      <c r="UP130" s="216"/>
      <c r="UQ130" s="216"/>
      <c r="UR130" s="216"/>
      <c r="US130" s="216"/>
      <c r="UT130" s="216"/>
      <c r="UU130" s="216"/>
      <c r="UV130" s="216"/>
      <c r="UW130" s="216"/>
      <c r="UX130" s="216"/>
      <c r="UY130" s="216"/>
      <c r="UZ130" s="216"/>
      <c r="VA130" s="216"/>
    </row>
    <row r="131" spans="1:574" s="4" customFormat="1" x14ac:dyDescent="0.5">
      <c r="AP131" s="310"/>
      <c r="AQ131" s="310"/>
      <c r="AR131" s="310"/>
      <c r="AS131" s="310"/>
      <c r="AT131" s="310"/>
      <c r="AU131" s="310"/>
      <c r="AV131" s="310"/>
      <c r="AW131" s="310"/>
      <c r="AX131" s="310"/>
      <c r="AY131" s="310"/>
      <c r="AZ131" s="310"/>
      <c r="BA131" s="310"/>
      <c r="BB131" s="310"/>
      <c r="BC131" s="310"/>
      <c r="BD131" s="310"/>
      <c r="BE131" s="310"/>
      <c r="BF131" s="310"/>
      <c r="BG131" s="310"/>
      <c r="BH131" s="310"/>
      <c r="BI131" s="310"/>
      <c r="BJ131" s="310"/>
      <c r="BK131" s="310"/>
      <c r="BL131" s="310"/>
      <c r="BM131" s="310"/>
      <c r="BN131" s="310"/>
      <c r="BO131" s="310"/>
      <c r="BP131" s="310"/>
      <c r="BQ131" s="310"/>
      <c r="BR131" s="310"/>
      <c r="BS131" s="310"/>
      <c r="BT131" s="310"/>
      <c r="BU131" s="310"/>
      <c r="BV131" s="310"/>
      <c r="BW131" s="310"/>
      <c r="BX131" s="310"/>
      <c r="BY131" s="310"/>
      <c r="BZ131" s="310"/>
      <c r="CA131" s="310"/>
      <c r="CB131" s="310"/>
      <c r="CC131" s="310"/>
      <c r="CD131" s="310"/>
      <c r="CE131" s="310"/>
      <c r="CF131" s="310"/>
      <c r="CG131" s="310"/>
      <c r="CH131" s="310"/>
      <c r="CI131" s="310"/>
      <c r="CJ131" s="310"/>
      <c r="CK131" s="310"/>
      <c r="CL131" s="310"/>
      <c r="CM131" s="310"/>
      <c r="CN131" s="310"/>
      <c r="CO131" s="310"/>
      <c r="CP131" s="310"/>
      <c r="CQ131" s="310"/>
      <c r="CR131" s="310"/>
      <c r="CS131" s="310"/>
      <c r="CT131" s="310"/>
      <c r="CU131" s="310"/>
      <c r="CV131" s="310"/>
      <c r="CW131" s="310"/>
      <c r="CX131" s="310"/>
      <c r="CY131" s="310"/>
      <c r="CZ131" s="310"/>
      <c r="DA131" s="310"/>
      <c r="DB131" s="310"/>
      <c r="DC131" s="310"/>
      <c r="DD131" s="310"/>
      <c r="DE131" s="310"/>
      <c r="DF131" s="310"/>
      <c r="DG131" s="310"/>
      <c r="DH131" s="310"/>
      <c r="DI131" s="310"/>
      <c r="DJ131" s="310"/>
      <c r="DK131" s="310"/>
      <c r="DL131" s="310"/>
      <c r="DM131" s="310"/>
      <c r="DN131" s="310"/>
      <c r="DO131" s="310"/>
      <c r="DP131" s="310"/>
      <c r="DQ131" s="310"/>
      <c r="DR131" s="310"/>
      <c r="DS131" s="310"/>
      <c r="DT131" s="310"/>
      <c r="DU131" s="310"/>
      <c r="DV131" s="310"/>
      <c r="DW131" s="310"/>
      <c r="DX131" s="310"/>
      <c r="DY131" s="310"/>
      <c r="DZ131" s="310"/>
      <c r="EA131" s="310"/>
      <c r="EB131" s="310"/>
      <c r="EC131" s="310"/>
      <c r="ED131" s="310"/>
      <c r="EE131" s="310"/>
      <c r="EF131" s="310"/>
      <c r="EG131" s="310"/>
      <c r="EH131" s="310"/>
      <c r="EI131" s="310"/>
      <c r="EJ131" s="310"/>
      <c r="EK131" s="310"/>
      <c r="EL131" s="310"/>
      <c r="EM131" s="310"/>
      <c r="EN131" s="280" t="e">
        <f>IF(EM130=TRUE,EN128,#N/A)</f>
        <v>#N/A</v>
      </c>
      <c r="EO131" s="280" t="e">
        <f>EO130</f>
        <v>#N/A</v>
      </c>
      <c r="EP131" s="310"/>
      <c r="EQ131" s="310"/>
      <c r="ER131" s="310"/>
      <c r="ES131" s="310"/>
      <c r="ET131" s="310"/>
      <c r="EU131" s="310"/>
      <c r="EV131" s="310"/>
      <c r="EW131" s="310"/>
      <c r="EX131" s="310"/>
      <c r="EY131" s="310"/>
      <c r="EZ131" s="310"/>
      <c r="FA131" s="310"/>
      <c r="FB131" s="310"/>
      <c r="FC131" s="310"/>
      <c r="FD131" s="310"/>
      <c r="FE131" s="310"/>
      <c r="FF131" s="310"/>
      <c r="FG131" s="310"/>
      <c r="FH131" s="310"/>
      <c r="FI131" s="310"/>
      <c r="FJ131" s="310"/>
      <c r="FK131" s="310"/>
      <c r="FL131" s="311"/>
      <c r="FM131" s="311"/>
      <c r="FN131" s="311"/>
      <c r="FO131" s="311"/>
      <c r="FP131" s="311"/>
      <c r="FQ131" s="311"/>
      <c r="FR131" s="311"/>
      <c r="FS131" s="311"/>
      <c r="FT131" s="311"/>
      <c r="FU131" s="311"/>
      <c r="FV131" s="311"/>
      <c r="FW131" s="311"/>
      <c r="FX131" s="311"/>
      <c r="FY131" s="311"/>
      <c r="FZ131" s="311"/>
      <c r="GA131" s="311"/>
      <c r="GB131" s="310"/>
      <c r="GC131" s="310"/>
      <c r="GD131" s="310"/>
      <c r="GE131" s="310"/>
      <c r="GF131" s="310"/>
      <c r="GG131" s="310"/>
      <c r="GH131" s="310"/>
      <c r="GI131" s="310"/>
      <c r="GJ131" s="310"/>
      <c r="GK131" s="310"/>
      <c r="GL131" s="310"/>
      <c r="GM131" s="310"/>
      <c r="GN131" s="310"/>
      <c r="GO131" s="310"/>
      <c r="GP131" s="310"/>
      <c r="GQ131" s="310"/>
      <c r="GR131" s="310"/>
      <c r="GS131" s="310"/>
      <c r="GT131" s="310"/>
      <c r="GU131" s="310"/>
      <c r="GV131" s="310"/>
      <c r="GW131" s="310"/>
      <c r="GX131" s="310"/>
      <c r="GY131" s="310"/>
      <c r="GZ131" s="310"/>
      <c r="HA131" s="310"/>
      <c r="HB131" s="310"/>
      <c r="HC131" s="310"/>
      <c r="HD131" s="310"/>
      <c r="HE131" s="310"/>
      <c r="HF131" s="310"/>
      <c r="HG131" s="310"/>
      <c r="HH131" s="310"/>
      <c r="HI131" s="310"/>
      <c r="HJ131" s="310"/>
      <c r="HK131" s="342">
        <v>117</v>
      </c>
      <c r="HL131" s="235" t="e">
        <f t="shared" si="139"/>
        <v>#N/A</v>
      </c>
      <c r="HM131" s="235" t="e">
        <f t="shared" si="140"/>
        <v>#N/A</v>
      </c>
      <c r="HN131" s="310"/>
      <c r="HO131" s="310"/>
      <c r="HP131" s="235" t="e">
        <f t="shared" si="141"/>
        <v>#N/A</v>
      </c>
      <c r="HQ131" s="235" t="e">
        <f t="shared" si="142"/>
        <v>#N/A</v>
      </c>
      <c r="HR131" s="310"/>
      <c r="HS131" s="310"/>
      <c r="HT131" s="235" t="e">
        <f t="shared" si="143"/>
        <v>#N/A</v>
      </c>
      <c r="HU131" s="235" t="e">
        <f t="shared" si="144"/>
        <v>#N/A</v>
      </c>
      <c r="HV131" s="310"/>
      <c r="HW131" s="310"/>
      <c r="HX131" s="235" t="e">
        <f t="shared" si="145"/>
        <v>#N/A</v>
      </c>
      <c r="HY131" s="235" t="e">
        <f t="shared" si="146"/>
        <v>#N/A</v>
      </c>
      <c r="HZ131" s="310"/>
      <c r="IA131" s="310"/>
      <c r="IB131" s="235" t="e">
        <f t="shared" si="147"/>
        <v>#N/A</v>
      </c>
      <c r="IC131" s="235" t="e">
        <f t="shared" si="148"/>
        <v>#N/A</v>
      </c>
      <c r="ID131" s="310"/>
      <c r="IE131" s="342">
        <v>117</v>
      </c>
      <c r="IF131" s="262" t="e">
        <f t="shared" si="149"/>
        <v>#N/A</v>
      </c>
      <c r="IG131" s="262" t="e">
        <f t="shared" si="150"/>
        <v>#N/A</v>
      </c>
      <c r="IH131" s="390"/>
      <c r="II131" s="390"/>
      <c r="IJ131" s="262" t="e">
        <f t="shared" si="151"/>
        <v>#N/A</v>
      </c>
      <c r="IK131" s="262" t="e">
        <f t="shared" si="152"/>
        <v>#N/A</v>
      </c>
      <c r="IL131" s="390"/>
      <c r="IM131" s="390"/>
      <c r="IN131" s="262" t="e">
        <f t="shared" si="153"/>
        <v>#N/A</v>
      </c>
      <c r="IO131" s="262" t="e">
        <f t="shared" si="154"/>
        <v>#N/A</v>
      </c>
      <c r="IP131" s="390"/>
      <c r="IQ131" s="390"/>
      <c r="IR131" s="262" t="e">
        <f t="shared" si="155"/>
        <v>#N/A</v>
      </c>
      <c r="IS131" s="262" t="e">
        <f t="shared" si="156"/>
        <v>#N/A</v>
      </c>
      <c r="IT131" s="390"/>
      <c r="IU131" s="390"/>
      <c r="IV131" s="262" t="e">
        <f t="shared" si="157"/>
        <v>#N/A</v>
      </c>
      <c r="IW131" s="262" t="e">
        <f t="shared" si="158"/>
        <v>#N/A</v>
      </c>
      <c r="IX131" s="310"/>
      <c r="IY131" s="310"/>
      <c r="IZ131" s="310"/>
      <c r="JA131" s="310"/>
      <c r="JB131" s="313" t="s">
        <v>393</v>
      </c>
      <c r="JC131" s="228">
        <f>JC122</f>
        <v>-0.78500000000000003</v>
      </c>
      <c r="JD131" s="228">
        <f>JD130</f>
        <v>0.5</v>
      </c>
      <c r="JE131" s="310"/>
      <c r="JF131" s="310"/>
      <c r="JG131" s="310"/>
      <c r="JH131" s="310"/>
      <c r="JI131" s="313" t="s">
        <v>393</v>
      </c>
      <c r="JJ131" s="242">
        <f>JJ122</f>
        <v>-0.78500000000000003</v>
      </c>
      <c r="JK131" s="242">
        <f>JK130</f>
        <v>0.5</v>
      </c>
      <c r="JL131" s="310"/>
      <c r="JM131" s="310"/>
      <c r="JN131" s="261" t="e">
        <f t="shared" si="159"/>
        <v>#N/A</v>
      </c>
      <c r="JO131" s="261" t="e">
        <f t="shared" si="160"/>
        <v>#N/A</v>
      </c>
      <c r="JP131" s="310"/>
      <c r="JQ131" s="310"/>
      <c r="JR131" s="261" t="e">
        <f t="shared" si="165"/>
        <v>#N/A</v>
      </c>
      <c r="JS131" s="261" t="e">
        <f t="shared" si="166"/>
        <v>#N/A</v>
      </c>
      <c r="JT131" s="310"/>
      <c r="JU131" s="310"/>
      <c r="JV131" s="261" t="e">
        <f t="shared" si="161"/>
        <v>#N/A</v>
      </c>
      <c r="JW131" s="261" t="e">
        <f t="shared" si="162"/>
        <v>#N/A</v>
      </c>
      <c r="JX131" s="310"/>
      <c r="JY131" s="310"/>
      <c r="JZ131" s="310"/>
      <c r="KA131" s="310"/>
      <c r="KB131" s="310"/>
      <c r="KC131" s="310"/>
      <c r="KD131" s="310"/>
      <c r="KE131" s="310"/>
      <c r="KF131" s="310"/>
      <c r="KG131" s="310"/>
      <c r="KH131" s="310"/>
      <c r="KI131" s="310"/>
      <c r="KJ131" s="310"/>
      <c r="KK131" s="310"/>
      <c r="KL131" s="310"/>
      <c r="KM131" s="310"/>
      <c r="KN131" s="310"/>
      <c r="KO131" s="310"/>
      <c r="KP131" s="310"/>
      <c r="KQ131" s="310"/>
      <c r="KR131" s="310"/>
      <c r="KS131" s="310"/>
      <c r="KT131" s="310"/>
      <c r="KU131" s="310"/>
      <c r="KV131" s="310"/>
      <c r="KW131" s="310"/>
      <c r="KX131" s="310"/>
      <c r="KY131" s="310"/>
      <c r="KZ131" s="310"/>
      <c r="LA131" s="310"/>
      <c r="LB131" s="310"/>
      <c r="LC131" s="310"/>
      <c r="LD131" s="310"/>
      <c r="LE131" s="310"/>
      <c r="LF131" s="310"/>
      <c r="LG131" s="310"/>
      <c r="LH131" s="310"/>
      <c r="LI131" s="310"/>
      <c r="LJ131" s="310"/>
      <c r="LK131" s="310"/>
      <c r="LL131" s="310"/>
      <c r="LM131" s="310"/>
      <c r="LN131" s="310"/>
      <c r="LO131" s="310"/>
      <c r="LP131" s="310"/>
      <c r="LQ131" s="310"/>
      <c r="LR131" s="310"/>
      <c r="LS131" s="310"/>
      <c r="LT131" s="310"/>
      <c r="LU131" s="310"/>
      <c r="LV131" s="310"/>
      <c r="LW131" s="310"/>
      <c r="LX131" s="310"/>
      <c r="LY131" s="310"/>
      <c r="LZ131" s="310"/>
      <c r="MA131" s="310"/>
      <c r="MB131" s="310"/>
      <c r="MC131" s="310"/>
      <c r="MD131" s="310"/>
      <c r="ME131" s="310"/>
      <c r="MF131" s="310"/>
      <c r="MG131" s="310"/>
      <c r="MH131" s="310"/>
      <c r="MI131" s="310"/>
      <c r="MJ131" s="310"/>
      <c r="MK131" s="310"/>
      <c r="ML131" s="310"/>
      <c r="MM131" s="310"/>
      <c r="MN131" s="310"/>
      <c r="MO131" s="310"/>
      <c r="MP131" s="310"/>
      <c r="MQ131" s="310"/>
      <c r="MR131" s="310"/>
      <c r="MS131" s="310"/>
      <c r="MT131" s="310"/>
      <c r="MU131" s="310"/>
      <c r="MV131" s="310"/>
      <c r="MW131" s="310"/>
      <c r="MX131" s="310"/>
      <c r="MY131" s="310"/>
      <c r="MZ131" s="310"/>
      <c r="NA131" s="310"/>
      <c r="NB131" s="310"/>
      <c r="NC131" s="310"/>
      <c r="ND131" s="310"/>
      <c r="NE131" s="310"/>
      <c r="NF131" s="310"/>
      <c r="NG131" s="310"/>
      <c r="NH131" s="310"/>
      <c r="NI131" s="310"/>
      <c r="NJ131" s="310"/>
      <c r="NK131" s="310"/>
      <c r="NL131" s="310"/>
      <c r="NM131" s="310"/>
      <c r="NN131" s="310"/>
      <c r="NO131" s="310"/>
      <c r="NP131" s="310"/>
      <c r="NQ131" s="310"/>
      <c r="NR131" s="310"/>
      <c r="NS131" s="310"/>
      <c r="NT131" s="310"/>
      <c r="NU131" s="310"/>
      <c r="NV131" s="310"/>
      <c r="NW131" s="310"/>
      <c r="NX131" s="310"/>
      <c r="NY131" s="310"/>
      <c r="NZ131" s="310"/>
      <c r="OA131" s="310"/>
      <c r="OB131" s="310"/>
      <c r="OC131" s="310"/>
      <c r="OD131" s="310"/>
      <c r="OE131" s="310"/>
      <c r="OF131" s="310"/>
      <c r="OG131" s="310"/>
      <c r="OH131" s="310"/>
      <c r="OI131" s="310"/>
      <c r="OJ131" s="310"/>
      <c r="OK131" s="310"/>
      <c r="OL131" s="310"/>
      <c r="OM131" s="310"/>
      <c r="ON131" s="310"/>
      <c r="OO131" s="310"/>
      <c r="OP131" s="310"/>
      <c r="OQ131" s="310"/>
      <c r="OR131" s="310"/>
      <c r="OS131" s="310"/>
      <c r="OT131" s="310"/>
      <c r="OU131" s="310"/>
      <c r="OV131" s="310"/>
      <c r="OW131" s="310"/>
      <c r="OX131" s="310"/>
      <c r="OY131" s="310"/>
      <c r="OZ131" s="310"/>
      <c r="PA131" s="310"/>
      <c r="PB131" s="310"/>
      <c r="PC131" s="310"/>
      <c r="PD131" s="310"/>
      <c r="PE131" s="310"/>
      <c r="PF131" s="310"/>
      <c r="PG131" s="310"/>
      <c r="PH131" s="310"/>
      <c r="PI131" s="310"/>
      <c r="PJ131" s="310"/>
      <c r="PK131" s="310"/>
      <c r="PL131" s="310"/>
      <c r="PM131" s="310"/>
      <c r="PN131" s="310"/>
      <c r="PO131" s="310"/>
      <c r="PP131" s="310"/>
      <c r="PQ131" s="310"/>
      <c r="PR131" s="310"/>
      <c r="PS131" s="342">
        <v>117</v>
      </c>
      <c r="PT131" s="261" t="e">
        <f t="shared" si="163"/>
        <v>#N/A</v>
      </c>
      <c r="PU131" s="261" t="e">
        <f t="shared" si="164"/>
        <v>#N/A</v>
      </c>
      <c r="PV131" s="310"/>
      <c r="PW131" s="310"/>
      <c r="PX131" s="310"/>
      <c r="PY131" s="310"/>
      <c r="PZ131" s="310"/>
      <c r="QA131" s="310"/>
      <c r="QB131" s="310"/>
      <c r="QC131" s="310"/>
      <c r="QD131" s="310"/>
      <c r="QE131" s="310"/>
      <c r="QF131" s="310"/>
      <c r="QG131" s="310"/>
      <c r="QH131" s="310"/>
      <c r="QI131" s="310"/>
      <c r="QJ131" s="310"/>
      <c r="QK131" s="310"/>
      <c r="QL131" s="310"/>
      <c r="QM131" s="310"/>
      <c r="QN131" s="310"/>
      <c r="QO131" s="310"/>
      <c r="QP131" s="310"/>
      <c r="QQ131" s="310"/>
      <c r="QR131" s="310"/>
      <c r="QS131" s="310"/>
      <c r="QT131" s="310"/>
      <c r="QU131" s="310"/>
      <c r="QV131" s="310"/>
      <c r="QW131" s="310"/>
      <c r="QX131" s="310"/>
      <c r="QY131" s="310"/>
      <c r="QZ131" s="310"/>
      <c r="RA131" s="310"/>
      <c r="RB131" s="310"/>
      <c r="RC131" s="310"/>
      <c r="RD131" s="310"/>
      <c r="RE131" s="310"/>
      <c r="RF131" s="310"/>
      <c r="RG131" s="310"/>
      <c r="RH131" s="310"/>
      <c r="RI131" s="310"/>
      <c r="RJ131" s="310"/>
      <c r="RK131" s="310"/>
      <c r="RL131" s="310"/>
      <c r="RM131" s="310"/>
      <c r="RN131" s="310"/>
      <c r="RO131" s="310"/>
      <c r="RP131" s="310"/>
      <c r="RQ131" s="310"/>
      <c r="RR131" s="310"/>
      <c r="RS131" s="310"/>
      <c r="RT131" s="310"/>
      <c r="RU131" s="310"/>
      <c r="RV131" s="310"/>
      <c r="RW131" s="310"/>
      <c r="RX131" s="310"/>
      <c r="RY131" s="310"/>
      <c r="RZ131" s="310"/>
      <c r="SA131" s="310"/>
      <c r="SB131" s="310"/>
      <c r="SC131" s="310"/>
      <c r="SD131" s="310"/>
      <c r="SE131" s="310"/>
      <c r="SF131" s="310"/>
      <c r="SG131" s="310"/>
      <c r="SH131" s="310"/>
      <c r="SI131" s="310"/>
      <c r="SJ131" s="310"/>
      <c r="SK131" s="310"/>
      <c r="SL131" s="310"/>
      <c r="SM131" s="310"/>
      <c r="SN131" s="310"/>
      <c r="SO131" s="220"/>
      <c r="SP131" s="220"/>
      <c r="SQ131" s="220"/>
      <c r="SR131" s="220"/>
      <c r="SS131" s="220"/>
      <c r="ST131" s="220"/>
      <c r="SU131" s="220"/>
      <c r="SV131" s="220"/>
      <c r="SW131" s="220"/>
      <c r="SX131" s="220"/>
      <c r="SY131" s="220"/>
      <c r="SZ131" s="220"/>
      <c r="TA131" s="220"/>
      <c r="TB131" s="220"/>
      <c r="TC131" s="220"/>
      <c r="TD131" s="220"/>
      <c r="TE131" s="220"/>
      <c r="TF131" s="220"/>
      <c r="TG131" s="220"/>
      <c r="TH131" s="220"/>
      <c r="TI131" s="220"/>
      <c r="TJ131" s="220"/>
      <c r="TK131" s="220"/>
      <c r="TL131" s="220"/>
      <c r="TM131" s="220"/>
      <c r="TN131" s="220"/>
      <c r="TO131" s="220"/>
      <c r="TP131" s="220"/>
      <c r="TQ131" s="220"/>
      <c r="TR131" s="220"/>
      <c r="TS131" s="220"/>
      <c r="TT131" s="220"/>
      <c r="TU131" s="220"/>
      <c r="TV131" s="220"/>
      <c r="TW131" s="220"/>
      <c r="TX131" s="220"/>
      <c r="TY131" s="220"/>
      <c r="TZ131" s="220"/>
      <c r="UA131" s="220"/>
      <c r="UB131" s="220"/>
      <c r="UC131" s="220"/>
      <c r="UD131" s="220"/>
      <c r="UE131" s="220"/>
      <c r="UF131" s="220"/>
      <c r="UG131" s="220"/>
      <c r="UH131" s="220"/>
      <c r="UI131" s="220"/>
      <c r="UJ131" s="220"/>
      <c r="UK131" s="216"/>
      <c r="UL131" s="216"/>
      <c r="UM131" s="216"/>
      <c r="UN131" s="216"/>
      <c r="UO131" s="216"/>
      <c r="UP131" s="216"/>
      <c r="UQ131" s="216"/>
      <c r="UR131" s="216"/>
      <c r="US131" s="216"/>
      <c r="UT131" s="216"/>
      <c r="UU131" s="216"/>
      <c r="UV131" s="216"/>
      <c r="UW131" s="216"/>
      <c r="UX131" s="216"/>
      <c r="UY131" s="216"/>
      <c r="UZ131" s="216"/>
      <c r="VA131" s="216"/>
    </row>
    <row r="132" spans="1:574" s="4" customFormat="1" x14ac:dyDescent="0.5">
      <c r="AP132" s="310"/>
      <c r="AQ132" s="310"/>
      <c r="AR132" s="310"/>
      <c r="AS132" s="310"/>
      <c r="AT132" s="310"/>
      <c r="AU132" s="310"/>
      <c r="AV132" s="310"/>
      <c r="AW132" s="310"/>
      <c r="AX132" s="310"/>
      <c r="AY132" s="310"/>
      <c r="AZ132" s="310"/>
      <c r="BA132" s="310"/>
      <c r="BB132" s="310"/>
      <c r="BC132" s="310"/>
      <c r="BD132" s="310"/>
      <c r="BE132" s="310"/>
      <c r="BF132" s="310"/>
      <c r="BG132" s="310"/>
      <c r="BH132" s="310"/>
      <c r="BI132" s="310"/>
      <c r="BJ132" s="310"/>
      <c r="BK132" s="310"/>
      <c r="BL132" s="310"/>
      <c r="BM132" s="310"/>
      <c r="BN132" s="310"/>
      <c r="BO132" s="310"/>
      <c r="BP132" s="310"/>
      <c r="BQ132" s="310"/>
      <c r="BR132" s="310"/>
      <c r="BS132" s="310"/>
      <c r="BT132" s="310"/>
      <c r="BU132" s="310"/>
      <c r="BV132" s="310"/>
      <c r="BW132" s="310"/>
      <c r="BX132" s="310"/>
      <c r="BY132" s="310"/>
      <c r="BZ132" s="310"/>
      <c r="CA132" s="310"/>
      <c r="CB132" s="310"/>
      <c r="CC132" s="310"/>
      <c r="CD132" s="310"/>
      <c r="CE132" s="310"/>
      <c r="CF132" s="310"/>
      <c r="CG132" s="310"/>
      <c r="CH132" s="310"/>
      <c r="CI132" s="310"/>
      <c r="CJ132" s="310"/>
      <c r="CK132" s="310"/>
      <c r="CL132" s="310"/>
      <c r="CM132" s="310"/>
      <c r="CN132" s="310"/>
      <c r="CO132" s="310"/>
      <c r="CP132" s="310"/>
      <c r="CQ132" s="310"/>
      <c r="CR132" s="310"/>
      <c r="CS132" s="310"/>
      <c r="CT132" s="310"/>
      <c r="CU132" s="310"/>
      <c r="CV132" s="310"/>
      <c r="CW132" s="310"/>
      <c r="CX132" s="310"/>
      <c r="CY132" s="310"/>
      <c r="CZ132" s="310"/>
      <c r="DA132" s="310"/>
      <c r="DB132" s="310"/>
      <c r="DC132" s="310"/>
      <c r="DD132" s="310"/>
      <c r="DE132" s="310"/>
      <c r="DF132" s="310"/>
      <c r="DG132" s="310"/>
      <c r="DH132" s="310"/>
      <c r="DI132" s="310"/>
      <c r="DJ132" s="310"/>
      <c r="DK132" s="310"/>
      <c r="DL132" s="310"/>
      <c r="DM132" s="310"/>
      <c r="DN132" s="310"/>
      <c r="DO132" s="310"/>
      <c r="DP132" s="310"/>
      <c r="DQ132" s="310"/>
      <c r="DR132" s="310"/>
      <c r="DS132" s="310"/>
      <c r="DT132" s="310"/>
      <c r="DU132" s="310"/>
      <c r="DV132" s="310"/>
      <c r="DW132" s="310"/>
      <c r="DX132" s="310"/>
      <c r="DY132" s="310"/>
      <c r="DZ132" s="310"/>
      <c r="EA132" s="310"/>
      <c r="EB132" s="310"/>
      <c r="EC132" s="310"/>
      <c r="ED132" s="310"/>
      <c r="EE132" s="310"/>
      <c r="EF132" s="310"/>
      <c r="EG132" s="310"/>
      <c r="EH132" s="310"/>
      <c r="EI132" s="310"/>
      <c r="EJ132" s="310"/>
      <c r="EK132" s="310"/>
      <c r="EL132" s="310"/>
      <c r="EM132" s="310"/>
      <c r="EN132" s="280" t="e">
        <v>#N/A</v>
      </c>
      <c r="EO132" s="280" t="e">
        <v>#N/A</v>
      </c>
      <c r="EP132" s="310"/>
      <c r="EQ132" s="310"/>
      <c r="ER132" s="310"/>
      <c r="ES132" s="310"/>
      <c r="ET132" s="310"/>
      <c r="EU132" s="310"/>
      <c r="EV132" s="310"/>
      <c r="EW132" s="310"/>
      <c r="EX132" s="310"/>
      <c r="EY132" s="310"/>
      <c r="EZ132" s="310"/>
      <c r="FA132" s="310"/>
      <c r="FB132" s="310"/>
      <c r="FC132" s="310"/>
      <c r="FD132" s="310"/>
      <c r="FE132" s="310"/>
      <c r="FF132" s="310"/>
      <c r="FG132" s="310"/>
      <c r="FH132" s="310"/>
      <c r="FI132" s="310"/>
      <c r="FJ132" s="310"/>
      <c r="FK132" s="310"/>
      <c r="FL132" s="311"/>
      <c r="FM132" s="311"/>
      <c r="FN132" s="311"/>
      <c r="FO132" s="311"/>
      <c r="FP132" s="311"/>
      <c r="FQ132" s="311"/>
      <c r="FR132" s="311"/>
      <c r="FS132" s="311"/>
      <c r="FT132" s="311"/>
      <c r="FU132" s="311"/>
      <c r="FV132" s="311"/>
      <c r="FW132" s="311"/>
      <c r="FX132" s="311"/>
      <c r="FY132" s="311"/>
      <c r="FZ132" s="311"/>
      <c r="GA132" s="311"/>
      <c r="GB132" s="310"/>
      <c r="GC132" s="310"/>
      <c r="GD132" s="310"/>
      <c r="GE132" s="310"/>
      <c r="GF132" s="310"/>
      <c r="GG132" s="310"/>
      <c r="GH132" s="310"/>
      <c r="GI132" s="310"/>
      <c r="GJ132" s="310"/>
      <c r="GK132" s="310"/>
      <c r="GL132" s="310"/>
      <c r="GM132" s="310"/>
      <c r="GN132" s="310"/>
      <c r="GO132" s="310"/>
      <c r="GP132" s="310"/>
      <c r="GQ132" s="310"/>
      <c r="GR132" s="310"/>
      <c r="GS132" s="310"/>
      <c r="GT132" s="310"/>
      <c r="GU132" s="310"/>
      <c r="GV132" s="310"/>
      <c r="GW132" s="310"/>
      <c r="GX132" s="310"/>
      <c r="GY132" s="310"/>
      <c r="GZ132" s="310"/>
      <c r="HA132" s="310"/>
      <c r="HB132" s="310"/>
      <c r="HC132" s="310"/>
      <c r="HD132" s="310"/>
      <c r="HE132" s="310"/>
      <c r="HF132" s="310"/>
      <c r="HG132" s="310"/>
      <c r="HH132" s="310"/>
      <c r="HI132" s="310"/>
      <c r="HJ132" s="310"/>
      <c r="HK132" s="342">
        <v>118</v>
      </c>
      <c r="HL132" s="235" t="e">
        <f t="shared" si="139"/>
        <v>#N/A</v>
      </c>
      <c r="HM132" s="235" t="e">
        <f t="shared" si="140"/>
        <v>#N/A</v>
      </c>
      <c r="HN132" s="310"/>
      <c r="HO132" s="310"/>
      <c r="HP132" s="235" t="e">
        <f t="shared" si="141"/>
        <v>#N/A</v>
      </c>
      <c r="HQ132" s="235" t="e">
        <f t="shared" si="142"/>
        <v>#N/A</v>
      </c>
      <c r="HR132" s="310"/>
      <c r="HS132" s="310"/>
      <c r="HT132" s="235" t="e">
        <f t="shared" si="143"/>
        <v>#N/A</v>
      </c>
      <c r="HU132" s="235" t="e">
        <f t="shared" si="144"/>
        <v>#N/A</v>
      </c>
      <c r="HV132" s="310"/>
      <c r="HW132" s="310"/>
      <c r="HX132" s="235" t="e">
        <f t="shared" si="145"/>
        <v>#N/A</v>
      </c>
      <c r="HY132" s="235" t="e">
        <f t="shared" si="146"/>
        <v>#N/A</v>
      </c>
      <c r="HZ132" s="310"/>
      <c r="IA132" s="310"/>
      <c r="IB132" s="235" t="e">
        <f t="shared" si="147"/>
        <v>#N/A</v>
      </c>
      <c r="IC132" s="235" t="e">
        <f t="shared" si="148"/>
        <v>#N/A</v>
      </c>
      <c r="ID132" s="310"/>
      <c r="IE132" s="342">
        <v>118</v>
      </c>
      <c r="IF132" s="262" t="e">
        <f t="shared" si="149"/>
        <v>#N/A</v>
      </c>
      <c r="IG132" s="262" t="e">
        <f t="shared" si="150"/>
        <v>#N/A</v>
      </c>
      <c r="IH132" s="390"/>
      <c r="II132" s="390"/>
      <c r="IJ132" s="262" t="e">
        <f t="shared" si="151"/>
        <v>#N/A</v>
      </c>
      <c r="IK132" s="262" t="e">
        <f t="shared" si="152"/>
        <v>#N/A</v>
      </c>
      <c r="IL132" s="390"/>
      <c r="IM132" s="390"/>
      <c r="IN132" s="262" t="e">
        <f t="shared" si="153"/>
        <v>#N/A</v>
      </c>
      <c r="IO132" s="262" t="e">
        <f t="shared" si="154"/>
        <v>#N/A</v>
      </c>
      <c r="IP132" s="390"/>
      <c r="IQ132" s="390"/>
      <c r="IR132" s="262" t="e">
        <f t="shared" si="155"/>
        <v>#N/A</v>
      </c>
      <c r="IS132" s="262" t="e">
        <f t="shared" si="156"/>
        <v>#N/A</v>
      </c>
      <c r="IT132" s="390"/>
      <c r="IU132" s="390"/>
      <c r="IV132" s="262" t="e">
        <f t="shared" si="157"/>
        <v>#N/A</v>
      </c>
      <c r="IW132" s="262" t="e">
        <f t="shared" si="158"/>
        <v>#N/A</v>
      </c>
      <c r="IX132" s="310"/>
      <c r="IY132" s="310"/>
      <c r="IZ132" s="310"/>
      <c r="JA132" s="310"/>
      <c r="JB132" s="313" t="s">
        <v>394</v>
      </c>
      <c r="JC132" s="228">
        <f>JC131-$IZ$114</f>
        <v>-0.8</v>
      </c>
      <c r="JD132" s="228">
        <f>JD131+$IZ$114</f>
        <v>0.51500000000000001</v>
      </c>
      <c r="JE132" s="310"/>
      <c r="JF132" s="310"/>
      <c r="JG132" s="310"/>
      <c r="JH132" s="310"/>
      <c r="JI132" s="313" t="s">
        <v>394</v>
      </c>
      <c r="JJ132" s="242">
        <f>JJ131-$IZ$114</f>
        <v>-0.8</v>
      </c>
      <c r="JK132" s="242">
        <f>JK131+$IZ$114</f>
        <v>0.51500000000000001</v>
      </c>
      <c r="JL132" s="310"/>
      <c r="JM132" s="310"/>
      <c r="JN132" s="261" t="e">
        <f t="shared" si="159"/>
        <v>#N/A</v>
      </c>
      <c r="JO132" s="261" t="e">
        <f t="shared" si="160"/>
        <v>#N/A</v>
      </c>
      <c r="JP132" s="310"/>
      <c r="JQ132" s="310"/>
      <c r="JR132" s="261" t="e">
        <f t="shared" si="165"/>
        <v>#N/A</v>
      </c>
      <c r="JS132" s="261" t="e">
        <f t="shared" si="166"/>
        <v>#N/A</v>
      </c>
      <c r="JT132" s="310"/>
      <c r="JU132" s="310"/>
      <c r="JV132" s="261" t="e">
        <f t="shared" si="161"/>
        <v>#N/A</v>
      </c>
      <c r="JW132" s="261" t="e">
        <f t="shared" si="162"/>
        <v>#N/A</v>
      </c>
      <c r="JX132" s="310"/>
      <c r="JY132" s="310"/>
      <c r="JZ132" s="310"/>
      <c r="KA132" s="310"/>
      <c r="KB132" s="310"/>
      <c r="KC132" s="310"/>
      <c r="KD132" s="310"/>
      <c r="KE132" s="310"/>
      <c r="KF132" s="310"/>
      <c r="KG132" s="310"/>
      <c r="KH132" s="310"/>
      <c r="KI132" s="310"/>
      <c r="KJ132" s="310"/>
      <c r="KK132" s="310"/>
      <c r="KL132" s="310"/>
      <c r="KM132" s="310"/>
      <c r="KN132" s="310"/>
      <c r="KO132" s="310"/>
      <c r="KP132" s="310"/>
      <c r="KQ132" s="310"/>
      <c r="KR132" s="310"/>
      <c r="KS132" s="310"/>
      <c r="KT132" s="310"/>
      <c r="KU132" s="310"/>
      <c r="KV132" s="310"/>
      <c r="KW132" s="310"/>
      <c r="KX132" s="310"/>
      <c r="KY132" s="310"/>
      <c r="KZ132" s="310"/>
      <c r="LA132" s="310"/>
      <c r="LB132" s="310"/>
      <c r="LC132" s="310"/>
      <c r="LD132" s="310"/>
      <c r="LE132" s="310"/>
      <c r="LF132" s="310"/>
      <c r="LG132" s="310"/>
      <c r="LH132" s="310"/>
      <c r="LI132" s="310"/>
      <c r="LJ132" s="310"/>
      <c r="LK132" s="310"/>
      <c r="LL132" s="310"/>
      <c r="LM132" s="310"/>
      <c r="LN132" s="310"/>
      <c r="LO132" s="310"/>
      <c r="LP132" s="310"/>
      <c r="LQ132" s="310"/>
      <c r="LR132" s="310"/>
      <c r="LS132" s="310"/>
      <c r="LT132" s="310"/>
      <c r="LU132" s="310"/>
      <c r="LV132" s="310"/>
      <c r="LW132" s="310"/>
      <c r="LX132" s="310"/>
      <c r="LY132" s="310"/>
      <c r="LZ132" s="310"/>
      <c r="MA132" s="310"/>
      <c r="MB132" s="310"/>
      <c r="MC132" s="310"/>
      <c r="MD132" s="310"/>
      <c r="ME132" s="310"/>
      <c r="MF132" s="310"/>
      <c r="MG132" s="310"/>
      <c r="MH132" s="310"/>
      <c r="MI132" s="310"/>
      <c r="MJ132" s="310"/>
      <c r="MK132" s="310"/>
      <c r="ML132" s="310"/>
      <c r="MM132" s="310"/>
      <c r="MN132" s="310"/>
      <c r="MO132" s="310"/>
      <c r="MP132" s="310"/>
      <c r="MQ132" s="310"/>
      <c r="MR132" s="310"/>
      <c r="MS132" s="310"/>
      <c r="MT132" s="310"/>
      <c r="MU132" s="310"/>
      <c r="MV132" s="310"/>
      <c r="MW132" s="310"/>
      <c r="MX132" s="310"/>
      <c r="MY132" s="310"/>
      <c r="MZ132" s="310"/>
      <c r="NA132" s="310"/>
      <c r="NB132" s="310"/>
      <c r="NC132" s="310"/>
      <c r="ND132" s="310"/>
      <c r="NE132" s="310"/>
      <c r="NF132" s="310"/>
      <c r="NG132" s="310"/>
      <c r="NH132" s="310"/>
      <c r="NI132" s="310"/>
      <c r="NJ132" s="310"/>
      <c r="NK132" s="310"/>
      <c r="NL132" s="310"/>
      <c r="NM132" s="310"/>
      <c r="NN132" s="310"/>
      <c r="NO132" s="310"/>
      <c r="NP132" s="310"/>
      <c r="NQ132" s="310"/>
      <c r="NR132" s="310"/>
      <c r="NS132" s="310"/>
      <c r="NT132" s="310"/>
      <c r="NU132" s="310"/>
      <c r="NV132" s="310"/>
      <c r="NW132" s="310"/>
      <c r="NX132" s="310"/>
      <c r="NY132" s="310"/>
      <c r="NZ132" s="310"/>
      <c r="OA132" s="310"/>
      <c r="OB132" s="310"/>
      <c r="OC132" s="310"/>
      <c r="OD132" s="310"/>
      <c r="OE132" s="310"/>
      <c r="OF132" s="310"/>
      <c r="OG132" s="310"/>
      <c r="OH132" s="310"/>
      <c r="OI132" s="310"/>
      <c r="OJ132" s="310"/>
      <c r="OK132" s="310"/>
      <c r="OL132" s="310"/>
      <c r="OM132" s="310"/>
      <c r="ON132" s="310"/>
      <c r="OO132" s="310"/>
      <c r="OP132" s="310"/>
      <c r="OQ132" s="310"/>
      <c r="OR132" s="310"/>
      <c r="OS132" s="310"/>
      <c r="OT132" s="310"/>
      <c r="OU132" s="310"/>
      <c r="OV132" s="310"/>
      <c r="OW132" s="310"/>
      <c r="OX132" s="310"/>
      <c r="OY132" s="310"/>
      <c r="OZ132" s="310"/>
      <c r="PA132" s="310"/>
      <c r="PB132" s="310"/>
      <c r="PC132" s="310"/>
      <c r="PD132" s="310"/>
      <c r="PE132" s="310"/>
      <c r="PF132" s="310"/>
      <c r="PG132" s="310"/>
      <c r="PH132" s="310"/>
      <c r="PI132" s="310"/>
      <c r="PJ132" s="310"/>
      <c r="PK132" s="310"/>
      <c r="PL132" s="310"/>
      <c r="PM132" s="310"/>
      <c r="PN132" s="310"/>
      <c r="PO132" s="310"/>
      <c r="PP132" s="310"/>
      <c r="PQ132" s="310"/>
      <c r="PR132" s="310"/>
      <c r="PS132" s="342">
        <v>118</v>
      </c>
      <c r="PT132" s="261" t="e">
        <f t="shared" si="163"/>
        <v>#N/A</v>
      </c>
      <c r="PU132" s="261" t="e">
        <f t="shared" si="164"/>
        <v>#N/A</v>
      </c>
      <c r="PV132" s="310"/>
      <c r="PW132" s="310"/>
      <c r="PX132" s="310"/>
      <c r="PY132" s="310"/>
      <c r="PZ132" s="310"/>
      <c r="QA132" s="310"/>
      <c r="QB132" s="310"/>
      <c r="QC132" s="310"/>
      <c r="QD132" s="310"/>
      <c r="QE132" s="310"/>
      <c r="QF132" s="310"/>
      <c r="QG132" s="310"/>
      <c r="QH132" s="310"/>
      <c r="QI132" s="310"/>
      <c r="QJ132" s="310"/>
      <c r="QK132" s="310"/>
      <c r="QL132" s="310"/>
      <c r="QM132" s="310"/>
      <c r="QN132" s="310"/>
      <c r="QO132" s="310"/>
      <c r="QP132" s="310"/>
      <c r="QQ132" s="310"/>
      <c r="QR132" s="310"/>
      <c r="QS132" s="310"/>
      <c r="QT132" s="310"/>
      <c r="QU132" s="310"/>
      <c r="QV132" s="310"/>
      <c r="QW132" s="310"/>
      <c r="QX132" s="310"/>
      <c r="QY132" s="310"/>
      <c r="QZ132" s="310"/>
      <c r="RA132" s="310"/>
      <c r="RB132" s="310"/>
      <c r="RC132" s="310"/>
      <c r="RD132" s="310"/>
      <c r="RE132" s="310"/>
      <c r="RF132" s="310"/>
      <c r="RG132" s="310"/>
      <c r="RH132" s="310"/>
      <c r="RI132" s="310"/>
      <c r="RJ132" s="310"/>
      <c r="RK132" s="310"/>
      <c r="RL132" s="310"/>
      <c r="RM132" s="310"/>
      <c r="RN132" s="310"/>
      <c r="RO132" s="310"/>
      <c r="RP132" s="310"/>
      <c r="RQ132" s="310"/>
      <c r="RR132" s="310"/>
      <c r="RS132" s="310"/>
      <c r="RT132" s="310"/>
      <c r="RU132" s="310"/>
      <c r="RV132" s="310"/>
      <c r="RW132" s="310"/>
      <c r="RX132" s="310"/>
      <c r="RY132" s="310"/>
      <c r="RZ132" s="310"/>
      <c r="SA132" s="310"/>
      <c r="SB132" s="310"/>
      <c r="SC132" s="310"/>
      <c r="SD132" s="310"/>
      <c r="SE132" s="310"/>
      <c r="SF132" s="310"/>
      <c r="SG132" s="310"/>
      <c r="SH132" s="310"/>
      <c r="SI132" s="310"/>
      <c r="SJ132" s="310"/>
      <c r="SK132" s="310"/>
      <c r="SL132" s="310"/>
      <c r="SM132" s="310"/>
      <c r="SN132" s="310"/>
      <c r="SO132" s="220"/>
      <c r="SP132" s="220"/>
      <c r="SQ132" s="220"/>
      <c r="SR132" s="220"/>
      <c r="SS132" s="220"/>
      <c r="ST132" s="220"/>
      <c r="SU132" s="220"/>
      <c r="SV132" s="220"/>
      <c r="SW132" s="220"/>
      <c r="SX132" s="220"/>
      <c r="SY132" s="220"/>
      <c r="SZ132" s="220"/>
      <c r="TA132" s="220"/>
      <c r="TB132" s="220"/>
      <c r="TC132" s="220"/>
      <c r="TD132" s="220"/>
      <c r="TE132" s="220"/>
      <c r="TF132" s="220"/>
      <c r="TG132" s="220"/>
      <c r="TH132" s="220"/>
      <c r="TI132" s="220"/>
      <c r="TJ132" s="220"/>
      <c r="TK132" s="220"/>
      <c r="TL132" s="220"/>
      <c r="TM132" s="220"/>
      <c r="TN132" s="220"/>
      <c r="TO132" s="220"/>
      <c r="TP132" s="220"/>
      <c r="TQ132" s="220"/>
      <c r="TR132" s="220"/>
      <c r="TS132" s="220"/>
      <c r="TT132" s="220"/>
      <c r="TU132" s="220"/>
      <c r="TV132" s="220"/>
      <c r="TW132" s="220"/>
      <c r="TX132" s="220"/>
      <c r="TY132" s="220"/>
      <c r="TZ132" s="220"/>
      <c r="UA132" s="220"/>
      <c r="UB132" s="220"/>
      <c r="UC132" s="220"/>
      <c r="UD132" s="220"/>
      <c r="UE132" s="220"/>
      <c r="UF132" s="220"/>
      <c r="UG132" s="220"/>
      <c r="UH132" s="220"/>
      <c r="UI132" s="220"/>
      <c r="UJ132" s="220"/>
      <c r="UK132" s="216"/>
      <c r="UL132" s="216"/>
      <c r="UM132" s="216"/>
      <c r="UN132" s="216"/>
      <c r="UO132" s="216"/>
      <c r="UP132" s="216"/>
      <c r="UQ132" s="216"/>
      <c r="UR132" s="216"/>
      <c r="US132" s="216"/>
      <c r="UT132" s="216"/>
      <c r="UU132" s="216"/>
      <c r="UV132" s="216"/>
      <c r="UW132" s="216"/>
      <c r="UX132" s="216"/>
      <c r="UY132" s="216"/>
      <c r="UZ132" s="216"/>
      <c r="VA132" s="216"/>
    </row>
    <row r="133" spans="1:574" s="4" customFormat="1" x14ac:dyDescent="0.5">
      <c r="AP133" s="310"/>
      <c r="AQ133" s="310"/>
      <c r="AR133" s="310"/>
      <c r="AS133" s="310"/>
      <c r="AT133" s="310"/>
      <c r="AU133" s="310"/>
      <c r="AV133" s="310"/>
      <c r="AW133" s="310"/>
      <c r="AX133" s="310"/>
      <c r="AY133" s="310"/>
      <c r="AZ133" s="310"/>
      <c r="BA133" s="310"/>
      <c r="BB133" s="310"/>
      <c r="BC133" s="310"/>
      <c r="BD133" s="310"/>
      <c r="BE133" s="310"/>
      <c r="BF133" s="310"/>
      <c r="BG133" s="310"/>
      <c r="BH133" s="310"/>
      <c r="BI133" s="310"/>
      <c r="BJ133" s="310"/>
      <c r="BK133" s="310"/>
      <c r="BL133" s="310"/>
      <c r="BM133" s="310"/>
      <c r="BN133" s="310"/>
      <c r="BO133" s="310"/>
      <c r="BP133" s="310"/>
      <c r="BQ133" s="310"/>
      <c r="BR133" s="310"/>
      <c r="BS133" s="310"/>
      <c r="BT133" s="310"/>
      <c r="BU133" s="310"/>
      <c r="BV133" s="310"/>
      <c r="BW133" s="310"/>
      <c r="BX133" s="310"/>
      <c r="BY133" s="310"/>
      <c r="BZ133" s="310"/>
      <c r="CA133" s="310"/>
      <c r="CB133" s="310"/>
      <c r="CC133" s="310"/>
      <c r="CD133" s="310"/>
      <c r="CE133" s="310"/>
      <c r="CF133" s="310"/>
      <c r="CG133" s="310"/>
      <c r="CH133" s="310"/>
      <c r="CI133" s="310"/>
      <c r="CJ133" s="310"/>
      <c r="CK133" s="310"/>
      <c r="CL133" s="310"/>
      <c r="CM133" s="310"/>
      <c r="CN133" s="310"/>
      <c r="CO133" s="310"/>
      <c r="CP133" s="310"/>
      <c r="CQ133" s="310"/>
      <c r="CR133" s="310"/>
      <c r="CS133" s="310"/>
      <c r="CT133" s="310"/>
      <c r="CU133" s="310"/>
      <c r="CV133" s="310"/>
      <c r="CW133" s="310"/>
      <c r="CX133" s="310"/>
      <c r="CY133" s="310"/>
      <c r="CZ133" s="310"/>
      <c r="DA133" s="310"/>
      <c r="DB133" s="310"/>
      <c r="DC133" s="310"/>
      <c r="DD133" s="310"/>
      <c r="DE133" s="310"/>
      <c r="DF133" s="310"/>
      <c r="DG133" s="310"/>
      <c r="DH133" s="310"/>
      <c r="DI133" s="310"/>
      <c r="DJ133" s="310"/>
      <c r="DK133" s="310"/>
      <c r="DL133" s="310"/>
      <c r="DM133" s="310"/>
      <c r="DN133" s="310"/>
      <c r="DO133" s="310"/>
      <c r="DP133" s="310"/>
      <c r="DQ133" s="310"/>
      <c r="DR133" s="310"/>
      <c r="DS133" s="310"/>
      <c r="DT133" s="310"/>
      <c r="DU133" s="310"/>
      <c r="DV133" s="310"/>
      <c r="DW133" s="310"/>
      <c r="DX133" s="310"/>
      <c r="DY133" s="310"/>
      <c r="DZ133" s="310"/>
      <c r="EA133" s="310"/>
      <c r="EB133" s="310"/>
      <c r="EC133" s="310"/>
      <c r="ED133" s="310"/>
      <c r="EE133" s="310"/>
      <c r="EF133" s="310"/>
      <c r="EG133" s="310"/>
      <c r="EH133" s="310"/>
      <c r="EI133" s="310"/>
      <c r="EJ133" s="310"/>
      <c r="EK133" s="310"/>
      <c r="EL133" s="310">
        <v>4</v>
      </c>
      <c r="EM133" s="310" t="b">
        <f>IF($D$63&gt;=EL133,TRUE,FALSE)</f>
        <v>0</v>
      </c>
      <c r="EN133" s="280" t="e">
        <f>IF(EM133=TRUE,EN130,#N/A)</f>
        <v>#N/A</v>
      </c>
      <c r="EO133" s="280" t="e">
        <f>IF(EM133=TRUE,EO130-$EM$123,#N/A)</f>
        <v>#N/A</v>
      </c>
      <c r="EP133" s="310"/>
      <c r="EQ133" s="310"/>
      <c r="ER133" s="310"/>
      <c r="ES133" s="310"/>
      <c r="ET133" s="310"/>
      <c r="EU133" s="310"/>
      <c r="EV133" s="310"/>
      <c r="EW133" s="310"/>
      <c r="EX133" s="310"/>
      <c r="EY133" s="310"/>
      <c r="EZ133" s="310"/>
      <c r="FA133" s="310"/>
      <c r="FB133" s="310"/>
      <c r="FC133" s="310"/>
      <c r="FD133" s="310"/>
      <c r="FE133" s="310"/>
      <c r="FF133" s="310"/>
      <c r="FG133" s="310"/>
      <c r="FH133" s="310"/>
      <c r="FI133" s="310"/>
      <c r="FJ133" s="310"/>
      <c r="FK133" s="310"/>
      <c r="FL133" s="311"/>
      <c r="FM133" s="311"/>
      <c r="FN133" s="311"/>
      <c r="FO133" s="311"/>
      <c r="FP133" s="311"/>
      <c r="FQ133" s="311"/>
      <c r="FR133" s="311"/>
      <c r="FS133" s="311"/>
      <c r="FT133" s="311"/>
      <c r="FU133" s="311"/>
      <c r="FV133" s="311"/>
      <c r="FW133" s="311"/>
      <c r="FX133" s="311"/>
      <c r="FY133" s="311"/>
      <c r="FZ133" s="311"/>
      <c r="GA133" s="311"/>
      <c r="GB133" s="310"/>
      <c r="GC133" s="310"/>
      <c r="GD133" s="310"/>
      <c r="GE133" s="310"/>
      <c r="GF133" s="310"/>
      <c r="GG133" s="310"/>
      <c r="GH133" s="310"/>
      <c r="GI133" s="310"/>
      <c r="GJ133" s="310"/>
      <c r="GK133" s="310"/>
      <c r="GL133" s="310"/>
      <c r="GM133" s="310"/>
      <c r="GN133" s="310"/>
      <c r="GO133" s="310"/>
      <c r="GP133" s="310"/>
      <c r="GQ133" s="310"/>
      <c r="GR133" s="310"/>
      <c r="GS133" s="310"/>
      <c r="GT133" s="310"/>
      <c r="GU133" s="310"/>
      <c r="GV133" s="310"/>
      <c r="GW133" s="310"/>
      <c r="GX133" s="310"/>
      <c r="GY133" s="310"/>
      <c r="GZ133" s="310"/>
      <c r="HA133" s="310"/>
      <c r="HB133" s="310"/>
      <c r="HC133" s="310"/>
      <c r="HD133" s="310"/>
      <c r="HE133" s="310"/>
      <c r="HF133" s="310"/>
      <c r="HG133" s="310"/>
      <c r="HH133" s="310"/>
      <c r="HI133" s="310"/>
      <c r="HJ133" s="310"/>
      <c r="HK133" s="342">
        <v>119</v>
      </c>
      <c r="HL133" s="235" t="e">
        <f t="shared" si="139"/>
        <v>#N/A</v>
      </c>
      <c r="HM133" s="235" t="e">
        <f t="shared" si="140"/>
        <v>#N/A</v>
      </c>
      <c r="HN133" s="310"/>
      <c r="HO133" s="310"/>
      <c r="HP133" s="235" t="e">
        <f t="shared" si="141"/>
        <v>#N/A</v>
      </c>
      <c r="HQ133" s="235" t="e">
        <f t="shared" si="142"/>
        <v>#N/A</v>
      </c>
      <c r="HR133" s="310"/>
      <c r="HS133" s="310"/>
      <c r="HT133" s="235" t="e">
        <f t="shared" si="143"/>
        <v>#N/A</v>
      </c>
      <c r="HU133" s="235" t="e">
        <f t="shared" si="144"/>
        <v>#N/A</v>
      </c>
      <c r="HV133" s="310"/>
      <c r="HW133" s="310"/>
      <c r="HX133" s="235" t="e">
        <f t="shared" si="145"/>
        <v>#N/A</v>
      </c>
      <c r="HY133" s="235" t="e">
        <f t="shared" si="146"/>
        <v>#N/A</v>
      </c>
      <c r="HZ133" s="310"/>
      <c r="IA133" s="310"/>
      <c r="IB133" s="235" t="e">
        <f t="shared" si="147"/>
        <v>#N/A</v>
      </c>
      <c r="IC133" s="235" t="e">
        <f t="shared" si="148"/>
        <v>#N/A</v>
      </c>
      <c r="ID133" s="310"/>
      <c r="IE133" s="342">
        <v>119</v>
      </c>
      <c r="IF133" s="262" t="e">
        <f t="shared" si="149"/>
        <v>#N/A</v>
      </c>
      <c r="IG133" s="262" t="e">
        <f t="shared" si="150"/>
        <v>#N/A</v>
      </c>
      <c r="IH133" s="390"/>
      <c r="II133" s="390"/>
      <c r="IJ133" s="262" t="e">
        <f t="shared" si="151"/>
        <v>#N/A</v>
      </c>
      <c r="IK133" s="262" t="e">
        <f t="shared" si="152"/>
        <v>#N/A</v>
      </c>
      <c r="IL133" s="390"/>
      <c r="IM133" s="390"/>
      <c r="IN133" s="262" t="e">
        <f t="shared" si="153"/>
        <v>#N/A</v>
      </c>
      <c r="IO133" s="262" t="e">
        <f t="shared" si="154"/>
        <v>#N/A</v>
      </c>
      <c r="IP133" s="390"/>
      <c r="IQ133" s="390"/>
      <c r="IR133" s="262" t="e">
        <f t="shared" si="155"/>
        <v>#N/A</v>
      </c>
      <c r="IS133" s="262" t="e">
        <f t="shared" si="156"/>
        <v>#N/A</v>
      </c>
      <c r="IT133" s="390"/>
      <c r="IU133" s="390"/>
      <c r="IV133" s="262" t="e">
        <f t="shared" si="157"/>
        <v>#N/A</v>
      </c>
      <c r="IW133" s="262" t="e">
        <f t="shared" si="158"/>
        <v>#N/A</v>
      </c>
      <c r="IX133" s="310"/>
      <c r="IY133" s="310"/>
      <c r="IZ133" s="310"/>
      <c r="JA133" s="310"/>
      <c r="JB133" s="313" t="s">
        <v>395</v>
      </c>
      <c r="JC133" s="228">
        <f>JC132</f>
        <v>-0.8</v>
      </c>
      <c r="JD133" s="228">
        <f>JD128</f>
        <v>0.57499999999999996</v>
      </c>
      <c r="JE133" s="310"/>
      <c r="JF133" s="310"/>
      <c r="JG133" s="310"/>
      <c r="JH133" s="310"/>
      <c r="JI133" s="313" t="s">
        <v>395</v>
      </c>
      <c r="JJ133" s="242">
        <f>JJ132</f>
        <v>-0.8</v>
      </c>
      <c r="JK133" s="242">
        <f>JK128</f>
        <v>0.57499999999999996</v>
      </c>
      <c r="JL133" s="310"/>
      <c r="JM133" s="310"/>
      <c r="JN133" s="261" t="e">
        <f t="shared" si="159"/>
        <v>#N/A</v>
      </c>
      <c r="JO133" s="261" t="e">
        <f t="shared" si="160"/>
        <v>#N/A</v>
      </c>
      <c r="JP133" s="310"/>
      <c r="JQ133" s="310"/>
      <c r="JR133" s="261" t="e">
        <f t="shared" si="165"/>
        <v>#N/A</v>
      </c>
      <c r="JS133" s="261" t="e">
        <f t="shared" si="166"/>
        <v>#N/A</v>
      </c>
      <c r="JT133" s="310"/>
      <c r="JU133" s="310"/>
      <c r="JV133" s="261" t="e">
        <f t="shared" si="161"/>
        <v>#N/A</v>
      </c>
      <c r="JW133" s="261" t="e">
        <f t="shared" si="162"/>
        <v>#N/A</v>
      </c>
      <c r="JX133" s="310"/>
      <c r="JY133" s="310"/>
      <c r="JZ133" s="310"/>
      <c r="KA133" s="310"/>
      <c r="KB133" s="310"/>
      <c r="KC133" s="310"/>
      <c r="KD133" s="310"/>
      <c r="KE133" s="310"/>
      <c r="KF133" s="310"/>
      <c r="KG133" s="310"/>
      <c r="KH133" s="310"/>
      <c r="KI133" s="310"/>
      <c r="KJ133" s="310"/>
      <c r="KK133" s="310"/>
      <c r="KL133" s="310"/>
      <c r="KM133" s="310"/>
      <c r="KN133" s="310"/>
      <c r="KO133" s="310"/>
      <c r="KP133" s="310"/>
      <c r="KQ133" s="310"/>
      <c r="KR133" s="310"/>
      <c r="KS133" s="310"/>
      <c r="KT133" s="310"/>
      <c r="KU133" s="310"/>
      <c r="KV133" s="310"/>
      <c r="KW133" s="310"/>
      <c r="KX133" s="310"/>
      <c r="KY133" s="310"/>
      <c r="KZ133" s="310"/>
      <c r="LA133" s="310"/>
      <c r="LB133" s="310"/>
      <c r="LC133" s="310"/>
      <c r="LD133" s="310"/>
      <c r="LE133" s="310"/>
      <c r="LF133" s="310"/>
      <c r="LG133" s="310"/>
      <c r="LH133" s="310"/>
      <c r="LI133" s="310"/>
      <c r="LJ133" s="310"/>
      <c r="LK133" s="310"/>
      <c r="LL133" s="310"/>
      <c r="LM133" s="310"/>
      <c r="LN133" s="310"/>
      <c r="LO133" s="310"/>
      <c r="LP133" s="310"/>
      <c r="LQ133" s="310"/>
      <c r="LR133" s="310"/>
      <c r="LS133" s="310"/>
      <c r="LT133" s="310"/>
      <c r="LU133" s="310"/>
      <c r="LV133" s="310"/>
      <c r="LW133" s="310"/>
      <c r="LX133" s="310"/>
      <c r="LY133" s="310"/>
      <c r="LZ133" s="310"/>
      <c r="MA133" s="310"/>
      <c r="MB133" s="310"/>
      <c r="MC133" s="310"/>
      <c r="MD133" s="310"/>
      <c r="ME133" s="310"/>
      <c r="MF133" s="310"/>
      <c r="MG133" s="310"/>
      <c r="MH133" s="310"/>
      <c r="MI133" s="310"/>
      <c r="MJ133" s="310"/>
      <c r="MK133" s="310"/>
      <c r="ML133" s="310"/>
      <c r="MM133" s="310"/>
      <c r="MN133" s="310"/>
      <c r="MO133" s="310"/>
      <c r="MP133" s="310"/>
      <c r="MQ133" s="310"/>
      <c r="MR133" s="310"/>
      <c r="MS133" s="310"/>
      <c r="MT133" s="310"/>
      <c r="MU133" s="310"/>
      <c r="MV133" s="310"/>
      <c r="MW133" s="310"/>
      <c r="MX133" s="310"/>
      <c r="MY133" s="310"/>
      <c r="MZ133" s="310"/>
      <c r="NA133" s="310"/>
      <c r="NB133" s="310"/>
      <c r="NC133" s="310"/>
      <c r="ND133" s="310"/>
      <c r="NE133" s="310"/>
      <c r="NF133" s="310"/>
      <c r="NG133" s="310"/>
      <c r="NH133" s="310"/>
      <c r="NI133" s="310"/>
      <c r="NJ133" s="310"/>
      <c r="NK133" s="310"/>
      <c r="NL133" s="310"/>
      <c r="NM133" s="310"/>
      <c r="NN133" s="310"/>
      <c r="NO133" s="310"/>
      <c r="NP133" s="310"/>
      <c r="NQ133" s="310"/>
      <c r="NR133" s="310"/>
      <c r="NS133" s="310"/>
      <c r="NT133" s="310"/>
      <c r="NU133" s="310"/>
      <c r="NV133" s="310"/>
      <c r="NW133" s="310"/>
      <c r="NX133" s="310"/>
      <c r="NY133" s="310"/>
      <c r="NZ133" s="310"/>
      <c r="OA133" s="310"/>
      <c r="OB133" s="310"/>
      <c r="OC133" s="310"/>
      <c r="OD133" s="310"/>
      <c r="OE133" s="310"/>
      <c r="OF133" s="310"/>
      <c r="OG133" s="310"/>
      <c r="OH133" s="310"/>
      <c r="OI133" s="310"/>
      <c r="OJ133" s="310"/>
      <c r="OK133" s="310"/>
      <c r="OL133" s="310"/>
      <c r="OM133" s="310"/>
      <c r="ON133" s="310"/>
      <c r="OO133" s="310"/>
      <c r="OP133" s="310"/>
      <c r="OQ133" s="310"/>
      <c r="OR133" s="310"/>
      <c r="OS133" s="310"/>
      <c r="OT133" s="310"/>
      <c r="OU133" s="310"/>
      <c r="OV133" s="310"/>
      <c r="OW133" s="310"/>
      <c r="OX133" s="310"/>
      <c r="OY133" s="310"/>
      <c r="OZ133" s="310"/>
      <c r="PA133" s="310"/>
      <c r="PB133" s="310"/>
      <c r="PC133" s="310"/>
      <c r="PD133" s="310"/>
      <c r="PE133" s="310"/>
      <c r="PF133" s="310"/>
      <c r="PG133" s="310"/>
      <c r="PH133" s="310"/>
      <c r="PI133" s="310"/>
      <c r="PJ133" s="310"/>
      <c r="PK133" s="310"/>
      <c r="PL133" s="310"/>
      <c r="PM133" s="310"/>
      <c r="PN133" s="310"/>
      <c r="PO133" s="310"/>
      <c r="PP133" s="310"/>
      <c r="PQ133" s="310"/>
      <c r="PR133" s="310"/>
      <c r="PS133" s="342">
        <v>119</v>
      </c>
      <c r="PT133" s="261" t="e">
        <f t="shared" si="163"/>
        <v>#N/A</v>
      </c>
      <c r="PU133" s="261" t="e">
        <f t="shared" si="164"/>
        <v>#N/A</v>
      </c>
      <c r="PV133" s="310"/>
      <c r="PW133" s="310"/>
      <c r="PX133" s="310"/>
      <c r="PY133" s="310"/>
      <c r="PZ133" s="310"/>
      <c r="QA133" s="310"/>
      <c r="QB133" s="310"/>
      <c r="QC133" s="310"/>
      <c r="QD133" s="310"/>
      <c r="QE133" s="310"/>
      <c r="QF133" s="310"/>
      <c r="QG133" s="310"/>
      <c r="QH133" s="310"/>
      <c r="QI133" s="310"/>
      <c r="QJ133" s="310"/>
      <c r="QK133" s="310"/>
      <c r="QL133" s="310"/>
      <c r="QM133" s="310"/>
      <c r="QN133" s="310"/>
      <c r="QO133" s="310"/>
      <c r="QP133" s="310"/>
      <c r="QQ133" s="310"/>
      <c r="QR133" s="310"/>
      <c r="QS133" s="310"/>
      <c r="QT133" s="310"/>
      <c r="QU133" s="310"/>
      <c r="QV133" s="310"/>
      <c r="QW133" s="310"/>
      <c r="QX133" s="310"/>
      <c r="QY133" s="310"/>
      <c r="QZ133" s="310"/>
      <c r="RA133" s="310"/>
      <c r="RB133" s="310"/>
      <c r="RC133" s="310"/>
      <c r="RD133" s="310"/>
      <c r="RE133" s="310"/>
      <c r="RF133" s="310"/>
      <c r="RG133" s="310"/>
      <c r="RH133" s="310"/>
      <c r="RI133" s="310"/>
      <c r="RJ133" s="310"/>
      <c r="RK133" s="310"/>
      <c r="RL133" s="310"/>
      <c r="RM133" s="310"/>
      <c r="RN133" s="310"/>
      <c r="RO133" s="310"/>
      <c r="RP133" s="310"/>
      <c r="RQ133" s="310"/>
      <c r="RR133" s="310"/>
      <c r="RS133" s="310"/>
      <c r="RT133" s="310"/>
      <c r="RU133" s="310"/>
      <c r="RV133" s="310"/>
      <c r="RW133" s="310"/>
      <c r="RX133" s="310"/>
      <c r="RY133" s="310"/>
      <c r="RZ133" s="310"/>
      <c r="SA133" s="310"/>
      <c r="SB133" s="310"/>
      <c r="SC133" s="310"/>
      <c r="SD133" s="310"/>
      <c r="SE133" s="310"/>
      <c r="SF133" s="310"/>
      <c r="SG133" s="310"/>
      <c r="SH133" s="310"/>
      <c r="SI133" s="310"/>
      <c r="SJ133" s="310"/>
      <c r="SK133" s="310"/>
      <c r="SL133" s="310"/>
      <c r="SM133" s="310"/>
      <c r="SN133" s="310"/>
      <c r="SO133" s="220"/>
      <c r="SP133" s="220"/>
      <c r="SQ133" s="220"/>
      <c r="SR133" s="220"/>
      <c r="SS133" s="220"/>
      <c r="ST133" s="220"/>
      <c r="SU133" s="220"/>
      <c r="SV133" s="220"/>
      <c r="SW133" s="220"/>
      <c r="SX133" s="220"/>
      <c r="SY133" s="220"/>
      <c r="SZ133" s="220"/>
      <c r="TA133" s="220"/>
      <c r="TB133" s="220"/>
      <c r="TC133" s="220"/>
      <c r="TD133" s="220"/>
      <c r="TE133" s="220"/>
      <c r="TF133" s="220"/>
      <c r="TG133" s="220"/>
      <c r="TH133" s="220"/>
      <c r="TI133" s="220"/>
      <c r="TJ133" s="220"/>
      <c r="TK133" s="220"/>
      <c r="TL133" s="220"/>
      <c r="TM133" s="220"/>
      <c r="TN133" s="220"/>
      <c r="TO133" s="220"/>
      <c r="TP133" s="220"/>
      <c r="TQ133" s="220"/>
      <c r="TR133" s="220"/>
      <c r="TS133" s="220"/>
      <c r="TT133" s="220"/>
      <c r="TU133" s="220"/>
      <c r="TV133" s="220"/>
      <c r="TW133" s="220"/>
      <c r="TX133" s="220"/>
      <c r="TY133" s="220"/>
      <c r="TZ133" s="220"/>
      <c r="UA133" s="220"/>
      <c r="UB133" s="220"/>
      <c r="UC133" s="220"/>
      <c r="UD133" s="220"/>
      <c r="UE133" s="220"/>
      <c r="UF133" s="220"/>
      <c r="UG133" s="220"/>
      <c r="UH133" s="220"/>
      <c r="UI133" s="220"/>
      <c r="UJ133" s="220"/>
      <c r="UK133" s="216"/>
      <c r="UL133" s="216"/>
      <c r="UM133" s="216"/>
      <c r="UN133" s="216"/>
      <c r="UO133" s="216"/>
      <c r="UP133" s="216"/>
      <c r="UQ133" s="216"/>
      <c r="UR133" s="216"/>
      <c r="US133" s="216"/>
      <c r="UT133" s="216"/>
      <c r="UU133" s="216"/>
      <c r="UV133" s="216"/>
      <c r="UW133" s="216"/>
      <c r="UX133" s="216"/>
      <c r="UY133" s="216"/>
      <c r="UZ133" s="216"/>
      <c r="VA133" s="216"/>
    </row>
    <row r="134" spans="1:574" s="4" customFormat="1" x14ac:dyDescent="0.5">
      <c r="AP134" s="310"/>
      <c r="AQ134" s="310"/>
      <c r="AR134" s="310"/>
      <c r="AS134" s="310"/>
      <c r="AT134" s="310"/>
      <c r="AU134" s="310"/>
      <c r="AV134" s="310"/>
      <c r="AW134" s="310"/>
      <c r="AX134" s="310"/>
      <c r="AY134" s="310"/>
      <c r="AZ134" s="310"/>
      <c r="BA134" s="310"/>
      <c r="BB134" s="310"/>
      <c r="BC134" s="310"/>
      <c r="BD134" s="310"/>
      <c r="BE134" s="310"/>
      <c r="BF134" s="310"/>
      <c r="BG134" s="310"/>
      <c r="BH134" s="310"/>
      <c r="BI134" s="310"/>
      <c r="BJ134" s="310"/>
      <c r="BK134" s="310"/>
      <c r="BL134" s="310"/>
      <c r="BM134" s="310"/>
      <c r="BN134" s="310"/>
      <c r="BO134" s="310"/>
      <c r="BP134" s="310"/>
      <c r="BQ134" s="310"/>
      <c r="BR134" s="310"/>
      <c r="BS134" s="310"/>
      <c r="BT134" s="310"/>
      <c r="BU134" s="310"/>
      <c r="BV134" s="310"/>
      <c r="BW134" s="310"/>
      <c r="BX134" s="310"/>
      <c r="BY134" s="310"/>
      <c r="BZ134" s="310"/>
      <c r="CA134" s="310"/>
      <c r="CB134" s="310"/>
      <c r="CC134" s="310"/>
      <c r="CD134" s="310"/>
      <c r="CE134" s="310"/>
      <c r="CF134" s="310"/>
      <c r="CG134" s="310"/>
      <c r="CH134" s="310"/>
      <c r="CI134" s="310"/>
      <c r="CJ134" s="310"/>
      <c r="CK134" s="310"/>
      <c r="CL134" s="310"/>
      <c r="CM134" s="310"/>
      <c r="CN134" s="310"/>
      <c r="CO134" s="310"/>
      <c r="CP134" s="310"/>
      <c r="CQ134" s="310"/>
      <c r="CR134" s="310"/>
      <c r="CS134" s="310"/>
      <c r="CT134" s="310"/>
      <c r="CU134" s="310"/>
      <c r="CV134" s="310"/>
      <c r="CW134" s="310"/>
      <c r="CX134" s="310"/>
      <c r="CY134" s="310"/>
      <c r="CZ134" s="310"/>
      <c r="DA134" s="310"/>
      <c r="DB134" s="310"/>
      <c r="DC134" s="310"/>
      <c r="DD134" s="310"/>
      <c r="DE134" s="310"/>
      <c r="DF134" s="310"/>
      <c r="DG134" s="310"/>
      <c r="DH134" s="310"/>
      <c r="DI134" s="310"/>
      <c r="DJ134" s="310"/>
      <c r="DK134" s="310"/>
      <c r="DL134" s="310"/>
      <c r="DM134" s="310"/>
      <c r="DN134" s="310"/>
      <c r="DO134" s="310"/>
      <c r="DP134" s="310"/>
      <c r="DQ134" s="310"/>
      <c r="DR134" s="310"/>
      <c r="DS134" s="310"/>
      <c r="DT134" s="310"/>
      <c r="DU134" s="310"/>
      <c r="DV134" s="310"/>
      <c r="DW134" s="310"/>
      <c r="DX134" s="310"/>
      <c r="DY134" s="310"/>
      <c r="DZ134" s="310"/>
      <c r="EA134" s="310"/>
      <c r="EB134" s="310"/>
      <c r="EC134" s="310"/>
      <c r="ED134" s="310"/>
      <c r="EE134" s="310"/>
      <c r="EF134" s="310"/>
      <c r="EG134" s="310"/>
      <c r="EH134" s="310"/>
      <c r="EI134" s="310"/>
      <c r="EJ134" s="310"/>
      <c r="EK134" s="310"/>
      <c r="EL134" s="310"/>
      <c r="EM134" s="310"/>
      <c r="EN134" s="280" t="e">
        <f>IF(EM133=TRUE,EN131,#N/A)</f>
        <v>#N/A</v>
      </c>
      <c r="EO134" s="280" t="e">
        <f>EO133</f>
        <v>#N/A</v>
      </c>
      <c r="EP134" s="310"/>
      <c r="EQ134" s="310"/>
      <c r="ER134" s="310"/>
      <c r="ES134" s="310"/>
      <c r="ET134" s="310"/>
      <c r="EU134" s="310"/>
      <c r="EV134" s="310"/>
      <c r="EW134" s="310"/>
      <c r="EX134" s="310"/>
      <c r="EY134" s="310"/>
      <c r="EZ134" s="310"/>
      <c r="FA134" s="310"/>
      <c r="FB134" s="310"/>
      <c r="FC134" s="310"/>
      <c r="FD134" s="310"/>
      <c r="FE134" s="310"/>
      <c r="FF134" s="310"/>
      <c r="FG134" s="310"/>
      <c r="FH134" s="310"/>
      <c r="FI134" s="310"/>
      <c r="FJ134" s="310"/>
      <c r="FK134" s="310"/>
      <c r="FL134" s="311"/>
      <c r="FM134" s="311"/>
      <c r="FN134" s="311"/>
      <c r="FO134" s="311"/>
      <c r="FP134" s="311"/>
      <c r="FQ134" s="311"/>
      <c r="FR134" s="311"/>
      <c r="FS134" s="311"/>
      <c r="FT134" s="311"/>
      <c r="FU134" s="311"/>
      <c r="FV134" s="311"/>
      <c r="FW134" s="311"/>
      <c r="FX134" s="311"/>
      <c r="FY134" s="311"/>
      <c r="FZ134" s="311"/>
      <c r="GA134" s="311"/>
      <c r="GB134" s="310"/>
      <c r="GC134" s="310"/>
      <c r="GD134" s="310"/>
      <c r="GE134" s="310"/>
      <c r="GF134" s="310"/>
      <c r="GG134" s="310"/>
      <c r="GH134" s="310"/>
      <c r="GI134" s="310"/>
      <c r="GJ134" s="310"/>
      <c r="GK134" s="310"/>
      <c r="GL134" s="310"/>
      <c r="GM134" s="310"/>
      <c r="GN134" s="310"/>
      <c r="GO134" s="310"/>
      <c r="GP134" s="310"/>
      <c r="GQ134" s="310"/>
      <c r="GR134" s="310"/>
      <c r="GS134" s="310"/>
      <c r="GT134" s="310"/>
      <c r="GU134" s="310"/>
      <c r="GV134" s="310"/>
      <c r="GW134" s="310"/>
      <c r="GX134" s="310"/>
      <c r="GY134" s="310"/>
      <c r="GZ134" s="310"/>
      <c r="HA134" s="310"/>
      <c r="HB134" s="310"/>
      <c r="HC134" s="310"/>
      <c r="HD134" s="310"/>
      <c r="HE134" s="310"/>
      <c r="HF134" s="310"/>
      <c r="HG134" s="310"/>
      <c r="HH134" s="310"/>
      <c r="HI134" s="310"/>
      <c r="HJ134" s="310"/>
      <c r="HK134" s="342">
        <v>120</v>
      </c>
      <c r="HL134" s="235" t="e">
        <f t="shared" si="139"/>
        <v>#N/A</v>
      </c>
      <c r="HM134" s="235" t="e">
        <f t="shared" si="140"/>
        <v>#N/A</v>
      </c>
      <c r="HN134" s="310"/>
      <c r="HO134" s="310"/>
      <c r="HP134" s="235" t="e">
        <f t="shared" si="141"/>
        <v>#N/A</v>
      </c>
      <c r="HQ134" s="235" t="e">
        <f t="shared" si="142"/>
        <v>#N/A</v>
      </c>
      <c r="HR134" s="310"/>
      <c r="HS134" s="310"/>
      <c r="HT134" s="235" t="e">
        <f t="shared" si="143"/>
        <v>#N/A</v>
      </c>
      <c r="HU134" s="235" t="e">
        <f t="shared" si="144"/>
        <v>#N/A</v>
      </c>
      <c r="HV134" s="310"/>
      <c r="HW134" s="310"/>
      <c r="HX134" s="235" t="e">
        <f t="shared" si="145"/>
        <v>#N/A</v>
      </c>
      <c r="HY134" s="235" t="e">
        <f t="shared" si="146"/>
        <v>#N/A</v>
      </c>
      <c r="HZ134" s="310"/>
      <c r="IA134" s="310"/>
      <c r="IB134" s="235" t="e">
        <f t="shared" si="147"/>
        <v>#N/A</v>
      </c>
      <c r="IC134" s="235" t="e">
        <f t="shared" si="148"/>
        <v>#N/A</v>
      </c>
      <c r="ID134" s="310"/>
      <c r="IE134" s="342">
        <v>120</v>
      </c>
      <c r="IF134" s="262" t="e">
        <f t="shared" si="149"/>
        <v>#N/A</v>
      </c>
      <c r="IG134" s="262" t="e">
        <f t="shared" si="150"/>
        <v>#N/A</v>
      </c>
      <c r="IH134" s="390"/>
      <c r="II134" s="390"/>
      <c r="IJ134" s="262" t="e">
        <f t="shared" si="151"/>
        <v>#N/A</v>
      </c>
      <c r="IK134" s="262" t="e">
        <f t="shared" si="152"/>
        <v>#N/A</v>
      </c>
      <c r="IL134" s="390"/>
      <c r="IM134" s="390"/>
      <c r="IN134" s="262" t="e">
        <f t="shared" si="153"/>
        <v>#N/A</v>
      </c>
      <c r="IO134" s="262" t="e">
        <f t="shared" si="154"/>
        <v>#N/A</v>
      </c>
      <c r="IP134" s="390"/>
      <c r="IQ134" s="390"/>
      <c r="IR134" s="262" t="e">
        <f t="shared" si="155"/>
        <v>#N/A</v>
      </c>
      <c r="IS134" s="262" t="e">
        <f t="shared" si="156"/>
        <v>#N/A</v>
      </c>
      <c r="IT134" s="390"/>
      <c r="IU134" s="390"/>
      <c r="IV134" s="262" t="e">
        <f t="shared" si="157"/>
        <v>#N/A</v>
      </c>
      <c r="IW134" s="262" t="e">
        <f t="shared" si="158"/>
        <v>#N/A</v>
      </c>
      <c r="IX134" s="310"/>
      <c r="IY134" s="310"/>
      <c r="IZ134" s="310"/>
      <c r="JA134" s="310"/>
      <c r="JB134" s="313" t="s">
        <v>396</v>
      </c>
      <c r="JC134" s="228">
        <f>IZ124-$IZ$112/2</f>
        <v>-0.70000000000000007</v>
      </c>
      <c r="JD134" s="237">
        <f>JD127</f>
        <v>0.60499999999999998</v>
      </c>
      <c r="JE134" s="310"/>
      <c r="JF134" s="310"/>
      <c r="JG134" s="310"/>
      <c r="JH134" s="310"/>
      <c r="JI134" s="313" t="s">
        <v>396</v>
      </c>
      <c r="JJ134" s="242">
        <f>JG124-$IZ$112/2</f>
        <v>-0.70000000000000007</v>
      </c>
      <c r="JK134" s="266">
        <f>JK127</f>
        <v>0.60499999999999998</v>
      </c>
      <c r="JL134" s="310"/>
      <c r="JM134" s="310"/>
      <c r="JN134" s="261" t="e">
        <f t="shared" si="159"/>
        <v>#N/A</v>
      </c>
      <c r="JO134" s="261" t="e">
        <f t="shared" si="160"/>
        <v>#N/A</v>
      </c>
      <c r="JP134" s="310"/>
      <c r="JQ134" s="310"/>
      <c r="JR134" s="261" t="e">
        <f t="shared" si="165"/>
        <v>#N/A</v>
      </c>
      <c r="JS134" s="261" t="e">
        <f t="shared" si="166"/>
        <v>#N/A</v>
      </c>
      <c r="JT134" s="310"/>
      <c r="JU134" s="310"/>
      <c r="JV134" s="261" t="e">
        <f t="shared" si="161"/>
        <v>#N/A</v>
      </c>
      <c r="JW134" s="261" t="e">
        <f t="shared" si="162"/>
        <v>#N/A</v>
      </c>
      <c r="JX134" s="310"/>
      <c r="JY134" s="310"/>
      <c r="JZ134" s="310"/>
      <c r="KA134" s="310"/>
      <c r="KB134" s="310"/>
      <c r="KC134" s="310"/>
      <c r="KD134" s="310"/>
      <c r="KE134" s="310"/>
      <c r="KF134" s="310"/>
      <c r="KG134" s="310"/>
      <c r="KH134" s="310"/>
      <c r="KI134" s="310"/>
      <c r="KJ134" s="310"/>
      <c r="KK134" s="310"/>
      <c r="KL134" s="310"/>
      <c r="KM134" s="310"/>
      <c r="KN134" s="310"/>
      <c r="KO134" s="310"/>
      <c r="KP134" s="310"/>
      <c r="KQ134" s="310"/>
      <c r="KR134" s="310"/>
      <c r="KS134" s="310"/>
      <c r="KT134" s="310"/>
      <c r="KU134" s="310"/>
      <c r="KV134" s="310"/>
      <c r="KW134" s="310"/>
      <c r="KX134" s="310"/>
      <c r="KY134" s="310"/>
      <c r="KZ134" s="310"/>
      <c r="LA134" s="310"/>
      <c r="LB134" s="310"/>
      <c r="LC134" s="310"/>
      <c r="LD134" s="310"/>
      <c r="LE134" s="310"/>
      <c r="LF134" s="310"/>
      <c r="LG134" s="310"/>
      <c r="LH134" s="310"/>
      <c r="LI134" s="310"/>
      <c r="LJ134" s="310"/>
      <c r="LK134" s="310"/>
      <c r="LL134" s="310"/>
      <c r="LM134" s="310"/>
      <c r="LN134" s="310"/>
      <c r="LO134" s="310"/>
      <c r="LP134" s="310"/>
      <c r="LQ134" s="310"/>
      <c r="LR134" s="310"/>
      <c r="LS134" s="310"/>
      <c r="LT134" s="310"/>
      <c r="LU134" s="310"/>
      <c r="LV134" s="310"/>
      <c r="LW134" s="310"/>
      <c r="LX134" s="310"/>
      <c r="LY134" s="310"/>
      <c r="LZ134" s="310"/>
      <c r="MA134" s="310"/>
      <c r="MB134" s="310"/>
      <c r="MC134" s="310"/>
      <c r="MD134" s="310"/>
      <c r="ME134" s="310"/>
      <c r="MF134" s="310"/>
      <c r="MG134" s="310"/>
      <c r="MH134" s="310"/>
      <c r="MI134" s="310"/>
      <c r="MJ134" s="310"/>
      <c r="MK134" s="310"/>
      <c r="ML134" s="310"/>
      <c r="MM134" s="310"/>
      <c r="MN134" s="310"/>
      <c r="MO134" s="310"/>
      <c r="MP134" s="310"/>
      <c r="MQ134" s="310"/>
      <c r="MR134" s="310"/>
      <c r="MS134" s="310"/>
      <c r="MT134" s="310"/>
      <c r="MU134" s="310"/>
      <c r="MV134" s="310"/>
      <c r="MW134" s="310"/>
      <c r="MX134" s="310"/>
      <c r="MY134" s="310"/>
      <c r="MZ134" s="310"/>
      <c r="NA134" s="310"/>
      <c r="NB134" s="310"/>
      <c r="NC134" s="310"/>
      <c r="ND134" s="310"/>
      <c r="NE134" s="310"/>
      <c r="NF134" s="310"/>
      <c r="NG134" s="310"/>
      <c r="NH134" s="310"/>
      <c r="NI134" s="310"/>
      <c r="NJ134" s="310"/>
      <c r="NK134" s="310"/>
      <c r="NL134" s="310"/>
      <c r="NM134" s="310"/>
      <c r="NN134" s="310"/>
      <c r="NO134" s="310"/>
      <c r="NP134" s="310"/>
      <c r="NQ134" s="310"/>
      <c r="NR134" s="310"/>
      <c r="NS134" s="310"/>
      <c r="NT134" s="310"/>
      <c r="NU134" s="310"/>
      <c r="NV134" s="310"/>
      <c r="NW134" s="310"/>
      <c r="NX134" s="310"/>
      <c r="NY134" s="310"/>
      <c r="NZ134" s="310"/>
      <c r="OA134" s="310"/>
      <c r="OB134" s="310"/>
      <c r="OC134" s="310"/>
      <c r="OD134" s="310"/>
      <c r="OE134" s="310"/>
      <c r="OF134" s="310"/>
      <c r="OG134" s="310"/>
      <c r="OH134" s="310"/>
      <c r="OI134" s="310"/>
      <c r="OJ134" s="310"/>
      <c r="OK134" s="310"/>
      <c r="OL134" s="310"/>
      <c r="OM134" s="310"/>
      <c r="ON134" s="310"/>
      <c r="OO134" s="310"/>
      <c r="OP134" s="310"/>
      <c r="OQ134" s="310"/>
      <c r="OR134" s="310"/>
      <c r="OS134" s="310"/>
      <c r="OT134" s="310"/>
      <c r="OU134" s="310"/>
      <c r="OV134" s="310"/>
      <c r="OW134" s="310"/>
      <c r="OX134" s="310"/>
      <c r="OY134" s="310"/>
      <c r="OZ134" s="310"/>
      <c r="PA134" s="310"/>
      <c r="PB134" s="310"/>
      <c r="PC134" s="310"/>
      <c r="PD134" s="310"/>
      <c r="PE134" s="310"/>
      <c r="PF134" s="310"/>
      <c r="PG134" s="310"/>
      <c r="PH134" s="310"/>
      <c r="PI134" s="310"/>
      <c r="PJ134" s="310"/>
      <c r="PK134" s="310"/>
      <c r="PL134" s="310"/>
      <c r="PM134" s="310"/>
      <c r="PN134" s="310"/>
      <c r="PO134" s="310"/>
      <c r="PP134" s="310"/>
      <c r="PQ134" s="310"/>
      <c r="PR134" s="310"/>
      <c r="PS134" s="342">
        <v>120</v>
      </c>
      <c r="PT134" s="261" t="e">
        <f t="shared" si="163"/>
        <v>#N/A</v>
      </c>
      <c r="PU134" s="261" t="e">
        <f t="shared" si="164"/>
        <v>#N/A</v>
      </c>
      <c r="PV134" s="310"/>
      <c r="PW134" s="310"/>
      <c r="PX134" s="310"/>
      <c r="PY134" s="310"/>
      <c r="PZ134" s="310"/>
      <c r="QA134" s="310"/>
      <c r="QB134" s="310"/>
      <c r="QC134" s="310"/>
      <c r="QD134" s="310"/>
      <c r="QE134" s="310"/>
      <c r="QF134" s="310"/>
      <c r="QG134" s="310"/>
      <c r="QH134" s="310"/>
      <c r="QI134" s="310"/>
      <c r="QJ134" s="310"/>
      <c r="QK134" s="310"/>
      <c r="QL134" s="310"/>
      <c r="QM134" s="310"/>
      <c r="QN134" s="310"/>
      <c r="QO134" s="310"/>
      <c r="QP134" s="310"/>
      <c r="QQ134" s="310"/>
      <c r="QR134" s="310"/>
      <c r="QS134" s="310"/>
      <c r="QT134" s="310"/>
      <c r="QU134" s="310"/>
      <c r="QV134" s="310"/>
      <c r="QW134" s="310"/>
      <c r="QX134" s="310"/>
      <c r="QY134" s="310"/>
      <c r="QZ134" s="310"/>
      <c r="RA134" s="310"/>
      <c r="RB134" s="310"/>
      <c r="RC134" s="310"/>
      <c r="RD134" s="310"/>
      <c r="RE134" s="310"/>
      <c r="RF134" s="310"/>
      <c r="RG134" s="310"/>
      <c r="RH134" s="310"/>
      <c r="RI134" s="310"/>
      <c r="RJ134" s="310"/>
      <c r="RK134" s="310"/>
      <c r="RL134" s="310"/>
      <c r="RM134" s="310"/>
      <c r="RN134" s="310"/>
      <c r="RO134" s="310"/>
      <c r="RP134" s="310"/>
      <c r="RQ134" s="310"/>
      <c r="RR134" s="310"/>
      <c r="RS134" s="310"/>
      <c r="RT134" s="310"/>
      <c r="RU134" s="310"/>
      <c r="RV134" s="310"/>
      <c r="RW134" s="310"/>
      <c r="RX134" s="310"/>
      <c r="RY134" s="310"/>
      <c r="RZ134" s="310"/>
      <c r="SA134" s="310"/>
      <c r="SB134" s="310"/>
      <c r="SC134" s="310"/>
      <c r="SD134" s="310"/>
      <c r="SE134" s="310"/>
      <c r="SF134" s="310"/>
      <c r="SG134" s="310"/>
      <c r="SH134" s="310"/>
      <c r="SI134" s="310"/>
      <c r="SJ134" s="310"/>
      <c r="SK134" s="310"/>
      <c r="SL134" s="310"/>
      <c r="SM134" s="310"/>
      <c r="SN134" s="310"/>
      <c r="SO134" s="220"/>
      <c r="SP134" s="220"/>
      <c r="SQ134" s="220"/>
      <c r="SR134" s="220"/>
      <c r="SS134" s="220"/>
      <c r="ST134" s="220"/>
      <c r="SU134" s="220"/>
      <c r="SV134" s="220"/>
      <c r="SW134" s="220"/>
      <c r="SX134" s="220"/>
      <c r="SY134" s="220"/>
      <c r="SZ134" s="220"/>
      <c r="TA134" s="220"/>
      <c r="TB134" s="220"/>
      <c r="TC134" s="220"/>
      <c r="TD134" s="220"/>
      <c r="TE134" s="220"/>
      <c r="TF134" s="220"/>
      <c r="TG134" s="220"/>
      <c r="TH134" s="220"/>
      <c r="TI134" s="220"/>
      <c r="TJ134" s="220"/>
      <c r="TK134" s="220"/>
      <c r="TL134" s="220"/>
      <c r="TM134" s="220"/>
      <c r="TN134" s="220"/>
      <c r="TO134" s="220"/>
      <c r="TP134" s="220"/>
      <c r="TQ134" s="220"/>
      <c r="TR134" s="220"/>
      <c r="TS134" s="220"/>
      <c r="TT134" s="220"/>
      <c r="TU134" s="220"/>
      <c r="TV134" s="220"/>
      <c r="TW134" s="220"/>
      <c r="TX134" s="220"/>
      <c r="TY134" s="220"/>
      <c r="TZ134" s="220"/>
      <c r="UA134" s="220"/>
      <c r="UB134" s="220"/>
      <c r="UC134" s="220"/>
      <c r="UD134" s="220"/>
      <c r="UE134" s="220"/>
      <c r="UF134" s="220"/>
      <c r="UG134" s="220"/>
      <c r="UH134" s="220"/>
      <c r="UI134" s="220"/>
      <c r="UJ134" s="220"/>
      <c r="UK134" s="216"/>
      <c r="UL134" s="216"/>
      <c r="UM134" s="216"/>
      <c r="UN134" s="216"/>
      <c r="UO134" s="216"/>
      <c r="UP134" s="216"/>
      <c r="UQ134" s="216"/>
      <c r="UR134" s="216"/>
      <c r="US134" s="216"/>
      <c r="UT134" s="216"/>
      <c r="UU134" s="216"/>
      <c r="UV134" s="216"/>
      <c r="UW134" s="216"/>
      <c r="UX134" s="216"/>
      <c r="UY134" s="216"/>
      <c r="UZ134" s="216"/>
      <c r="VA134" s="216"/>
    </row>
    <row r="135" spans="1:574" s="4" customFormat="1" x14ac:dyDescent="0.5">
      <c r="AP135" s="310"/>
      <c r="AQ135" s="310"/>
      <c r="AR135" s="310"/>
      <c r="AS135" s="310"/>
      <c r="AT135" s="310"/>
      <c r="AU135" s="310"/>
      <c r="AV135" s="310"/>
      <c r="AW135" s="310"/>
      <c r="AX135" s="310"/>
      <c r="AY135" s="310"/>
      <c r="AZ135" s="310"/>
      <c r="BA135" s="310"/>
      <c r="BB135" s="310"/>
      <c r="BC135" s="310"/>
      <c r="BD135" s="310"/>
      <c r="BE135" s="310"/>
      <c r="BF135" s="310"/>
      <c r="BG135" s="310"/>
      <c r="BH135" s="310"/>
      <c r="BI135" s="310"/>
      <c r="BJ135" s="310"/>
      <c r="BK135" s="310"/>
      <c r="BL135" s="310"/>
      <c r="BM135" s="310"/>
      <c r="BN135" s="310"/>
      <c r="BO135" s="310"/>
      <c r="BP135" s="310"/>
      <c r="BQ135" s="310"/>
      <c r="BR135" s="310"/>
      <c r="BS135" s="310"/>
      <c r="BT135" s="310"/>
      <c r="BU135" s="310"/>
      <c r="BV135" s="310"/>
      <c r="BW135" s="310"/>
      <c r="BX135" s="310"/>
      <c r="BY135" s="310"/>
      <c r="BZ135" s="310"/>
      <c r="CA135" s="310"/>
      <c r="CB135" s="310"/>
      <c r="CC135" s="310"/>
      <c r="CD135" s="310"/>
      <c r="CE135" s="310"/>
      <c r="CF135" s="310"/>
      <c r="CG135" s="310"/>
      <c r="CH135" s="310"/>
      <c r="CI135" s="310"/>
      <c r="CJ135" s="310"/>
      <c r="CK135" s="310"/>
      <c r="CL135" s="310"/>
      <c r="CM135" s="310"/>
      <c r="CN135" s="310"/>
      <c r="CO135" s="310"/>
      <c r="CP135" s="310"/>
      <c r="CQ135" s="310"/>
      <c r="CR135" s="310"/>
      <c r="CS135" s="310"/>
      <c r="CT135" s="310"/>
      <c r="CU135" s="310"/>
      <c r="CV135" s="310"/>
      <c r="CW135" s="310"/>
      <c r="CX135" s="310"/>
      <c r="CY135" s="310"/>
      <c r="CZ135" s="310"/>
      <c r="DA135" s="310"/>
      <c r="DB135" s="310"/>
      <c r="DC135" s="310"/>
      <c r="DD135" s="310"/>
      <c r="DE135" s="310"/>
      <c r="DF135" s="310"/>
      <c r="DG135" s="310"/>
      <c r="DH135" s="310"/>
      <c r="DI135" s="310"/>
      <c r="DJ135" s="310"/>
      <c r="DK135" s="310"/>
      <c r="DL135" s="310"/>
      <c r="DM135" s="310"/>
      <c r="DN135" s="310"/>
      <c r="DO135" s="310"/>
      <c r="DP135" s="310"/>
      <c r="DQ135" s="310"/>
      <c r="DR135" s="310"/>
      <c r="DS135" s="310"/>
      <c r="DT135" s="310"/>
      <c r="DU135" s="310"/>
      <c r="DV135" s="310"/>
      <c r="DW135" s="310"/>
      <c r="DX135" s="310"/>
      <c r="DY135" s="310"/>
      <c r="DZ135" s="310"/>
      <c r="EA135" s="310"/>
      <c r="EB135" s="310"/>
      <c r="EC135" s="310"/>
      <c r="ED135" s="310"/>
      <c r="EE135" s="310"/>
      <c r="EF135" s="310"/>
      <c r="EG135" s="310"/>
      <c r="EH135" s="310"/>
      <c r="EI135" s="310"/>
      <c r="EJ135" s="310"/>
      <c r="EK135" s="310"/>
      <c r="EL135" s="310"/>
      <c r="EM135" s="310"/>
      <c r="EN135" s="280" t="e">
        <v>#N/A</v>
      </c>
      <c r="EO135" s="280" t="e">
        <v>#N/A</v>
      </c>
      <c r="EP135" s="310"/>
      <c r="EQ135" s="310"/>
      <c r="ER135" s="310"/>
      <c r="ES135" s="310"/>
      <c r="ET135" s="310"/>
      <c r="EU135" s="310"/>
      <c r="EV135" s="310"/>
      <c r="EW135" s="310"/>
      <c r="EX135" s="310"/>
      <c r="EY135" s="310"/>
      <c r="EZ135" s="310"/>
      <c r="FA135" s="310"/>
      <c r="FB135" s="310"/>
      <c r="FC135" s="310"/>
      <c r="FD135" s="310"/>
      <c r="FE135" s="310"/>
      <c r="FF135" s="310"/>
      <c r="FG135" s="310"/>
      <c r="FH135" s="310"/>
      <c r="FI135" s="310"/>
      <c r="FJ135" s="310"/>
      <c r="FK135" s="310"/>
      <c r="FL135" s="311"/>
      <c r="FM135" s="311"/>
      <c r="FN135" s="311"/>
      <c r="FO135" s="311"/>
      <c r="FP135" s="311"/>
      <c r="FQ135" s="311"/>
      <c r="FR135" s="311"/>
      <c r="FS135" s="311"/>
      <c r="FT135" s="311"/>
      <c r="FU135" s="311"/>
      <c r="FV135" s="311"/>
      <c r="FW135" s="311"/>
      <c r="FX135" s="311"/>
      <c r="FY135" s="311"/>
      <c r="FZ135" s="311"/>
      <c r="GA135" s="311"/>
      <c r="GB135" s="310"/>
      <c r="GC135" s="310"/>
      <c r="GD135" s="310"/>
      <c r="GE135" s="310"/>
      <c r="GF135" s="310"/>
      <c r="GG135" s="310"/>
      <c r="GH135" s="310"/>
      <c r="GI135" s="310"/>
      <c r="GJ135" s="310"/>
      <c r="GK135" s="310"/>
      <c r="GL135" s="310"/>
      <c r="GM135" s="310"/>
      <c r="GN135" s="310"/>
      <c r="GO135" s="310"/>
      <c r="GP135" s="310"/>
      <c r="GQ135" s="310"/>
      <c r="GR135" s="310"/>
      <c r="GS135" s="310"/>
      <c r="GT135" s="310"/>
      <c r="GU135" s="310"/>
      <c r="GV135" s="310"/>
      <c r="GW135" s="310"/>
      <c r="GX135" s="310"/>
      <c r="GY135" s="310"/>
      <c r="GZ135" s="310"/>
      <c r="HA135" s="310"/>
      <c r="HB135" s="310"/>
      <c r="HC135" s="310"/>
      <c r="HD135" s="310"/>
      <c r="HE135" s="310"/>
      <c r="HF135" s="310"/>
      <c r="HG135" s="310"/>
      <c r="HH135" s="310"/>
      <c r="HI135" s="310"/>
      <c r="HJ135" s="310"/>
      <c r="HK135" s="342">
        <v>121</v>
      </c>
      <c r="HL135" s="235" t="e">
        <f t="shared" si="139"/>
        <v>#N/A</v>
      </c>
      <c r="HM135" s="235" t="e">
        <f t="shared" si="140"/>
        <v>#N/A</v>
      </c>
      <c r="HN135" s="310"/>
      <c r="HO135" s="310"/>
      <c r="HP135" s="235" t="e">
        <f t="shared" si="141"/>
        <v>#N/A</v>
      </c>
      <c r="HQ135" s="235" t="e">
        <f t="shared" si="142"/>
        <v>#N/A</v>
      </c>
      <c r="HR135" s="310"/>
      <c r="HS135" s="310"/>
      <c r="HT135" s="235" t="e">
        <f t="shared" si="143"/>
        <v>#N/A</v>
      </c>
      <c r="HU135" s="235" t="e">
        <f t="shared" si="144"/>
        <v>#N/A</v>
      </c>
      <c r="HV135" s="310"/>
      <c r="HW135" s="310"/>
      <c r="HX135" s="235" t="e">
        <f t="shared" si="145"/>
        <v>#N/A</v>
      </c>
      <c r="HY135" s="235" t="e">
        <f t="shared" si="146"/>
        <v>#N/A</v>
      </c>
      <c r="HZ135" s="310"/>
      <c r="IA135" s="310"/>
      <c r="IB135" s="235" t="e">
        <f t="shared" si="147"/>
        <v>#N/A</v>
      </c>
      <c r="IC135" s="235" t="e">
        <f t="shared" si="148"/>
        <v>#N/A</v>
      </c>
      <c r="ID135" s="310"/>
      <c r="IE135" s="342">
        <v>121</v>
      </c>
      <c r="IF135" s="262" t="e">
        <f t="shared" si="149"/>
        <v>#N/A</v>
      </c>
      <c r="IG135" s="262" t="e">
        <f t="shared" si="150"/>
        <v>#N/A</v>
      </c>
      <c r="IH135" s="390"/>
      <c r="II135" s="390"/>
      <c r="IJ135" s="262" t="e">
        <f t="shared" si="151"/>
        <v>#N/A</v>
      </c>
      <c r="IK135" s="262" t="e">
        <f t="shared" si="152"/>
        <v>#N/A</v>
      </c>
      <c r="IL135" s="390"/>
      <c r="IM135" s="390"/>
      <c r="IN135" s="262" t="e">
        <f t="shared" si="153"/>
        <v>#N/A</v>
      </c>
      <c r="IO135" s="262" t="e">
        <f t="shared" si="154"/>
        <v>#N/A</v>
      </c>
      <c r="IP135" s="390"/>
      <c r="IQ135" s="390"/>
      <c r="IR135" s="262" t="e">
        <f t="shared" si="155"/>
        <v>#N/A</v>
      </c>
      <c r="IS135" s="262" t="e">
        <f t="shared" si="156"/>
        <v>#N/A</v>
      </c>
      <c r="IT135" s="390"/>
      <c r="IU135" s="390"/>
      <c r="IV135" s="262" t="e">
        <f t="shared" si="157"/>
        <v>#N/A</v>
      </c>
      <c r="IW135" s="262" t="e">
        <f t="shared" si="158"/>
        <v>#N/A</v>
      </c>
      <c r="IX135" s="310"/>
      <c r="IY135" s="310"/>
      <c r="IZ135" s="310"/>
      <c r="JA135" s="310"/>
      <c r="JB135" s="313" t="s">
        <v>397</v>
      </c>
      <c r="JC135" s="228">
        <f>JC134</f>
        <v>-0.70000000000000007</v>
      </c>
      <c r="JD135" s="234">
        <f>JD126</f>
        <v>0.69500000000000006</v>
      </c>
      <c r="JE135" s="310"/>
      <c r="JF135" s="310"/>
      <c r="JG135" s="310"/>
      <c r="JH135" s="310"/>
      <c r="JI135" s="313" t="s">
        <v>397</v>
      </c>
      <c r="JJ135" s="242">
        <f>JJ134</f>
        <v>-0.70000000000000007</v>
      </c>
      <c r="JK135" s="265">
        <f>JK126</f>
        <v>0.69500000000000006</v>
      </c>
      <c r="JL135" s="310"/>
      <c r="JM135" s="311"/>
      <c r="JN135" s="261" t="e">
        <f t="shared" si="159"/>
        <v>#N/A</v>
      </c>
      <c r="JO135" s="261" t="e">
        <f t="shared" si="160"/>
        <v>#N/A</v>
      </c>
      <c r="JP135" s="310"/>
      <c r="JQ135" s="310"/>
      <c r="JR135" s="261" t="e">
        <f t="shared" si="165"/>
        <v>#N/A</v>
      </c>
      <c r="JS135" s="261" t="e">
        <f t="shared" si="166"/>
        <v>#N/A</v>
      </c>
      <c r="JT135" s="310"/>
      <c r="JU135" s="310"/>
      <c r="JV135" s="261" t="e">
        <f t="shared" si="161"/>
        <v>#N/A</v>
      </c>
      <c r="JW135" s="261" t="e">
        <f t="shared" si="162"/>
        <v>#N/A</v>
      </c>
      <c r="JX135" s="310"/>
      <c r="JY135" s="310"/>
      <c r="JZ135" s="310"/>
      <c r="KA135" s="310"/>
      <c r="KB135" s="310"/>
      <c r="KC135" s="310"/>
      <c r="KD135" s="310"/>
      <c r="KE135" s="310"/>
      <c r="KF135" s="310"/>
      <c r="KG135" s="310"/>
      <c r="KH135" s="310"/>
      <c r="KI135" s="310"/>
      <c r="KJ135" s="310"/>
      <c r="KK135" s="310"/>
      <c r="KL135" s="310"/>
      <c r="KM135" s="310"/>
      <c r="KN135" s="310"/>
      <c r="KO135" s="310"/>
      <c r="KP135" s="310"/>
      <c r="KQ135" s="310"/>
      <c r="KR135" s="310"/>
      <c r="KS135" s="310"/>
      <c r="KT135" s="310"/>
      <c r="KU135" s="310"/>
      <c r="KV135" s="310"/>
      <c r="KW135" s="310"/>
      <c r="KX135" s="310"/>
      <c r="KY135" s="310"/>
      <c r="KZ135" s="310"/>
      <c r="LA135" s="310"/>
      <c r="LB135" s="310"/>
      <c r="LC135" s="310"/>
      <c r="LD135" s="310"/>
      <c r="LE135" s="310"/>
      <c r="LF135" s="310"/>
      <c r="LG135" s="310"/>
      <c r="LH135" s="310"/>
      <c r="LI135" s="310"/>
      <c r="LJ135" s="310"/>
      <c r="LK135" s="310"/>
      <c r="LL135" s="310"/>
      <c r="LM135" s="310"/>
      <c r="LN135" s="310"/>
      <c r="LO135" s="310"/>
      <c r="LP135" s="310"/>
      <c r="LQ135" s="310"/>
      <c r="LR135" s="310"/>
      <c r="LS135" s="310"/>
      <c r="LT135" s="310"/>
      <c r="LU135" s="310"/>
      <c r="LV135" s="310"/>
      <c r="LW135" s="310"/>
      <c r="LX135" s="310"/>
      <c r="LY135" s="310"/>
      <c r="LZ135" s="310"/>
      <c r="MA135" s="310"/>
      <c r="MB135" s="310"/>
      <c r="MC135" s="310"/>
      <c r="MD135" s="310"/>
      <c r="ME135" s="310"/>
      <c r="MF135" s="310"/>
      <c r="MG135" s="310"/>
      <c r="MH135" s="310"/>
      <c r="MI135" s="310"/>
      <c r="MJ135" s="310"/>
      <c r="MK135" s="310"/>
      <c r="ML135" s="310"/>
      <c r="MM135" s="310"/>
      <c r="MN135" s="310"/>
      <c r="MO135" s="310"/>
      <c r="MP135" s="310"/>
      <c r="MQ135" s="310"/>
      <c r="MR135" s="310"/>
      <c r="MS135" s="310"/>
      <c r="MT135" s="310"/>
      <c r="MU135" s="310"/>
      <c r="MV135" s="310"/>
      <c r="MW135" s="310"/>
      <c r="MX135" s="310"/>
      <c r="MY135" s="310"/>
      <c r="MZ135" s="310"/>
      <c r="NA135" s="310"/>
      <c r="NB135" s="310"/>
      <c r="NC135" s="310"/>
      <c r="ND135" s="310"/>
      <c r="NE135" s="310"/>
      <c r="NF135" s="310"/>
      <c r="NG135" s="310"/>
      <c r="NH135" s="310"/>
      <c r="NI135" s="310"/>
      <c r="NJ135" s="310"/>
      <c r="NK135" s="310"/>
      <c r="NL135" s="310"/>
      <c r="NM135" s="310"/>
      <c r="NN135" s="310"/>
      <c r="NO135" s="310"/>
      <c r="NP135" s="310"/>
      <c r="NQ135" s="310"/>
      <c r="NR135" s="310"/>
      <c r="NS135" s="310"/>
      <c r="NT135" s="310"/>
      <c r="NU135" s="310"/>
      <c r="NV135" s="310"/>
      <c r="NW135" s="310"/>
      <c r="NX135" s="310"/>
      <c r="NY135" s="310"/>
      <c r="NZ135" s="310"/>
      <c r="OA135" s="310"/>
      <c r="OB135" s="310"/>
      <c r="OC135" s="310"/>
      <c r="OD135" s="310"/>
      <c r="OE135" s="310"/>
      <c r="OF135" s="310"/>
      <c r="OG135" s="310"/>
      <c r="OH135" s="310"/>
      <c r="OI135" s="310"/>
      <c r="OJ135" s="310"/>
      <c r="OK135" s="310"/>
      <c r="OL135" s="310"/>
      <c r="OM135" s="310"/>
      <c r="ON135" s="310"/>
      <c r="OO135" s="310"/>
      <c r="OP135" s="310"/>
      <c r="OQ135" s="310"/>
      <c r="OR135" s="310"/>
      <c r="OS135" s="310"/>
      <c r="OT135" s="310"/>
      <c r="OU135" s="310"/>
      <c r="OV135" s="310"/>
      <c r="OW135" s="310"/>
      <c r="OX135" s="310"/>
      <c r="OY135" s="310"/>
      <c r="OZ135" s="310"/>
      <c r="PA135" s="310"/>
      <c r="PB135" s="310"/>
      <c r="PC135" s="310"/>
      <c r="PD135" s="310"/>
      <c r="PE135" s="310"/>
      <c r="PF135" s="310"/>
      <c r="PG135" s="310"/>
      <c r="PH135" s="310"/>
      <c r="PI135" s="310"/>
      <c r="PJ135" s="310"/>
      <c r="PK135" s="310"/>
      <c r="PL135" s="310"/>
      <c r="PM135" s="310"/>
      <c r="PN135" s="310"/>
      <c r="PO135" s="310"/>
      <c r="PP135" s="310"/>
      <c r="PQ135" s="310"/>
      <c r="PR135" s="310"/>
      <c r="PS135" s="342">
        <v>121</v>
      </c>
      <c r="PT135" s="261" t="e">
        <f t="shared" si="163"/>
        <v>#N/A</v>
      </c>
      <c r="PU135" s="261" t="e">
        <f t="shared" si="164"/>
        <v>#N/A</v>
      </c>
      <c r="PV135" s="310"/>
      <c r="PW135" s="310"/>
      <c r="PX135" s="310"/>
      <c r="PY135" s="310"/>
      <c r="PZ135" s="310"/>
      <c r="QA135" s="310"/>
      <c r="QB135" s="310"/>
      <c r="QC135" s="310"/>
      <c r="QD135" s="310"/>
      <c r="QE135" s="310"/>
      <c r="QF135" s="310"/>
      <c r="QG135" s="310"/>
      <c r="QH135" s="310"/>
      <c r="QI135" s="310"/>
      <c r="QJ135" s="310"/>
      <c r="QK135" s="310"/>
      <c r="QL135" s="310"/>
      <c r="QM135" s="310"/>
      <c r="QN135" s="310"/>
      <c r="QO135" s="310"/>
      <c r="QP135" s="310"/>
      <c r="QQ135" s="310"/>
      <c r="QR135" s="310"/>
      <c r="QS135" s="310"/>
      <c r="QT135" s="310"/>
      <c r="QU135" s="310"/>
      <c r="QV135" s="310"/>
      <c r="QW135" s="310"/>
      <c r="QX135" s="310"/>
      <c r="QY135" s="310"/>
      <c r="QZ135" s="310"/>
      <c r="RA135" s="310"/>
      <c r="RB135" s="310"/>
      <c r="RC135" s="310"/>
      <c r="RD135" s="310"/>
      <c r="RE135" s="310"/>
      <c r="RF135" s="310"/>
      <c r="RG135" s="310"/>
      <c r="RH135" s="310"/>
      <c r="RI135" s="310"/>
      <c r="RJ135" s="310"/>
      <c r="RK135" s="310"/>
      <c r="RL135" s="310"/>
      <c r="RM135" s="310"/>
      <c r="RN135" s="310"/>
      <c r="RO135" s="310"/>
      <c r="RP135" s="310"/>
      <c r="RQ135" s="310"/>
      <c r="RR135" s="310"/>
      <c r="RS135" s="310"/>
      <c r="RT135" s="310"/>
      <c r="RU135" s="310"/>
      <c r="RV135" s="310"/>
      <c r="RW135" s="310"/>
      <c r="RX135" s="310"/>
      <c r="RY135" s="310"/>
      <c r="RZ135" s="310"/>
      <c r="SA135" s="310"/>
      <c r="SB135" s="310"/>
      <c r="SC135" s="310"/>
      <c r="SD135" s="310"/>
      <c r="SE135" s="310"/>
      <c r="SF135" s="310"/>
      <c r="SG135" s="310"/>
      <c r="SH135" s="310"/>
      <c r="SI135" s="310"/>
      <c r="SJ135" s="310"/>
      <c r="SK135" s="310"/>
      <c r="SL135" s="310"/>
      <c r="SM135" s="310"/>
      <c r="SN135" s="310"/>
      <c r="SO135" s="220"/>
      <c r="SP135" s="220"/>
      <c r="SQ135" s="220"/>
      <c r="SR135" s="220"/>
      <c r="SS135" s="220"/>
      <c r="ST135" s="220"/>
      <c r="SU135" s="220"/>
      <c r="SV135" s="220"/>
      <c r="SW135" s="220"/>
      <c r="SX135" s="220"/>
      <c r="SY135" s="220"/>
      <c r="SZ135" s="220"/>
      <c r="TA135" s="220"/>
      <c r="TB135" s="220"/>
      <c r="TC135" s="220"/>
      <c r="TD135" s="220"/>
      <c r="TE135" s="220"/>
      <c r="TF135" s="220"/>
      <c r="TG135" s="220"/>
      <c r="TH135" s="220"/>
      <c r="TI135" s="220"/>
      <c r="TJ135" s="220"/>
      <c r="TK135" s="220"/>
      <c r="TL135" s="220"/>
      <c r="TM135" s="220"/>
      <c r="TN135" s="220"/>
      <c r="TO135" s="220"/>
      <c r="TP135" s="220"/>
      <c r="TQ135" s="220"/>
      <c r="TR135" s="220"/>
      <c r="TS135" s="220"/>
      <c r="TT135" s="220"/>
      <c r="TU135" s="220"/>
      <c r="TV135" s="220"/>
      <c r="TW135" s="220"/>
      <c r="TX135" s="220"/>
      <c r="TY135" s="220"/>
      <c r="TZ135" s="220"/>
      <c r="UA135" s="220"/>
      <c r="UB135" s="220"/>
      <c r="UC135" s="220"/>
      <c r="UD135" s="220"/>
      <c r="UE135" s="220"/>
      <c r="UF135" s="220"/>
      <c r="UG135" s="220"/>
      <c r="UH135" s="220"/>
      <c r="UI135" s="220"/>
      <c r="UJ135" s="220"/>
      <c r="UK135" s="216"/>
      <c r="UL135" s="216"/>
      <c r="UM135" s="216"/>
      <c r="UN135" s="216"/>
      <c r="UO135" s="216"/>
      <c r="UP135" s="216"/>
      <c r="UQ135" s="216"/>
      <c r="UR135" s="216"/>
      <c r="US135" s="216"/>
      <c r="UT135" s="216"/>
      <c r="UU135" s="216"/>
      <c r="UV135" s="216"/>
      <c r="UW135" s="216"/>
      <c r="UX135" s="216"/>
      <c r="UY135" s="216"/>
      <c r="UZ135" s="216"/>
      <c r="VA135" s="216"/>
    </row>
    <row r="136" spans="1:574" s="4" customFormat="1" x14ac:dyDescent="0.5">
      <c r="AP136" s="310"/>
      <c r="AQ136" s="310"/>
      <c r="AR136" s="310"/>
      <c r="AS136" s="310"/>
      <c r="AT136" s="310"/>
      <c r="AU136" s="310"/>
      <c r="AV136" s="310"/>
      <c r="AW136" s="310"/>
      <c r="AX136" s="310"/>
      <c r="AY136" s="310"/>
      <c r="AZ136" s="310"/>
      <c r="BA136" s="310"/>
      <c r="BB136" s="311"/>
      <c r="BC136" s="311"/>
      <c r="BD136" s="311"/>
      <c r="BE136" s="311"/>
      <c r="BF136" s="311"/>
      <c r="BG136" s="311"/>
      <c r="BH136" s="311"/>
      <c r="BI136" s="311"/>
      <c r="BJ136" s="311"/>
      <c r="BK136" s="311"/>
      <c r="BL136" s="311"/>
      <c r="BM136" s="311"/>
      <c r="BN136" s="311"/>
      <c r="BO136" s="311"/>
      <c r="BP136" s="311"/>
      <c r="BQ136" s="311"/>
      <c r="BR136" s="311"/>
      <c r="BS136" s="311"/>
      <c r="BT136" s="311"/>
      <c r="BU136" s="311"/>
      <c r="BV136" s="311"/>
      <c r="BW136" s="311"/>
      <c r="BX136" s="311"/>
      <c r="BY136" s="311"/>
      <c r="BZ136" s="311"/>
      <c r="CA136" s="311"/>
      <c r="CB136" s="311"/>
      <c r="CC136" s="311"/>
      <c r="CD136" s="311"/>
      <c r="CE136" s="311"/>
      <c r="CF136" s="311"/>
      <c r="CG136" s="311"/>
      <c r="CH136" s="311"/>
      <c r="CI136" s="311"/>
      <c r="CJ136" s="311"/>
      <c r="CK136" s="311"/>
      <c r="CL136" s="311"/>
      <c r="CM136" s="311"/>
      <c r="CN136" s="311"/>
      <c r="CO136" s="311"/>
      <c r="CP136" s="311"/>
      <c r="CQ136" s="311"/>
      <c r="CR136" s="311"/>
      <c r="CS136" s="311"/>
      <c r="CT136" s="311"/>
      <c r="CU136" s="311"/>
      <c r="CV136" s="311"/>
      <c r="CW136" s="311"/>
      <c r="CX136" s="311"/>
      <c r="CY136" s="311"/>
      <c r="CZ136" s="311"/>
      <c r="DA136" s="311"/>
      <c r="DB136" s="311"/>
      <c r="DC136" s="311"/>
      <c r="DD136" s="311"/>
      <c r="DE136" s="311"/>
      <c r="DF136" s="311"/>
      <c r="DG136" s="311"/>
      <c r="DH136" s="311"/>
      <c r="DI136" s="311"/>
      <c r="DJ136" s="311"/>
      <c r="DK136" s="310"/>
      <c r="DL136" s="311"/>
      <c r="DM136" s="311"/>
      <c r="DN136" s="311"/>
      <c r="DO136" s="311"/>
      <c r="DP136" s="311"/>
      <c r="DQ136" s="311"/>
      <c r="DR136" s="311"/>
      <c r="DS136" s="311"/>
      <c r="DT136" s="311"/>
      <c r="DU136" s="311"/>
      <c r="DV136" s="311"/>
      <c r="DW136" s="311"/>
      <c r="DX136" s="311"/>
      <c r="DY136" s="311"/>
      <c r="DZ136" s="311"/>
      <c r="EA136" s="311"/>
      <c r="EB136" s="311"/>
      <c r="EC136" s="311"/>
      <c r="ED136" s="311"/>
      <c r="EE136" s="311"/>
      <c r="EF136" s="311"/>
      <c r="EG136" s="311"/>
      <c r="EH136" s="311"/>
      <c r="EI136" s="311"/>
      <c r="EJ136" s="311"/>
      <c r="EK136" s="311"/>
      <c r="EL136" s="310">
        <v>5</v>
      </c>
      <c r="EM136" s="310" t="b">
        <f>IF($D$63&gt;=EL136,TRUE,FALSE)</f>
        <v>0</v>
      </c>
      <c r="EN136" s="280" t="e">
        <f>IF(EM136=TRUE,EN133,#N/A)</f>
        <v>#N/A</v>
      </c>
      <c r="EO136" s="280" t="e">
        <f>IF(EM136=TRUE,EO133-$EM$123,#N/A)</f>
        <v>#N/A</v>
      </c>
      <c r="EP136" s="311"/>
      <c r="EQ136" s="311"/>
      <c r="ER136" s="311"/>
      <c r="ES136" s="311"/>
      <c r="ET136" s="311"/>
      <c r="EU136" s="311"/>
      <c r="EV136" s="311"/>
      <c r="EW136" s="311"/>
      <c r="EX136" s="311"/>
      <c r="EY136" s="311"/>
      <c r="EZ136" s="311"/>
      <c r="FA136" s="311"/>
      <c r="FB136" s="311"/>
      <c r="FC136" s="311"/>
      <c r="FD136" s="311"/>
      <c r="FE136" s="311"/>
      <c r="FF136" s="311"/>
      <c r="FG136" s="311"/>
      <c r="FH136" s="311"/>
      <c r="FI136" s="311"/>
      <c r="FJ136" s="311"/>
      <c r="FK136" s="311"/>
      <c r="FL136" s="311"/>
      <c r="FM136" s="311"/>
      <c r="FN136" s="311"/>
      <c r="FO136" s="311"/>
      <c r="FP136" s="311"/>
      <c r="FQ136" s="311"/>
      <c r="FR136" s="311"/>
      <c r="FS136" s="311"/>
      <c r="FT136" s="311"/>
      <c r="FU136" s="311"/>
      <c r="FV136" s="311"/>
      <c r="FW136" s="311"/>
      <c r="FX136" s="311"/>
      <c r="FY136" s="311"/>
      <c r="FZ136" s="311"/>
      <c r="GA136" s="311"/>
      <c r="GB136" s="311"/>
      <c r="GC136" s="311"/>
      <c r="GD136" s="311"/>
      <c r="GE136" s="311"/>
      <c r="GF136" s="311"/>
      <c r="GG136" s="311"/>
      <c r="GH136" s="311"/>
      <c r="GI136" s="311"/>
      <c r="GJ136" s="311"/>
      <c r="GK136" s="311"/>
      <c r="GL136" s="311"/>
      <c r="GM136" s="311"/>
      <c r="GN136" s="311"/>
      <c r="GO136" s="311"/>
      <c r="GP136" s="311"/>
      <c r="GQ136" s="311"/>
      <c r="GR136" s="311"/>
      <c r="GS136" s="311"/>
      <c r="GT136" s="311"/>
      <c r="GU136" s="311"/>
      <c r="GV136" s="311"/>
      <c r="GW136" s="311"/>
      <c r="GX136" s="311"/>
      <c r="GY136" s="311"/>
      <c r="GZ136" s="311"/>
      <c r="HA136" s="311"/>
      <c r="HB136" s="311"/>
      <c r="HC136" s="311"/>
      <c r="HD136" s="311"/>
      <c r="HE136" s="311"/>
      <c r="HF136" s="311"/>
      <c r="HG136" s="311"/>
      <c r="HH136" s="311"/>
      <c r="HI136" s="311"/>
      <c r="HJ136" s="311"/>
      <c r="HK136" s="342">
        <v>122</v>
      </c>
      <c r="HL136" s="235" t="e">
        <f t="shared" si="139"/>
        <v>#N/A</v>
      </c>
      <c r="HM136" s="235" t="e">
        <f t="shared" si="140"/>
        <v>#N/A</v>
      </c>
      <c r="HN136" s="311"/>
      <c r="HO136" s="311"/>
      <c r="HP136" s="235" t="e">
        <f t="shared" si="141"/>
        <v>#N/A</v>
      </c>
      <c r="HQ136" s="235" t="e">
        <f t="shared" si="142"/>
        <v>#N/A</v>
      </c>
      <c r="HR136" s="311"/>
      <c r="HS136" s="311"/>
      <c r="HT136" s="235" t="e">
        <f t="shared" si="143"/>
        <v>#N/A</v>
      </c>
      <c r="HU136" s="235" t="e">
        <f t="shared" si="144"/>
        <v>#N/A</v>
      </c>
      <c r="HV136" s="311"/>
      <c r="HW136" s="311"/>
      <c r="HX136" s="235" t="e">
        <f t="shared" si="145"/>
        <v>#N/A</v>
      </c>
      <c r="HY136" s="235" t="e">
        <f t="shared" si="146"/>
        <v>#N/A</v>
      </c>
      <c r="HZ136" s="311"/>
      <c r="IA136" s="311"/>
      <c r="IB136" s="235" t="e">
        <f t="shared" si="147"/>
        <v>#N/A</v>
      </c>
      <c r="IC136" s="235" t="e">
        <f t="shared" si="148"/>
        <v>#N/A</v>
      </c>
      <c r="ID136" s="311"/>
      <c r="IE136" s="342">
        <v>122</v>
      </c>
      <c r="IF136" s="262" t="e">
        <f t="shared" si="149"/>
        <v>#N/A</v>
      </c>
      <c r="IG136" s="262" t="e">
        <f t="shared" si="150"/>
        <v>#N/A</v>
      </c>
      <c r="IH136" s="379"/>
      <c r="II136" s="379"/>
      <c r="IJ136" s="262" t="e">
        <f t="shared" si="151"/>
        <v>#N/A</v>
      </c>
      <c r="IK136" s="262" t="e">
        <f t="shared" si="152"/>
        <v>#N/A</v>
      </c>
      <c r="IL136" s="379"/>
      <c r="IM136" s="379"/>
      <c r="IN136" s="262" t="e">
        <f t="shared" si="153"/>
        <v>#N/A</v>
      </c>
      <c r="IO136" s="262" t="e">
        <f t="shared" si="154"/>
        <v>#N/A</v>
      </c>
      <c r="IP136" s="379"/>
      <c r="IQ136" s="379"/>
      <c r="IR136" s="262" t="e">
        <f t="shared" si="155"/>
        <v>#N/A</v>
      </c>
      <c r="IS136" s="262" t="e">
        <f t="shared" si="156"/>
        <v>#N/A</v>
      </c>
      <c r="IT136" s="379"/>
      <c r="IU136" s="379"/>
      <c r="IV136" s="262" t="e">
        <f t="shared" si="157"/>
        <v>#N/A</v>
      </c>
      <c r="IW136" s="262" t="e">
        <f t="shared" si="158"/>
        <v>#N/A</v>
      </c>
      <c r="IX136" s="310"/>
      <c r="IY136" s="310"/>
      <c r="IZ136" s="310"/>
      <c r="JA136" s="310"/>
      <c r="JB136" s="313" t="s">
        <v>398</v>
      </c>
      <c r="JC136" s="228">
        <f>IZ124-$IZ$108/2</f>
        <v>-0.8</v>
      </c>
      <c r="JD136" s="237">
        <f>JD125</f>
        <v>0.72500000000000009</v>
      </c>
      <c r="JE136" s="311"/>
      <c r="JF136" s="310"/>
      <c r="JG136" s="310"/>
      <c r="JH136" s="310"/>
      <c r="JI136" s="313" t="s">
        <v>398</v>
      </c>
      <c r="JJ136" s="242">
        <f>JG124-$IZ$108/2</f>
        <v>-0.8</v>
      </c>
      <c r="JK136" s="266">
        <f>JK125</f>
        <v>0.72500000000000009</v>
      </c>
      <c r="JL136" s="311"/>
      <c r="JM136" s="311"/>
      <c r="JN136" s="261" t="e">
        <f t="shared" si="159"/>
        <v>#N/A</v>
      </c>
      <c r="JO136" s="261" t="e">
        <f t="shared" si="160"/>
        <v>#N/A</v>
      </c>
      <c r="JP136" s="311"/>
      <c r="JQ136" s="311"/>
      <c r="JR136" s="261" t="e">
        <f t="shared" si="165"/>
        <v>#N/A</v>
      </c>
      <c r="JS136" s="261" t="e">
        <f t="shared" si="166"/>
        <v>#N/A</v>
      </c>
      <c r="JT136" s="311"/>
      <c r="JU136" s="311"/>
      <c r="JV136" s="261" t="e">
        <f t="shared" si="161"/>
        <v>#N/A</v>
      </c>
      <c r="JW136" s="261" t="e">
        <f t="shared" si="162"/>
        <v>#N/A</v>
      </c>
      <c r="JX136" s="310"/>
      <c r="JY136" s="310"/>
      <c r="JZ136" s="310"/>
      <c r="KA136" s="310"/>
      <c r="KB136" s="310"/>
      <c r="KC136" s="310"/>
      <c r="KD136" s="310"/>
      <c r="KE136" s="311"/>
      <c r="KF136" s="311"/>
      <c r="KG136" s="311"/>
      <c r="KH136" s="311"/>
      <c r="KI136" s="311"/>
      <c r="KJ136" s="311"/>
      <c r="KK136" s="311"/>
      <c r="KL136" s="311"/>
      <c r="KM136" s="310"/>
      <c r="KN136" s="311"/>
      <c r="KO136" s="311"/>
      <c r="KP136" s="311"/>
      <c r="KQ136" s="311"/>
      <c r="KR136" s="311"/>
      <c r="KS136" s="311"/>
      <c r="KT136" s="311"/>
      <c r="KU136" s="311"/>
      <c r="KV136" s="311"/>
      <c r="KW136" s="311"/>
      <c r="KX136" s="311"/>
      <c r="KY136" s="311"/>
      <c r="KZ136" s="311"/>
      <c r="LA136" s="311"/>
      <c r="LB136" s="311"/>
      <c r="LC136" s="311"/>
      <c r="LD136" s="311"/>
      <c r="LE136" s="311"/>
      <c r="LF136" s="311"/>
      <c r="LG136" s="311"/>
      <c r="LH136" s="311"/>
      <c r="LI136" s="311"/>
      <c r="LJ136" s="311"/>
      <c r="LK136" s="311"/>
      <c r="LL136" s="311"/>
      <c r="LM136" s="311"/>
      <c r="LN136" s="311"/>
      <c r="LO136" s="311"/>
      <c r="LP136" s="311"/>
      <c r="LQ136" s="311"/>
      <c r="LR136" s="311"/>
      <c r="LS136" s="311"/>
      <c r="LT136" s="311"/>
      <c r="LU136" s="311"/>
      <c r="LV136" s="311"/>
      <c r="LW136" s="311"/>
      <c r="LX136" s="311"/>
      <c r="LY136" s="311"/>
      <c r="LZ136" s="311"/>
      <c r="MA136" s="311"/>
      <c r="MB136" s="311"/>
      <c r="MC136" s="311"/>
      <c r="MD136" s="311"/>
      <c r="ME136" s="311"/>
      <c r="MF136" s="311"/>
      <c r="MG136" s="311"/>
      <c r="MH136" s="311"/>
      <c r="MI136" s="311"/>
      <c r="MJ136" s="311"/>
      <c r="MK136" s="311"/>
      <c r="ML136" s="311"/>
      <c r="MM136" s="311"/>
      <c r="MN136" s="311"/>
      <c r="MO136" s="311"/>
      <c r="MP136" s="311"/>
      <c r="MQ136" s="311"/>
      <c r="MR136" s="311"/>
      <c r="MS136" s="311"/>
      <c r="MT136" s="311"/>
      <c r="MU136" s="311"/>
      <c r="MV136" s="311"/>
      <c r="MW136" s="311"/>
      <c r="MX136" s="311"/>
      <c r="MY136" s="311"/>
      <c r="MZ136" s="311"/>
      <c r="NA136" s="311"/>
      <c r="NB136" s="311"/>
      <c r="NC136" s="311"/>
      <c r="ND136" s="311"/>
      <c r="NE136" s="311"/>
      <c r="NF136" s="311"/>
      <c r="NG136" s="311"/>
      <c r="NH136" s="311"/>
      <c r="NI136" s="311"/>
      <c r="NJ136" s="311"/>
      <c r="NK136" s="311"/>
      <c r="NL136" s="311"/>
      <c r="NM136" s="311"/>
      <c r="NN136" s="311"/>
      <c r="NO136" s="311"/>
      <c r="NP136" s="311"/>
      <c r="NQ136" s="311"/>
      <c r="NR136" s="311"/>
      <c r="NS136" s="311"/>
      <c r="NT136" s="311"/>
      <c r="NU136" s="311"/>
      <c r="NV136" s="311"/>
      <c r="NW136" s="311"/>
      <c r="NX136" s="311"/>
      <c r="NY136" s="311"/>
      <c r="NZ136" s="311"/>
      <c r="OA136" s="311"/>
      <c r="OB136" s="311"/>
      <c r="OC136" s="311"/>
      <c r="OD136" s="311"/>
      <c r="OE136" s="311"/>
      <c r="OF136" s="311"/>
      <c r="OG136" s="311"/>
      <c r="OH136" s="311"/>
      <c r="OI136" s="311"/>
      <c r="OJ136" s="311"/>
      <c r="OK136" s="311"/>
      <c r="OL136" s="311"/>
      <c r="OM136" s="311"/>
      <c r="ON136" s="311"/>
      <c r="OO136" s="311"/>
      <c r="OP136" s="311"/>
      <c r="OQ136" s="311"/>
      <c r="OR136" s="311"/>
      <c r="OS136" s="311"/>
      <c r="OT136" s="311"/>
      <c r="OU136" s="311"/>
      <c r="OV136" s="311"/>
      <c r="OW136" s="311"/>
      <c r="OX136" s="311"/>
      <c r="OY136" s="311"/>
      <c r="OZ136" s="311"/>
      <c r="PA136" s="311"/>
      <c r="PB136" s="311"/>
      <c r="PC136" s="311"/>
      <c r="PD136" s="311"/>
      <c r="PE136" s="311"/>
      <c r="PF136" s="311"/>
      <c r="PG136" s="311"/>
      <c r="PH136" s="311"/>
      <c r="PI136" s="311"/>
      <c r="PJ136" s="311"/>
      <c r="PK136" s="311"/>
      <c r="PL136" s="311"/>
      <c r="PM136" s="311"/>
      <c r="PN136" s="311"/>
      <c r="PO136" s="311"/>
      <c r="PP136" s="311"/>
      <c r="PQ136" s="311"/>
      <c r="PR136" s="311"/>
      <c r="PS136" s="342">
        <v>122</v>
      </c>
      <c r="PT136" s="261" t="e">
        <f t="shared" si="163"/>
        <v>#N/A</v>
      </c>
      <c r="PU136" s="261" t="e">
        <f t="shared" si="164"/>
        <v>#N/A</v>
      </c>
      <c r="PV136" s="311"/>
      <c r="PW136" s="311"/>
      <c r="PX136" s="311"/>
      <c r="PY136" s="311"/>
      <c r="PZ136" s="311"/>
      <c r="QA136" s="311"/>
      <c r="QB136" s="311"/>
      <c r="QC136" s="311"/>
      <c r="QD136" s="311"/>
      <c r="QE136" s="311"/>
      <c r="QF136" s="311"/>
      <c r="QG136" s="311"/>
      <c r="QH136" s="311"/>
      <c r="QI136" s="311"/>
      <c r="QJ136" s="311"/>
      <c r="QK136" s="311"/>
      <c r="QL136" s="311"/>
      <c r="QM136" s="311"/>
      <c r="QN136" s="311"/>
      <c r="QO136" s="311"/>
      <c r="QP136" s="311"/>
      <c r="QQ136" s="311"/>
      <c r="QR136" s="311"/>
      <c r="QS136" s="311"/>
      <c r="QT136" s="311"/>
      <c r="QU136" s="311"/>
      <c r="QV136" s="311"/>
      <c r="QW136" s="311"/>
      <c r="QX136" s="311"/>
      <c r="QY136" s="311"/>
      <c r="QZ136" s="311"/>
      <c r="RA136" s="311"/>
      <c r="RB136" s="311"/>
      <c r="RC136" s="311"/>
      <c r="RD136" s="311"/>
      <c r="RE136" s="311"/>
      <c r="RF136" s="311"/>
      <c r="RG136" s="311"/>
      <c r="RH136" s="311"/>
      <c r="RI136" s="311"/>
      <c r="RJ136" s="311"/>
      <c r="RK136" s="311"/>
      <c r="RL136" s="311"/>
      <c r="RM136" s="311"/>
      <c r="RN136" s="311"/>
      <c r="RO136" s="311"/>
      <c r="RP136" s="311"/>
      <c r="RQ136" s="311"/>
      <c r="RR136" s="311"/>
      <c r="RS136" s="311"/>
      <c r="RT136" s="311"/>
      <c r="RU136" s="311"/>
      <c r="RV136" s="311"/>
      <c r="RW136" s="311"/>
      <c r="RX136" s="311"/>
      <c r="RY136" s="311"/>
      <c r="RZ136" s="311"/>
      <c r="SA136" s="311"/>
      <c r="SB136" s="311"/>
      <c r="SC136" s="311"/>
      <c r="SD136" s="311"/>
      <c r="SE136" s="311"/>
      <c r="SF136" s="311"/>
      <c r="SG136" s="311"/>
      <c r="SH136" s="311"/>
      <c r="SI136" s="311"/>
      <c r="SJ136" s="311"/>
      <c r="SK136" s="311"/>
      <c r="SL136" s="311"/>
      <c r="SM136" s="311"/>
      <c r="SN136" s="311"/>
      <c r="SO136" s="218"/>
      <c r="SP136" s="218"/>
      <c r="SQ136" s="218"/>
      <c r="SR136" s="218"/>
      <c r="SS136" s="218"/>
      <c r="ST136" s="218"/>
      <c r="SU136" s="218"/>
      <c r="SV136" s="218"/>
      <c r="SW136" s="218"/>
      <c r="SX136" s="218"/>
      <c r="SY136" s="218"/>
      <c r="SZ136" s="218"/>
      <c r="TA136" s="218"/>
      <c r="TB136" s="218"/>
      <c r="TC136" s="218"/>
      <c r="TD136" s="218"/>
      <c r="TE136" s="218"/>
      <c r="TF136" s="218"/>
      <c r="TG136" s="218"/>
      <c r="TH136" s="218"/>
      <c r="TI136" s="218"/>
      <c r="TJ136" s="218"/>
      <c r="TK136" s="218"/>
      <c r="TL136" s="218"/>
      <c r="TM136" s="218"/>
      <c r="TN136" s="218"/>
      <c r="TO136" s="218"/>
      <c r="TP136" s="218"/>
      <c r="TQ136" s="218"/>
      <c r="TR136" s="218"/>
      <c r="TS136" s="218"/>
      <c r="TT136" s="218"/>
      <c r="TU136" s="218"/>
      <c r="TV136" s="218"/>
      <c r="TW136" s="218"/>
      <c r="TX136" s="218"/>
      <c r="TY136" s="218"/>
      <c r="TZ136" s="218"/>
      <c r="UA136" s="218"/>
      <c r="UB136" s="218"/>
      <c r="UC136" s="218"/>
      <c r="UD136" s="218"/>
      <c r="UE136" s="218"/>
      <c r="UF136" s="218"/>
      <c r="UG136" s="218"/>
      <c r="UH136" s="218"/>
      <c r="UI136" s="218"/>
      <c r="UJ136" s="218"/>
      <c r="UK136" s="214"/>
      <c r="UL136" s="214"/>
      <c r="UM136" s="214"/>
      <c r="UN136" s="214"/>
      <c r="UO136" s="214"/>
      <c r="UP136" s="214"/>
      <c r="UQ136" s="214"/>
      <c r="UR136" s="214"/>
      <c r="US136" s="214"/>
      <c r="UT136" s="214"/>
      <c r="UU136" s="214"/>
      <c r="UV136" s="214"/>
      <c r="UW136" s="214"/>
      <c r="UX136" s="214"/>
      <c r="UY136" s="214"/>
      <c r="UZ136" s="214"/>
      <c r="VA136" s="214"/>
      <c r="VB136" s="2"/>
    </row>
    <row r="137" spans="1:574" x14ac:dyDescent="0.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310"/>
      <c r="AQ137" s="310"/>
      <c r="AR137" s="310"/>
      <c r="AS137" s="310"/>
      <c r="AT137" s="310"/>
      <c r="AU137" s="310"/>
      <c r="AV137" s="310"/>
      <c r="AW137" s="310"/>
      <c r="AX137" s="310"/>
      <c r="AY137" s="310"/>
      <c r="AZ137" s="310"/>
      <c r="BA137" s="310"/>
      <c r="DK137" s="310"/>
      <c r="EN137" s="280" t="e">
        <f>IF(EM136=TRUE,EN134,#N/A)</f>
        <v>#N/A</v>
      </c>
      <c r="EO137" s="280" t="e">
        <f>EO136</f>
        <v>#N/A</v>
      </c>
      <c r="HK137" s="342">
        <v>123</v>
      </c>
      <c r="HL137" s="235" t="e">
        <f t="shared" si="139"/>
        <v>#N/A</v>
      </c>
      <c r="HM137" s="235" t="e">
        <f t="shared" si="140"/>
        <v>#N/A</v>
      </c>
      <c r="HP137" s="235" t="e">
        <f t="shared" si="141"/>
        <v>#N/A</v>
      </c>
      <c r="HQ137" s="235" t="e">
        <f t="shared" si="142"/>
        <v>#N/A</v>
      </c>
      <c r="HT137" s="235" t="e">
        <f t="shared" si="143"/>
        <v>#N/A</v>
      </c>
      <c r="HU137" s="235" t="e">
        <f t="shared" si="144"/>
        <v>#N/A</v>
      </c>
      <c r="HX137" s="235" t="e">
        <f t="shared" si="145"/>
        <v>#N/A</v>
      </c>
      <c r="HY137" s="235" t="e">
        <f t="shared" si="146"/>
        <v>#N/A</v>
      </c>
      <c r="IB137" s="235" t="e">
        <f t="shared" si="147"/>
        <v>#N/A</v>
      </c>
      <c r="IC137" s="235" t="e">
        <f t="shared" si="148"/>
        <v>#N/A</v>
      </c>
      <c r="IE137" s="342">
        <v>123</v>
      </c>
      <c r="IF137" s="262" t="e">
        <f t="shared" si="149"/>
        <v>#N/A</v>
      </c>
      <c r="IG137" s="262" t="e">
        <f t="shared" si="150"/>
        <v>#N/A</v>
      </c>
      <c r="IH137" s="379"/>
      <c r="II137" s="379"/>
      <c r="IJ137" s="262" t="e">
        <f t="shared" si="151"/>
        <v>#N/A</v>
      </c>
      <c r="IK137" s="262" t="e">
        <f t="shared" si="152"/>
        <v>#N/A</v>
      </c>
      <c r="IL137" s="379"/>
      <c r="IM137" s="379"/>
      <c r="IN137" s="262" t="e">
        <f t="shared" si="153"/>
        <v>#N/A</v>
      </c>
      <c r="IO137" s="262" t="e">
        <f t="shared" si="154"/>
        <v>#N/A</v>
      </c>
      <c r="IP137" s="379"/>
      <c r="IQ137" s="379"/>
      <c r="IR137" s="262" t="e">
        <f t="shared" si="155"/>
        <v>#N/A</v>
      </c>
      <c r="IS137" s="262" t="e">
        <f t="shared" si="156"/>
        <v>#N/A</v>
      </c>
      <c r="IT137" s="379"/>
      <c r="IU137" s="379"/>
      <c r="IV137" s="262" t="e">
        <f t="shared" si="157"/>
        <v>#N/A</v>
      </c>
      <c r="IW137" s="262" t="e">
        <f t="shared" si="158"/>
        <v>#N/A</v>
      </c>
      <c r="IY137" s="310"/>
      <c r="IZ137" s="310"/>
      <c r="JA137" s="310"/>
      <c r="JB137" s="313" t="s">
        <v>399</v>
      </c>
      <c r="JC137" s="228">
        <f>JC136</f>
        <v>-0.8</v>
      </c>
      <c r="JD137" s="228">
        <f>JD124</f>
        <v>0.78500000000000003</v>
      </c>
      <c r="JF137" s="310"/>
      <c r="JG137" s="310"/>
      <c r="JH137" s="310"/>
      <c r="JI137" s="313" t="s">
        <v>399</v>
      </c>
      <c r="JJ137" s="242">
        <f>JJ136</f>
        <v>-0.8</v>
      </c>
      <c r="JK137" s="242">
        <f>JK124</f>
        <v>0.78500000000000003</v>
      </c>
      <c r="JN137" s="261" t="e">
        <f t="shared" si="159"/>
        <v>#N/A</v>
      </c>
      <c r="JO137" s="261" t="e">
        <f t="shared" si="160"/>
        <v>#N/A</v>
      </c>
      <c r="JR137" s="261" t="e">
        <f t="shared" si="165"/>
        <v>#N/A</v>
      </c>
      <c r="JS137" s="261" t="e">
        <f t="shared" si="166"/>
        <v>#N/A</v>
      </c>
      <c r="JV137" s="261" t="e">
        <f t="shared" si="161"/>
        <v>#N/A</v>
      </c>
      <c r="JW137" s="261" t="e">
        <f t="shared" si="162"/>
        <v>#N/A</v>
      </c>
      <c r="KM137" s="310"/>
      <c r="PS137" s="342">
        <v>123</v>
      </c>
      <c r="PT137" s="261" t="e">
        <f t="shared" si="163"/>
        <v>#N/A</v>
      </c>
      <c r="PU137" s="261" t="e">
        <f t="shared" si="164"/>
        <v>#N/A</v>
      </c>
    </row>
    <row r="138" spans="1:574" x14ac:dyDescent="0.5"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310"/>
      <c r="AQ138" s="310"/>
      <c r="AR138" s="310"/>
      <c r="AS138" s="310"/>
      <c r="AT138" s="310"/>
      <c r="AU138" s="310"/>
      <c r="AV138" s="310"/>
      <c r="AW138" s="310"/>
      <c r="AX138" s="310"/>
      <c r="AY138" s="310"/>
      <c r="AZ138" s="310"/>
      <c r="BA138" s="310"/>
      <c r="EN138" s="280" t="e">
        <v>#N/A</v>
      </c>
      <c r="EO138" s="280" t="e">
        <v>#N/A</v>
      </c>
      <c r="HK138" s="342">
        <v>124</v>
      </c>
      <c r="HL138" s="235" t="e">
        <f t="shared" si="139"/>
        <v>#N/A</v>
      </c>
      <c r="HM138" s="235" t="e">
        <f t="shared" si="140"/>
        <v>#N/A</v>
      </c>
      <c r="HP138" s="235" t="e">
        <f t="shared" si="141"/>
        <v>#N/A</v>
      </c>
      <c r="HQ138" s="235" t="e">
        <f t="shared" si="142"/>
        <v>#N/A</v>
      </c>
      <c r="HT138" s="235" t="e">
        <f t="shared" si="143"/>
        <v>#N/A</v>
      </c>
      <c r="HU138" s="235" t="e">
        <f t="shared" si="144"/>
        <v>#N/A</v>
      </c>
      <c r="HX138" s="235" t="e">
        <f t="shared" si="145"/>
        <v>#N/A</v>
      </c>
      <c r="HY138" s="235" t="e">
        <f t="shared" si="146"/>
        <v>#N/A</v>
      </c>
      <c r="IB138" s="235" t="e">
        <f t="shared" si="147"/>
        <v>#N/A</v>
      </c>
      <c r="IC138" s="235" t="e">
        <f t="shared" si="148"/>
        <v>#N/A</v>
      </c>
      <c r="IE138" s="342">
        <v>124</v>
      </c>
      <c r="IF138" s="262" t="e">
        <f t="shared" si="149"/>
        <v>#N/A</v>
      </c>
      <c r="IG138" s="262" t="e">
        <f t="shared" si="150"/>
        <v>#N/A</v>
      </c>
      <c r="IH138" s="379"/>
      <c r="II138" s="379"/>
      <c r="IJ138" s="262" t="e">
        <f t="shared" si="151"/>
        <v>#N/A</v>
      </c>
      <c r="IK138" s="262" t="e">
        <f t="shared" si="152"/>
        <v>#N/A</v>
      </c>
      <c r="IL138" s="379"/>
      <c r="IM138" s="379"/>
      <c r="IN138" s="262" t="e">
        <f t="shared" si="153"/>
        <v>#N/A</v>
      </c>
      <c r="IO138" s="262" t="e">
        <f t="shared" si="154"/>
        <v>#N/A</v>
      </c>
      <c r="IP138" s="379"/>
      <c r="IQ138" s="379"/>
      <c r="IR138" s="262" t="e">
        <f t="shared" si="155"/>
        <v>#N/A</v>
      </c>
      <c r="IS138" s="262" t="e">
        <f t="shared" si="156"/>
        <v>#N/A</v>
      </c>
      <c r="IT138" s="379"/>
      <c r="IU138" s="379"/>
      <c r="IV138" s="262" t="e">
        <f t="shared" si="157"/>
        <v>#N/A</v>
      </c>
      <c r="IW138" s="262" t="e">
        <f t="shared" si="158"/>
        <v>#N/A</v>
      </c>
      <c r="IY138" s="310"/>
      <c r="IZ138" s="310"/>
      <c r="JA138" s="310"/>
      <c r="JB138" s="313" t="s">
        <v>400</v>
      </c>
      <c r="JC138" s="228">
        <f>JC122</f>
        <v>-0.78500000000000003</v>
      </c>
      <c r="JD138" s="228">
        <f>JD122</f>
        <v>0.8</v>
      </c>
      <c r="JF138" s="310"/>
      <c r="JG138" s="310"/>
      <c r="JH138" s="310"/>
      <c r="JI138" s="313" t="s">
        <v>400</v>
      </c>
      <c r="JJ138" s="242">
        <f>JJ122</f>
        <v>-0.78500000000000003</v>
      </c>
      <c r="JK138" s="242">
        <f>JK122</f>
        <v>0.8</v>
      </c>
      <c r="JN138" s="261" t="e">
        <f t="shared" si="159"/>
        <v>#N/A</v>
      </c>
      <c r="JO138" s="261" t="e">
        <f t="shared" si="160"/>
        <v>#N/A</v>
      </c>
      <c r="JR138" s="261" t="e">
        <f t="shared" si="165"/>
        <v>#N/A</v>
      </c>
      <c r="JS138" s="261" t="e">
        <f t="shared" si="166"/>
        <v>#N/A</v>
      </c>
      <c r="JV138" s="261" t="e">
        <f t="shared" si="161"/>
        <v>#N/A</v>
      </c>
      <c r="JW138" s="261" t="e">
        <f t="shared" si="162"/>
        <v>#N/A</v>
      </c>
      <c r="KM138" s="310"/>
      <c r="PS138" s="342">
        <v>124</v>
      </c>
      <c r="PT138" s="261" t="e">
        <f t="shared" si="163"/>
        <v>#N/A</v>
      </c>
      <c r="PU138" s="261" t="e">
        <f t="shared" si="164"/>
        <v>#N/A</v>
      </c>
    </row>
    <row r="139" spans="1:574" x14ac:dyDescent="0.5"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310"/>
      <c r="AQ139" s="310"/>
      <c r="AR139" s="310"/>
      <c r="AS139" s="310"/>
      <c r="AT139" s="310"/>
      <c r="AU139" s="310"/>
      <c r="AV139" s="310"/>
      <c r="AW139" s="310"/>
      <c r="AX139" s="310"/>
      <c r="AY139" s="310"/>
      <c r="AZ139" s="310"/>
      <c r="BA139" s="310"/>
      <c r="EL139" s="310">
        <v>6</v>
      </c>
      <c r="EM139" s="310" t="b">
        <f>IF($D$63&gt;=EL139,TRUE,FALSE)</f>
        <v>0</v>
      </c>
      <c r="EN139" s="280" t="e">
        <f>IF(EM139=TRUE,EN136,#N/A)</f>
        <v>#N/A</v>
      </c>
      <c r="EO139" s="280" t="e">
        <f>IF(EM139=TRUE,EO136-$EM$123,#N/A)</f>
        <v>#N/A</v>
      </c>
      <c r="HK139" s="342">
        <v>125</v>
      </c>
      <c r="HL139" s="235" t="e">
        <f t="shared" si="139"/>
        <v>#N/A</v>
      </c>
      <c r="HM139" s="235" t="e">
        <f t="shared" si="140"/>
        <v>#N/A</v>
      </c>
      <c r="HP139" s="235" t="e">
        <f t="shared" si="141"/>
        <v>#N/A</v>
      </c>
      <c r="HQ139" s="235" t="e">
        <f t="shared" si="142"/>
        <v>#N/A</v>
      </c>
      <c r="HT139" s="235" t="e">
        <f t="shared" si="143"/>
        <v>#N/A</v>
      </c>
      <c r="HU139" s="235" t="e">
        <f t="shared" si="144"/>
        <v>#N/A</v>
      </c>
      <c r="HX139" s="235" t="e">
        <f t="shared" si="145"/>
        <v>#N/A</v>
      </c>
      <c r="HY139" s="235" t="e">
        <f t="shared" si="146"/>
        <v>#N/A</v>
      </c>
      <c r="IB139" s="235" t="e">
        <f t="shared" si="147"/>
        <v>#N/A</v>
      </c>
      <c r="IC139" s="235" t="e">
        <f t="shared" si="148"/>
        <v>#N/A</v>
      </c>
      <c r="IE139" s="342">
        <v>125</v>
      </c>
      <c r="IF139" s="262" t="e">
        <f t="shared" si="149"/>
        <v>#N/A</v>
      </c>
      <c r="IG139" s="262" t="e">
        <f t="shared" si="150"/>
        <v>#N/A</v>
      </c>
      <c r="IH139" s="379"/>
      <c r="II139" s="379"/>
      <c r="IJ139" s="262" t="e">
        <f t="shared" si="151"/>
        <v>#N/A</v>
      </c>
      <c r="IK139" s="262" t="e">
        <f t="shared" si="152"/>
        <v>#N/A</v>
      </c>
      <c r="IL139" s="379"/>
      <c r="IM139" s="379"/>
      <c r="IN139" s="262" t="e">
        <f t="shared" si="153"/>
        <v>#N/A</v>
      </c>
      <c r="IO139" s="262" t="e">
        <f t="shared" si="154"/>
        <v>#N/A</v>
      </c>
      <c r="IP139" s="379"/>
      <c r="IQ139" s="379"/>
      <c r="IR139" s="262" t="e">
        <f t="shared" si="155"/>
        <v>#N/A</v>
      </c>
      <c r="IS139" s="262" t="e">
        <f t="shared" si="156"/>
        <v>#N/A</v>
      </c>
      <c r="IT139" s="379"/>
      <c r="IU139" s="379"/>
      <c r="IV139" s="262" t="e">
        <f t="shared" si="157"/>
        <v>#N/A</v>
      </c>
      <c r="IW139" s="262" t="e">
        <f t="shared" si="158"/>
        <v>#N/A</v>
      </c>
      <c r="JC139" s="230" t="e">
        <v>#N/A</v>
      </c>
      <c r="JD139" s="230" t="e">
        <v>#N/A</v>
      </c>
      <c r="JJ139" s="264" t="e">
        <v>#N/A</v>
      </c>
      <c r="JK139" s="264" t="e">
        <v>#N/A</v>
      </c>
      <c r="JN139" s="261" t="e">
        <f t="shared" si="159"/>
        <v>#N/A</v>
      </c>
      <c r="JO139" s="261" t="e">
        <f t="shared" si="160"/>
        <v>#N/A</v>
      </c>
      <c r="JR139" s="261" t="e">
        <f t="shared" si="165"/>
        <v>#N/A</v>
      </c>
      <c r="JS139" s="261" t="e">
        <f t="shared" si="166"/>
        <v>#N/A</v>
      </c>
      <c r="JV139" s="261" t="e">
        <f t="shared" si="161"/>
        <v>#N/A</v>
      </c>
      <c r="JW139" s="261" t="e">
        <f t="shared" si="162"/>
        <v>#N/A</v>
      </c>
      <c r="KM139" s="310"/>
      <c r="PS139" s="342">
        <v>125</v>
      </c>
      <c r="PT139" s="261" t="e">
        <f t="shared" si="163"/>
        <v>#N/A</v>
      </c>
      <c r="PU139" s="261" t="e">
        <f t="shared" si="164"/>
        <v>#N/A</v>
      </c>
    </row>
    <row r="140" spans="1:574" x14ac:dyDescent="0.5"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310"/>
      <c r="AQ140" s="310"/>
      <c r="AR140" s="310"/>
      <c r="AS140" s="310"/>
      <c r="AT140" s="310"/>
      <c r="AU140" s="310"/>
      <c r="AV140" s="310"/>
      <c r="AW140" s="310"/>
      <c r="AX140" s="310"/>
      <c r="AY140" s="310"/>
      <c r="AZ140" s="310"/>
      <c r="BA140" s="310"/>
      <c r="EN140" s="280" t="e">
        <f>IF(EM139=TRUE,EN137,#N/A)</f>
        <v>#N/A</v>
      </c>
      <c r="EO140" s="280" t="e">
        <f>EO139</f>
        <v>#N/A</v>
      </c>
      <c r="HK140" s="342">
        <v>126</v>
      </c>
      <c r="HL140" s="235" t="e">
        <f t="shared" si="139"/>
        <v>#N/A</v>
      </c>
      <c r="HM140" s="235" t="e">
        <f t="shared" si="140"/>
        <v>#N/A</v>
      </c>
      <c r="HP140" s="235" t="e">
        <f t="shared" si="141"/>
        <v>#N/A</v>
      </c>
      <c r="HQ140" s="235" t="e">
        <f t="shared" si="142"/>
        <v>#N/A</v>
      </c>
      <c r="HT140" s="235" t="e">
        <f t="shared" si="143"/>
        <v>#N/A</v>
      </c>
      <c r="HU140" s="235" t="e">
        <f t="shared" si="144"/>
        <v>#N/A</v>
      </c>
      <c r="HX140" s="235" t="e">
        <f t="shared" si="145"/>
        <v>#N/A</v>
      </c>
      <c r="HY140" s="235" t="e">
        <f t="shared" si="146"/>
        <v>#N/A</v>
      </c>
      <c r="IB140" s="235" t="e">
        <f t="shared" si="147"/>
        <v>#N/A</v>
      </c>
      <c r="IC140" s="235" t="e">
        <f t="shared" si="148"/>
        <v>#N/A</v>
      </c>
      <c r="IE140" s="342">
        <v>126</v>
      </c>
      <c r="IF140" s="262" t="e">
        <f t="shared" si="149"/>
        <v>#N/A</v>
      </c>
      <c r="IG140" s="262" t="e">
        <f t="shared" si="150"/>
        <v>#N/A</v>
      </c>
      <c r="IH140" s="379"/>
      <c r="II140" s="379"/>
      <c r="IJ140" s="262" t="e">
        <f t="shared" si="151"/>
        <v>#N/A</v>
      </c>
      <c r="IK140" s="262" t="e">
        <f t="shared" si="152"/>
        <v>#N/A</v>
      </c>
      <c r="IL140" s="379"/>
      <c r="IM140" s="379"/>
      <c r="IN140" s="262" t="e">
        <f t="shared" si="153"/>
        <v>#N/A</v>
      </c>
      <c r="IO140" s="262" t="e">
        <f t="shared" si="154"/>
        <v>#N/A</v>
      </c>
      <c r="IP140" s="379"/>
      <c r="IQ140" s="379"/>
      <c r="IR140" s="262" t="e">
        <f t="shared" si="155"/>
        <v>#N/A</v>
      </c>
      <c r="IS140" s="262" t="e">
        <f t="shared" si="156"/>
        <v>#N/A</v>
      </c>
      <c r="IT140" s="379"/>
      <c r="IU140" s="379"/>
      <c r="IV140" s="262" t="e">
        <f t="shared" si="157"/>
        <v>#N/A</v>
      </c>
      <c r="IW140" s="262" t="e">
        <f t="shared" si="158"/>
        <v>#N/A</v>
      </c>
      <c r="IY140" s="342" t="s">
        <v>353</v>
      </c>
      <c r="IZ140" s="328" t="s">
        <v>402</v>
      </c>
      <c r="JA140" s="328" t="b">
        <f>AND($GY$6&gt;=$GX$7,$GY$6&lt;=$GX$13,$BM$9=TRUE)</f>
        <v>1</v>
      </c>
      <c r="JB140" s="313" t="s">
        <v>106</v>
      </c>
      <c r="JC140" s="228">
        <f>IZ142-($IZ$108/2)+$IZ$114</f>
        <v>0.51500000000000001</v>
      </c>
      <c r="JD140" s="228">
        <f>JA142+$IZ$108/2</f>
        <v>-0.5</v>
      </c>
      <c r="JF140" s="342" t="s">
        <v>353</v>
      </c>
      <c r="JG140" s="328" t="s">
        <v>402</v>
      </c>
      <c r="JH140" s="328" t="b">
        <f>IF(CP13=TRUE,AND($GY$6&gt;=$GX$7,$GY$6&lt;=$GX$13,$BM$9=TRUE,$BE$7=TRUE,CU11=TRUE),FALSE)</f>
        <v>1</v>
      </c>
      <c r="JI140" s="313" t="s">
        <v>106</v>
      </c>
      <c r="JJ140" s="242">
        <f>JG142-($IZ$108/2)+$IZ$114</f>
        <v>0.51500000000000001</v>
      </c>
      <c r="JK140" s="242">
        <f>JH142+$IZ$108/2</f>
        <v>-0.5</v>
      </c>
      <c r="JN140" s="261" t="e">
        <f t="shared" si="159"/>
        <v>#N/A</v>
      </c>
      <c r="JO140" s="261" t="e">
        <f t="shared" si="160"/>
        <v>#N/A</v>
      </c>
      <c r="JR140" s="261" t="e">
        <f t="shared" si="165"/>
        <v>#N/A</v>
      </c>
      <c r="JS140" s="261" t="e">
        <f t="shared" si="166"/>
        <v>#N/A</v>
      </c>
      <c r="JV140" s="261" t="e">
        <f t="shared" si="161"/>
        <v>#N/A</v>
      </c>
      <c r="JW140" s="261" t="e">
        <f t="shared" si="162"/>
        <v>#N/A</v>
      </c>
      <c r="KM140" s="310"/>
      <c r="PS140" s="342">
        <v>126</v>
      </c>
      <c r="PT140" s="261" t="e">
        <f t="shared" si="163"/>
        <v>#N/A</v>
      </c>
      <c r="PU140" s="261" t="e">
        <f t="shared" si="164"/>
        <v>#N/A</v>
      </c>
    </row>
    <row r="141" spans="1:574" x14ac:dyDescent="0.5"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310"/>
      <c r="AQ141" s="310"/>
      <c r="AR141" s="310"/>
      <c r="AS141" s="310"/>
      <c r="AT141" s="310"/>
      <c r="AU141" s="310"/>
      <c r="AV141" s="310"/>
      <c r="AW141" s="310"/>
      <c r="AX141" s="310"/>
      <c r="AY141" s="310"/>
      <c r="AZ141" s="310"/>
      <c r="BA141" s="310"/>
      <c r="EN141" s="280" t="e">
        <v>#N/A</v>
      </c>
      <c r="EO141" s="280" t="e">
        <v>#N/A</v>
      </c>
      <c r="HK141" s="342">
        <v>127</v>
      </c>
      <c r="HL141" s="235" t="e">
        <f t="shared" si="139"/>
        <v>#N/A</v>
      </c>
      <c r="HM141" s="235" t="e">
        <f t="shared" si="140"/>
        <v>#N/A</v>
      </c>
      <c r="HP141" s="235" t="e">
        <f t="shared" si="141"/>
        <v>#N/A</v>
      </c>
      <c r="HQ141" s="235" t="e">
        <f t="shared" si="142"/>
        <v>#N/A</v>
      </c>
      <c r="HT141" s="235" t="e">
        <f t="shared" si="143"/>
        <v>#N/A</v>
      </c>
      <c r="HU141" s="235" t="e">
        <f t="shared" si="144"/>
        <v>#N/A</v>
      </c>
      <c r="HX141" s="235" t="e">
        <f t="shared" si="145"/>
        <v>#N/A</v>
      </c>
      <c r="HY141" s="235" t="e">
        <f t="shared" si="146"/>
        <v>#N/A</v>
      </c>
      <c r="IB141" s="235" t="e">
        <f t="shared" si="147"/>
        <v>#N/A</v>
      </c>
      <c r="IC141" s="235" t="e">
        <f t="shared" si="148"/>
        <v>#N/A</v>
      </c>
      <c r="IE141" s="342">
        <v>127</v>
      </c>
      <c r="IF141" s="262" t="e">
        <f t="shared" si="149"/>
        <v>#N/A</v>
      </c>
      <c r="IG141" s="262" t="e">
        <f t="shared" si="150"/>
        <v>#N/A</v>
      </c>
      <c r="IH141" s="379"/>
      <c r="II141" s="379"/>
      <c r="IJ141" s="262" t="e">
        <f t="shared" si="151"/>
        <v>#N/A</v>
      </c>
      <c r="IK141" s="262" t="e">
        <f t="shared" si="152"/>
        <v>#N/A</v>
      </c>
      <c r="IL141" s="379"/>
      <c r="IM141" s="379"/>
      <c r="IN141" s="262" t="e">
        <f t="shared" si="153"/>
        <v>#N/A</v>
      </c>
      <c r="IO141" s="262" t="e">
        <f t="shared" si="154"/>
        <v>#N/A</v>
      </c>
      <c r="IP141" s="379"/>
      <c r="IQ141" s="379"/>
      <c r="IR141" s="262" t="e">
        <f t="shared" si="155"/>
        <v>#N/A</v>
      </c>
      <c r="IS141" s="262" t="e">
        <f t="shared" si="156"/>
        <v>#N/A</v>
      </c>
      <c r="IT141" s="379"/>
      <c r="IU141" s="379"/>
      <c r="IV141" s="262" t="e">
        <f t="shared" si="157"/>
        <v>#N/A</v>
      </c>
      <c r="IW141" s="262" t="e">
        <f t="shared" si="158"/>
        <v>#N/A</v>
      </c>
      <c r="IY141" s="342" t="s">
        <v>355</v>
      </c>
      <c r="IZ141" s="342" t="s">
        <v>48</v>
      </c>
      <c r="JA141" s="342" t="s">
        <v>49</v>
      </c>
      <c r="JB141" s="313" t="s">
        <v>144</v>
      </c>
      <c r="JC141" s="228">
        <f>IZ142+($IZ$108/2)-$IZ$114</f>
        <v>0.78500000000000003</v>
      </c>
      <c r="JD141" s="228">
        <f>JD140</f>
        <v>-0.5</v>
      </c>
      <c r="JF141" s="342" t="s">
        <v>355</v>
      </c>
      <c r="JG141" s="342" t="s">
        <v>48</v>
      </c>
      <c r="JH141" s="342" t="s">
        <v>49</v>
      </c>
      <c r="JI141" s="313" t="s">
        <v>144</v>
      </c>
      <c r="JJ141" s="242">
        <f>JG142+($IZ$108/2)-$IZ$114</f>
        <v>0.78500000000000003</v>
      </c>
      <c r="JK141" s="242">
        <f>JK140</f>
        <v>-0.5</v>
      </c>
      <c r="JN141" s="261" t="e">
        <f t="shared" si="159"/>
        <v>#N/A</v>
      </c>
      <c r="JO141" s="261" t="e">
        <f t="shared" si="160"/>
        <v>#N/A</v>
      </c>
      <c r="JR141" s="261" t="e">
        <f t="shared" si="165"/>
        <v>#N/A</v>
      </c>
      <c r="JS141" s="261" t="e">
        <f t="shared" si="166"/>
        <v>#N/A</v>
      </c>
      <c r="JV141" s="261" t="e">
        <f t="shared" si="161"/>
        <v>#N/A</v>
      </c>
      <c r="JW141" s="261" t="e">
        <f t="shared" si="162"/>
        <v>#N/A</v>
      </c>
      <c r="PS141" s="342">
        <v>127</v>
      </c>
      <c r="PT141" s="261" t="e">
        <f t="shared" si="163"/>
        <v>#N/A</v>
      </c>
      <c r="PU141" s="261" t="e">
        <f t="shared" si="164"/>
        <v>#N/A</v>
      </c>
    </row>
    <row r="142" spans="1:574" x14ac:dyDescent="0.5"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310"/>
      <c r="AQ142" s="310"/>
      <c r="AR142" s="310"/>
      <c r="AS142" s="310"/>
      <c r="AT142" s="310"/>
      <c r="AU142" s="310"/>
      <c r="AV142" s="310"/>
      <c r="AW142" s="310"/>
      <c r="AX142" s="310"/>
      <c r="AY142" s="310"/>
      <c r="AZ142" s="310"/>
      <c r="BA142" s="310"/>
      <c r="EL142" s="310">
        <v>7</v>
      </c>
      <c r="EM142" s="310" t="b">
        <f>IF($D$63&gt;=EL142,TRUE,FALSE)</f>
        <v>0</v>
      </c>
      <c r="EN142" s="280" t="e">
        <f>IF(EM142=TRUE,EN139,#N/A)</f>
        <v>#N/A</v>
      </c>
      <c r="EO142" s="280" t="e">
        <f>IF(EM142=TRUE,EO139-$EM$123,#N/A)</f>
        <v>#N/A</v>
      </c>
      <c r="HK142" s="342">
        <v>128</v>
      </c>
      <c r="HL142" s="235" t="e">
        <f t="shared" si="139"/>
        <v>#N/A</v>
      </c>
      <c r="HM142" s="235" t="e">
        <f t="shared" si="140"/>
        <v>#N/A</v>
      </c>
      <c r="HP142" s="235" t="e">
        <f t="shared" si="141"/>
        <v>#N/A</v>
      </c>
      <c r="HQ142" s="235" t="e">
        <f t="shared" si="142"/>
        <v>#N/A</v>
      </c>
      <c r="HT142" s="235" t="e">
        <f t="shared" si="143"/>
        <v>#N/A</v>
      </c>
      <c r="HU142" s="235" t="e">
        <f t="shared" si="144"/>
        <v>#N/A</v>
      </c>
      <c r="HX142" s="235" t="e">
        <f t="shared" si="145"/>
        <v>#N/A</v>
      </c>
      <c r="HY142" s="235" t="e">
        <f t="shared" si="146"/>
        <v>#N/A</v>
      </c>
      <c r="IB142" s="235" t="e">
        <f t="shared" si="147"/>
        <v>#N/A</v>
      </c>
      <c r="IC142" s="235" t="e">
        <f t="shared" si="148"/>
        <v>#N/A</v>
      </c>
      <c r="IE142" s="342">
        <v>128</v>
      </c>
      <c r="IF142" s="262" t="e">
        <f t="shared" si="149"/>
        <v>#N/A</v>
      </c>
      <c r="IG142" s="262" t="e">
        <f t="shared" si="150"/>
        <v>#N/A</v>
      </c>
      <c r="IH142" s="379"/>
      <c r="II142" s="379"/>
      <c r="IJ142" s="262" t="e">
        <f t="shared" si="151"/>
        <v>#N/A</v>
      </c>
      <c r="IK142" s="262" t="e">
        <f t="shared" si="152"/>
        <v>#N/A</v>
      </c>
      <c r="IL142" s="379"/>
      <c r="IM142" s="379"/>
      <c r="IN142" s="262" t="e">
        <f t="shared" si="153"/>
        <v>#N/A</v>
      </c>
      <c r="IO142" s="262" t="e">
        <f t="shared" si="154"/>
        <v>#N/A</v>
      </c>
      <c r="IP142" s="379"/>
      <c r="IQ142" s="379"/>
      <c r="IR142" s="262" t="e">
        <f t="shared" si="155"/>
        <v>#N/A</v>
      </c>
      <c r="IS142" s="262" t="e">
        <f t="shared" si="156"/>
        <v>#N/A</v>
      </c>
      <c r="IT142" s="379"/>
      <c r="IU142" s="379"/>
      <c r="IV142" s="262" t="e">
        <f t="shared" si="157"/>
        <v>#N/A</v>
      </c>
      <c r="IW142" s="262" t="e">
        <f t="shared" si="158"/>
        <v>#N/A</v>
      </c>
      <c r="IY142" s="313" t="s">
        <v>72</v>
      </c>
      <c r="IZ142" s="362">
        <f>IF(JA140=TRUE,$M$21,#N/A)</f>
        <v>0.65</v>
      </c>
      <c r="JA142" s="362">
        <f>IF(JA140=TRUE,$J$21,#N/A)</f>
        <v>-0.65</v>
      </c>
      <c r="JB142" s="313" t="s">
        <v>149</v>
      </c>
      <c r="JC142" s="228">
        <f>IZ142+$IZ$108/2</f>
        <v>0.8</v>
      </c>
      <c r="JD142" s="228">
        <f>JA142+$IZ$108/2-$IZ$114</f>
        <v>-0.51500000000000001</v>
      </c>
      <c r="JF142" s="313" t="s">
        <v>72</v>
      </c>
      <c r="JG142" s="362">
        <f>IF(JH140=TRUE,$J$28,#N/A)</f>
        <v>0.65</v>
      </c>
      <c r="JH142" s="363">
        <f>IF(JH140=TRUE,$H$28,#N/A)</f>
        <v>-0.65</v>
      </c>
      <c r="JI142" s="313" t="s">
        <v>149</v>
      </c>
      <c r="JJ142" s="242">
        <f>JG142+$IZ$108/2</f>
        <v>0.8</v>
      </c>
      <c r="JK142" s="242">
        <f>JH142+$IZ$108/2-$IZ$114</f>
        <v>-0.51500000000000001</v>
      </c>
      <c r="JN142" s="261" t="e">
        <f t="shared" si="159"/>
        <v>#N/A</v>
      </c>
      <c r="JO142" s="261" t="e">
        <f t="shared" si="160"/>
        <v>#N/A</v>
      </c>
      <c r="JR142" s="261" t="e">
        <f t="shared" si="165"/>
        <v>#N/A</v>
      </c>
      <c r="JS142" s="261" t="e">
        <f t="shared" si="166"/>
        <v>#N/A</v>
      </c>
      <c r="JV142" s="261" t="e">
        <f t="shared" si="161"/>
        <v>#N/A</v>
      </c>
      <c r="JW142" s="261" t="e">
        <f t="shared" si="162"/>
        <v>#N/A</v>
      </c>
      <c r="PS142" s="342">
        <v>128</v>
      </c>
      <c r="PT142" s="261" t="e">
        <f t="shared" si="163"/>
        <v>#N/A</v>
      </c>
      <c r="PU142" s="261" t="e">
        <f t="shared" si="164"/>
        <v>#N/A</v>
      </c>
    </row>
    <row r="143" spans="1:574" x14ac:dyDescent="0.5"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310"/>
      <c r="AQ143" s="310"/>
      <c r="AR143" s="310"/>
      <c r="AS143" s="310"/>
      <c r="AT143" s="310"/>
      <c r="AU143" s="310"/>
      <c r="AV143" s="310"/>
      <c r="AW143" s="310"/>
      <c r="AX143" s="310"/>
      <c r="AY143" s="310"/>
      <c r="AZ143" s="310"/>
      <c r="BA143" s="310"/>
      <c r="EN143" s="280" t="e">
        <f>IF(EM142=TRUE,EN140,#N/A)</f>
        <v>#N/A</v>
      </c>
      <c r="EO143" s="280" t="e">
        <f>EO142</f>
        <v>#N/A</v>
      </c>
      <c r="HK143" s="342">
        <v>129</v>
      </c>
      <c r="HL143" s="235" t="e">
        <f t="shared" ref="HL143:HL206" si="167">IF($HM$9=TRUE,$HL$11+$HL$12*COS(HK143*PI()/$HM$13),#N/A)</f>
        <v>#N/A</v>
      </c>
      <c r="HM143" s="235" t="e">
        <f t="shared" ref="HM143:HM206" si="168">IF($HM$9=TRUE,$HM$11+$HL$12*SIN(HK143*PI()/$HM$13),#N/A)</f>
        <v>#N/A</v>
      </c>
      <c r="HP143" s="235" t="e">
        <f t="shared" ref="HP143:HP206" si="169">IF($HQ$9=TRUE,$HP$11+$HP$12*COS(HK143*PI()/$HQ$13),#N/A)</f>
        <v>#N/A</v>
      </c>
      <c r="HQ143" s="235" t="e">
        <f t="shared" ref="HQ143:HQ206" si="170">IF($HQ$9=TRUE,$HQ$11+$HP$12*SIN(HK143*PI()/$HQ$13),#N/A)</f>
        <v>#N/A</v>
      </c>
      <c r="HT143" s="235" t="e">
        <f t="shared" ref="HT143:HT206" si="171">IF($HU$9=TRUE,$HT$11+$HT$12*COS(HK143*PI()/$HU$13),#N/A)</f>
        <v>#N/A</v>
      </c>
      <c r="HU143" s="235" t="e">
        <f t="shared" ref="HU143:HU206" si="172">IF($HU$9=TRUE,$HU$11+$HT$12*SIN(HK143*PI()/$HU$13),#N/A)</f>
        <v>#N/A</v>
      </c>
      <c r="HX143" s="235" t="e">
        <f t="shared" ref="HX143:HX206" si="173">IF($HY$9=TRUE,$HX$11+$HX$12*COS(HK143*PI()/$HY$13),#N/A)</f>
        <v>#N/A</v>
      </c>
      <c r="HY143" s="235" t="e">
        <f t="shared" ref="HY143:HY206" si="174">IF($HY$9=TRUE,$HY$11+$HX$12*SIN(HK143*PI()/$HY$13),#N/A)</f>
        <v>#N/A</v>
      </c>
      <c r="IB143" s="235" t="e">
        <f t="shared" ref="IB143:IB206" si="175">IF($IC$9=TRUE,$IB$11+$IB$12*COS(HK143*PI()/$IC$13),#N/A)</f>
        <v>#N/A</v>
      </c>
      <c r="IC143" s="235" t="e">
        <f t="shared" ref="IC143:IC206" si="176">IF($IC$9=TRUE,$IC$11+$IB$12*SIN(HK143*PI()/$IC$13),#N/A)</f>
        <v>#N/A</v>
      </c>
      <c r="IE143" s="342">
        <v>129</v>
      </c>
      <c r="IF143" s="262" t="e">
        <f t="shared" ref="IF143:IF206" si="177">IF($IG$9=TRUE,$IF$11+$IF$12*COS(IE143*PI()/$IG$13),#N/A)</f>
        <v>#N/A</v>
      </c>
      <c r="IG143" s="262" t="e">
        <f t="shared" ref="IG143:IG206" si="178">IF($IG$9=TRUE,$IG$11+$IF$12*SIN(IE143*PI()/$IG$13),#N/A)</f>
        <v>#N/A</v>
      </c>
      <c r="IH143" s="379"/>
      <c r="II143" s="379"/>
      <c r="IJ143" s="262" t="e">
        <f t="shared" ref="IJ143:IJ206" si="179">IF($IK$9=TRUE,$IJ$11+$IJ$12*COS(IE143*PI()/$IK$13),#N/A)</f>
        <v>#N/A</v>
      </c>
      <c r="IK143" s="262" t="e">
        <f t="shared" ref="IK143:IK206" si="180">IF($IK$9=TRUE,$IK$11+$IJ$12*SIN(IE143*PI()/$IK$13),#N/A)</f>
        <v>#N/A</v>
      </c>
      <c r="IL143" s="379"/>
      <c r="IM143" s="379"/>
      <c r="IN143" s="262" t="e">
        <f t="shared" ref="IN143:IN206" si="181">IF($IO$9=TRUE,$IN$11+$IN$12*COS(IE143*PI()/$IO$13),#N/A)</f>
        <v>#N/A</v>
      </c>
      <c r="IO143" s="262" t="e">
        <f t="shared" ref="IO143:IO206" si="182">IF($IO$9=TRUE,$IO$11+$IN$12*SIN(IE143*PI()/$IO$13),#N/A)</f>
        <v>#N/A</v>
      </c>
      <c r="IP143" s="379"/>
      <c r="IQ143" s="379"/>
      <c r="IR143" s="262" t="e">
        <f t="shared" ref="IR143:IR206" si="183">IF($IS$9=TRUE,$IR$11+$IR$12*COS(IE143*PI()/$IS$13),#N/A)</f>
        <v>#N/A</v>
      </c>
      <c r="IS143" s="262" t="e">
        <f t="shared" ref="IS143:IS206" si="184">IF($IS$9=TRUE,$IS$11+$IR$12*SIN(IE143*PI()/$IS$13),#N/A)</f>
        <v>#N/A</v>
      </c>
      <c r="IT143" s="379"/>
      <c r="IU143" s="379"/>
      <c r="IV143" s="262" t="e">
        <f t="shared" ref="IV143:IV206" si="185">IF($IW$9=TRUE,$IV$11+$IV$12*COS(IE143*PI()/$IW$13),#N/A)</f>
        <v>#N/A</v>
      </c>
      <c r="IW143" s="262" t="e">
        <f t="shared" ref="IW143:IW206" si="186">IF($IW$9=TRUE,$IW$11+$IV$12*SIN(IE143*PI()/$IW$13),#N/A)</f>
        <v>#N/A</v>
      </c>
      <c r="JB143" s="313" t="s">
        <v>152</v>
      </c>
      <c r="JC143" s="228">
        <f>JC142</f>
        <v>0.8</v>
      </c>
      <c r="JD143" s="234">
        <f>JA142+($IZ$108/2)-$IZ$109</f>
        <v>-0.57499999999999996</v>
      </c>
      <c r="JI143" s="313" t="s">
        <v>152</v>
      </c>
      <c r="JJ143" s="242">
        <f>JJ142</f>
        <v>0.8</v>
      </c>
      <c r="JK143" s="265">
        <f>JH142+($IZ$108/2)-$IZ$109</f>
        <v>-0.57499999999999996</v>
      </c>
      <c r="JN143" s="261" t="e">
        <f t="shared" ref="JN143:JN206" si="187">IF($JO$9=TRUE,$JN$11+$JN$12*COS(IE143*PI()/$JO$13),#N/A)</f>
        <v>#N/A</v>
      </c>
      <c r="JO143" s="261" t="e">
        <f t="shared" ref="JO143:JO206" si="188">IF($JO$9=TRUE,$JO$11+$JN$12*SIN(IE143*PI()/$JO$13),#N/A)</f>
        <v>#N/A</v>
      </c>
      <c r="JR143" s="261" t="e">
        <f t="shared" si="165"/>
        <v>#N/A</v>
      </c>
      <c r="JS143" s="261" t="e">
        <f t="shared" si="166"/>
        <v>#N/A</v>
      </c>
      <c r="JV143" s="261" t="e">
        <f t="shared" ref="JV143:JV206" si="189">IF($JW$9=TRUE,$JV$11+$JV$12*COS(IE143*PI()/$JW$13),#N/A)</f>
        <v>#N/A</v>
      </c>
      <c r="JW143" s="261" t="e">
        <f t="shared" ref="JW143:JW206" si="190">IF($JW$9=TRUE,$JW$11+$JV$12*SIN(IE143*PI()/$JW$13),#N/A)</f>
        <v>#N/A</v>
      </c>
      <c r="PS143" s="342">
        <v>129</v>
      </c>
      <c r="PT143" s="261" t="e">
        <f t="shared" ref="PT143:PT206" si="191">IF($PU$9=TRUE,$PT$11+$PT$12*COS(PS143*PI()/$PU$13),#N/A)</f>
        <v>#N/A</v>
      </c>
      <c r="PU143" s="261" t="e">
        <f t="shared" ref="PU143:PU206" si="192">IF($PU$9=TRUE,$PU$11+$PT$12*SIN(PS143*PI()/$PU$13),#N/A)</f>
        <v>#N/A</v>
      </c>
    </row>
    <row r="144" spans="1:574" x14ac:dyDescent="0.5"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310"/>
      <c r="AQ144" s="310"/>
      <c r="AR144" s="310"/>
      <c r="AS144" s="310"/>
      <c r="AT144" s="310"/>
      <c r="AU144" s="310"/>
      <c r="AV144" s="310"/>
      <c r="AW144" s="310"/>
      <c r="AX144" s="310"/>
      <c r="AY144" s="310"/>
      <c r="AZ144" s="310"/>
      <c r="BA144" s="310"/>
      <c r="EN144" s="280" t="e">
        <v>#N/A</v>
      </c>
      <c r="EO144" s="280" t="e">
        <v>#N/A</v>
      </c>
      <c r="HK144" s="342">
        <v>130</v>
      </c>
      <c r="HL144" s="235" t="e">
        <f t="shared" si="167"/>
        <v>#N/A</v>
      </c>
      <c r="HM144" s="235" t="e">
        <f t="shared" si="168"/>
        <v>#N/A</v>
      </c>
      <c r="HP144" s="235" t="e">
        <f t="shared" si="169"/>
        <v>#N/A</v>
      </c>
      <c r="HQ144" s="235" t="e">
        <f t="shared" si="170"/>
        <v>#N/A</v>
      </c>
      <c r="HT144" s="235" t="e">
        <f t="shared" si="171"/>
        <v>#N/A</v>
      </c>
      <c r="HU144" s="235" t="e">
        <f t="shared" si="172"/>
        <v>#N/A</v>
      </c>
      <c r="HX144" s="235" t="e">
        <f t="shared" si="173"/>
        <v>#N/A</v>
      </c>
      <c r="HY144" s="235" t="e">
        <f t="shared" si="174"/>
        <v>#N/A</v>
      </c>
      <c r="IB144" s="235" t="e">
        <f t="shared" si="175"/>
        <v>#N/A</v>
      </c>
      <c r="IC144" s="235" t="e">
        <f t="shared" si="176"/>
        <v>#N/A</v>
      </c>
      <c r="IE144" s="342">
        <v>130</v>
      </c>
      <c r="IF144" s="262" t="e">
        <f t="shared" si="177"/>
        <v>#N/A</v>
      </c>
      <c r="IG144" s="262" t="e">
        <f t="shared" si="178"/>
        <v>#N/A</v>
      </c>
      <c r="IH144" s="379"/>
      <c r="II144" s="379"/>
      <c r="IJ144" s="262" t="e">
        <f t="shared" si="179"/>
        <v>#N/A</v>
      </c>
      <c r="IK144" s="262" t="e">
        <f t="shared" si="180"/>
        <v>#N/A</v>
      </c>
      <c r="IL144" s="379"/>
      <c r="IM144" s="379"/>
      <c r="IN144" s="262" t="e">
        <f t="shared" si="181"/>
        <v>#N/A</v>
      </c>
      <c r="IO144" s="262" t="e">
        <f t="shared" si="182"/>
        <v>#N/A</v>
      </c>
      <c r="IP144" s="379"/>
      <c r="IQ144" s="379"/>
      <c r="IR144" s="262" t="e">
        <f t="shared" si="183"/>
        <v>#N/A</v>
      </c>
      <c r="IS144" s="262" t="e">
        <f t="shared" si="184"/>
        <v>#N/A</v>
      </c>
      <c r="IT144" s="379"/>
      <c r="IU144" s="379"/>
      <c r="IV144" s="262" t="e">
        <f t="shared" si="185"/>
        <v>#N/A</v>
      </c>
      <c r="IW144" s="262" t="e">
        <f t="shared" si="186"/>
        <v>#N/A</v>
      </c>
      <c r="JB144" s="313" t="s">
        <v>167</v>
      </c>
      <c r="JC144" s="228">
        <f>IZ142+$IZ$112/2</f>
        <v>0.70000000000000007</v>
      </c>
      <c r="JD144" s="237">
        <f>JA142+($IZ$108/2)-($IZ$108-$IZ$111-$IZ$110)</f>
        <v>-0.60499999999999998</v>
      </c>
      <c r="JI144" s="313" t="s">
        <v>167</v>
      </c>
      <c r="JJ144" s="242">
        <f>JG142+$IZ$112/2</f>
        <v>0.70000000000000007</v>
      </c>
      <c r="JK144" s="266">
        <f>JH142+($IZ$108/2)-($IZ$108-$IZ$111-$IZ$110)</f>
        <v>-0.60499999999999998</v>
      </c>
      <c r="JN144" s="261" t="e">
        <f t="shared" si="187"/>
        <v>#N/A</v>
      </c>
      <c r="JO144" s="261" t="e">
        <f t="shared" si="188"/>
        <v>#N/A</v>
      </c>
      <c r="JR144" s="261" t="e">
        <f t="shared" ref="JR144:JR207" si="193">IF($JS$9=TRUE,$JR$11+$JR$12*COS(IE144*PI()/$JS$13),#N/A)</f>
        <v>#N/A</v>
      </c>
      <c r="JS144" s="261" t="e">
        <f t="shared" ref="JS144:JS207" si="194">IF($JS$9=TRUE,$JS$11+$JR$12*SIN(IE144*PI()/$JS$13),#N/A)</f>
        <v>#N/A</v>
      </c>
      <c r="JV144" s="261" t="e">
        <f t="shared" si="189"/>
        <v>#N/A</v>
      </c>
      <c r="JW144" s="261" t="e">
        <f t="shared" si="190"/>
        <v>#N/A</v>
      </c>
      <c r="PS144" s="342">
        <v>130</v>
      </c>
      <c r="PT144" s="261" t="e">
        <f t="shared" si="191"/>
        <v>#N/A</v>
      </c>
      <c r="PU144" s="261" t="e">
        <f t="shared" si="192"/>
        <v>#N/A</v>
      </c>
    </row>
    <row r="145" spans="4:437" x14ac:dyDescent="0.5"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310"/>
      <c r="AQ145" s="310"/>
      <c r="AR145" s="310"/>
      <c r="AS145" s="310"/>
      <c r="AT145" s="310"/>
      <c r="AU145" s="310"/>
      <c r="AV145" s="310"/>
      <c r="AW145" s="310"/>
      <c r="AX145" s="310"/>
      <c r="AY145" s="310"/>
      <c r="AZ145" s="310"/>
      <c r="BA145" s="310"/>
      <c r="EL145" s="310">
        <v>8</v>
      </c>
      <c r="EM145" s="310" t="b">
        <f>IF($D$63&gt;=EL145,TRUE,FALSE)</f>
        <v>0</v>
      </c>
      <c r="EN145" s="280" t="e">
        <f>IF(EM145=TRUE,EN142,#N/A)</f>
        <v>#N/A</v>
      </c>
      <c r="EO145" s="280" t="e">
        <f>IF(EM145=TRUE,EO142-$EM$123,#N/A)</f>
        <v>#N/A</v>
      </c>
      <c r="HK145" s="342">
        <v>131</v>
      </c>
      <c r="HL145" s="235" t="e">
        <f t="shared" si="167"/>
        <v>#N/A</v>
      </c>
      <c r="HM145" s="235" t="e">
        <f t="shared" si="168"/>
        <v>#N/A</v>
      </c>
      <c r="HP145" s="235" t="e">
        <f t="shared" si="169"/>
        <v>#N/A</v>
      </c>
      <c r="HQ145" s="235" t="e">
        <f t="shared" si="170"/>
        <v>#N/A</v>
      </c>
      <c r="HT145" s="235" t="e">
        <f t="shared" si="171"/>
        <v>#N/A</v>
      </c>
      <c r="HU145" s="235" t="e">
        <f t="shared" si="172"/>
        <v>#N/A</v>
      </c>
      <c r="HX145" s="235" t="e">
        <f t="shared" si="173"/>
        <v>#N/A</v>
      </c>
      <c r="HY145" s="235" t="e">
        <f t="shared" si="174"/>
        <v>#N/A</v>
      </c>
      <c r="IB145" s="235" t="e">
        <f t="shared" si="175"/>
        <v>#N/A</v>
      </c>
      <c r="IC145" s="235" t="e">
        <f t="shared" si="176"/>
        <v>#N/A</v>
      </c>
      <c r="IE145" s="342">
        <v>131</v>
      </c>
      <c r="IF145" s="262" t="e">
        <f t="shared" si="177"/>
        <v>#N/A</v>
      </c>
      <c r="IG145" s="262" t="e">
        <f t="shared" si="178"/>
        <v>#N/A</v>
      </c>
      <c r="IH145" s="379"/>
      <c r="II145" s="379"/>
      <c r="IJ145" s="262" t="e">
        <f t="shared" si="179"/>
        <v>#N/A</v>
      </c>
      <c r="IK145" s="262" t="e">
        <f t="shared" si="180"/>
        <v>#N/A</v>
      </c>
      <c r="IL145" s="379"/>
      <c r="IM145" s="379"/>
      <c r="IN145" s="262" t="e">
        <f t="shared" si="181"/>
        <v>#N/A</v>
      </c>
      <c r="IO145" s="262" t="e">
        <f t="shared" si="182"/>
        <v>#N/A</v>
      </c>
      <c r="IP145" s="379"/>
      <c r="IQ145" s="379"/>
      <c r="IR145" s="262" t="e">
        <f t="shared" si="183"/>
        <v>#N/A</v>
      </c>
      <c r="IS145" s="262" t="e">
        <f t="shared" si="184"/>
        <v>#N/A</v>
      </c>
      <c r="IT145" s="379"/>
      <c r="IU145" s="379"/>
      <c r="IV145" s="262" t="e">
        <f t="shared" si="185"/>
        <v>#N/A</v>
      </c>
      <c r="IW145" s="262" t="e">
        <f t="shared" si="186"/>
        <v>#N/A</v>
      </c>
      <c r="JB145" s="313" t="s">
        <v>325</v>
      </c>
      <c r="JC145" s="228">
        <f>JC144</f>
        <v>0.70000000000000007</v>
      </c>
      <c r="JD145" s="237">
        <f>JA142-($IZ$108/2-$IZ$110)</f>
        <v>-0.69500000000000006</v>
      </c>
      <c r="JI145" s="313" t="s">
        <v>325</v>
      </c>
      <c r="JJ145" s="242">
        <f>JJ144</f>
        <v>0.70000000000000007</v>
      </c>
      <c r="JK145" s="266">
        <f>JH142-($IZ$108/2-$IZ$110)</f>
        <v>-0.69500000000000006</v>
      </c>
      <c r="JN145" s="261" t="e">
        <f t="shared" si="187"/>
        <v>#N/A</v>
      </c>
      <c r="JO145" s="261" t="e">
        <f t="shared" si="188"/>
        <v>#N/A</v>
      </c>
      <c r="JR145" s="261" t="e">
        <f t="shared" si="193"/>
        <v>#N/A</v>
      </c>
      <c r="JS145" s="261" t="e">
        <f t="shared" si="194"/>
        <v>#N/A</v>
      </c>
      <c r="JV145" s="261" t="e">
        <f t="shared" si="189"/>
        <v>#N/A</v>
      </c>
      <c r="JW145" s="261" t="e">
        <f t="shared" si="190"/>
        <v>#N/A</v>
      </c>
      <c r="PS145" s="342">
        <v>131</v>
      </c>
      <c r="PT145" s="261" t="e">
        <f t="shared" si="191"/>
        <v>#N/A</v>
      </c>
      <c r="PU145" s="261" t="e">
        <f t="shared" si="192"/>
        <v>#N/A</v>
      </c>
    </row>
    <row r="146" spans="4:437" x14ac:dyDescent="0.5"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310"/>
      <c r="AQ146" s="310"/>
      <c r="AR146" s="310"/>
      <c r="AS146" s="310"/>
      <c r="AT146" s="310"/>
      <c r="AU146" s="310"/>
      <c r="AV146" s="310"/>
      <c r="AW146" s="310"/>
      <c r="AX146" s="310"/>
      <c r="AY146" s="310"/>
      <c r="AZ146" s="310"/>
      <c r="BA146" s="310"/>
      <c r="EN146" s="280" t="e">
        <f>IF(EM145=TRUE,EN143,#N/A)</f>
        <v>#N/A</v>
      </c>
      <c r="EO146" s="280" t="e">
        <f>EO145</f>
        <v>#N/A</v>
      </c>
      <c r="HK146" s="342">
        <v>132</v>
      </c>
      <c r="HL146" s="235" t="e">
        <f t="shared" si="167"/>
        <v>#N/A</v>
      </c>
      <c r="HM146" s="235" t="e">
        <f t="shared" si="168"/>
        <v>#N/A</v>
      </c>
      <c r="HP146" s="235" t="e">
        <f t="shared" si="169"/>
        <v>#N/A</v>
      </c>
      <c r="HQ146" s="235" t="e">
        <f t="shared" si="170"/>
        <v>#N/A</v>
      </c>
      <c r="HT146" s="235" t="e">
        <f t="shared" si="171"/>
        <v>#N/A</v>
      </c>
      <c r="HU146" s="235" t="e">
        <f t="shared" si="172"/>
        <v>#N/A</v>
      </c>
      <c r="HX146" s="235" t="e">
        <f t="shared" si="173"/>
        <v>#N/A</v>
      </c>
      <c r="HY146" s="235" t="e">
        <f t="shared" si="174"/>
        <v>#N/A</v>
      </c>
      <c r="IB146" s="235" t="e">
        <f t="shared" si="175"/>
        <v>#N/A</v>
      </c>
      <c r="IC146" s="235" t="e">
        <f t="shared" si="176"/>
        <v>#N/A</v>
      </c>
      <c r="IE146" s="342">
        <v>132</v>
      </c>
      <c r="IF146" s="262" t="e">
        <f t="shared" si="177"/>
        <v>#N/A</v>
      </c>
      <c r="IG146" s="262" t="e">
        <f t="shared" si="178"/>
        <v>#N/A</v>
      </c>
      <c r="IH146" s="379"/>
      <c r="II146" s="379"/>
      <c r="IJ146" s="262" t="e">
        <f t="shared" si="179"/>
        <v>#N/A</v>
      </c>
      <c r="IK146" s="262" t="e">
        <f t="shared" si="180"/>
        <v>#N/A</v>
      </c>
      <c r="IL146" s="379"/>
      <c r="IM146" s="379"/>
      <c r="IN146" s="262" t="e">
        <f t="shared" si="181"/>
        <v>#N/A</v>
      </c>
      <c r="IO146" s="262" t="e">
        <f t="shared" si="182"/>
        <v>#N/A</v>
      </c>
      <c r="IP146" s="379"/>
      <c r="IQ146" s="379"/>
      <c r="IR146" s="262" t="e">
        <f t="shared" si="183"/>
        <v>#N/A</v>
      </c>
      <c r="IS146" s="262" t="e">
        <f t="shared" si="184"/>
        <v>#N/A</v>
      </c>
      <c r="IT146" s="379"/>
      <c r="IU146" s="379"/>
      <c r="IV146" s="262" t="e">
        <f t="shared" si="185"/>
        <v>#N/A</v>
      </c>
      <c r="IW146" s="262" t="e">
        <f t="shared" si="186"/>
        <v>#N/A</v>
      </c>
      <c r="JB146" s="313" t="s">
        <v>326</v>
      </c>
      <c r="JC146" s="228">
        <f>JC143</f>
        <v>0.8</v>
      </c>
      <c r="JD146" s="228">
        <f>JA142-($IZ$108/2)+$IZ$109</f>
        <v>-0.72500000000000009</v>
      </c>
      <c r="JI146" s="313" t="s">
        <v>326</v>
      </c>
      <c r="JJ146" s="242">
        <f>JJ143</f>
        <v>0.8</v>
      </c>
      <c r="JK146" s="242">
        <f>JH142-($IZ$108/2)+$IZ$109</f>
        <v>-0.72500000000000009</v>
      </c>
      <c r="JN146" s="261" t="e">
        <f t="shared" si="187"/>
        <v>#N/A</v>
      </c>
      <c r="JO146" s="261" t="e">
        <f t="shared" si="188"/>
        <v>#N/A</v>
      </c>
      <c r="JR146" s="261" t="e">
        <f t="shared" si="193"/>
        <v>#N/A</v>
      </c>
      <c r="JS146" s="261" t="e">
        <f t="shared" si="194"/>
        <v>#N/A</v>
      </c>
      <c r="JV146" s="261" t="e">
        <f t="shared" si="189"/>
        <v>#N/A</v>
      </c>
      <c r="JW146" s="261" t="e">
        <f t="shared" si="190"/>
        <v>#N/A</v>
      </c>
      <c r="PS146" s="342">
        <v>132</v>
      </c>
      <c r="PT146" s="261" t="e">
        <f t="shared" si="191"/>
        <v>#N/A</v>
      </c>
      <c r="PU146" s="261" t="e">
        <f t="shared" si="192"/>
        <v>#N/A</v>
      </c>
    </row>
    <row r="147" spans="4:437" x14ac:dyDescent="0.5"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310"/>
      <c r="AQ147" s="310"/>
      <c r="AR147" s="310"/>
      <c r="AS147" s="310"/>
      <c r="AT147" s="310"/>
      <c r="AU147" s="310"/>
      <c r="AV147" s="310"/>
      <c r="AW147" s="310"/>
      <c r="AX147" s="310"/>
      <c r="AY147" s="310"/>
      <c r="AZ147" s="310"/>
      <c r="BA147" s="310"/>
      <c r="EN147" s="280" t="e">
        <v>#N/A</v>
      </c>
      <c r="EO147" s="280" t="e">
        <v>#N/A</v>
      </c>
      <c r="HK147" s="342">
        <v>133</v>
      </c>
      <c r="HL147" s="235" t="e">
        <f t="shared" si="167"/>
        <v>#N/A</v>
      </c>
      <c r="HM147" s="235" t="e">
        <f t="shared" si="168"/>
        <v>#N/A</v>
      </c>
      <c r="HP147" s="235" t="e">
        <f t="shared" si="169"/>
        <v>#N/A</v>
      </c>
      <c r="HQ147" s="235" t="e">
        <f t="shared" si="170"/>
        <v>#N/A</v>
      </c>
      <c r="HT147" s="235" t="e">
        <f t="shared" si="171"/>
        <v>#N/A</v>
      </c>
      <c r="HU147" s="235" t="e">
        <f t="shared" si="172"/>
        <v>#N/A</v>
      </c>
      <c r="HX147" s="235" t="e">
        <f t="shared" si="173"/>
        <v>#N/A</v>
      </c>
      <c r="HY147" s="235" t="e">
        <f t="shared" si="174"/>
        <v>#N/A</v>
      </c>
      <c r="IB147" s="235" t="e">
        <f t="shared" si="175"/>
        <v>#N/A</v>
      </c>
      <c r="IC147" s="235" t="e">
        <f t="shared" si="176"/>
        <v>#N/A</v>
      </c>
      <c r="IE147" s="342">
        <v>133</v>
      </c>
      <c r="IF147" s="262" t="e">
        <f t="shared" si="177"/>
        <v>#N/A</v>
      </c>
      <c r="IG147" s="262" t="e">
        <f t="shared" si="178"/>
        <v>#N/A</v>
      </c>
      <c r="IH147" s="379"/>
      <c r="II147" s="379"/>
      <c r="IJ147" s="262" t="e">
        <f t="shared" si="179"/>
        <v>#N/A</v>
      </c>
      <c r="IK147" s="262" t="e">
        <f t="shared" si="180"/>
        <v>#N/A</v>
      </c>
      <c r="IL147" s="379"/>
      <c r="IM147" s="379"/>
      <c r="IN147" s="262" t="e">
        <f t="shared" si="181"/>
        <v>#N/A</v>
      </c>
      <c r="IO147" s="262" t="e">
        <f t="shared" si="182"/>
        <v>#N/A</v>
      </c>
      <c r="IP147" s="379"/>
      <c r="IQ147" s="379"/>
      <c r="IR147" s="262" t="e">
        <f t="shared" si="183"/>
        <v>#N/A</v>
      </c>
      <c r="IS147" s="262" t="e">
        <f t="shared" si="184"/>
        <v>#N/A</v>
      </c>
      <c r="IT147" s="379"/>
      <c r="IU147" s="379"/>
      <c r="IV147" s="262" t="e">
        <f t="shared" si="185"/>
        <v>#N/A</v>
      </c>
      <c r="IW147" s="262" t="e">
        <f t="shared" si="186"/>
        <v>#N/A</v>
      </c>
      <c r="JB147" s="313" t="s">
        <v>372</v>
      </c>
      <c r="JC147" s="228">
        <f>JC146</f>
        <v>0.8</v>
      </c>
      <c r="JD147" s="228">
        <f>JA142-($IZ$108/2)+$IZ$114</f>
        <v>-0.78500000000000003</v>
      </c>
      <c r="JI147" s="313" t="s">
        <v>372</v>
      </c>
      <c r="JJ147" s="242">
        <f>JJ146</f>
        <v>0.8</v>
      </c>
      <c r="JK147" s="242">
        <f>JH142-($IZ$108/2)+$IZ$114</f>
        <v>-0.78500000000000003</v>
      </c>
      <c r="JN147" s="261" t="e">
        <f t="shared" si="187"/>
        <v>#N/A</v>
      </c>
      <c r="JO147" s="261" t="e">
        <f t="shared" si="188"/>
        <v>#N/A</v>
      </c>
      <c r="JR147" s="261" t="e">
        <f t="shared" si="193"/>
        <v>#N/A</v>
      </c>
      <c r="JS147" s="261" t="e">
        <f t="shared" si="194"/>
        <v>#N/A</v>
      </c>
      <c r="JV147" s="261" t="e">
        <f t="shared" si="189"/>
        <v>#N/A</v>
      </c>
      <c r="JW147" s="261" t="e">
        <f t="shared" si="190"/>
        <v>#N/A</v>
      </c>
      <c r="PS147" s="342">
        <v>133</v>
      </c>
      <c r="PT147" s="261" t="e">
        <f t="shared" si="191"/>
        <v>#N/A</v>
      </c>
      <c r="PU147" s="261" t="e">
        <f t="shared" si="192"/>
        <v>#N/A</v>
      </c>
    </row>
    <row r="148" spans="4:437" x14ac:dyDescent="0.5"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310"/>
      <c r="AQ148" s="310"/>
      <c r="AR148" s="310"/>
      <c r="AS148" s="310"/>
      <c r="AT148" s="310"/>
      <c r="AU148" s="310"/>
      <c r="AV148" s="310"/>
      <c r="AW148" s="310"/>
      <c r="AX148" s="310"/>
      <c r="AY148" s="310"/>
      <c r="AZ148" s="310"/>
      <c r="BA148" s="310"/>
      <c r="EL148" s="310">
        <v>9</v>
      </c>
      <c r="EM148" s="310" t="b">
        <f>IF($D$63&gt;=EL148,TRUE,FALSE)</f>
        <v>0</v>
      </c>
      <c r="EN148" s="280" t="e">
        <f>IF(EM148=TRUE,EN145,#N/A)</f>
        <v>#N/A</v>
      </c>
      <c r="EO148" s="280" t="e">
        <f>IF(EM148=TRUE,EO145-$EM$123,#N/A)</f>
        <v>#N/A</v>
      </c>
      <c r="HK148" s="342">
        <v>134</v>
      </c>
      <c r="HL148" s="235" t="e">
        <f t="shared" si="167"/>
        <v>#N/A</v>
      </c>
      <c r="HM148" s="235" t="e">
        <f t="shared" si="168"/>
        <v>#N/A</v>
      </c>
      <c r="HP148" s="235" t="e">
        <f t="shared" si="169"/>
        <v>#N/A</v>
      </c>
      <c r="HQ148" s="235" t="e">
        <f t="shared" si="170"/>
        <v>#N/A</v>
      </c>
      <c r="HT148" s="235" t="e">
        <f t="shared" si="171"/>
        <v>#N/A</v>
      </c>
      <c r="HU148" s="235" t="e">
        <f t="shared" si="172"/>
        <v>#N/A</v>
      </c>
      <c r="HX148" s="235" t="e">
        <f t="shared" si="173"/>
        <v>#N/A</v>
      </c>
      <c r="HY148" s="235" t="e">
        <f t="shared" si="174"/>
        <v>#N/A</v>
      </c>
      <c r="IB148" s="235" t="e">
        <f t="shared" si="175"/>
        <v>#N/A</v>
      </c>
      <c r="IC148" s="235" t="e">
        <f t="shared" si="176"/>
        <v>#N/A</v>
      </c>
      <c r="IE148" s="342">
        <v>134</v>
      </c>
      <c r="IF148" s="262" t="e">
        <f t="shared" si="177"/>
        <v>#N/A</v>
      </c>
      <c r="IG148" s="262" t="e">
        <f t="shared" si="178"/>
        <v>#N/A</v>
      </c>
      <c r="IH148" s="379"/>
      <c r="II148" s="379"/>
      <c r="IJ148" s="262" t="e">
        <f t="shared" si="179"/>
        <v>#N/A</v>
      </c>
      <c r="IK148" s="262" t="e">
        <f t="shared" si="180"/>
        <v>#N/A</v>
      </c>
      <c r="IL148" s="379"/>
      <c r="IM148" s="379"/>
      <c r="IN148" s="262" t="e">
        <f t="shared" si="181"/>
        <v>#N/A</v>
      </c>
      <c r="IO148" s="262" t="e">
        <f t="shared" si="182"/>
        <v>#N/A</v>
      </c>
      <c r="IP148" s="379"/>
      <c r="IQ148" s="379"/>
      <c r="IR148" s="262" t="e">
        <f t="shared" si="183"/>
        <v>#N/A</v>
      </c>
      <c r="IS148" s="262" t="e">
        <f t="shared" si="184"/>
        <v>#N/A</v>
      </c>
      <c r="IT148" s="379"/>
      <c r="IU148" s="379"/>
      <c r="IV148" s="262" t="e">
        <f t="shared" si="185"/>
        <v>#N/A</v>
      </c>
      <c r="IW148" s="262" t="e">
        <f t="shared" si="186"/>
        <v>#N/A</v>
      </c>
      <c r="JB148" s="313" t="s">
        <v>373</v>
      </c>
      <c r="JC148" s="228">
        <f>JC141</f>
        <v>0.78500000000000003</v>
      </c>
      <c r="JD148" s="228">
        <f>JA142-$IZ$108/2</f>
        <v>-0.8</v>
      </c>
      <c r="JI148" s="313" t="s">
        <v>373</v>
      </c>
      <c r="JJ148" s="242">
        <f>JJ141</f>
        <v>0.78500000000000003</v>
      </c>
      <c r="JK148" s="242">
        <f>JH142-$IZ$108/2</f>
        <v>-0.8</v>
      </c>
      <c r="JN148" s="261" t="e">
        <f t="shared" si="187"/>
        <v>#N/A</v>
      </c>
      <c r="JO148" s="261" t="e">
        <f t="shared" si="188"/>
        <v>#N/A</v>
      </c>
      <c r="JR148" s="261" t="e">
        <f t="shared" si="193"/>
        <v>#N/A</v>
      </c>
      <c r="JS148" s="261" t="e">
        <f t="shared" si="194"/>
        <v>#N/A</v>
      </c>
      <c r="JV148" s="261" t="e">
        <f t="shared" si="189"/>
        <v>#N/A</v>
      </c>
      <c r="JW148" s="261" t="e">
        <f t="shared" si="190"/>
        <v>#N/A</v>
      </c>
      <c r="PS148" s="342">
        <v>134</v>
      </c>
      <c r="PT148" s="261" t="e">
        <f t="shared" si="191"/>
        <v>#N/A</v>
      </c>
      <c r="PU148" s="261" t="e">
        <f t="shared" si="192"/>
        <v>#N/A</v>
      </c>
    </row>
    <row r="149" spans="4:437" x14ac:dyDescent="0.5"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310"/>
      <c r="AQ149" s="310"/>
      <c r="AR149" s="310"/>
      <c r="AS149" s="310"/>
      <c r="AT149" s="310"/>
      <c r="AU149" s="310"/>
      <c r="AV149" s="310"/>
      <c r="AW149" s="310"/>
      <c r="AX149" s="310"/>
      <c r="AY149" s="310"/>
      <c r="AZ149" s="310"/>
      <c r="BA149" s="310"/>
      <c r="EN149" s="280" t="e">
        <f>IF(EM148=TRUE,EN146,#N/A)</f>
        <v>#N/A</v>
      </c>
      <c r="EO149" s="280" t="e">
        <f>EO148</f>
        <v>#N/A</v>
      </c>
      <c r="HK149" s="342">
        <v>135</v>
      </c>
      <c r="HL149" s="235" t="e">
        <f t="shared" si="167"/>
        <v>#N/A</v>
      </c>
      <c r="HM149" s="235" t="e">
        <f t="shared" si="168"/>
        <v>#N/A</v>
      </c>
      <c r="HP149" s="235" t="e">
        <f t="shared" si="169"/>
        <v>#N/A</v>
      </c>
      <c r="HQ149" s="235" t="e">
        <f t="shared" si="170"/>
        <v>#N/A</v>
      </c>
      <c r="HT149" s="235" t="e">
        <f t="shared" si="171"/>
        <v>#N/A</v>
      </c>
      <c r="HU149" s="235" t="e">
        <f t="shared" si="172"/>
        <v>#N/A</v>
      </c>
      <c r="HX149" s="235" t="e">
        <f t="shared" si="173"/>
        <v>#N/A</v>
      </c>
      <c r="HY149" s="235" t="e">
        <f t="shared" si="174"/>
        <v>#N/A</v>
      </c>
      <c r="IB149" s="235" t="e">
        <f t="shared" si="175"/>
        <v>#N/A</v>
      </c>
      <c r="IC149" s="235" t="e">
        <f t="shared" si="176"/>
        <v>#N/A</v>
      </c>
      <c r="IE149" s="342">
        <v>135</v>
      </c>
      <c r="IF149" s="262" t="e">
        <f t="shared" si="177"/>
        <v>#N/A</v>
      </c>
      <c r="IG149" s="262" t="e">
        <f t="shared" si="178"/>
        <v>#N/A</v>
      </c>
      <c r="IH149" s="379"/>
      <c r="II149" s="379"/>
      <c r="IJ149" s="262" t="e">
        <f t="shared" si="179"/>
        <v>#N/A</v>
      </c>
      <c r="IK149" s="262" t="e">
        <f t="shared" si="180"/>
        <v>#N/A</v>
      </c>
      <c r="IL149" s="379"/>
      <c r="IM149" s="379"/>
      <c r="IN149" s="262" t="e">
        <f t="shared" si="181"/>
        <v>#N/A</v>
      </c>
      <c r="IO149" s="262" t="e">
        <f t="shared" si="182"/>
        <v>#N/A</v>
      </c>
      <c r="IP149" s="379"/>
      <c r="IQ149" s="379"/>
      <c r="IR149" s="262" t="e">
        <f t="shared" si="183"/>
        <v>#N/A</v>
      </c>
      <c r="IS149" s="262" t="e">
        <f t="shared" si="184"/>
        <v>#N/A</v>
      </c>
      <c r="IT149" s="379"/>
      <c r="IU149" s="379"/>
      <c r="IV149" s="262" t="e">
        <f t="shared" si="185"/>
        <v>#N/A</v>
      </c>
      <c r="IW149" s="262" t="e">
        <f t="shared" si="186"/>
        <v>#N/A</v>
      </c>
      <c r="JB149" s="313" t="s">
        <v>393</v>
      </c>
      <c r="JC149" s="228">
        <f>JC140</f>
        <v>0.51500000000000001</v>
      </c>
      <c r="JD149" s="228">
        <f>JD148</f>
        <v>-0.8</v>
      </c>
      <c r="JI149" s="313" t="s">
        <v>393</v>
      </c>
      <c r="JJ149" s="242">
        <f>JJ140</f>
        <v>0.51500000000000001</v>
      </c>
      <c r="JK149" s="242">
        <f>JK148</f>
        <v>-0.8</v>
      </c>
      <c r="JN149" s="261" t="e">
        <f t="shared" si="187"/>
        <v>#N/A</v>
      </c>
      <c r="JO149" s="261" t="e">
        <f t="shared" si="188"/>
        <v>#N/A</v>
      </c>
      <c r="JR149" s="261" t="e">
        <f t="shared" si="193"/>
        <v>#N/A</v>
      </c>
      <c r="JS149" s="261" t="e">
        <f t="shared" si="194"/>
        <v>#N/A</v>
      </c>
      <c r="JV149" s="261" t="e">
        <f t="shared" si="189"/>
        <v>#N/A</v>
      </c>
      <c r="JW149" s="261" t="e">
        <f t="shared" si="190"/>
        <v>#N/A</v>
      </c>
      <c r="PS149" s="342">
        <v>135</v>
      </c>
      <c r="PT149" s="261" t="e">
        <f t="shared" si="191"/>
        <v>#N/A</v>
      </c>
      <c r="PU149" s="261" t="e">
        <f t="shared" si="192"/>
        <v>#N/A</v>
      </c>
    </row>
    <row r="150" spans="4:437" x14ac:dyDescent="0.5"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310"/>
      <c r="AQ150" s="310"/>
      <c r="AR150" s="310"/>
      <c r="AS150" s="310"/>
      <c r="AT150" s="310"/>
      <c r="AU150" s="310"/>
      <c r="AV150" s="310"/>
      <c r="AW150" s="310"/>
      <c r="AX150" s="310"/>
      <c r="AY150" s="310"/>
      <c r="AZ150" s="310"/>
      <c r="BA150" s="310"/>
      <c r="EN150" s="280" t="e">
        <v>#N/A</v>
      </c>
      <c r="EO150" s="280" t="e">
        <v>#N/A</v>
      </c>
      <c r="HK150" s="342">
        <v>136</v>
      </c>
      <c r="HL150" s="235" t="e">
        <f t="shared" si="167"/>
        <v>#N/A</v>
      </c>
      <c r="HM150" s="235" t="e">
        <f t="shared" si="168"/>
        <v>#N/A</v>
      </c>
      <c r="HP150" s="235" t="e">
        <f t="shared" si="169"/>
        <v>#N/A</v>
      </c>
      <c r="HQ150" s="235" t="e">
        <f t="shared" si="170"/>
        <v>#N/A</v>
      </c>
      <c r="HT150" s="235" t="e">
        <f t="shared" si="171"/>
        <v>#N/A</v>
      </c>
      <c r="HU150" s="235" t="e">
        <f t="shared" si="172"/>
        <v>#N/A</v>
      </c>
      <c r="HX150" s="235" t="e">
        <f t="shared" si="173"/>
        <v>#N/A</v>
      </c>
      <c r="HY150" s="235" t="e">
        <f t="shared" si="174"/>
        <v>#N/A</v>
      </c>
      <c r="IB150" s="235" t="e">
        <f t="shared" si="175"/>
        <v>#N/A</v>
      </c>
      <c r="IC150" s="235" t="e">
        <f t="shared" si="176"/>
        <v>#N/A</v>
      </c>
      <c r="IE150" s="342">
        <v>136</v>
      </c>
      <c r="IF150" s="262" t="e">
        <f t="shared" si="177"/>
        <v>#N/A</v>
      </c>
      <c r="IG150" s="262" t="e">
        <f t="shared" si="178"/>
        <v>#N/A</v>
      </c>
      <c r="IH150" s="379"/>
      <c r="II150" s="379"/>
      <c r="IJ150" s="262" t="e">
        <f t="shared" si="179"/>
        <v>#N/A</v>
      </c>
      <c r="IK150" s="262" t="e">
        <f t="shared" si="180"/>
        <v>#N/A</v>
      </c>
      <c r="IL150" s="379"/>
      <c r="IM150" s="379"/>
      <c r="IN150" s="262" t="e">
        <f t="shared" si="181"/>
        <v>#N/A</v>
      </c>
      <c r="IO150" s="262" t="e">
        <f t="shared" si="182"/>
        <v>#N/A</v>
      </c>
      <c r="IP150" s="379"/>
      <c r="IQ150" s="379"/>
      <c r="IR150" s="262" t="e">
        <f t="shared" si="183"/>
        <v>#N/A</v>
      </c>
      <c r="IS150" s="262" t="e">
        <f t="shared" si="184"/>
        <v>#N/A</v>
      </c>
      <c r="IT150" s="379"/>
      <c r="IU150" s="379"/>
      <c r="IV150" s="262" t="e">
        <f t="shared" si="185"/>
        <v>#N/A</v>
      </c>
      <c r="IW150" s="262" t="e">
        <f t="shared" si="186"/>
        <v>#N/A</v>
      </c>
      <c r="JB150" s="313" t="s">
        <v>394</v>
      </c>
      <c r="JC150" s="228">
        <f>JC149-$IZ$114</f>
        <v>0.5</v>
      </c>
      <c r="JD150" s="228">
        <f>JD149+$IZ$114</f>
        <v>-0.78500000000000003</v>
      </c>
      <c r="JI150" s="313" t="s">
        <v>394</v>
      </c>
      <c r="JJ150" s="242">
        <f>JJ149-$IZ$114</f>
        <v>0.5</v>
      </c>
      <c r="JK150" s="242">
        <f>JK149+$IZ$114</f>
        <v>-0.78500000000000003</v>
      </c>
      <c r="JN150" s="261" t="e">
        <f t="shared" si="187"/>
        <v>#N/A</v>
      </c>
      <c r="JO150" s="261" t="e">
        <f t="shared" si="188"/>
        <v>#N/A</v>
      </c>
      <c r="JR150" s="261" t="e">
        <f t="shared" si="193"/>
        <v>#N/A</v>
      </c>
      <c r="JS150" s="261" t="e">
        <f t="shared" si="194"/>
        <v>#N/A</v>
      </c>
      <c r="JV150" s="261" t="e">
        <f t="shared" si="189"/>
        <v>#N/A</v>
      </c>
      <c r="JW150" s="261" t="e">
        <f t="shared" si="190"/>
        <v>#N/A</v>
      </c>
      <c r="PS150" s="342">
        <v>136</v>
      </c>
      <c r="PT150" s="261" t="e">
        <f t="shared" si="191"/>
        <v>#N/A</v>
      </c>
      <c r="PU150" s="261" t="e">
        <f t="shared" si="192"/>
        <v>#N/A</v>
      </c>
    </row>
    <row r="151" spans="4:437" x14ac:dyDescent="0.5"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310"/>
      <c r="AQ151" s="310"/>
      <c r="AR151" s="310"/>
      <c r="AS151" s="310"/>
      <c r="AT151" s="310"/>
      <c r="AU151" s="310"/>
      <c r="AV151" s="310"/>
      <c r="AW151" s="310"/>
      <c r="AX151" s="310"/>
      <c r="AY151" s="310"/>
      <c r="AZ151" s="310"/>
      <c r="BA151" s="310"/>
      <c r="EL151" s="310">
        <v>10</v>
      </c>
      <c r="EM151" s="310" t="b">
        <f>IF($D$63&gt;=EL151,TRUE,FALSE)</f>
        <v>0</v>
      </c>
      <c r="EN151" s="280" t="e">
        <f>IF(EM151=TRUE,EN148,#N/A)</f>
        <v>#N/A</v>
      </c>
      <c r="EO151" s="280" t="e">
        <f>IF(EM151=TRUE,EO148-$EM$123,#N/A)</f>
        <v>#N/A</v>
      </c>
      <c r="HK151" s="342">
        <v>137</v>
      </c>
      <c r="HL151" s="235" t="e">
        <f t="shared" si="167"/>
        <v>#N/A</v>
      </c>
      <c r="HM151" s="235" t="e">
        <f t="shared" si="168"/>
        <v>#N/A</v>
      </c>
      <c r="HP151" s="235" t="e">
        <f t="shared" si="169"/>
        <v>#N/A</v>
      </c>
      <c r="HQ151" s="235" t="e">
        <f t="shared" si="170"/>
        <v>#N/A</v>
      </c>
      <c r="HT151" s="235" t="e">
        <f t="shared" si="171"/>
        <v>#N/A</v>
      </c>
      <c r="HU151" s="235" t="e">
        <f t="shared" si="172"/>
        <v>#N/A</v>
      </c>
      <c r="HX151" s="235" t="e">
        <f t="shared" si="173"/>
        <v>#N/A</v>
      </c>
      <c r="HY151" s="235" t="e">
        <f t="shared" si="174"/>
        <v>#N/A</v>
      </c>
      <c r="IB151" s="235" t="e">
        <f t="shared" si="175"/>
        <v>#N/A</v>
      </c>
      <c r="IC151" s="235" t="e">
        <f t="shared" si="176"/>
        <v>#N/A</v>
      </c>
      <c r="IE151" s="342">
        <v>137</v>
      </c>
      <c r="IF151" s="262" t="e">
        <f t="shared" si="177"/>
        <v>#N/A</v>
      </c>
      <c r="IG151" s="262" t="e">
        <f t="shared" si="178"/>
        <v>#N/A</v>
      </c>
      <c r="IH151" s="379"/>
      <c r="II151" s="379"/>
      <c r="IJ151" s="262" t="e">
        <f t="shared" si="179"/>
        <v>#N/A</v>
      </c>
      <c r="IK151" s="262" t="e">
        <f t="shared" si="180"/>
        <v>#N/A</v>
      </c>
      <c r="IL151" s="379"/>
      <c r="IM151" s="379"/>
      <c r="IN151" s="262" t="e">
        <f t="shared" si="181"/>
        <v>#N/A</v>
      </c>
      <c r="IO151" s="262" t="e">
        <f t="shared" si="182"/>
        <v>#N/A</v>
      </c>
      <c r="IP151" s="379"/>
      <c r="IQ151" s="379"/>
      <c r="IR151" s="262" t="e">
        <f t="shared" si="183"/>
        <v>#N/A</v>
      </c>
      <c r="IS151" s="262" t="e">
        <f t="shared" si="184"/>
        <v>#N/A</v>
      </c>
      <c r="IT151" s="379"/>
      <c r="IU151" s="379"/>
      <c r="IV151" s="262" t="e">
        <f t="shared" si="185"/>
        <v>#N/A</v>
      </c>
      <c r="IW151" s="262" t="e">
        <f t="shared" si="186"/>
        <v>#N/A</v>
      </c>
      <c r="JB151" s="313" t="s">
        <v>395</v>
      </c>
      <c r="JC151" s="228">
        <f>JC150</f>
        <v>0.5</v>
      </c>
      <c r="JD151" s="228">
        <f>JD146</f>
        <v>-0.72500000000000009</v>
      </c>
      <c r="JI151" s="313" t="s">
        <v>395</v>
      </c>
      <c r="JJ151" s="242">
        <f>JJ150</f>
        <v>0.5</v>
      </c>
      <c r="JK151" s="242">
        <f>JK146</f>
        <v>-0.72500000000000009</v>
      </c>
      <c r="JN151" s="261" t="e">
        <f t="shared" si="187"/>
        <v>#N/A</v>
      </c>
      <c r="JO151" s="261" t="e">
        <f t="shared" si="188"/>
        <v>#N/A</v>
      </c>
      <c r="JR151" s="261" t="e">
        <f t="shared" si="193"/>
        <v>#N/A</v>
      </c>
      <c r="JS151" s="261" t="e">
        <f t="shared" si="194"/>
        <v>#N/A</v>
      </c>
      <c r="JV151" s="261" t="e">
        <f t="shared" si="189"/>
        <v>#N/A</v>
      </c>
      <c r="JW151" s="261" t="e">
        <f t="shared" si="190"/>
        <v>#N/A</v>
      </c>
      <c r="PS151" s="342">
        <v>137</v>
      </c>
      <c r="PT151" s="261" t="e">
        <f t="shared" si="191"/>
        <v>#N/A</v>
      </c>
      <c r="PU151" s="261" t="e">
        <f t="shared" si="192"/>
        <v>#N/A</v>
      </c>
    </row>
    <row r="152" spans="4:437" x14ac:dyDescent="0.5"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310"/>
      <c r="AQ152" s="310"/>
      <c r="AR152" s="310"/>
      <c r="AS152" s="310"/>
      <c r="AT152" s="310"/>
      <c r="AU152" s="310"/>
      <c r="AV152" s="310"/>
      <c r="AW152" s="310"/>
      <c r="AX152" s="310"/>
      <c r="AY152" s="310"/>
      <c r="AZ152" s="310"/>
      <c r="BA152" s="310"/>
      <c r="EN152" s="280" t="e">
        <f>IF(EM151=TRUE,EN149,#N/A)</f>
        <v>#N/A</v>
      </c>
      <c r="EO152" s="280" t="e">
        <f>EO151</f>
        <v>#N/A</v>
      </c>
      <c r="HK152" s="342">
        <v>138</v>
      </c>
      <c r="HL152" s="235" t="e">
        <f t="shared" si="167"/>
        <v>#N/A</v>
      </c>
      <c r="HM152" s="235" t="e">
        <f t="shared" si="168"/>
        <v>#N/A</v>
      </c>
      <c r="HP152" s="235" t="e">
        <f t="shared" si="169"/>
        <v>#N/A</v>
      </c>
      <c r="HQ152" s="235" t="e">
        <f t="shared" si="170"/>
        <v>#N/A</v>
      </c>
      <c r="HT152" s="235" t="e">
        <f t="shared" si="171"/>
        <v>#N/A</v>
      </c>
      <c r="HU152" s="235" t="e">
        <f t="shared" si="172"/>
        <v>#N/A</v>
      </c>
      <c r="HX152" s="235" t="e">
        <f t="shared" si="173"/>
        <v>#N/A</v>
      </c>
      <c r="HY152" s="235" t="e">
        <f t="shared" si="174"/>
        <v>#N/A</v>
      </c>
      <c r="IB152" s="235" t="e">
        <f t="shared" si="175"/>
        <v>#N/A</v>
      </c>
      <c r="IC152" s="235" t="e">
        <f t="shared" si="176"/>
        <v>#N/A</v>
      </c>
      <c r="IE152" s="342">
        <v>138</v>
      </c>
      <c r="IF152" s="262" t="e">
        <f t="shared" si="177"/>
        <v>#N/A</v>
      </c>
      <c r="IG152" s="262" t="e">
        <f t="shared" si="178"/>
        <v>#N/A</v>
      </c>
      <c r="IH152" s="379"/>
      <c r="II152" s="379"/>
      <c r="IJ152" s="262" t="e">
        <f t="shared" si="179"/>
        <v>#N/A</v>
      </c>
      <c r="IK152" s="262" t="e">
        <f t="shared" si="180"/>
        <v>#N/A</v>
      </c>
      <c r="IL152" s="379"/>
      <c r="IM152" s="379"/>
      <c r="IN152" s="262" t="e">
        <f t="shared" si="181"/>
        <v>#N/A</v>
      </c>
      <c r="IO152" s="262" t="e">
        <f t="shared" si="182"/>
        <v>#N/A</v>
      </c>
      <c r="IP152" s="379"/>
      <c r="IQ152" s="379"/>
      <c r="IR152" s="262" t="e">
        <f t="shared" si="183"/>
        <v>#N/A</v>
      </c>
      <c r="IS152" s="262" t="e">
        <f t="shared" si="184"/>
        <v>#N/A</v>
      </c>
      <c r="IT152" s="379"/>
      <c r="IU152" s="379"/>
      <c r="IV152" s="262" t="e">
        <f t="shared" si="185"/>
        <v>#N/A</v>
      </c>
      <c r="IW152" s="262" t="e">
        <f t="shared" si="186"/>
        <v>#N/A</v>
      </c>
      <c r="JB152" s="313" t="s">
        <v>396</v>
      </c>
      <c r="JC152" s="228">
        <f>IZ142-$IZ$112/2</f>
        <v>0.6</v>
      </c>
      <c r="JD152" s="237">
        <f>JD145</f>
        <v>-0.69500000000000006</v>
      </c>
      <c r="JI152" s="313" t="s">
        <v>396</v>
      </c>
      <c r="JJ152" s="242">
        <f>JG142-$IZ$112/2</f>
        <v>0.6</v>
      </c>
      <c r="JK152" s="266">
        <f>JK145</f>
        <v>-0.69500000000000006</v>
      </c>
      <c r="JN152" s="261" t="e">
        <f t="shared" si="187"/>
        <v>#N/A</v>
      </c>
      <c r="JO152" s="261" t="e">
        <f t="shared" si="188"/>
        <v>#N/A</v>
      </c>
      <c r="JR152" s="261" t="e">
        <f t="shared" si="193"/>
        <v>#N/A</v>
      </c>
      <c r="JS152" s="261" t="e">
        <f t="shared" si="194"/>
        <v>#N/A</v>
      </c>
      <c r="JV152" s="261" t="e">
        <f t="shared" si="189"/>
        <v>#N/A</v>
      </c>
      <c r="JW152" s="261" t="e">
        <f t="shared" si="190"/>
        <v>#N/A</v>
      </c>
      <c r="PS152" s="342">
        <v>138</v>
      </c>
      <c r="PT152" s="261" t="e">
        <f t="shared" si="191"/>
        <v>#N/A</v>
      </c>
      <c r="PU152" s="261" t="e">
        <f t="shared" si="192"/>
        <v>#N/A</v>
      </c>
    </row>
    <row r="153" spans="4:437" x14ac:dyDescent="0.5"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310"/>
      <c r="AQ153" s="310"/>
      <c r="AR153" s="310"/>
      <c r="AS153" s="310"/>
      <c r="AT153" s="310"/>
      <c r="AU153" s="310"/>
      <c r="AV153" s="310"/>
      <c r="AW153" s="310"/>
      <c r="AX153" s="310"/>
      <c r="AY153" s="310"/>
      <c r="AZ153" s="310"/>
      <c r="BA153" s="310"/>
      <c r="EN153" s="280" t="e">
        <v>#N/A</v>
      </c>
      <c r="EO153" s="280" t="e">
        <v>#N/A</v>
      </c>
      <c r="HK153" s="342">
        <v>139</v>
      </c>
      <c r="HL153" s="235" t="e">
        <f t="shared" si="167"/>
        <v>#N/A</v>
      </c>
      <c r="HM153" s="235" t="e">
        <f t="shared" si="168"/>
        <v>#N/A</v>
      </c>
      <c r="HP153" s="235" t="e">
        <f t="shared" si="169"/>
        <v>#N/A</v>
      </c>
      <c r="HQ153" s="235" t="e">
        <f t="shared" si="170"/>
        <v>#N/A</v>
      </c>
      <c r="HT153" s="235" t="e">
        <f t="shared" si="171"/>
        <v>#N/A</v>
      </c>
      <c r="HU153" s="235" t="e">
        <f t="shared" si="172"/>
        <v>#N/A</v>
      </c>
      <c r="HX153" s="235" t="e">
        <f t="shared" si="173"/>
        <v>#N/A</v>
      </c>
      <c r="HY153" s="235" t="e">
        <f t="shared" si="174"/>
        <v>#N/A</v>
      </c>
      <c r="IB153" s="235" t="e">
        <f t="shared" si="175"/>
        <v>#N/A</v>
      </c>
      <c r="IC153" s="235" t="e">
        <f t="shared" si="176"/>
        <v>#N/A</v>
      </c>
      <c r="IE153" s="342">
        <v>139</v>
      </c>
      <c r="IF153" s="262" t="e">
        <f t="shared" si="177"/>
        <v>#N/A</v>
      </c>
      <c r="IG153" s="262" t="e">
        <f t="shared" si="178"/>
        <v>#N/A</v>
      </c>
      <c r="IH153" s="379"/>
      <c r="II153" s="379"/>
      <c r="IJ153" s="262" t="e">
        <f t="shared" si="179"/>
        <v>#N/A</v>
      </c>
      <c r="IK153" s="262" t="e">
        <f t="shared" si="180"/>
        <v>#N/A</v>
      </c>
      <c r="IL153" s="379"/>
      <c r="IM153" s="379"/>
      <c r="IN153" s="262" t="e">
        <f t="shared" si="181"/>
        <v>#N/A</v>
      </c>
      <c r="IO153" s="262" t="e">
        <f t="shared" si="182"/>
        <v>#N/A</v>
      </c>
      <c r="IP153" s="379"/>
      <c r="IQ153" s="379"/>
      <c r="IR153" s="262" t="e">
        <f t="shared" si="183"/>
        <v>#N/A</v>
      </c>
      <c r="IS153" s="262" t="e">
        <f t="shared" si="184"/>
        <v>#N/A</v>
      </c>
      <c r="IT153" s="379"/>
      <c r="IU153" s="379"/>
      <c r="IV153" s="262" t="e">
        <f t="shared" si="185"/>
        <v>#N/A</v>
      </c>
      <c r="IW153" s="262" t="e">
        <f t="shared" si="186"/>
        <v>#N/A</v>
      </c>
      <c r="JB153" s="313" t="s">
        <v>397</v>
      </c>
      <c r="JC153" s="228">
        <f>JC152</f>
        <v>0.6</v>
      </c>
      <c r="JD153" s="234">
        <f>JD144</f>
        <v>-0.60499999999999998</v>
      </c>
      <c r="JI153" s="313" t="s">
        <v>397</v>
      </c>
      <c r="JJ153" s="242">
        <f>JJ152</f>
        <v>0.6</v>
      </c>
      <c r="JK153" s="265">
        <f>JK144</f>
        <v>-0.60499999999999998</v>
      </c>
      <c r="JN153" s="261" t="e">
        <f t="shared" si="187"/>
        <v>#N/A</v>
      </c>
      <c r="JO153" s="261" t="e">
        <f t="shared" si="188"/>
        <v>#N/A</v>
      </c>
      <c r="JR153" s="261" t="e">
        <f t="shared" si="193"/>
        <v>#N/A</v>
      </c>
      <c r="JS153" s="261" t="e">
        <f t="shared" si="194"/>
        <v>#N/A</v>
      </c>
      <c r="JV153" s="261" t="e">
        <f t="shared" si="189"/>
        <v>#N/A</v>
      </c>
      <c r="JW153" s="261" t="e">
        <f t="shared" si="190"/>
        <v>#N/A</v>
      </c>
      <c r="PS153" s="342">
        <v>139</v>
      </c>
      <c r="PT153" s="261" t="e">
        <f t="shared" si="191"/>
        <v>#N/A</v>
      </c>
      <c r="PU153" s="261" t="e">
        <f t="shared" si="192"/>
        <v>#N/A</v>
      </c>
    </row>
    <row r="154" spans="4:437" x14ac:dyDescent="0.5"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310"/>
      <c r="AQ154" s="310"/>
      <c r="AR154" s="310"/>
      <c r="AS154" s="310"/>
      <c r="AT154" s="310"/>
      <c r="AU154" s="310"/>
      <c r="AV154" s="310"/>
      <c r="AW154" s="310"/>
      <c r="AX154" s="310"/>
      <c r="AY154" s="310"/>
      <c r="AZ154" s="310"/>
      <c r="BA154" s="310"/>
      <c r="HK154" s="342">
        <v>140</v>
      </c>
      <c r="HL154" s="235" t="e">
        <f t="shared" si="167"/>
        <v>#N/A</v>
      </c>
      <c r="HM154" s="235" t="e">
        <f t="shared" si="168"/>
        <v>#N/A</v>
      </c>
      <c r="HP154" s="235" t="e">
        <f t="shared" si="169"/>
        <v>#N/A</v>
      </c>
      <c r="HQ154" s="235" t="e">
        <f t="shared" si="170"/>
        <v>#N/A</v>
      </c>
      <c r="HT154" s="235" t="e">
        <f t="shared" si="171"/>
        <v>#N/A</v>
      </c>
      <c r="HU154" s="235" t="e">
        <f t="shared" si="172"/>
        <v>#N/A</v>
      </c>
      <c r="HX154" s="235" t="e">
        <f t="shared" si="173"/>
        <v>#N/A</v>
      </c>
      <c r="HY154" s="235" t="e">
        <f t="shared" si="174"/>
        <v>#N/A</v>
      </c>
      <c r="IB154" s="235" t="e">
        <f t="shared" si="175"/>
        <v>#N/A</v>
      </c>
      <c r="IC154" s="235" t="e">
        <f t="shared" si="176"/>
        <v>#N/A</v>
      </c>
      <c r="IE154" s="342">
        <v>140</v>
      </c>
      <c r="IF154" s="262" t="e">
        <f t="shared" si="177"/>
        <v>#N/A</v>
      </c>
      <c r="IG154" s="262" t="e">
        <f t="shared" si="178"/>
        <v>#N/A</v>
      </c>
      <c r="IH154" s="379"/>
      <c r="II154" s="379"/>
      <c r="IJ154" s="262" t="e">
        <f t="shared" si="179"/>
        <v>#N/A</v>
      </c>
      <c r="IK154" s="262" t="e">
        <f t="shared" si="180"/>
        <v>#N/A</v>
      </c>
      <c r="IL154" s="379"/>
      <c r="IM154" s="379"/>
      <c r="IN154" s="262" t="e">
        <f t="shared" si="181"/>
        <v>#N/A</v>
      </c>
      <c r="IO154" s="262" t="e">
        <f t="shared" si="182"/>
        <v>#N/A</v>
      </c>
      <c r="IP154" s="379"/>
      <c r="IQ154" s="379"/>
      <c r="IR154" s="262" t="e">
        <f t="shared" si="183"/>
        <v>#N/A</v>
      </c>
      <c r="IS154" s="262" t="e">
        <f t="shared" si="184"/>
        <v>#N/A</v>
      </c>
      <c r="IT154" s="379"/>
      <c r="IU154" s="379"/>
      <c r="IV154" s="262" t="e">
        <f t="shared" si="185"/>
        <v>#N/A</v>
      </c>
      <c r="IW154" s="262" t="e">
        <f t="shared" si="186"/>
        <v>#N/A</v>
      </c>
      <c r="JB154" s="313" t="s">
        <v>398</v>
      </c>
      <c r="JC154" s="228">
        <f>IZ142-$IZ$108/2</f>
        <v>0.5</v>
      </c>
      <c r="JD154" s="237">
        <f>JD143</f>
        <v>-0.57499999999999996</v>
      </c>
      <c r="JI154" s="313" t="s">
        <v>398</v>
      </c>
      <c r="JJ154" s="242">
        <f>JG142-$IZ$108/2</f>
        <v>0.5</v>
      </c>
      <c r="JK154" s="266">
        <f>JK143</f>
        <v>-0.57499999999999996</v>
      </c>
      <c r="JN154" s="261" t="e">
        <f t="shared" si="187"/>
        <v>#N/A</v>
      </c>
      <c r="JO154" s="261" t="e">
        <f t="shared" si="188"/>
        <v>#N/A</v>
      </c>
      <c r="JR154" s="261" t="e">
        <f t="shared" si="193"/>
        <v>#N/A</v>
      </c>
      <c r="JS154" s="261" t="e">
        <f t="shared" si="194"/>
        <v>#N/A</v>
      </c>
      <c r="JV154" s="261" t="e">
        <f t="shared" si="189"/>
        <v>#N/A</v>
      </c>
      <c r="JW154" s="261" t="e">
        <f t="shared" si="190"/>
        <v>#N/A</v>
      </c>
      <c r="PS154" s="342">
        <v>140</v>
      </c>
      <c r="PT154" s="261" t="e">
        <f t="shared" si="191"/>
        <v>#N/A</v>
      </c>
      <c r="PU154" s="261" t="e">
        <f t="shared" si="192"/>
        <v>#N/A</v>
      </c>
    </row>
    <row r="155" spans="4:437" x14ac:dyDescent="0.5"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310"/>
      <c r="AQ155" s="310"/>
      <c r="AR155" s="310"/>
      <c r="AS155" s="310"/>
      <c r="AT155" s="310"/>
      <c r="AU155" s="310"/>
      <c r="AV155" s="310"/>
      <c r="AW155" s="310"/>
      <c r="AX155" s="310"/>
      <c r="AY155" s="310"/>
      <c r="AZ155" s="310"/>
      <c r="BA155" s="310"/>
      <c r="HK155" s="342">
        <v>141</v>
      </c>
      <c r="HL155" s="235" t="e">
        <f t="shared" si="167"/>
        <v>#N/A</v>
      </c>
      <c r="HM155" s="235" t="e">
        <f t="shared" si="168"/>
        <v>#N/A</v>
      </c>
      <c r="HP155" s="235" t="e">
        <f t="shared" si="169"/>
        <v>#N/A</v>
      </c>
      <c r="HQ155" s="235" t="e">
        <f t="shared" si="170"/>
        <v>#N/A</v>
      </c>
      <c r="HT155" s="235" t="e">
        <f t="shared" si="171"/>
        <v>#N/A</v>
      </c>
      <c r="HU155" s="235" t="e">
        <f t="shared" si="172"/>
        <v>#N/A</v>
      </c>
      <c r="HX155" s="235" t="e">
        <f t="shared" si="173"/>
        <v>#N/A</v>
      </c>
      <c r="HY155" s="235" t="e">
        <f t="shared" si="174"/>
        <v>#N/A</v>
      </c>
      <c r="IB155" s="235" t="e">
        <f t="shared" si="175"/>
        <v>#N/A</v>
      </c>
      <c r="IC155" s="235" t="e">
        <f t="shared" si="176"/>
        <v>#N/A</v>
      </c>
      <c r="IE155" s="342">
        <v>141</v>
      </c>
      <c r="IF155" s="262" t="e">
        <f t="shared" si="177"/>
        <v>#N/A</v>
      </c>
      <c r="IG155" s="262" t="e">
        <f t="shared" si="178"/>
        <v>#N/A</v>
      </c>
      <c r="IH155" s="379"/>
      <c r="II155" s="379"/>
      <c r="IJ155" s="262" t="e">
        <f t="shared" si="179"/>
        <v>#N/A</v>
      </c>
      <c r="IK155" s="262" t="e">
        <f t="shared" si="180"/>
        <v>#N/A</v>
      </c>
      <c r="IL155" s="379"/>
      <c r="IM155" s="379"/>
      <c r="IN155" s="262" t="e">
        <f t="shared" si="181"/>
        <v>#N/A</v>
      </c>
      <c r="IO155" s="262" t="e">
        <f t="shared" si="182"/>
        <v>#N/A</v>
      </c>
      <c r="IP155" s="379"/>
      <c r="IQ155" s="379"/>
      <c r="IR155" s="262" t="e">
        <f t="shared" si="183"/>
        <v>#N/A</v>
      </c>
      <c r="IS155" s="262" t="e">
        <f t="shared" si="184"/>
        <v>#N/A</v>
      </c>
      <c r="IT155" s="379"/>
      <c r="IU155" s="379"/>
      <c r="IV155" s="262" t="e">
        <f t="shared" si="185"/>
        <v>#N/A</v>
      </c>
      <c r="IW155" s="262" t="e">
        <f t="shared" si="186"/>
        <v>#N/A</v>
      </c>
      <c r="JB155" s="313" t="s">
        <v>399</v>
      </c>
      <c r="JC155" s="228">
        <f>JC154</f>
        <v>0.5</v>
      </c>
      <c r="JD155" s="228">
        <f>JD142</f>
        <v>-0.51500000000000001</v>
      </c>
      <c r="JI155" s="313" t="s">
        <v>399</v>
      </c>
      <c r="JJ155" s="242">
        <f>JJ154</f>
        <v>0.5</v>
      </c>
      <c r="JK155" s="242">
        <f>JK142</f>
        <v>-0.51500000000000001</v>
      </c>
      <c r="JN155" s="261" t="e">
        <f t="shared" si="187"/>
        <v>#N/A</v>
      </c>
      <c r="JO155" s="261" t="e">
        <f t="shared" si="188"/>
        <v>#N/A</v>
      </c>
      <c r="JR155" s="261" t="e">
        <f t="shared" si="193"/>
        <v>#N/A</v>
      </c>
      <c r="JS155" s="261" t="e">
        <f t="shared" si="194"/>
        <v>#N/A</v>
      </c>
      <c r="JV155" s="261" t="e">
        <f t="shared" si="189"/>
        <v>#N/A</v>
      </c>
      <c r="JW155" s="261" t="e">
        <f t="shared" si="190"/>
        <v>#N/A</v>
      </c>
      <c r="PS155" s="342">
        <v>141</v>
      </c>
      <c r="PT155" s="261" t="e">
        <f t="shared" si="191"/>
        <v>#N/A</v>
      </c>
      <c r="PU155" s="261" t="e">
        <f t="shared" si="192"/>
        <v>#N/A</v>
      </c>
    </row>
    <row r="156" spans="4:437" x14ac:dyDescent="0.5"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310"/>
      <c r="AQ156" s="310"/>
      <c r="AR156" s="310"/>
      <c r="AS156" s="310"/>
      <c r="AT156" s="310"/>
      <c r="AU156" s="310"/>
      <c r="AV156" s="310"/>
      <c r="AW156" s="310"/>
      <c r="AX156" s="310"/>
      <c r="AY156" s="310"/>
      <c r="AZ156" s="310"/>
      <c r="BA156" s="310"/>
      <c r="HK156" s="342">
        <v>142</v>
      </c>
      <c r="HL156" s="235" t="e">
        <f t="shared" si="167"/>
        <v>#N/A</v>
      </c>
      <c r="HM156" s="235" t="e">
        <f t="shared" si="168"/>
        <v>#N/A</v>
      </c>
      <c r="HP156" s="235" t="e">
        <f t="shared" si="169"/>
        <v>#N/A</v>
      </c>
      <c r="HQ156" s="235" t="e">
        <f t="shared" si="170"/>
        <v>#N/A</v>
      </c>
      <c r="HT156" s="235" t="e">
        <f t="shared" si="171"/>
        <v>#N/A</v>
      </c>
      <c r="HU156" s="235" t="e">
        <f t="shared" si="172"/>
        <v>#N/A</v>
      </c>
      <c r="HX156" s="235" t="e">
        <f t="shared" si="173"/>
        <v>#N/A</v>
      </c>
      <c r="HY156" s="235" t="e">
        <f t="shared" si="174"/>
        <v>#N/A</v>
      </c>
      <c r="IB156" s="235" t="e">
        <f t="shared" si="175"/>
        <v>#N/A</v>
      </c>
      <c r="IC156" s="235" t="e">
        <f t="shared" si="176"/>
        <v>#N/A</v>
      </c>
      <c r="IE156" s="342">
        <v>142</v>
      </c>
      <c r="IF156" s="262" t="e">
        <f t="shared" si="177"/>
        <v>#N/A</v>
      </c>
      <c r="IG156" s="262" t="e">
        <f t="shared" si="178"/>
        <v>#N/A</v>
      </c>
      <c r="IH156" s="379"/>
      <c r="II156" s="379"/>
      <c r="IJ156" s="262" t="e">
        <f t="shared" si="179"/>
        <v>#N/A</v>
      </c>
      <c r="IK156" s="262" t="e">
        <f t="shared" si="180"/>
        <v>#N/A</v>
      </c>
      <c r="IL156" s="379"/>
      <c r="IM156" s="379"/>
      <c r="IN156" s="262" t="e">
        <f t="shared" si="181"/>
        <v>#N/A</v>
      </c>
      <c r="IO156" s="262" t="e">
        <f t="shared" si="182"/>
        <v>#N/A</v>
      </c>
      <c r="IP156" s="379"/>
      <c r="IQ156" s="379"/>
      <c r="IR156" s="262" t="e">
        <f t="shared" si="183"/>
        <v>#N/A</v>
      </c>
      <c r="IS156" s="262" t="e">
        <f t="shared" si="184"/>
        <v>#N/A</v>
      </c>
      <c r="IT156" s="379"/>
      <c r="IU156" s="379"/>
      <c r="IV156" s="262" t="e">
        <f t="shared" si="185"/>
        <v>#N/A</v>
      </c>
      <c r="IW156" s="262" t="e">
        <f t="shared" si="186"/>
        <v>#N/A</v>
      </c>
      <c r="JB156" s="313" t="s">
        <v>400</v>
      </c>
      <c r="JC156" s="228">
        <f>JC140</f>
        <v>0.51500000000000001</v>
      </c>
      <c r="JD156" s="228">
        <f>JD140</f>
        <v>-0.5</v>
      </c>
      <c r="JI156" s="313" t="s">
        <v>400</v>
      </c>
      <c r="JJ156" s="242">
        <f>JJ140</f>
        <v>0.51500000000000001</v>
      </c>
      <c r="JK156" s="242">
        <f>JK140</f>
        <v>-0.5</v>
      </c>
      <c r="JN156" s="261" t="e">
        <f t="shared" si="187"/>
        <v>#N/A</v>
      </c>
      <c r="JO156" s="261" t="e">
        <f t="shared" si="188"/>
        <v>#N/A</v>
      </c>
      <c r="JR156" s="261" t="e">
        <f t="shared" si="193"/>
        <v>#N/A</v>
      </c>
      <c r="JS156" s="261" t="e">
        <f t="shared" si="194"/>
        <v>#N/A</v>
      </c>
      <c r="JV156" s="261" t="e">
        <f t="shared" si="189"/>
        <v>#N/A</v>
      </c>
      <c r="JW156" s="261" t="e">
        <f t="shared" si="190"/>
        <v>#N/A</v>
      </c>
      <c r="PS156" s="342">
        <v>142</v>
      </c>
      <c r="PT156" s="261" t="e">
        <f t="shared" si="191"/>
        <v>#N/A</v>
      </c>
      <c r="PU156" s="261" t="e">
        <f t="shared" si="192"/>
        <v>#N/A</v>
      </c>
    </row>
    <row r="157" spans="4:437" x14ac:dyDescent="0.5"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310"/>
      <c r="AQ157" s="310"/>
      <c r="AR157" s="310"/>
      <c r="AS157" s="310"/>
      <c r="AT157" s="310"/>
      <c r="AU157" s="310"/>
      <c r="AV157" s="310"/>
      <c r="AW157" s="310"/>
      <c r="AX157" s="310"/>
      <c r="AY157" s="310"/>
      <c r="AZ157" s="310"/>
      <c r="BA157" s="310"/>
      <c r="HK157" s="342">
        <v>143</v>
      </c>
      <c r="HL157" s="235" t="e">
        <f t="shared" si="167"/>
        <v>#N/A</v>
      </c>
      <c r="HM157" s="235" t="e">
        <f t="shared" si="168"/>
        <v>#N/A</v>
      </c>
      <c r="HP157" s="235" t="e">
        <f t="shared" si="169"/>
        <v>#N/A</v>
      </c>
      <c r="HQ157" s="235" t="e">
        <f t="shared" si="170"/>
        <v>#N/A</v>
      </c>
      <c r="HT157" s="235" t="e">
        <f t="shared" si="171"/>
        <v>#N/A</v>
      </c>
      <c r="HU157" s="235" t="e">
        <f t="shared" si="172"/>
        <v>#N/A</v>
      </c>
      <c r="HX157" s="235" t="e">
        <f t="shared" si="173"/>
        <v>#N/A</v>
      </c>
      <c r="HY157" s="235" t="e">
        <f t="shared" si="174"/>
        <v>#N/A</v>
      </c>
      <c r="IB157" s="235" t="e">
        <f t="shared" si="175"/>
        <v>#N/A</v>
      </c>
      <c r="IC157" s="235" t="e">
        <f t="shared" si="176"/>
        <v>#N/A</v>
      </c>
      <c r="IE157" s="342">
        <v>143</v>
      </c>
      <c r="IF157" s="262" t="e">
        <f t="shared" si="177"/>
        <v>#N/A</v>
      </c>
      <c r="IG157" s="262" t="e">
        <f t="shared" si="178"/>
        <v>#N/A</v>
      </c>
      <c r="IH157" s="379"/>
      <c r="II157" s="379"/>
      <c r="IJ157" s="262" t="e">
        <f t="shared" si="179"/>
        <v>#N/A</v>
      </c>
      <c r="IK157" s="262" t="e">
        <f t="shared" si="180"/>
        <v>#N/A</v>
      </c>
      <c r="IL157" s="379"/>
      <c r="IM157" s="379"/>
      <c r="IN157" s="262" t="e">
        <f t="shared" si="181"/>
        <v>#N/A</v>
      </c>
      <c r="IO157" s="262" t="e">
        <f t="shared" si="182"/>
        <v>#N/A</v>
      </c>
      <c r="IP157" s="379"/>
      <c r="IQ157" s="379"/>
      <c r="IR157" s="262" t="e">
        <f t="shared" si="183"/>
        <v>#N/A</v>
      </c>
      <c r="IS157" s="262" t="e">
        <f t="shared" si="184"/>
        <v>#N/A</v>
      </c>
      <c r="IT157" s="379"/>
      <c r="IU157" s="379"/>
      <c r="IV157" s="262" t="e">
        <f t="shared" si="185"/>
        <v>#N/A</v>
      </c>
      <c r="IW157" s="262" t="e">
        <f t="shared" si="186"/>
        <v>#N/A</v>
      </c>
      <c r="JC157" s="230" t="e">
        <v>#N/A</v>
      </c>
      <c r="JD157" s="230" t="e">
        <v>#N/A</v>
      </c>
      <c r="JJ157" s="264" t="e">
        <v>#N/A</v>
      </c>
      <c r="JK157" s="264" t="e">
        <v>#N/A</v>
      </c>
      <c r="JN157" s="261" t="e">
        <f t="shared" si="187"/>
        <v>#N/A</v>
      </c>
      <c r="JO157" s="261" t="e">
        <f t="shared" si="188"/>
        <v>#N/A</v>
      </c>
      <c r="JR157" s="261" t="e">
        <f t="shared" si="193"/>
        <v>#N/A</v>
      </c>
      <c r="JS157" s="261" t="e">
        <f t="shared" si="194"/>
        <v>#N/A</v>
      </c>
      <c r="JV157" s="261" t="e">
        <f t="shared" si="189"/>
        <v>#N/A</v>
      </c>
      <c r="JW157" s="261" t="e">
        <f t="shared" si="190"/>
        <v>#N/A</v>
      </c>
      <c r="PS157" s="342">
        <v>143</v>
      </c>
      <c r="PT157" s="261" t="e">
        <f t="shared" si="191"/>
        <v>#N/A</v>
      </c>
      <c r="PU157" s="261" t="e">
        <f t="shared" si="192"/>
        <v>#N/A</v>
      </c>
    </row>
    <row r="158" spans="4:437" x14ac:dyDescent="0.5"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310"/>
      <c r="AQ158" s="310"/>
      <c r="AR158" s="310"/>
      <c r="AS158" s="310"/>
      <c r="AT158" s="310"/>
      <c r="AU158" s="310"/>
      <c r="AV158" s="310"/>
      <c r="AW158" s="310"/>
      <c r="AX158" s="310"/>
      <c r="AY158" s="310"/>
      <c r="AZ158" s="310"/>
      <c r="BA158" s="310"/>
      <c r="HK158" s="342">
        <v>144</v>
      </c>
      <c r="HL158" s="235" t="e">
        <f t="shared" si="167"/>
        <v>#N/A</v>
      </c>
      <c r="HM158" s="235" t="e">
        <f t="shared" si="168"/>
        <v>#N/A</v>
      </c>
      <c r="HP158" s="235" t="e">
        <f t="shared" si="169"/>
        <v>#N/A</v>
      </c>
      <c r="HQ158" s="235" t="e">
        <f t="shared" si="170"/>
        <v>#N/A</v>
      </c>
      <c r="HT158" s="235" t="e">
        <f t="shared" si="171"/>
        <v>#N/A</v>
      </c>
      <c r="HU158" s="235" t="e">
        <f t="shared" si="172"/>
        <v>#N/A</v>
      </c>
      <c r="HX158" s="235" t="e">
        <f t="shared" si="173"/>
        <v>#N/A</v>
      </c>
      <c r="HY158" s="235" t="e">
        <f t="shared" si="174"/>
        <v>#N/A</v>
      </c>
      <c r="IB158" s="235" t="e">
        <f t="shared" si="175"/>
        <v>#N/A</v>
      </c>
      <c r="IC158" s="235" t="e">
        <f t="shared" si="176"/>
        <v>#N/A</v>
      </c>
      <c r="IE158" s="342">
        <v>144</v>
      </c>
      <c r="IF158" s="262" t="e">
        <f t="shared" si="177"/>
        <v>#N/A</v>
      </c>
      <c r="IG158" s="262" t="e">
        <f t="shared" si="178"/>
        <v>#N/A</v>
      </c>
      <c r="IH158" s="379"/>
      <c r="II158" s="379"/>
      <c r="IJ158" s="262" t="e">
        <f t="shared" si="179"/>
        <v>#N/A</v>
      </c>
      <c r="IK158" s="262" t="e">
        <f t="shared" si="180"/>
        <v>#N/A</v>
      </c>
      <c r="IL158" s="379"/>
      <c r="IM158" s="379"/>
      <c r="IN158" s="262" t="e">
        <f t="shared" si="181"/>
        <v>#N/A</v>
      </c>
      <c r="IO158" s="262" t="e">
        <f t="shared" si="182"/>
        <v>#N/A</v>
      </c>
      <c r="IP158" s="379"/>
      <c r="IQ158" s="379"/>
      <c r="IR158" s="262" t="e">
        <f t="shared" si="183"/>
        <v>#N/A</v>
      </c>
      <c r="IS158" s="262" t="e">
        <f t="shared" si="184"/>
        <v>#N/A</v>
      </c>
      <c r="IT158" s="379"/>
      <c r="IU158" s="379"/>
      <c r="IV158" s="262" t="e">
        <f t="shared" si="185"/>
        <v>#N/A</v>
      </c>
      <c r="IW158" s="262" t="e">
        <f t="shared" si="186"/>
        <v>#N/A</v>
      </c>
      <c r="IY158" s="342" t="s">
        <v>353</v>
      </c>
      <c r="IZ158" s="328" t="s">
        <v>403</v>
      </c>
      <c r="JA158" s="328" t="b">
        <f>AND($GY$6&gt;=$GX$7,$GY$6&lt;=$GX$13,$BM$10=TRUE)</f>
        <v>1</v>
      </c>
      <c r="JB158" s="313" t="s">
        <v>106</v>
      </c>
      <c r="JC158" s="228">
        <f>IZ160-($IZ$108/2)+$IZ$114</f>
        <v>0.51500000000000001</v>
      </c>
      <c r="JD158" s="228">
        <f>JA160+$IZ$108/2</f>
        <v>0.8</v>
      </c>
      <c r="JF158" s="342" t="s">
        <v>353</v>
      </c>
      <c r="JG158" s="328" t="s">
        <v>403</v>
      </c>
      <c r="JH158" s="328" t="b">
        <f>IF(CP13=TRUE,AND($GY$6&gt;=$GX$7,$GY$6&lt;=$GX$13,$BM$10=TRUE,$BE$7=TRUE,CU11=TRUE),FALSE)</f>
        <v>1</v>
      </c>
      <c r="JI158" s="313" t="s">
        <v>106</v>
      </c>
      <c r="JJ158" s="242">
        <f>JG160-($IZ$108/2)+$IZ$114</f>
        <v>0.51500000000000001</v>
      </c>
      <c r="JK158" s="242">
        <f>JH160+$IZ$108/2</f>
        <v>0.8</v>
      </c>
      <c r="JN158" s="261" t="e">
        <f t="shared" si="187"/>
        <v>#N/A</v>
      </c>
      <c r="JO158" s="261" t="e">
        <f t="shared" si="188"/>
        <v>#N/A</v>
      </c>
      <c r="JR158" s="261" t="e">
        <f t="shared" si="193"/>
        <v>#N/A</v>
      </c>
      <c r="JS158" s="261" t="e">
        <f t="shared" si="194"/>
        <v>#N/A</v>
      </c>
      <c r="JV158" s="261" t="e">
        <f t="shared" si="189"/>
        <v>#N/A</v>
      </c>
      <c r="JW158" s="261" t="e">
        <f t="shared" si="190"/>
        <v>#N/A</v>
      </c>
      <c r="PS158" s="342">
        <v>144</v>
      </c>
      <c r="PT158" s="261" t="e">
        <f t="shared" si="191"/>
        <v>#N/A</v>
      </c>
      <c r="PU158" s="261" t="e">
        <f t="shared" si="192"/>
        <v>#N/A</v>
      </c>
    </row>
    <row r="159" spans="4:437" x14ac:dyDescent="0.5"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310"/>
      <c r="AQ159" s="310"/>
      <c r="AR159" s="310"/>
      <c r="AS159" s="310"/>
      <c r="AT159" s="310"/>
      <c r="AU159" s="310"/>
      <c r="AV159" s="310"/>
      <c r="AW159" s="310"/>
      <c r="AX159" s="310"/>
      <c r="AY159" s="310"/>
      <c r="AZ159" s="310"/>
      <c r="BA159" s="310"/>
      <c r="HK159" s="342">
        <v>145</v>
      </c>
      <c r="HL159" s="235" t="e">
        <f t="shared" si="167"/>
        <v>#N/A</v>
      </c>
      <c r="HM159" s="235" t="e">
        <f t="shared" si="168"/>
        <v>#N/A</v>
      </c>
      <c r="HP159" s="235" t="e">
        <f t="shared" si="169"/>
        <v>#N/A</v>
      </c>
      <c r="HQ159" s="235" t="e">
        <f t="shared" si="170"/>
        <v>#N/A</v>
      </c>
      <c r="HT159" s="235" t="e">
        <f t="shared" si="171"/>
        <v>#N/A</v>
      </c>
      <c r="HU159" s="235" t="e">
        <f t="shared" si="172"/>
        <v>#N/A</v>
      </c>
      <c r="HX159" s="235" t="e">
        <f t="shared" si="173"/>
        <v>#N/A</v>
      </c>
      <c r="HY159" s="235" t="e">
        <f t="shared" si="174"/>
        <v>#N/A</v>
      </c>
      <c r="IB159" s="235" t="e">
        <f t="shared" si="175"/>
        <v>#N/A</v>
      </c>
      <c r="IC159" s="235" t="e">
        <f t="shared" si="176"/>
        <v>#N/A</v>
      </c>
      <c r="IE159" s="342">
        <v>145</v>
      </c>
      <c r="IF159" s="262" t="e">
        <f t="shared" si="177"/>
        <v>#N/A</v>
      </c>
      <c r="IG159" s="262" t="e">
        <f t="shared" si="178"/>
        <v>#N/A</v>
      </c>
      <c r="IH159" s="379"/>
      <c r="II159" s="379"/>
      <c r="IJ159" s="262" t="e">
        <f t="shared" si="179"/>
        <v>#N/A</v>
      </c>
      <c r="IK159" s="262" t="e">
        <f t="shared" si="180"/>
        <v>#N/A</v>
      </c>
      <c r="IL159" s="379"/>
      <c r="IM159" s="379"/>
      <c r="IN159" s="262" t="e">
        <f t="shared" si="181"/>
        <v>#N/A</v>
      </c>
      <c r="IO159" s="262" t="e">
        <f t="shared" si="182"/>
        <v>#N/A</v>
      </c>
      <c r="IP159" s="379"/>
      <c r="IQ159" s="379"/>
      <c r="IR159" s="262" t="e">
        <f t="shared" si="183"/>
        <v>#N/A</v>
      </c>
      <c r="IS159" s="262" t="e">
        <f t="shared" si="184"/>
        <v>#N/A</v>
      </c>
      <c r="IT159" s="379"/>
      <c r="IU159" s="379"/>
      <c r="IV159" s="262" t="e">
        <f t="shared" si="185"/>
        <v>#N/A</v>
      </c>
      <c r="IW159" s="262" t="e">
        <f t="shared" si="186"/>
        <v>#N/A</v>
      </c>
      <c r="IY159" s="342" t="s">
        <v>355</v>
      </c>
      <c r="IZ159" s="342" t="s">
        <v>48</v>
      </c>
      <c r="JA159" s="342" t="s">
        <v>49</v>
      </c>
      <c r="JB159" s="313" t="s">
        <v>144</v>
      </c>
      <c r="JC159" s="228">
        <f>IZ160+($IZ$108/2)-$IZ$114</f>
        <v>0.78500000000000003</v>
      </c>
      <c r="JD159" s="228">
        <f>JD158</f>
        <v>0.8</v>
      </c>
      <c r="JF159" s="342" t="s">
        <v>355</v>
      </c>
      <c r="JG159" s="342" t="s">
        <v>48</v>
      </c>
      <c r="JH159" s="342" t="s">
        <v>49</v>
      </c>
      <c r="JI159" s="313" t="s">
        <v>144</v>
      </c>
      <c r="JJ159" s="242">
        <f>JG160+($IZ$108/2)-$IZ$114</f>
        <v>0.78500000000000003</v>
      </c>
      <c r="JK159" s="242">
        <f>JK158</f>
        <v>0.8</v>
      </c>
      <c r="JN159" s="261" t="e">
        <f t="shared" si="187"/>
        <v>#N/A</v>
      </c>
      <c r="JO159" s="261" t="e">
        <f t="shared" si="188"/>
        <v>#N/A</v>
      </c>
      <c r="JR159" s="261" t="e">
        <f t="shared" si="193"/>
        <v>#N/A</v>
      </c>
      <c r="JS159" s="261" t="e">
        <f t="shared" si="194"/>
        <v>#N/A</v>
      </c>
      <c r="JV159" s="261" t="e">
        <f t="shared" si="189"/>
        <v>#N/A</v>
      </c>
      <c r="JW159" s="261" t="e">
        <f t="shared" si="190"/>
        <v>#N/A</v>
      </c>
      <c r="PS159" s="342">
        <v>145</v>
      </c>
      <c r="PT159" s="261" t="e">
        <f t="shared" si="191"/>
        <v>#N/A</v>
      </c>
      <c r="PU159" s="261" t="e">
        <f t="shared" si="192"/>
        <v>#N/A</v>
      </c>
    </row>
    <row r="160" spans="4:437" x14ac:dyDescent="0.5"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310"/>
      <c r="AQ160" s="310"/>
      <c r="AR160" s="310"/>
      <c r="AS160" s="310"/>
      <c r="AT160" s="310"/>
      <c r="AU160" s="310"/>
      <c r="AV160" s="310"/>
      <c r="AW160" s="310"/>
      <c r="AX160" s="310"/>
      <c r="AY160" s="310"/>
      <c r="AZ160" s="310"/>
      <c r="BA160" s="310"/>
      <c r="HK160" s="342">
        <v>146</v>
      </c>
      <c r="HL160" s="235" t="e">
        <f t="shared" si="167"/>
        <v>#N/A</v>
      </c>
      <c r="HM160" s="235" t="e">
        <f t="shared" si="168"/>
        <v>#N/A</v>
      </c>
      <c r="HP160" s="235" t="e">
        <f t="shared" si="169"/>
        <v>#N/A</v>
      </c>
      <c r="HQ160" s="235" t="e">
        <f t="shared" si="170"/>
        <v>#N/A</v>
      </c>
      <c r="HT160" s="235" t="e">
        <f t="shared" si="171"/>
        <v>#N/A</v>
      </c>
      <c r="HU160" s="235" t="e">
        <f t="shared" si="172"/>
        <v>#N/A</v>
      </c>
      <c r="HX160" s="235" t="e">
        <f t="shared" si="173"/>
        <v>#N/A</v>
      </c>
      <c r="HY160" s="235" t="e">
        <f t="shared" si="174"/>
        <v>#N/A</v>
      </c>
      <c r="IB160" s="235" t="e">
        <f t="shared" si="175"/>
        <v>#N/A</v>
      </c>
      <c r="IC160" s="235" t="e">
        <f t="shared" si="176"/>
        <v>#N/A</v>
      </c>
      <c r="IE160" s="342">
        <v>146</v>
      </c>
      <c r="IF160" s="262" t="e">
        <f t="shared" si="177"/>
        <v>#N/A</v>
      </c>
      <c r="IG160" s="262" t="e">
        <f t="shared" si="178"/>
        <v>#N/A</v>
      </c>
      <c r="IH160" s="379"/>
      <c r="II160" s="379"/>
      <c r="IJ160" s="262" t="e">
        <f t="shared" si="179"/>
        <v>#N/A</v>
      </c>
      <c r="IK160" s="262" t="e">
        <f t="shared" si="180"/>
        <v>#N/A</v>
      </c>
      <c r="IL160" s="379"/>
      <c r="IM160" s="379"/>
      <c r="IN160" s="262" t="e">
        <f t="shared" si="181"/>
        <v>#N/A</v>
      </c>
      <c r="IO160" s="262" t="e">
        <f t="shared" si="182"/>
        <v>#N/A</v>
      </c>
      <c r="IP160" s="379"/>
      <c r="IQ160" s="379"/>
      <c r="IR160" s="262" t="e">
        <f t="shared" si="183"/>
        <v>#N/A</v>
      </c>
      <c r="IS160" s="262" t="e">
        <f t="shared" si="184"/>
        <v>#N/A</v>
      </c>
      <c r="IT160" s="379"/>
      <c r="IU160" s="379"/>
      <c r="IV160" s="262" t="e">
        <f t="shared" si="185"/>
        <v>#N/A</v>
      </c>
      <c r="IW160" s="262" t="e">
        <f t="shared" si="186"/>
        <v>#N/A</v>
      </c>
      <c r="IY160" s="313" t="s">
        <v>72</v>
      </c>
      <c r="IZ160" s="362">
        <f>IF(JA158=TRUE,$M$22,#N/A)</f>
        <v>0.65</v>
      </c>
      <c r="JA160" s="362">
        <f>IF(JA158=TRUE,$J$22,#N/A)</f>
        <v>0.65</v>
      </c>
      <c r="JB160" s="313" t="s">
        <v>149</v>
      </c>
      <c r="JC160" s="228">
        <f>IZ160+$IZ$108/2</f>
        <v>0.8</v>
      </c>
      <c r="JD160" s="228">
        <f>JA160+$IZ$108/2-$IZ$114</f>
        <v>0.78500000000000003</v>
      </c>
      <c r="JF160" s="313" t="s">
        <v>72</v>
      </c>
      <c r="JG160" s="362">
        <f>IF(JH158=TRUE,$J$29,#N/A)</f>
        <v>0.65</v>
      </c>
      <c r="JH160" s="363">
        <f>IF(JH158=TRUE,$H$29,#N/A)</f>
        <v>0.65</v>
      </c>
      <c r="JI160" s="313" t="s">
        <v>149</v>
      </c>
      <c r="JJ160" s="242">
        <f>JG160+$IZ$108/2</f>
        <v>0.8</v>
      </c>
      <c r="JK160" s="242">
        <f>JH160+$IZ$108/2-$IZ$114</f>
        <v>0.78500000000000003</v>
      </c>
      <c r="JN160" s="261" t="e">
        <f t="shared" si="187"/>
        <v>#N/A</v>
      </c>
      <c r="JO160" s="261" t="e">
        <f t="shared" si="188"/>
        <v>#N/A</v>
      </c>
      <c r="JR160" s="261" t="e">
        <f t="shared" si="193"/>
        <v>#N/A</v>
      </c>
      <c r="JS160" s="261" t="e">
        <f t="shared" si="194"/>
        <v>#N/A</v>
      </c>
      <c r="JV160" s="261" t="e">
        <f t="shared" si="189"/>
        <v>#N/A</v>
      </c>
      <c r="JW160" s="261" t="e">
        <f t="shared" si="190"/>
        <v>#N/A</v>
      </c>
      <c r="PS160" s="342">
        <v>146</v>
      </c>
      <c r="PT160" s="261" t="e">
        <f t="shared" si="191"/>
        <v>#N/A</v>
      </c>
      <c r="PU160" s="261" t="e">
        <f t="shared" si="192"/>
        <v>#N/A</v>
      </c>
    </row>
    <row r="161" spans="4:437" x14ac:dyDescent="0.5"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310"/>
      <c r="AQ161" s="310"/>
      <c r="AR161" s="310"/>
      <c r="AS161" s="310"/>
      <c r="AT161" s="310"/>
      <c r="AU161" s="310"/>
      <c r="AV161" s="310"/>
      <c r="AW161" s="310"/>
      <c r="AX161" s="310"/>
      <c r="AY161" s="310"/>
      <c r="AZ161" s="310"/>
      <c r="BA161" s="310"/>
      <c r="HK161" s="342">
        <v>147</v>
      </c>
      <c r="HL161" s="235" t="e">
        <f t="shared" si="167"/>
        <v>#N/A</v>
      </c>
      <c r="HM161" s="235" t="e">
        <f t="shared" si="168"/>
        <v>#N/A</v>
      </c>
      <c r="HP161" s="235" t="e">
        <f t="shared" si="169"/>
        <v>#N/A</v>
      </c>
      <c r="HQ161" s="235" t="e">
        <f t="shared" si="170"/>
        <v>#N/A</v>
      </c>
      <c r="HT161" s="235" t="e">
        <f t="shared" si="171"/>
        <v>#N/A</v>
      </c>
      <c r="HU161" s="235" t="e">
        <f t="shared" si="172"/>
        <v>#N/A</v>
      </c>
      <c r="HX161" s="235" t="e">
        <f t="shared" si="173"/>
        <v>#N/A</v>
      </c>
      <c r="HY161" s="235" t="e">
        <f t="shared" si="174"/>
        <v>#N/A</v>
      </c>
      <c r="IB161" s="235" t="e">
        <f t="shared" si="175"/>
        <v>#N/A</v>
      </c>
      <c r="IC161" s="235" t="e">
        <f t="shared" si="176"/>
        <v>#N/A</v>
      </c>
      <c r="IE161" s="342">
        <v>147</v>
      </c>
      <c r="IF161" s="262" t="e">
        <f t="shared" si="177"/>
        <v>#N/A</v>
      </c>
      <c r="IG161" s="262" t="e">
        <f t="shared" si="178"/>
        <v>#N/A</v>
      </c>
      <c r="IH161" s="379"/>
      <c r="II161" s="379"/>
      <c r="IJ161" s="262" t="e">
        <f t="shared" si="179"/>
        <v>#N/A</v>
      </c>
      <c r="IK161" s="262" t="e">
        <f t="shared" si="180"/>
        <v>#N/A</v>
      </c>
      <c r="IL161" s="379"/>
      <c r="IM161" s="379"/>
      <c r="IN161" s="262" t="e">
        <f t="shared" si="181"/>
        <v>#N/A</v>
      </c>
      <c r="IO161" s="262" t="e">
        <f t="shared" si="182"/>
        <v>#N/A</v>
      </c>
      <c r="IP161" s="379"/>
      <c r="IQ161" s="379"/>
      <c r="IR161" s="262" t="e">
        <f t="shared" si="183"/>
        <v>#N/A</v>
      </c>
      <c r="IS161" s="262" t="e">
        <f t="shared" si="184"/>
        <v>#N/A</v>
      </c>
      <c r="IT161" s="379"/>
      <c r="IU161" s="379"/>
      <c r="IV161" s="262" t="e">
        <f t="shared" si="185"/>
        <v>#N/A</v>
      </c>
      <c r="IW161" s="262" t="e">
        <f t="shared" si="186"/>
        <v>#N/A</v>
      </c>
      <c r="JB161" s="313" t="s">
        <v>152</v>
      </c>
      <c r="JC161" s="228">
        <f>JC160</f>
        <v>0.8</v>
      </c>
      <c r="JD161" s="234">
        <f>JA160+($IZ$108/2)-$IZ$109</f>
        <v>0.72500000000000009</v>
      </c>
      <c r="JI161" s="313" t="s">
        <v>152</v>
      </c>
      <c r="JJ161" s="242">
        <f>JJ160</f>
        <v>0.8</v>
      </c>
      <c r="JK161" s="265">
        <f>JH160+($IZ$108/2)-$IZ$109</f>
        <v>0.72500000000000009</v>
      </c>
      <c r="JN161" s="261" t="e">
        <f t="shared" si="187"/>
        <v>#N/A</v>
      </c>
      <c r="JO161" s="261" t="e">
        <f t="shared" si="188"/>
        <v>#N/A</v>
      </c>
      <c r="JR161" s="261" t="e">
        <f t="shared" si="193"/>
        <v>#N/A</v>
      </c>
      <c r="JS161" s="261" t="e">
        <f t="shared" si="194"/>
        <v>#N/A</v>
      </c>
      <c r="JV161" s="261" t="e">
        <f t="shared" si="189"/>
        <v>#N/A</v>
      </c>
      <c r="JW161" s="261" t="e">
        <f t="shared" si="190"/>
        <v>#N/A</v>
      </c>
      <c r="PS161" s="342">
        <v>147</v>
      </c>
      <c r="PT161" s="261" t="e">
        <f t="shared" si="191"/>
        <v>#N/A</v>
      </c>
      <c r="PU161" s="261" t="e">
        <f t="shared" si="192"/>
        <v>#N/A</v>
      </c>
    </row>
    <row r="162" spans="4:437" x14ac:dyDescent="0.5"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310"/>
      <c r="AQ162" s="310"/>
      <c r="AR162" s="310"/>
      <c r="AS162" s="310"/>
      <c r="AT162" s="310"/>
      <c r="AU162" s="310"/>
      <c r="AV162" s="310"/>
      <c r="AW162" s="310"/>
      <c r="AX162" s="310"/>
      <c r="AY162" s="310"/>
      <c r="AZ162" s="310"/>
      <c r="BA162" s="310"/>
      <c r="HK162" s="342">
        <v>148</v>
      </c>
      <c r="HL162" s="235" t="e">
        <f t="shared" si="167"/>
        <v>#N/A</v>
      </c>
      <c r="HM162" s="235" t="e">
        <f t="shared" si="168"/>
        <v>#N/A</v>
      </c>
      <c r="HP162" s="235" t="e">
        <f t="shared" si="169"/>
        <v>#N/A</v>
      </c>
      <c r="HQ162" s="235" t="e">
        <f t="shared" si="170"/>
        <v>#N/A</v>
      </c>
      <c r="HT162" s="235" t="e">
        <f t="shared" si="171"/>
        <v>#N/A</v>
      </c>
      <c r="HU162" s="235" t="e">
        <f t="shared" si="172"/>
        <v>#N/A</v>
      </c>
      <c r="HX162" s="235" t="e">
        <f t="shared" si="173"/>
        <v>#N/A</v>
      </c>
      <c r="HY162" s="235" t="e">
        <f t="shared" si="174"/>
        <v>#N/A</v>
      </c>
      <c r="IB162" s="235" t="e">
        <f t="shared" si="175"/>
        <v>#N/A</v>
      </c>
      <c r="IC162" s="235" t="e">
        <f t="shared" si="176"/>
        <v>#N/A</v>
      </c>
      <c r="IE162" s="342">
        <v>148</v>
      </c>
      <c r="IF162" s="262" t="e">
        <f t="shared" si="177"/>
        <v>#N/A</v>
      </c>
      <c r="IG162" s="262" t="e">
        <f t="shared" si="178"/>
        <v>#N/A</v>
      </c>
      <c r="IH162" s="379"/>
      <c r="II162" s="379"/>
      <c r="IJ162" s="262" t="e">
        <f t="shared" si="179"/>
        <v>#N/A</v>
      </c>
      <c r="IK162" s="262" t="e">
        <f t="shared" si="180"/>
        <v>#N/A</v>
      </c>
      <c r="IL162" s="379"/>
      <c r="IM162" s="379"/>
      <c r="IN162" s="262" t="e">
        <f t="shared" si="181"/>
        <v>#N/A</v>
      </c>
      <c r="IO162" s="262" t="e">
        <f t="shared" si="182"/>
        <v>#N/A</v>
      </c>
      <c r="IP162" s="379"/>
      <c r="IQ162" s="379"/>
      <c r="IR162" s="262" t="e">
        <f t="shared" si="183"/>
        <v>#N/A</v>
      </c>
      <c r="IS162" s="262" t="e">
        <f t="shared" si="184"/>
        <v>#N/A</v>
      </c>
      <c r="IT162" s="379"/>
      <c r="IU162" s="379"/>
      <c r="IV162" s="262" t="e">
        <f t="shared" si="185"/>
        <v>#N/A</v>
      </c>
      <c r="IW162" s="262" t="e">
        <f t="shared" si="186"/>
        <v>#N/A</v>
      </c>
      <c r="JB162" s="313" t="s">
        <v>167</v>
      </c>
      <c r="JC162" s="228">
        <f>IZ160+$IZ$112/2</f>
        <v>0.70000000000000007</v>
      </c>
      <c r="JD162" s="237">
        <f>JA160+($IZ$108/2)-($IZ$108-$IZ$111-$IZ$110)</f>
        <v>0.69500000000000006</v>
      </c>
      <c r="JI162" s="313" t="s">
        <v>167</v>
      </c>
      <c r="JJ162" s="242">
        <f>JG160+$IZ$112/2</f>
        <v>0.70000000000000007</v>
      </c>
      <c r="JK162" s="266">
        <f>JH160+($IZ$108/2)-($IZ$108-$IZ$111-$IZ$110)</f>
        <v>0.69500000000000006</v>
      </c>
      <c r="JN162" s="261" t="e">
        <f t="shared" si="187"/>
        <v>#N/A</v>
      </c>
      <c r="JO162" s="261" t="e">
        <f t="shared" si="188"/>
        <v>#N/A</v>
      </c>
      <c r="JR162" s="261" t="e">
        <f t="shared" si="193"/>
        <v>#N/A</v>
      </c>
      <c r="JS162" s="261" t="e">
        <f t="shared" si="194"/>
        <v>#N/A</v>
      </c>
      <c r="JV162" s="261" t="e">
        <f t="shared" si="189"/>
        <v>#N/A</v>
      </c>
      <c r="JW162" s="261" t="e">
        <f t="shared" si="190"/>
        <v>#N/A</v>
      </c>
      <c r="PS162" s="342">
        <v>148</v>
      </c>
      <c r="PT162" s="261" t="e">
        <f t="shared" si="191"/>
        <v>#N/A</v>
      </c>
      <c r="PU162" s="261" t="e">
        <f t="shared" si="192"/>
        <v>#N/A</v>
      </c>
    </row>
    <row r="163" spans="4:437" x14ac:dyDescent="0.5"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310"/>
      <c r="AQ163" s="310"/>
      <c r="AR163" s="310"/>
      <c r="AS163" s="310"/>
      <c r="AT163" s="310"/>
      <c r="AU163" s="310"/>
      <c r="AV163" s="310"/>
      <c r="AW163" s="310"/>
      <c r="AX163" s="310"/>
      <c r="AY163" s="310"/>
      <c r="AZ163" s="310"/>
      <c r="BA163" s="310"/>
      <c r="HK163" s="342">
        <v>149</v>
      </c>
      <c r="HL163" s="235" t="e">
        <f t="shared" si="167"/>
        <v>#N/A</v>
      </c>
      <c r="HM163" s="235" t="e">
        <f t="shared" si="168"/>
        <v>#N/A</v>
      </c>
      <c r="HP163" s="235" t="e">
        <f t="shared" si="169"/>
        <v>#N/A</v>
      </c>
      <c r="HQ163" s="235" t="e">
        <f t="shared" si="170"/>
        <v>#N/A</v>
      </c>
      <c r="HT163" s="235" t="e">
        <f t="shared" si="171"/>
        <v>#N/A</v>
      </c>
      <c r="HU163" s="235" t="e">
        <f t="shared" si="172"/>
        <v>#N/A</v>
      </c>
      <c r="HX163" s="235" t="e">
        <f t="shared" si="173"/>
        <v>#N/A</v>
      </c>
      <c r="HY163" s="235" t="e">
        <f t="shared" si="174"/>
        <v>#N/A</v>
      </c>
      <c r="IB163" s="235" t="e">
        <f t="shared" si="175"/>
        <v>#N/A</v>
      </c>
      <c r="IC163" s="235" t="e">
        <f t="shared" si="176"/>
        <v>#N/A</v>
      </c>
      <c r="IE163" s="342">
        <v>149</v>
      </c>
      <c r="IF163" s="262" t="e">
        <f t="shared" si="177"/>
        <v>#N/A</v>
      </c>
      <c r="IG163" s="262" t="e">
        <f t="shared" si="178"/>
        <v>#N/A</v>
      </c>
      <c r="IH163" s="379"/>
      <c r="II163" s="379"/>
      <c r="IJ163" s="262" t="e">
        <f t="shared" si="179"/>
        <v>#N/A</v>
      </c>
      <c r="IK163" s="262" t="e">
        <f t="shared" si="180"/>
        <v>#N/A</v>
      </c>
      <c r="IL163" s="379"/>
      <c r="IM163" s="379"/>
      <c r="IN163" s="262" t="e">
        <f t="shared" si="181"/>
        <v>#N/A</v>
      </c>
      <c r="IO163" s="262" t="e">
        <f t="shared" si="182"/>
        <v>#N/A</v>
      </c>
      <c r="IP163" s="379"/>
      <c r="IQ163" s="379"/>
      <c r="IR163" s="262" t="e">
        <f t="shared" si="183"/>
        <v>#N/A</v>
      </c>
      <c r="IS163" s="262" t="e">
        <f t="shared" si="184"/>
        <v>#N/A</v>
      </c>
      <c r="IT163" s="379"/>
      <c r="IU163" s="379"/>
      <c r="IV163" s="262" t="e">
        <f t="shared" si="185"/>
        <v>#N/A</v>
      </c>
      <c r="IW163" s="262" t="e">
        <f t="shared" si="186"/>
        <v>#N/A</v>
      </c>
      <c r="JB163" s="313" t="s">
        <v>325</v>
      </c>
      <c r="JC163" s="228">
        <f>JC162</f>
        <v>0.70000000000000007</v>
      </c>
      <c r="JD163" s="237">
        <f>JA160-($IZ$108/2-$IZ$110)</f>
        <v>0.60499999999999998</v>
      </c>
      <c r="JI163" s="313" t="s">
        <v>325</v>
      </c>
      <c r="JJ163" s="242">
        <f>JJ162</f>
        <v>0.70000000000000007</v>
      </c>
      <c r="JK163" s="266">
        <f>JH160-($IZ$108/2-$IZ$110)</f>
        <v>0.60499999999999998</v>
      </c>
      <c r="JN163" s="261" t="e">
        <f t="shared" si="187"/>
        <v>#N/A</v>
      </c>
      <c r="JO163" s="261" t="e">
        <f t="shared" si="188"/>
        <v>#N/A</v>
      </c>
      <c r="JR163" s="261" t="e">
        <f t="shared" si="193"/>
        <v>#N/A</v>
      </c>
      <c r="JS163" s="261" t="e">
        <f t="shared" si="194"/>
        <v>#N/A</v>
      </c>
      <c r="JV163" s="261" t="e">
        <f t="shared" si="189"/>
        <v>#N/A</v>
      </c>
      <c r="JW163" s="261" t="e">
        <f t="shared" si="190"/>
        <v>#N/A</v>
      </c>
      <c r="PS163" s="342">
        <v>149</v>
      </c>
      <c r="PT163" s="261" t="e">
        <f t="shared" si="191"/>
        <v>#N/A</v>
      </c>
      <c r="PU163" s="261" t="e">
        <f t="shared" si="192"/>
        <v>#N/A</v>
      </c>
    </row>
    <row r="164" spans="4:437" x14ac:dyDescent="0.5"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310"/>
      <c r="AQ164" s="310"/>
      <c r="AR164" s="310"/>
      <c r="AS164" s="310"/>
      <c r="AT164" s="310"/>
      <c r="AU164" s="310"/>
      <c r="AV164" s="310"/>
      <c r="AW164" s="310"/>
      <c r="AX164" s="310"/>
      <c r="AY164" s="310"/>
      <c r="AZ164" s="310"/>
      <c r="BA164" s="310"/>
      <c r="HK164" s="342">
        <v>150</v>
      </c>
      <c r="HL164" s="235" t="e">
        <f t="shared" si="167"/>
        <v>#N/A</v>
      </c>
      <c r="HM164" s="235" t="e">
        <f t="shared" si="168"/>
        <v>#N/A</v>
      </c>
      <c r="HP164" s="235" t="e">
        <f t="shared" si="169"/>
        <v>#N/A</v>
      </c>
      <c r="HQ164" s="235" t="e">
        <f t="shared" si="170"/>
        <v>#N/A</v>
      </c>
      <c r="HT164" s="235" t="e">
        <f t="shared" si="171"/>
        <v>#N/A</v>
      </c>
      <c r="HU164" s="235" t="e">
        <f t="shared" si="172"/>
        <v>#N/A</v>
      </c>
      <c r="HX164" s="235" t="e">
        <f t="shared" si="173"/>
        <v>#N/A</v>
      </c>
      <c r="HY164" s="235" t="e">
        <f t="shared" si="174"/>
        <v>#N/A</v>
      </c>
      <c r="IB164" s="235" t="e">
        <f t="shared" si="175"/>
        <v>#N/A</v>
      </c>
      <c r="IC164" s="235" t="e">
        <f t="shared" si="176"/>
        <v>#N/A</v>
      </c>
      <c r="IE164" s="342">
        <v>150</v>
      </c>
      <c r="IF164" s="262" t="e">
        <f t="shared" si="177"/>
        <v>#N/A</v>
      </c>
      <c r="IG164" s="262" t="e">
        <f t="shared" si="178"/>
        <v>#N/A</v>
      </c>
      <c r="IH164" s="379"/>
      <c r="II164" s="379"/>
      <c r="IJ164" s="262" t="e">
        <f t="shared" si="179"/>
        <v>#N/A</v>
      </c>
      <c r="IK164" s="262" t="e">
        <f t="shared" si="180"/>
        <v>#N/A</v>
      </c>
      <c r="IL164" s="379"/>
      <c r="IM164" s="379"/>
      <c r="IN164" s="262" t="e">
        <f t="shared" si="181"/>
        <v>#N/A</v>
      </c>
      <c r="IO164" s="262" t="e">
        <f t="shared" si="182"/>
        <v>#N/A</v>
      </c>
      <c r="IP164" s="379"/>
      <c r="IQ164" s="379"/>
      <c r="IR164" s="262" t="e">
        <f t="shared" si="183"/>
        <v>#N/A</v>
      </c>
      <c r="IS164" s="262" t="e">
        <f t="shared" si="184"/>
        <v>#N/A</v>
      </c>
      <c r="IT164" s="379"/>
      <c r="IU164" s="379"/>
      <c r="IV164" s="262" t="e">
        <f t="shared" si="185"/>
        <v>#N/A</v>
      </c>
      <c r="IW164" s="262" t="e">
        <f t="shared" si="186"/>
        <v>#N/A</v>
      </c>
      <c r="JB164" s="313" t="s">
        <v>326</v>
      </c>
      <c r="JC164" s="228">
        <f>JC161</f>
        <v>0.8</v>
      </c>
      <c r="JD164" s="228">
        <f>JA160-($IZ$108/2)+$IZ$109</f>
        <v>0.57499999999999996</v>
      </c>
      <c r="JI164" s="313" t="s">
        <v>326</v>
      </c>
      <c r="JJ164" s="242">
        <f>JJ161</f>
        <v>0.8</v>
      </c>
      <c r="JK164" s="242">
        <f>JH160-($IZ$108/2)+$IZ$109</f>
        <v>0.57499999999999996</v>
      </c>
      <c r="JN164" s="261" t="e">
        <f t="shared" si="187"/>
        <v>#N/A</v>
      </c>
      <c r="JO164" s="261" t="e">
        <f t="shared" si="188"/>
        <v>#N/A</v>
      </c>
      <c r="JR164" s="261" t="e">
        <f t="shared" si="193"/>
        <v>#N/A</v>
      </c>
      <c r="JS164" s="261" t="e">
        <f t="shared" si="194"/>
        <v>#N/A</v>
      </c>
      <c r="JV164" s="261" t="e">
        <f t="shared" si="189"/>
        <v>#N/A</v>
      </c>
      <c r="JW164" s="261" t="e">
        <f t="shared" si="190"/>
        <v>#N/A</v>
      </c>
      <c r="PS164" s="342">
        <v>150</v>
      </c>
      <c r="PT164" s="261" t="e">
        <f t="shared" si="191"/>
        <v>#N/A</v>
      </c>
      <c r="PU164" s="261" t="e">
        <f t="shared" si="192"/>
        <v>#N/A</v>
      </c>
    </row>
    <row r="165" spans="4:437" x14ac:dyDescent="0.5"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310"/>
      <c r="AQ165" s="310"/>
      <c r="AR165" s="310"/>
      <c r="AS165" s="310"/>
      <c r="AT165" s="310"/>
      <c r="AU165" s="310"/>
      <c r="AV165" s="310"/>
      <c r="AW165" s="310"/>
      <c r="AX165" s="310"/>
      <c r="AY165" s="310"/>
      <c r="AZ165" s="310"/>
      <c r="BA165" s="310"/>
      <c r="HK165" s="342">
        <v>151</v>
      </c>
      <c r="HL165" s="235" t="e">
        <f t="shared" si="167"/>
        <v>#N/A</v>
      </c>
      <c r="HM165" s="235" t="e">
        <f t="shared" si="168"/>
        <v>#N/A</v>
      </c>
      <c r="HP165" s="235" t="e">
        <f t="shared" si="169"/>
        <v>#N/A</v>
      </c>
      <c r="HQ165" s="235" t="e">
        <f t="shared" si="170"/>
        <v>#N/A</v>
      </c>
      <c r="HT165" s="235" t="e">
        <f t="shared" si="171"/>
        <v>#N/A</v>
      </c>
      <c r="HU165" s="235" t="e">
        <f t="shared" si="172"/>
        <v>#N/A</v>
      </c>
      <c r="HX165" s="235" t="e">
        <f t="shared" si="173"/>
        <v>#N/A</v>
      </c>
      <c r="HY165" s="235" t="e">
        <f t="shared" si="174"/>
        <v>#N/A</v>
      </c>
      <c r="IB165" s="235" t="e">
        <f t="shared" si="175"/>
        <v>#N/A</v>
      </c>
      <c r="IC165" s="235" t="e">
        <f t="shared" si="176"/>
        <v>#N/A</v>
      </c>
      <c r="IE165" s="342">
        <v>151</v>
      </c>
      <c r="IF165" s="262" t="e">
        <f t="shared" si="177"/>
        <v>#N/A</v>
      </c>
      <c r="IG165" s="262" t="e">
        <f t="shared" si="178"/>
        <v>#N/A</v>
      </c>
      <c r="IH165" s="379"/>
      <c r="II165" s="379"/>
      <c r="IJ165" s="262" t="e">
        <f t="shared" si="179"/>
        <v>#N/A</v>
      </c>
      <c r="IK165" s="262" t="e">
        <f t="shared" si="180"/>
        <v>#N/A</v>
      </c>
      <c r="IL165" s="379"/>
      <c r="IM165" s="379"/>
      <c r="IN165" s="262" t="e">
        <f t="shared" si="181"/>
        <v>#N/A</v>
      </c>
      <c r="IO165" s="262" t="e">
        <f t="shared" si="182"/>
        <v>#N/A</v>
      </c>
      <c r="IP165" s="379"/>
      <c r="IQ165" s="379"/>
      <c r="IR165" s="262" t="e">
        <f t="shared" si="183"/>
        <v>#N/A</v>
      </c>
      <c r="IS165" s="262" t="e">
        <f t="shared" si="184"/>
        <v>#N/A</v>
      </c>
      <c r="IT165" s="379"/>
      <c r="IU165" s="379"/>
      <c r="IV165" s="262" t="e">
        <f t="shared" si="185"/>
        <v>#N/A</v>
      </c>
      <c r="IW165" s="262" t="e">
        <f t="shared" si="186"/>
        <v>#N/A</v>
      </c>
      <c r="JB165" s="313" t="s">
        <v>372</v>
      </c>
      <c r="JC165" s="228">
        <f>JC164</f>
        <v>0.8</v>
      </c>
      <c r="JD165" s="228">
        <f>JA160-($IZ$108/2)+$IZ$114</f>
        <v>0.51500000000000001</v>
      </c>
      <c r="JI165" s="313" t="s">
        <v>372</v>
      </c>
      <c r="JJ165" s="242">
        <f>JJ164</f>
        <v>0.8</v>
      </c>
      <c r="JK165" s="242">
        <f>JH160-($IZ$108/2)+$IZ$114</f>
        <v>0.51500000000000001</v>
      </c>
      <c r="JN165" s="261" t="e">
        <f t="shared" si="187"/>
        <v>#N/A</v>
      </c>
      <c r="JO165" s="261" t="e">
        <f t="shared" si="188"/>
        <v>#N/A</v>
      </c>
      <c r="JR165" s="261" t="e">
        <f t="shared" si="193"/>
        <v>#N/A</v>
      </c>
      <c r="JS165" s="261" t="e">
        <f t="shared" si="194"/>
        <v>#N/A</v>
      </c>
      <c r="JV165" s="261" t="e">
        <f t="shared" si="189"/>
        <v>#N/A</v>
      </c>
      <c r="JW165" s="261" t="e">
        <f t="shared" si="190"/>
        <v>#N/A</v>
      </c>
      <c r="PS165" s="342">
        <v>151</v>
      </c>
      <c r="PT165" s="261" t="e">
        <f t="shared" si="191"/>
        <v>#N/A</v>
      </c>
      <c r="PU165" s="261" t="e">
        <f t="shared" si="192"/>
        <v>#N/A</v>
      </c>
    </row>
    <row r="166" spans="4:437" x14ac:dyDescent="0.5"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310"/>
      <c r="AQ166" s="310"/>
      <c r="AR166" s="310"/>
      <c r="AS166" s="310"/>
      <c r="AT166" s="310"/>
      <c r="AU166" s="310"/>
      <c r="AV166" s="310"/>
      <c r="AW166" s="310"/>
      <c r="AX166" s="310"/>
      <c r="AY166" s="310"/>
      <c r="AZ166" s="310"/>
      <c r="BA166" s="310"/>
      <c r="HK166" s="342">
        <v>152</v>
      </c>
      <c r="HL166" s="235" t="e">
        <f t="shared" si="167"/>
        <v>#N/A</v>
      </c>
      <c r="HM166" s="235" t="e">
        <f t="shared" si="168"/>
        <v>#N/A</v>
      </c>
      <c r="HP166" s="235" t="e">
        <f t="shared" si="169"/>
        <v>#N/A</v>
      </c>
      <c r="HQ166" s="235" t="e">
        <f t="shared" si="170"/>
        <v>#N/A</v>
      </c>
      <c r="HT166" s="235" t="e">
        <f t="shared" si="171"/>
        <v>#N/A</v>
      </c>
      <c r="HU166" s="235" t="e">
        <f t="shared" si="172"/>
        <v>#N/A</v>
      </c>
      <c r="HX166" s="235" t="e">
        <f t="shared" si="173"/>
        <v>#N/A</v>
      </c>
      <c r="HY166" s="235" t="e">
        <f t="shared" si="174"/>
        <v>#N/A</v>
      </c>
      <c r="IB166" s="235" t="e">
        <f t="shared" si="175"/>
        <v>#N/A</v>
      </c>
      <c r="IC166" s="235" t="e">
        <f t="shared" si="176"/>
        <v>#N/A</v>
      </c>
      <c r="IE166" s="342">
        <v>152</v>
      </c>
      <c r="IF166" s="262" t="e">
        <f t="shared" si="177"/>
        <v>#N/A</v>
      </c>
      <c r="IG166" s="262" t="e">
        <f t="shared" si="178"/>
        <v>#N/A</v>
      </c>
      <c r="IH166" s="379"/>
      <c r="II166" s="379"/>
      <c r="IJ166" s="262" t="e">
        <f t="shared" si="179"/>
        <v>#N/A</v>
      </c>
      <c r="IK166" s="262" t="e">
        <f t="shared" si="180"/>
        <v>#N/A</v>
      </c>
      <c r="IL166" s="379"/>
      <c r="IM166" s="379"/>
      <c r="IN166" s="262" t="e">
        <f t="shared" si="181"/>
        <v>#N/A</v>
      </c>
      <c r="IO166" s="262" t="e">
        <f t="shared" si="182"/>
        <v>#N/A</v>
      </c>
      <c r="IP166" s="379"/>
      <c r="IQ166" s="379"/>
      <c r="IR166" s="262" t="e">
        <f t="shared" si="183"/>
        <v>#N/A</v>
      </c>
      <c r="IS166" s="262" t="e">
        <f t="shared" si="184"/>
        <v>#N/A</v>
      </c>
      <c r="IT166" s="379"/>
      <c r="IU166" s="379"/>
      <c r="IV166" s="262" t="e">
        <f t="shared" si="185"/>
        <v>#N/A</v>
      </c>
      <c r="IW166" s="262" t="e">
        <f t="shared" si="186"/>
        <v>#N/A</v>
      </c>
      <c r="JB166" s="313" t="s">
        <v>373</v>
      </c>
      <c r="JC166" s="228">
        <f>JC159</f>
        <v>0.78500000000000003</v>
      </c>
      <c r="JD166" s="228">
        <f>JA160-$IZ$108/2</f>
        <v>0.5</v>
      </c>
      <c r="JI166" s="313" t="s">
        <v>373</v>
      </c>
      <c r="JJ166" s="242">
        <f>JJ159</f>
        <v>0.78500000000000003</v>
      </c>
      <c r="JK166" s="242">
        <f>JH160-$IZ$108/2</f>
        <v>0.5</v>
      </c>
      <c r="JN166" s="261" t="e">
        <f t="shared" si="187"/>
        <v>#N/A</v>
      </c>
      <c r="JO166" s="261" t="e">
        <f t="shared" si="188"/>
        <v>#N/A</v>
      </c>
      <c r="JR166" s="261" t="e">
        <f t="shared" si="193"/>
        <v>#N/A</v>
      </c>
      <c r="JS166" s="261" t="e">
        <f t="shared" si="194"/>
        <v>#N/A</v>
      </c>
      <c r="JV166" s="261" t="e">
        <f t="shared" si="189"/>
        <v>#N/A</v>
      </c>
      <c r="JW166" s="261" t="e">
        <f t="shared" si="190"/>
        <v>#N/A</v>
      </c>
      <c r="PS166" s="342">
        <v>152</v>
      </c>
      <c r="PT166" s="261" t="e">
        <f t="shared" si="191"/>
        <v>#N/A</v>
      </c>
      <c r="PU166" s="261" t="e">
        <f t="shared" si="192"/>
        <v>#N/A</v>
      </c>
    </row>
    <row r="167" spans="4:437" x14ac:dyDescent="0.5"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310"/>
      <c r="AQ167" s="310"/>
      <c r="AR167" s="310"/>
      <c r="AS167" s="310"/>
      <c r="AT167" s="310"/>
      <c r="AU167" s="310"/>
      <c r="AV167" s="310"/>
      <c r="AW167" s="310"/>
      <c r="AX167" s="310"/>
      <c r="AY167" s="310"/>
      <c r="AZ167" s="310"/>
      <c r="BA167" s="310"/>
      <c r="HK167" s="342">
        <v>153</v>
      </c>
      <c r="HL167" s="235" t="e">
        <f t="shared" si="167"/>
        <v>#N/A</v>
      </c>
      <c r="HM167" s="235" t="e">
        <f t="shared" si="168"/>
        <v>#N/A</v>
      </c>
      <c r="HP167" s="235" t="e">
        <f t="shared" si="169"/>
        <v>#N/A</v>
      </c>
      <c r="HQ167" s="235" t="e">
        <f t="shared" si="170"/>
        <v>#N/A</v>
      </c>
      <c r="HT167" s="235" t="e">
        <f t="shared" si="171"/>
        <v>#N/A</v>
      </c>
      <c r="HU167" s="235" t="e">
        <f t="shared" si="172"/>
        <v>#N/A</v>
      </c>
      <c r="HX167" s="235" t="e">
        <f t="shared" si="173"/>
        <v>#N/A</v>
      </c>
      <c r="HY167" s="235" t="e">
        <f t="shared" si="174"/>
        <v>#N/A</v>
      </c>
      <c r="IB167" s="235" t="e">
        <f t="shared" si="175"/>
        <v>#N/A</v>
      </c>
      <c r="IC167" s="235" t="e">
        <f t="shared" si="176"/>
        <v>#N/A</v>
      </c>
      <c r="IE167" s="342">
        <v>153</v>
      </c>
      <c r="IF167" s="262" t="e">
        <f t="shared" si="177"/>
        <v>#N/A</v>
      </c>
      <c r="IG167" s="262" t="e">
        <f t="shared" si="178"/>
        <v>#N/A</v>
      </c>
      <c r="IH167" s="379"/>
      <c r="II167" s="379"/>
      <c r="IJ167" s="262" t="e">
        <f t="shared" si="179"/>
        <v>#N/A</v>
      </c>
      <c r="IK167" s="262" t="e">
        <f t="shared" si="180"/>
        <v>#N/A</v>
      </c>
      <c r="IL167" s="379"/>
      <c r="IM167" s="379"/>
      <c r="IN167" s="262" t="e">
        <f t="shared" si="181"/>
        <v>#N/A</v>
      </c>
      <c r="IO167" s="262" t="e">
        <f t="shared" si="182"/>
        <v>#N/A</v>
      </c>
      <c r="IP167" s="379"/>
      <c r="IQ167" s="379"/>
      <c r="IR167" s="262" t="e">
        <f t="shared" si="183"/>
        <v>#N/A</v>
      </c>
      <c r="IS167" s="262" t="e">
        <f t="shared" si="184"/>
        <v>#N/A</v>
      </c>
      <c r="IT167" s="379"/>
      <c r="IU167" s="379"/>
      <c r="IV167" s="262" t="e">
        <f t="shared" si="185"/>
        <v>#N/A</v>
      </c>
      <c r="IW167" s="262" t="e">
        <f t="shared" si="186"/>
        <v>#N/A</v>
      </c>
      <c r="JB167" s="313" t="s">
        <v>393</v>
      </c>
      <c r="JC167" s="228">
        <f>JC158</f>
        <v>0.51500000000000001</v>
      </c>
      <c r="JD167" s="228">
        <f>JD166</f>
        <v>0.5</v>
      </c>
      <c r="JI167" s="313" t="s">
        <v>393</v>
      </c>
      <c r="JJ167" s="242">
        <f>JJ158</f>
        <v>0.51500000000000001</v>
      </c>
      <c r="JK167" s="242">
        <f>JK166</f>
        <v>0.5</v>
      </c>
      <c r="JN167" s="261" t="e">
        <f t="shared" si="187"/>
        <v>#N/A</v>
      </c>
      <c r="JO167" s="261" t="e">
        <f t="shared" si="188"/>
        <v>#N/A</v>
      </c>
      <c r="JR167" s="261" t="e">
        <f t="shared" si="193"/>
        <v>#N/A</v>
      </c>
      <c r="JS167" s="261" t="e">
        <f t="shared" si="194"/>
        <v>#N/A</v>
      </c>
      <c r="JV167" s="261" t="e">
        <f t="shared" si="189"/>
        <v>#N/A</v>
      </c>
      <c r="JW167" s="261" t="e">
        <f t="shared" si="190"/>
        <v>#N/A</v>
      </c>
      <c r="PS167" s="342">
        <v>153</v>
      </c>
      <c r="PT167" s="261" t="e">
        <f t="shared" si="191"/>
        <v>#N/A</v>
      </c>
      <c r="PU167" s="261" t="e">
        <f t="shared" si="192"/>
        <v>#N/A</v>
      </c>
    </row>
    <row r="168" spans="4:437" x14ac:dyDescent="0.5"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310"/>
      <c r="AQ168" s="310"/>
      <c r="AR168" s="310"/>
      <c r="AS168" s="310"/>
      <c r="AT168" s="310"/>
      <c r="AU168" s="310"/>
      <c r="AV168" s="310"/>
      <c r="AW168" s="310"/>
      <c r="AX168" s="310"/>
      <c r="AY168" s="310"/>
      <c r="AZ168" s="310"/>
      <c r="BA168" s="310"/>
      <c r="HK168" s="342">
        <v>154</v>
      </c>
      <c r="HL168" s="235" t="e">
        <f t="shared" si="167"/>
        <v>#N/A</v>
      </c>
      <c r="HM168" s="235" t="e">
        <f t="shared" si="168"/>
        <v>#N/A</v>
      </c>
      <c r="HP168" s="235" t="e">
        <f t="shared" si="169"/>
        <v>#N/A</v>
      </c>
      <c r="HQ168" s="235" t="e">
        <f t="shared" si="170"/>
        <v>#N/A</v>
      </c>
      <c r="HT168" s="235" t="e">
        <f t="shared" si="171"/>
        <v>#N/A</v>
      </c>
      <c r="HU168" s="235" t="e">
        <f t="shared" si="172"/>
        <v>#N/A</v>
      </c>
      <c r="HX168" s="235" t="e">
        <f t="shared" si="173"/>
        <v>#N/A</v>
      </c>
      <c r="HY168" s="235" t="e">
        <f t="shared" si="174"/>
        <v>#N/A</v>
      </c>
      <c r="IB168" s="235" t="e">
        <f t="shared" si="175"/>
        <v>#N/A</v>
      </c>
      <c r="IC168" s="235" t="e">
        <f t="shared" si="176"/>
        <v>#N/A</v>
      </c>
      <c r="IE168" s="342">
        <v>154</v>
      </c>
      <c r="IF168" s="262" t="e">
        <f t="shared" si="177"/>
        <v>#N/A</v>
      </c>
      <c r="IG168" s="262" t="e">
        <f t="shared" si="178"/>
        <v>#N/A</v>
      </c>
      <c r="IH168" s="379"/>
      <c r="II168" s="379"/>
      <c r="IJ168" s="262" t="e">
        <f t="shared" si="179"/>
        <v>#N/A</v>
      </c>
      <c r="IK168" s="262" t="e">
        <f t="shared" si="180"/>
        <v>#N/A</v>
      </c>
      <c r="IL168" s="379"/>
      <c r="IM168" s="379"/>
      <c r="IN168" s="262" t="e">
        <f t="shared" si="181"/>
        <v>#N/A</v>
      </c>
      <c r="IO168" s="262" t="e">
        <f t="shared" si="182"/>
        <v>#N/A</v>
      </c>
      <c r="IP168" s="379"/>
      <c r="IQ168" s="379"/>
      <c r="IR168" s="262" t="e">
        <f t="shared" si="183"/>
        <v>#N/A</v>
      </c>
      <c r="IS168" s="262" t="e">
        <f t="shared" si="184"/>
        <v>#N/A</v>
      </c>
      <c r="IT168" s="379"/>
      <c r="IU168" s="379"/>
      <c r="IV168" s="262" t="e">
        <f t="shared" si="185"/>
        <v>#N/A</v>
      </c>
      <c r="IW168" s="262" t="e">
        <f t="shared" si="186"/>
        <v>#N/A</v>
      </c>
      <c r="JB168" s="313" t="s">
        <v>394</v>
      </c>
      <c r="JC168" s="228">
        <f>JC167-$IZ$114</f>
        <v>0.5</v>
      </c>
      <c r="JD168" s="228">
        <f>JD167+$IZ$114</f>
        <v>0.51500000000000001</v>
      </c>
      <c r="JI168" s="313" t="s">
        <v>394</v>
      </c>
      <c r="JJ168" s="242">
        <f>JJ167-$IZ$114</f>
        <v>0.5</v>
      </c>
      <c r="JK168" s="242">
        <f>JK167+$IZ$114</f>
        <v>0.51500000000000001</v>
      </c>
      <c r="JN168" s="261" t="e">
        <f t="shared" si="187"/>
        <v>#N/A</v>
      </c>
      <c r="JO168" s="261" t="e">
        <f t="shared" si="188"/>
        <v>#N/A</v>
      </c>
      <c r="JR168" s="261" t="e">
        <f t="shared" si="193"/>
        <v>#N/A</v>
      </c>
      <c r="JS168" s="261" t="e">
        <f t="shared" si="194"/>
        <v>#N/A</v>
      </c>
      <c r="JV168" s="261" t="e">
        <f t="shared" si="189"/>
        <v>#N/A</v>
      </c>
      <c r="JW168" s="261" t="e">
        <f t="shared" si="190"/>
        <v>#N/A</v>
      </c>
      <c r="PS168" s="342">
        <v>154</v>
      </c>
      <c r="PT168" s="261" t="e">
        <f t="shared" si="191"/>
        <v>#N/A</v>
      </c>
      <c r="PU168" s="261" t="e">
        <f t="shared" si="192"/>
        <v>#N/A</v>
      </c>
    </row>
    <row r="169" spans="4:437" x14ac:dyDescent="0.5"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310"/>
      <c r="AQ169" s="310"/>
      <c r="AR169" s="310"/>
      <c r="AS169" s="310"/>
      <c r="AT169" s="310"/>
      <c r="AU169" s="310"/>
      <c r="AV169" s="310"/>
      <c r="AW169" s="310"/>
      <c r="AX169" s="310"/>
      <c r="AY169" s="310"/>
      <c r="AZ169" s="310"/>
      <c r="BA169" s="310"/>
      <c r="HK169" s="342">
        <v>155</v>
      </c>
      <c r="HL169" s="235" t="e">
        <f t="shared" si="167"/>
        <v>#N/A</v>
      </c>
      <c r="HM169" s="235" t="e">
        <f t="shared" si="168"/>
        <v>#N/A</v>
      </c>
      <c r="HP169" s="235" t="e">
        <f t="shared" si="169"/>
        <v>#N/A</v>
      </c>
      <c r="HQ169" s="235" t="e">
        <f t="shared" si="170"/>
        <v>#N/A</v>
      </c>
      <c r="HT169" s="235" t="e">
        <f t="shared" si="171"/>
        <v>#N/A</v>
      </c>
      <c r="HU169" s="235" t="e">
        <f t="shared" si="172"/>
        <v>#N/A</v>
      </c>
      <c r="HX169" s="235" t="e">
        <f t="shared" si="173"/>
        <v>#N/A</v>
      </c>
      <c r="HY169" s="235" t="e">
        <f t="shared" si="174"/>
        <v>#N/A</v>
      </c>
      <c r="IB169" s="235" t="e">
        <f t="shared" si="175"/>
        <v>#N/A</v>
      </c>
      <c r="IC169" s="235" t="e">
        <f t="shared" si="176"/>
        <v>#N/A</v>
      </c>
      <c r="IE169" s="342">
        <v>155</v>
      </c>
      <c r="IF169" s="262" t="e">
        <f t="shared" si="177"/>
        <v>#N/A</v>
      </c>
      <c r="IG169" s="262" t="e">
        <f t="shared" si="178"/>
        <v>#N/A</v>
      </c>
      <c r="IH169" s="379"/>
      <c r="II169" s="379"/>
      <c r="IJ169" s="262" t="e">
        <f t="shared" si="179"/>
        <v>#N/A</v>
      </c>
      <c r="IK169" s="262" t="e">
        <f t="shared" si="180"/>
        <v>#N/A</v>
      </c>
      <c r="IL169" s="379"/>
      <c r="IM169" s="379"/>
      <c r="IN169" s="262" t="e">
        <f t="shared" si="181"/>
        <v>#N/A</v>
      </c>
      <c r="IO169" s="262" t="e">
        <f t="shared" si="182"/>
        <v>#N/A</v>
      </c>
      <c r="IP169" s="379"/>
      <c r="IQ169" s="379"/>
      <c r="IR169" s="262" t="e">
        <f t="shared" si="183"/>
        <v>#N/A</v>
      </c>
      <c r="IS169" s="262" t="e">
        <f t="shared" si="184"/>
        <v>#N/A</v>
      </c>
      <c r="IT169" s="379"/>
      <c r="IU169" s="379"/>
      <c r="IV169" s="262" t="e">
        <f t="shared" si="185"/>
        <v>#N/A</v>
      </c>
      <c r="IW169" s="262" t="e">
        <f t="shared" si="186"/>
        <v>#N/A</v>
      </c>
      <c r="JB169" s="313" t="s">
        <v>395</v>
      </c>
      <c r="JC169" s="228">
        <f>JC168</f>
        <v>0.5</v>
      </c>
      <c r="JD169" s="228">
        <f>JD164</f>
        <v>0.57499999999999996</v>
      </c>
      <c r="JI169" s="313" t="s">
        <v>395</v>
      </c>
      <c r="JJ169" s="242">
        <f>JJ168</f>
        <v>0.5</v>
      </c>
      <c r="JK169" s="242">
        <f>JK164</f>
        <v>0.57499999999999996</v>
      </c>
      <c r="JN169" s="261" t="e">
        <f t="shared" si="187"/>
        <v>#N/A</v>
      </c>
      <c r="JO169" s="261" t="e">
        <f t="shared" si="188"/>
        <v>#N/A</v>
      </c>
      <c r="JR169" s="261" t="e">
        <f t="shared" si="193"/>
        <v>#N/A</v>
      </c>
      <c r="JS169" s="261" t="e">
        <f t="shared" si="194"/>
        <v>#N/A</v>
      </c>
      <c r="JV169" s="261" t="e">
        <f t="shared" si="189"/>
        <v>#N/A</v>
      </c>
      <c r="JW169" s="261" t="e">
        <f t="shared" si="190"/>
        <v>#N/A</v>
      </c>
      <c r="PS169" s="342">
        <v>155</v>
      </c>
      <c r="PT169" s="261" t="e">
        <f t="shared" si="191"/>
        <v>#N/A</v>
      </c>
      <c r="PU169" s="261" t="e">
        <f t="shared" si="192"/>
        <v>#N/A</v>
      </c>
    </row>
    <row r="170" spans="4:437" x14ac:dyDescent="0.5"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310"/>
      <c r="AQ170" s="310"/>
      <c r="AR170" s="310"/>
      <c r="AS170" s="310"/>
      <c r="AT170" s="310"/>
      <c r="AU170" s="310"/>
      <c r="AV170" s="310"/>
      <c r="AW170" s="310"/>
      <c r="AX170" s="310"/>
      <c r="AY170" s="310"/>
      <c r="AZ170" s="310"/>
      <c r="BA170" s="310"/>
      <c r="HK170" s="342">
        <v>156</v>
      </c>
      <c r="HL170" s="235" t="e">
        <f t="shared" si="167"/>
        <v>#N/A</v>
      </c>
      <c r="HM170" s="235" t="e">
        <f t="shared" si="168"/>
        <v>#N/A</v>
      </c>
      <c r="HP170" s="235" t="e">
        <f t="shared" si="169"/>
        <v>#N/A</v>
      </c>
      <c r="HQ170" s="235" t="e">
        <f t="shared" si="170"/>
        <v>#N/A</v>
      </c>
      <c r="HT170" s="235" t="e">
        <f t="shared" si="171"/>
        <v>#N/A</v>
      </c>
      <c r="HU170" s="235" t="e">
        <f t="shared" si="172"/>
        <v>#N/A</v>
      </c>
      <c r="HX170" s="235" t="e">
        <f t="shared" si="173"/>
        <v>#N/A</v>
      </c>
      <c r="HY170" s="235" t="e">
        <f t="shared" si="174"/>
        <v>#N/A</v>
      </c>
      <c r="IB170" s="235" t="e">
        <f t="shared" si="175"/>
        <v>#N/A</v>
      </c>
      <c r="IC170" s="235" t="e">
        <f t="shared" si="176"/>
        <v>#N/A</v>
      </c>
      <c r="IE170" s="342">
        <v>156</v>
      </c>
      <c r="IF170" s="262" t="e">
        <f t="shared" si="177"/>
        <v>#N/A</v>
      </c>
      <c r="IG170" s="262" t="e">
        <f t="shared" si="178"/>
        <v>#N/A</v>
      </c>
      <c r="IH170" s="379"/>
      <c r="II170" s="379"/>
      <c r="IJ170" s="262" t="e">
        <f t="shared" si="179"/>
        <v>#N/A</v>
      </c>
      <c r="IK170" s="262" t="e">
        <f t="shared" si="180"/>
        <v>#N/A</v>
      </c>
      <c r="IL170" s="379"/>
      <c r="IM170" s="379"/>
      <c r="IN170" s="262" t="e">
        <f t="shared" si="181"/>
        <v>#N/A</v>
      </c>
      <c r="IO170" s="262" t="e">
        <f t="shared" si="182"/>
        <v>#N/A</v>
      </c>
      <c r="IP170" s="379"/>
      <c r="IQ170" s="379"/>
      <c r="IR170" s="262" t="e">
        <f t="shared" si="183"/>
        <v>#N/A</v>
      </c>
      <c r="IS170" s="262" t="e">
        <f t="shared" si="184"/>
        <v>#N/A</v>
      </c>
      <c r="IT170" s="379"/>
      <c r="IU170" s="379"/>
      <c r="IV170" s="262" t="e">
        <f t="shared" si="185"/>
        <v>#N/A</v>
      </c>
      <c r="IW170" s="262" t="e">
        <f t="shared" si="186"/>
        <v>#N/A</v>
      </c>
      <c r="JB170" s="313" t="s">
        <v>396</v>
      </c>
      <c r="JC170" s="228">
        <f>IZ160-$IZ$112/2</f>
        <v>0.6</v>
      </c>
      <c r="JD170" s="237">
        <f>JD163</f>
        <v>0.60499999999999998</v>
      </c>
      <c r="JI170" s="313" t="s">
        <v>396</v>
      </c>
      <c r="JJ170" s="242">
        <f>JG160-$IZ$112/2</f>
        <v>0.6</v>
      </c>
      <c r="JK170" s="266">
        <f>JK163</f>
        <v>0.60499999999999998</v>
      </c>
      <c r="JN170" s="261" t="e">
        <f t="shared" si="187"/>
        <v>#N/A</v>
      </c>
      <c r="JO170" s="261" t="e">
        <f t="shared" si="188"/>
        <v>#N/A</v>
      </c>
      <c r="JR170" s="261" t="e">
        <f t="shared" si="193"/>
        <v>#N/A</v>
      </c>
      <c r="JS170" s="261" t="e">
        <f t="shared" si="194"/>
        <v>#N/A</v>
      </c>
      <c r="JV170" s="261" t="e">
        <f t="shared" si="189"/>
        <v>#N/A</v>
      </c>
      <c r="JW170" s="261" t="e">
        <f t="shared" si="190"/>
        <v>#N/A</v>
      </c>
      <c r="PS170" s="342">
        <v>156</v>
      </c>
      <c r="PT170" s="261" t="e">
        <f t="shared" si="191"/>
        <v>#N/A</v>
      </c>
      <c r="PU170" s="261" t="e">
        <f t="shared" si="192"/>
        <v>#N/A</v>
      </c>
    </row>
    <row r="171" spans="4:437" x14ac:dyDescent="0.5"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310"/>
      <c r="AQ171" s="310"/>
      <c r="AR171" s="310"/>
      <c r="AS171" s="310"/>
      <c r="AT171" s="310"/>
      <c r="AU171" s="310"/>
      <c r="AV171" s="310"/>
      <c r="AW171" s="310"/>
      <c r="AX171" s="310"/>
      <c r="AY171" s="310"/>
      <c r="AZ171" s="310"/>
      <c r="BA171" s="310"/>
      <c r="HK171" s="342">
        <v>157</v>
      </c>
      <c r="HL171" s="235" t="e">
        <f t="shared" si="167"/>
        <v>#N/A</v>
      </c>
      <c r="HM171" s="235" t="e">
        <f t="shared" si="168"/>
        <v>#N/A</v>
      </c>
      <c r="HP171" s="235" t="e">
        <f t="shared" si="169"/>
        <v>#N/A</v>
      </c>
      <c r="HQ171" s="235" t="e">
        <f t="shared" si="170"/>
        <v>#N/A</v>
      </c>
      <c r="HT171" s="235" t="e">
        <f t="shared" si="171"/>
        <v>#N/A</v>
      </c>
      <c r="HU171" s="235" t="e">
        <f t="shared" si="172"/>
        <v>#N/A</v>
      </c>
      <c r="HX171" s="235" t="e">
        <f t="shared" si="173"/>
        <v>#N/A</v>
      </c>
      <c r="HY171" s="235" t="e">
        <f t="shared" si="174"/>
        <v>#N/A</v>
      </c>
      <c r="IB171" s="235" t="e">
        <f t="shared" si="175"/>
        <v>#N/A</v>
      </c>
      <c r="IC171" s="235" t="e">
        <f t="shared" si="176"/>
        <v>#N/A</v>
      </c>
      <c r="IE171" s="342">
        <v>157</v>
      </c>
      <c r="IF171" s="262" t="e">
        <f t="shared" si="177"/>
        <v>#N/A</v>
      </c>
      <c r="IG171" s="262" t="e">
        <f t="shared" si="178"/>
        <v>#N/A</v>
      </c>
      <c r="IH171" s="379"/>
      <c r="II171" s="379"/>
      <c r="IJ171" s="262" t="e">
        <f t="shared" si="179"/>
        <v>#N/A</v>
      </c>
      <c r="IK171" s="262" t="e">
        <f t="shared" si="180"/>
        <v>#N/A</v>
      </c>
      <c r="IL171" s="379"/>
      <c r="IM171" s="379"/>
      <c r="IN171" s="262" t="e">
        <f t="shared" si="181"/>
        <v>#N/A</v>
      </c>
      <c r="IO171" s="262" t="e">
        <f t="shared" si="182"/>
        <v>#N/A</v>
      </c>
      <c r="IP171" s="379"/>
      <c r="IQ171" s="379"/>
      <c r="IR171" s="262" t="e">
        <f t="shared" si="183"/>
        <v>#N/A</v>
      </c>
      <c r="IS171" s="262" t="e">
        <f t="shared" si="184"/>
        <v>#N/A</v>
      </c>
      <c r="IT171" s="379"/>
      <c r="IU171" s="379"/>
      <c r="IV171" s="262" t="e">
        <f t="shared" si="185"/>
        <v>#N/A</v>
      </c>
      <c r="IW171" s="262" t="e">
        <f t="shared" si="186"/>
        <v>#N/A</v>
      </c>
      <c r="JB171" s="313" t="s">
        <v>397</v>
      </c>
      <c r="JC171" s="228">
        <f>JC170</f>
        <v>0.6</v>
      </c>
      <c r="JD171" s="234">
        <f>JD162</f>
        <v>0.69500000000000006</v>
      </c>
      <c r="JI171" s="313" t="s">
        <v>397</v>
      </c>
      <c r="JJ171" s="242">
        <f>JJ170</f>
        <v>0.6</v>
      </c>
      <c r="JK171" s="265">
        <f>JK162</f>
        <v>0.69500000000000006</v>
      </c>
      <c r="JN171" s="261" t="e">
        <f t="shared" si="187"/>
        <v>#N/A</v>
      </c>
      <c r="JO171" s="261" t="e">
        <f t="shared" si="188"/>
        <v>#N/A</v>
      </c>
      <c r="JR171" s="261" t="e">
        <f t="shared" si="193"/>
        <v>#N/A</v>
      </c>
      <c r="JS171" s="261" t="e">
        <f t="shared" si="194"/>
        <v>#N/A</v>
      </c>
      <c r="JV171" s="261" t="e">
        <f t="shared" si="189"/>
        <v>#N/A</v>
      </c>
      <c r="JW171" s="261" t="e">
        <f t="shared" si="190"/>
        <v>#N/A</v>
      </c>
      <c r="PS171" s="342">
        <v>157</v>
      </c>
      <c r="PT171" s="261" t="e">
        <f t="shared" si="191"/>
        <v>#N/A</v>
      </c>
      <c r="PU171" s="261" t="e">
        <f t="shared" si="192"/>
        <v>#N/A</v>
      </c>
    </row>
    <row r="172" spans="4:437" x14ac:dyDescent="0.5"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310"/>
      <c r="AQ172" s="310"/>
      <c r="AR172" s="310"/>
      <c r="AS172" s="310"/>
      <c r="AT172" s="310"/>
      <c r="AU172" s="310"/>
      <c r="AV172" s="310"/>
      <c r="AW172" s="310"/>
      <c r="AX172" s="310"/>
      <c r="AY172" s="310"/>
      <c r="AZ172" s="310"/>
      <c r="BA172" s="310"/>
      <c r="HK172" s="342">
        <v>158</v>
      </c>
      <c r="HL172" s="235" t="e">
        <f t="shared" si="167"/>
        <v>#N/A</v>
      </c>
      <c r="HM172" s="235" t="e">
        <f t="shared" si="168"/>
        <v>#N/A</v>
      </c>
      <c r="HP172" s="235" t="e">
        <f t="shared" si="169"/>
        <v>#N/A</v>
      </c>
      <c r="HQ172" s="235" t="e">
        <f t="shared" si="170"/>
        <v>#N/A</v>
      </c>
      <c r="HT172" s="235" t="e">
        <f t="shared" si="171"/>
        <v>#N/A</v>
      </c>
      <c r="HU172" s="235" t="e">
        <f t="shared" si="172"/>
        <v>#N/A</v>
      </c>
      <c r="HX172" s="235" t="e">
        <f t="shared" si="173"/>
        <v>#N/A</v>
      </c>
      <c r="HY172" s="235" t="e">
        <f t="shared" si="174"/>
        <v>#N/A</v>
      </c>
      <c r="IB172" s="235" t="e">
        <f t="shared" si="175"/>
        <v>#N/A</v>
      </c>
      <c r="IC172" s="235" t="e">
        <f t="shared" si="176"/>
        <v>#N/A</v>
      </c>
      <c r="IE172" s="342">
        <v>158</v>
      </c>
      <c r="IF172" s="262" t="e">
        <f t="shared" si="177"/>
        <v>#N/A</v>
      </c>
      <c r="IG172" s="262" t="e">
        <f t="shared" si="178"/>
        <v>#N/A</v>
      </c>
      <c r="IH172" s="379"/>
      <c r="II172" s="379"/>
      <c r="IJ172" s="262" t="e">
        <f t="shared" si="179"/>
        <v>#N/A</v>
      </c>
      <c r="IK172" s="262" t="e">
        <f t="shared" si="180"/>
        <v>#N/A</v>
      </c>
      <c r="IL172" s="379"/>
      <c r="IM172" s="379"/>
      <c r="IN172" s="262" t="e">
        <f t="shared" si="181"/>
        <v>#N/A</v>
      </c>
      <c r="IO172" s="262" t="e">
        <f t="shared" si="182"/>
        <v>#N/A</v>
      </c>
      <c r="IP172" s="379"/>
      <c r="IQ172" s="379"/>
      <c r="IR172" s="262" t="e">
        <f t="shared" si="183"/>
        <v>#N/A</v>
      </c>
      <c r="IS172" s="262" t="e">
        <f t="shared" si="184"/>
        <v>#N/A</v>
      </c>
      <c r="IT172" s="379"/>
      <c r="IU172" s="379"/>
      <c r="IV172" s="262" t="e">
        <f t="shared" si="185"/>
        <v>#N/A</v>
      </c>
      <c r="IW172" s="262" t="e">
        <f t="shared" si="186"/>
        <v>#N/A</v>
      </c>
      <c r="JB172" s="313" t="s">
        <v>398</v>
      </c>
      <c r="JC172" s="228">
        <f>IZ160-$IZ$108/2</f>
        <v>0.5</v>
      </c>
      <c r="JD172" s="237">
        <f>JD161</f>
        <v>0.72500000000000009</v>
      </c>
      <c r="JI172" s="313" t="s">
        <v>398</v>
      </c>
      <c r="JJ172" s="242">
        <f>JG160-$IZ$108/2</f>
        <v>0.5</v>
      </c>
      <c r="JK172" s="266">
        <f>JK161</f>
        <v>0.72500000000000009</v>
      </c>
      <c r="JN172" s="261" t="e">
        <f t="shared" si="187"/>
        <v>#N/A</v>
      </c>
      <c r="JO172" s="261" t="e">
        <f t="shared" si="188"/>
        <v>#N/A</v>
      </c>
      <c r="JR172" s="261" t="e">
        <f t="shared" si="193"/>
        <v>#N/A</v>
      </c>
      <c r="JS172" s="261" t="e">
        <f t="shared" si="194"/>
        <v>#N/A</v>
      </c>
      <c r="JV172" s="261" t="e">
        <f t="shared" si="189"/>
        <v>#N/A</v>
      </c>
      <c r="JW172" s="261" t="e">
        <f t="shared" si="190"/>
        <v>#N/A</v>
      </c>
      <c r="PS172" s="342">
        <v>158</v>
      </c>
      <c r="PT172" s="261" t="e">
        <f t="shared" si="191"/>
        <v>#N/A</v>
      </c>
      <c r="PU172" s="261" t="e">
        <f t="shared" si="192"/>
        <v>#N/A</v>
      </c>
    </row>
    <row r="173" spans="4:437" x14ac:dyDescent="0.5"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310"/>
      <c r="AQ173" s="310"/>
      <c r="AR173" s="310"/>
      <c r="AS173" s="310"/>
      <c r="AT173" s="310"/>
      <c r="AU173" s="310"/>
      <c r="AV173" s="310"/>
      <c r="AW173" s="310"/>
      <c r="AX173" s="310"/>
      <c r="AY173" s="310"/>
      <c r="AZ173" s="310"/>
      <c r="BA173" s="310"/>
      <c r="HK173" s="342">
        <v>159</v>
      </c>
      <c r="HL173" s="235" t="e">
        <f t="shared" si="167"/>
        <v>#N/A</v>
      </c>
      <c r="HM173" s="235" t="e">
        <f t="shared" si="168"/>
        <v>#N/A</v>
      </c>
      <c r="HP173" s="235" t="e">
        <f t="shared" si="169"/>
        <v>#N/A</v>
      </c>
      <c r="HQ173" s="235" t="e">
        <f t="shared" si="170"/>
        <v>#N/A</v>
      </c>
      <c r="HT173" s="235" t="e">
        <f t="shared" si="171"/>
        <v>#N/A</v>
      </c>
      <c r="HU173" s="235" t="e">
        <f t="shared" si="172"/>
        <v>#N/A</v>
      </c>
      <c r="HX173" s="235" t="e">
        <f t="shared" si="173"/>
        <v>#N/A</v>
      </c>
      <c r="HY173" s="235" t="e">
        <f t="shared" si="174"/>
        <v>#N/A</v>
      </c>
      <c r="IB173" s="235" t="e">
        <f t="shared" si="175"/>
        <v>#N/A</v>
      </c>
      <c r="IC173" s="235" t="e">
        <f t="shared" si="176"/>
        <v>#N/A</v>
      </c>
      <c r="IE173" s="342">
        <v>159</v>
      </c>
      <c r="IF173" s="262" t="e">
        <f t="shared" si="177"/>
        <v>#N/A</v>
      </c>
      <c r="IG173" s="262" t="e">
        <f t="shared" si="178"/>
        <v>#N/A</v>
      </c>
      <c r="IH173" s="379"/>
      <c r="II173" s="379"/>
      <c r="IJ173" s="262" t="e">
        <f t="shared" si="179"/>
        <v>#N/A</v>
      </c>
      <c r="IK173" s="262" t="e">
        <f t="shared" si="180"/>
        <v>#N/A</v>
      </c>
      <c r="IL173" s="379"/>
      <c r="IM173" s="379"/>
      <c r="IN173" s="262" t="e">
        <f t="shared" si="181"/>
        <v>#N/A</v>
      </c>
      <c r="IO173" s="262" t="e">
        <f t="shared" si="182"/>
        <v>#N/A</v>
      </c>
      <c r="IP173" s="379"/>
      <c r="IQ173" s="379"/>
      <c r="IR173" s="262" t="e">
        <f t="shared" si="183"/>
        <v>#N/A</v>
      </c>
      <c r="IS173" s="262" t="e">
        <f t="shared" si="184"/>
        <v>#N/A</v>
      </c>
      <c r="IT173" s="379"/>
      <c r="IU173" s="379"/>
      <c r="IV173" s="262" t="e">
        <f t="shared" si="185"/>
        <v>#N/A</v>
      </c>
      <c r="IW173" s="262" t="e">
        <f t="shared" si="186"/>
        <v>#N/A</v>
      </c>
      <c r="JB173" s="313" t="s">
        <v>399</v>
      </c>
      <c r="JC173" s="228">
        <f>JC172</f>
        <v>0.5</v>
      </c>
      <c r="JD173" s="228">
        <f>JD160</f>
        <v>0.78500000000000003</v>
      </c>
      <c r="JI173" s="313" t="s">
        <v>399</v>
      </c>
      <c r="JJ173" s="242">
        <f>JJ172</f>
        <v>0.5</v>
      </c>
      <c r="JK173" s="242">
        <f>JK160</f>
        <v>0.78500000000000003</v>
      </c>
      <c r="JN173" s="261" t="e">
        <f t="shared" si="187"/>
        <v>#N/A</v>
      </c>
      <c r="JO173" s="261" t="e">
        <f t="shared" si="188"/>
        <v>#N/A</v>
      </c>
      <c r="JR173" s="261" t="e">
        <f t="shared" si="193"/>
        <v>#N/A</v>
      </c>
      <c r="JS173" s="261" t="e">
        <f t="shared" si="194"/>
        <v>#N/A</v>
      </c>
      <c r="JV173" s="261" t="e">
        <f t="shared" si="189"/>
        <v>#N/A</v>
      </c>
      <c r="JW173" s="261" t="e">
        <f t="shared" si="190"/>
        <v>#N/A</v>
      </c>
      <c r="PS173" s="342">
        <v>159</v>
      </c>
      <c r="PT173" s="261" t="e">
        <f t="shared" si="191"/>
        <v>#N/A</v>
      </c>
      <c r="PU173" s="261" t="e">
        <f t="shared" si="192"/>
        <v>#N/A</v>
      </c>
    </row>
    <row r="174" spans="4:437" x14ac:dyDescent="0.5"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310"/>
      <c r="AQ174" s="310"/>
      <c r="AR174" s="310"/>
      <c r="AS174" s="310"/>
      <c r="AT174" s="310"/>
      <c r="AU174" s="310"/>
      <c r="AV174" s="310"/>
      <c r="AW174" s="310"/>
      <c r="AX174" s="310"/>
      <c r="AY174" s="310"/>
      <c r="AZ174" s="310"/>
      <c r="BA174" s="310"/>
      <c r="HK174" s="342">
        <v>160</v>
      </c>
      <c r="HL174" s="235" t="e">
        <f t="shared" si="167"/>
        <v>#N/A</v>
      </c>
      <c r="HM174" s="235" t="e">
        <f t="shared" si="168"/>
        <v>#N/A</v>
      </c>
      <c r="HP174" s="235" t="e">
        <f t="shared" si="169"/>
        <v>#N/A</v>
      </c>
      <c r="HQ174" s="235" t="e">
        <f t="shared" si="170"/>
        <v>#N/A</v>
      </c>
      <c r="HT174" s="235" t="e">
        <f t="shared" si="171"/>
        <v>#N/A</v>
      </c>
      <c r="HU174" s="235" t="e">
        <f t="shared" si="172"/>
        <v>#N/A</v>
      </c>
      <c r="HX174" s="235" t="e">
        <f t="shared" si="173"/>
        <v>#N/A</v>
      </c>
      <c r="HY174" s="235" t="e">
        <f t="shared" si="174"/>
        <v>#N/A</v>
      </c>
      <c r="IB174" s="235" t="e">
        <f t="shared" si="175"/>
        <v>#N/A</v>
      </c>
      <c r="IC174" s="235" t="e">
        <f t="shared" si="176"/>
        <v>#N/A</v>
      </c>
      <c r="IE174" s="342">
        <v>160</v>
      </c>
      <c r="IF174" s="262" t="e">
        <f t="shared" si="177"/>
        <v>#N/A</v>
      </c>
      <c r="IG174" s="262" t="e">
        <f t="shared" si="178"/>
        <v>#N/A</v>
      </c>
      <c r="IH174" s="379"/>
      <c r="II174" s="379"/>
      <c r="IJ174" s="262" t="e">
        <f t="shared" si="179"/>
        <v>#N/A</v>
      </c>
      <c r="IK174" s="262" t="e">
        <f t="shared" si="180"/>
        <v>#N/A</v>
      </c>
      <c r="IL174" s="379"/>
      <c r="IM174" s="379"/>
      <c r="IN174" s="262" t="e">
        <f t="shared" si="181"/>
        <v>#N/A</v>
      </c>
      <c r="IO174" s="262" t="e">
        <f t="shared" si="182"/>
        <v>#N/A</v>
      </c>
      <c r="IP174" s="379"/>
      <c r="IQ174" s="379"/>
      <c r="IR174" s="262" t="e">
        <f t="shared" si="183"/>
        <v>#N/A</v>
      </c>
      <c r="IS174" s="262" t="e">
        <f t="shared" si="184"/>
        <v>#N/A</v>
      </c>
      <c r="IT174" s="379"/>
      <c r="IU174" s="379"/>
      <c r="IV174" s="262" t="e">
        <f t="shared" si="185"/>
        <v>#N/A</v>
      </c>
      <c r="IW174" s="262" t="e">
        <f t="shared" si="186"/>
        <v>#N/A</v>
      </c>
      <c r="JB174" s="313" t="s">
        <v>400</v>
      </c>
      <c r="JC174" s="228">
        <f>JC158</f>
        <v>0.51500000000000001</v>
      </c>
      <c r="JD174" s="228">
        <f>JD158</f>
        <v>0.8</v>
      </c>
      <c r="JI174" s="313" t="s">
        <v>400</v>
      </c>
      <c r="JJ174" s="242">
        <f>JJ158</f>
        <v>0.51500000000000001</v>
      </c>
      <c r="JK174" s="242">
        <f>JK158</f>
        <v>0.8</v>
      </c>
      <c r="JN174" s="261" t="e">
        <f t="shared" si="187"/>
        <v>#N/A</v>
      </c>
      <c r="JO174" s="261" t="e">
        <f t="shared" si="188"/>
        <v>#N/A</v>
      </c>
      <c r="JR174" s="261" t="e">
        <f t="shared" si="193"/>
        <v>#N/A</v>
      </c>
      <c r="JS174" s="261" t="e">
        <f t="shared" si="194"/>
        <v>#N/A</v>
      </c>
      <c r="JV174" s="261" t="e">
        <f t="shared" si="189"/>
        <v>#N/A</v>
      </c>
      <c r="JW174" s="261" t="e">
        <f t="shared" si="190"/>
        <v>#N/A</v>
      </c>
      <c r="PS174" s="342">
        <v>160</v>
      </c>
      <c r="PT174" s="261" t="e">
        <f t="shared" si="191"/>
        <v>#N/A</v>
      </c>
      <c r="PU174" s="261" t="e">
        <f t="shared" si="192"/>
        <v>#N/A</v>
      </c>
    </row>
    <row r="175" spans="4:437" x14ac:dyDescent="0.5"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310"/>
      <c r="AQ175" s="310"/>
      <c r="AR175" s="310"/>
      <c r="AS175" s="310"/>
      <c r="AT175" s="310"/>
      <c r="AU175" s="310"/>
      <c r="AV175" s="310"/>
      <c r="AW175" s="310"/>
      <c r="AX175" s="310"/>
      <c r="AY175" s="310"/>
      <c r="AZ175" s="310"/>
      <c r="BA175" s="310"/>
      <c r="HK175" s="342">
        <v>161</v>
      </c>
      <c r="HL175" s="235" t="e">
        <f t="shared" si="167"/>
        <v>#N/A</v>
      </c>
      <c r="HM175" s="235" t="e">
        <f t="shared" si="168"/>
        <v>#N/A</v>
      </c>
      <c r="HP175" s="235" t="e">
        <f t="shared" si="169"/>
        <v>#N/A</v>
      </c>
      <c r="HQ175" s="235" t="e">
        <f t="shared" si="170"/>
        <v>#N/A</v>
      </c>
      <c r="HT175" s="235" t="e">
        <f t="shared" si="171"/>
        <v>#N/A</v>
      </c>
      <c r="HU175" s="235" t="e">
        <f t="shared" si="172"/>
        <v>#N/A</v>
      </c>
      <c r="HX175" s="235" t="e">
        <f t="shared" si="173"/>
        <v>#N/A</v>
      </c>
      <c r="HY175" s="235" t="e">
        <f t="shared" si="174"/>
        <v>#N/A</v>
      </c>
      <c r="IB175" s="235" t="e">
        <f t="shared" si="175"/>
        <v>#N/A</v>
      </c>
      <c r="IC175" s="235" t="e">
        <f t="shared" si="176"/>
        <v>#N/A</v>
      </c>
      <c r="IE175" s="342">
        <v>161</v>
      </c>
      <c r="IF175" s="262" t="e">
        <f t="shared" si="177"/>
        <v>#N/A</v>
      </c>
      <c r="IG175" s="262" t="e">
        <f t="shared" si="178"/>
        <v>#N/A</v>
      </c>
      <c r="IH175" s="379"/>
      <c r="II175" s="379"/>
      <c r="IJ175" s="262" t="e">
        <f t="shared" si="179"/>
        <v>#N/A</v>
      </c>
      <c r="IK175" s="262" t="e">
        <f t="shared" si="180"/>
        <v>#N/A</v>
      </c>
      <c r="IL175" s="379"/>
      <c r="IM175" s="379"/>
      <c r="IN175" s="262" t="e">
        <f t="shared" si="181"/>
        <v>#N/A</v>
      </c>
      <c r="IO175" s="262" t="e">
        <f t="shared" si="182"/>
        <v>#N/A</v>
      </c>
      <c r="IP175" s="379"/>
      <c r="IQ175" s="379"/>
      <c r="IR175" s="262" t="e">
        <f t="shared" si="183"/>
        <v>#N/A</v>
      </c>
      <c r="IS175" s="262" t="e">
        <f t="shared" si="184"/>
        <v>#N/A</v>
      </c>
      <c r="IT175" s="379"/>
      <c r="IU175" s="379"/>
      <c r="IV175" s="262" t="e">
        <f t="shared" si="185"/>
        <v>#N/A</v>
      </c>
      <c r="IW175" s="262" t="e">
        <f t="shared" si="186"/>
        <v>#N/A</v>
      </c>
      <c r="JC175" s="230" t="e">
        <v>#N/A</v>
      </c>
      <c r="JD175" s="230" t="e">
        <v>#N/A</v>
      </c>
      <c r="JJ175" s="264" t="e">
        <v>#N/A</v>
      </c>
      <c r="JK175" s="264" t="e">
        <v>#N/A</v>
      </c>
      <c r="JN175" s="261" t="e">
        <f t="shared" si="187"/>
        <v>#N/A</v>
      </c>
      <c r="JO175" s="261" t="e">
        <f t="shared" si="188"/>
        <v>#N/A</v>
      </c>
      <c r="JR175" s="261" t="e">
        <f t="shared" si="193"/>
        <v>#N/A</v>
      </c>
      <c r="JS175" s="261" t="e">
        <f t="shared" si="194"/>
        <v>#N/A</v>
      </c>
      <c r="JV175" s="261" t="e">
        <f t="shared" si="189"/>
        <v>#N/A</v>
      </c>
      <c r="JW175" s="261" t="e">
        <f t="shared" si="190"/>
        <v>#N/A</v>
      </c>
      <c r="PS175" s="342">
        <v>161</v>
      </c>
      <c r="PT175" s="261" t="e">
        <f t="shared" si="191"/>
        <v>#N/A</v>
      </c>
      <c r="PU175" s="261" t="e">
        <f t="shared" si="192"/>
        <v>#N/A</v>
      </c>
    </row>
    <row r="176" spans="4:437" x14ac:dyDescent="0.5"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310"/>
      <c r="AQ176" s="310"/>
      <c r="AR176" s="310"/>
      <c r="AS176" s="310"/>
      <c r="AT176" s="310"/>
      <c r="AU176" s="310"/>
      <c r="AV176" s="310"/>
      <c r="AW176" s="310"/>
      <c r="AX176" s="310"/>
      <c r="AY176" s="310"/>
      <c r="AZ176" s="310"/>
      <c r="BA176" s="310"/>
      <c r="HK176" s="342">
        <v>162</v>
      </c>
      <c r="HL176" s="235" t="e">
        <f t="shared" si="167"/>
        <v>#N/A</v>
      </c>
      <c r="HM176" s="235" t="e">
        <f t="shared" si="168"/>
        <v>#N/A</v>
      </c>
      <c r="HP176" s="235" t="e">
        <f t="shared" si="169"/>
        <v>#N/A</v>
      </c>
      <c r="HQ176" s="235" t="e">
        <f t="shared" si="170"/>
        <v>#N/A</v>
      </c>
      <c r="HT176" s="235" t="e">
        <f t="shared" si="171"/>
        <v>#N/A</v>
      </c>
      <c r="HU176" s="235" t="e">
        <f t="shared" si="172"/>
        <v>#N/A</v>
      </c>
      <c r="HX176" s="235" t="e">
        <f t="shared" si="173"/>
        <v>#N/A</v>
      </c>
      <c r="HY176" s="235" t="e">
        <f t="shared" si="174"/>
        <v>#N/A</v>
      </c>
      <c r="IB176" s="235" t="e">
        <f t="shared" si="175"/>
        <v>#N/A</v>
      </c>
      <c r="IC176" s="235" t="e">
        <f t="shared" si="176"/>
        <v>#N/A</v>
      </c>
      <c r="IE176" s="342">
        <v>162</v>
      </c>
      <c r="IF176" s="262" t="e">
        <f t="shared" si="177"/>
        <v>#N/A</v>
      </c>
      <c r="IG176" s="262" t="e">
        <f t="shared" si="178"/>
        <v>#N/A</v>
      </c>
      <c r="IH176" s="379"/>
      <c r="II176" s="379"/>
      <c r="IJ176" s="262" t="e">
        <f t="shared" si="179"/>
        <v>#N/A</v>
      </c>
      <c r="IK176" s="262" t="e">
        <f t="shared" si="180"/>
        <v>#N/A</v>
      </c>
      <c r="IL176" s="379"/>
      <c r="IM176" s="379"/>
      <c r="IN176" s="262" t="e">
        <f t="shared" si="181"/>
        <v>#N/A</v>
      </c>
      <c r="IO176" s="262" t="e">
        <f t="shared" si="182"/>
        <v>#N/A</v>
      </c>
      <c r="IP176" s="379"/>
      <c r="IQ176" s="379"/>
      <c r="IR176" s="262" t="e">
        <f t="shared" si="183"/>
        <v>#N/A</v>
      </c>
      <c r="IS176" s="262" t="e">
        <f t="shared" si="184"/>
        <v>#N/A</v>
      </c>
      <c r="IT176" s="379"/>
      <c r="IU176" s="379"/>
      <c r="IV176" s="262" t="e">
        <f t="shared" si="185"/>
        <v>#N/A</v>
      </c>
      <c r="IW176" s="262" t="e">
        <f t="shared" si="186"/>
        <v>#N/A</v>
      </c>
      <c r="IY176" s="342" t="s">
        <v>353</v>
      </c>
      <c r="IZ176" s="328" t="s">
        <v>404</v>
      </c>
      <c r="JA176" s="328" t="b">
        <f>AND($GY$6&gt;=$GX$7,$GY$6&lt;=$GX$13,$BM$11=TRUE)</f>
        <v>1</v>
      </c>
      <c r="JB176" s="313" t="s">
        <v>106</v>
      </c>
      <c r="JC176" s="228">
        <f>IZ178-($IZ$108/2)+$IZ$114</f>
        <v>-0.13500000000000001</v>
      </c>
      <c r="JD176" s="228">
        <f>JA178+$IZ$108/2</f>
        <v>0.15</v>
      </c>
      <c r="JF176" s="342" t="s">
        <v>353</v>
      </c>
      <c r="JG176" s="328" t="s">
        <v>404</v>
      </c>
      <c r="JH176" s="328" t="b">
        <f>IF(CP13=TRUE,AND($GY$6&gt;=$GX$7,$GY$6&lt;=$GX$13,$BM$11=TRUE,$BE$7=TRUE,CU11=TRUE),FALSE)</f>
        <v>1</v>
      </c>
      <c r="JI176" s="313" t="s">
        <v>106</v>
      </c>
      <c r="JJ176" s="242">
        <f>JG178-($IZ$108/2)+$IZ$114</f>
        <v>-0.13500000000000001</v>
      </c>
      <c r="JK176" s="242">
        <f>JH178+$IZ$108/2</f>
        <v>0.15</v>
      </c>
      <c r="JN176" s="261" t="e">
        <f t="shared" si="187"/>
        <v>#N/A</v>
      </c>
      <c r="JO176" s="261" t="e">
        <f t="shared" si="188"/>
        <v>#N/A</v>
      </c>
      <c r="JR176" s="261" t="e">
        <f t="shared" si="193"/>
        <v>#N/A</v>
      </c>
      <c r="JS176" s="261" t="e">
        <f t="shared" si="194"/>
        <v>#N/A</v>
      </c>
      <c r="JV176" s="261" t="e">
        <f t="shared" si="189"/>
        <v>#N/A</v>
      </c>
      <c r="JW176" s="261" t="e">
        <f t="shared" si="190"/>
        <v>#N/A</v>
      </c>
      <c r="PS176" s="342">
        <v>162</v>
      </c>
      <c r="PT176" s="261" t="e">
        <f t="shared" si="191"/>
        <v>#N/A</v>
      </c>
      <c r="PU176" s="261" t="e">
        <f t="shared" si="192"/>
        <v>#N/A</v>
      </c>
    </row>
    <row r="177" spans="4:437" x14ac:dyDescent="0.5"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310"/>
      <c r="AQ177" s="310"/>
      <c r="AR177" s="310"/>
      <c r="AS177" s="310"/>
      <c r="AT177" s="310"/>
      <c r="AU177" s="310"/>
      <c r="AV177" s="310"/>
      <c r="AW177" s="310"/>
      <c r="AX177" s="310"/>
      <c r="AY177" s="310"/>
      <c r="AZ177" s="310"/>
      <c r="BA177" s="310"/>
      <c r="HK177" s="342">
        <v>163</v>
      </c>
      <c r="HL177" s="235" t="e">
        <f t="shared" si="167"/>
        <v>#N/A</v>
      </c>
      <c r="HM177" s="235" t="e">
        <f t="shared" si="168"/>
        <v>#N/A</v>
      </c>
      <c r="HP177" s="235" t="e">
        <f t="shared" si="169"/>
        <v>#N/A</v>
      </c>
      <c r="HQ177" s="235" t="e">
        <f t="shared" si="170"/>
        <v>#N/A</v>
      </c>
      <c r="HT177" s="235" t="e">
        <f t="shared" si="171"/>
        <v>#N/A</v>
      </c>
      <c r="HU177" s="235" t="e">
        <f t="shared" si="172"/>
        <v>#N/A</v>
      </c>
      <c r="HX177" s="235" t="e">
        <f t="shared" si="173"/>
        <v>#N/A</v>
      </c>
      <c r="HY177" s="235" t="e">
        <f t="shared" si="174"/>
        <v>#N/A</v>
      </c>
      <c r="IB177" s="235" t="e">
        <f t="shared" si="175"/>
        <v>#N/A</v>
      </c>
      <c r="IC177" s="235" t="e">
        <f t="shared" si="176"/>
        <v>#N/A</v>
      </c>
      <c r="IE177" s="342">
        <v>163</v>
      </c>
      <c r="IF177" s="262" t="e">
        <f t="shared" si="177"/>
        <v>#N/A</v>
      </c>
      <c r="IG177" s="262" t="e">
        <f t="shared" si="178"/>
        <v>#N/A</v>
      </c>
      <c r="IH177" s="379"/>
      <c r="II177" s="379"/>
      <c r="IJ177" s="262" t="e">
        <f t="shared" si="179"/>
        <v>#N/A</v>
      </c>
      <c r="IK177" s="262" t="e">
        <f t="shared" si="180"/>
        <v>#N/A</v>
      </c>
      <c r="IL177" s="379"/>
      <c r="IM177" s="379"/>
      <c r="IN177" s="262" t="e">
        <f t="shared" si="181"/>
        <v>#N/A</v>
      </c>
      <c r="IO177" s="262" t="e">
        <f t="shared" si="182"/>
        <v>#N/A</v>
      </c>
      <c r="IP177" s="379"/>
      <c r="IQ177" s="379"/>
      <c r="IR177" s="262" t="e">
        <f t="shared" si="183"/>
        <v>#N/A</v>
      </c>
      <c r="IS177" s="262" t="e">
        <f t="shared" si="184"/>
        <v>#N/A</v>
      </c>
      <c r="IT177" s="379"/>
      <c r="IU177" s="379"/>
      <c r="IV177" s="262" t="e">
        <f t="shared" si="185"/>
        <v>#N/A</v>
      </c>
      <c r="IW177" s="262" t="e">
        <f t="shared" si="186"/>
        <v>#N/A</v>
      </c>
      <c r="IY177" s="342" t="s">
        <v>355</v>
      </c>
      <c r="IZ177" s="342" t="s">
        <v>48</v>
      </c>
      <c r="JA177" s="342" t="s">
        <v>49</v>
      </c>
      <c r="JB177" s="313" t="s">
        <v>144</v>
      </c>
      <c r="JC177" s="228">
        <f>IZ178+($IZ$108/2)-$IZ$114</f>
        <v>0.13500000000000001</v>
      </c>
      <c r="JD177" s="228">
        <f>JD176</f>
        <v>0.15</v>
      </c>
      <c r="JF177" s="342" t="s">
        <v>355</v>
      </c>
      <c r="JG177" s="342" t="s">
        <v>48</v>
      </c>
      <c r="JH177" s="342" t="s">
        <v>49</v>
      </c>
      <c r="JI177" s="313" t="s">
        <v>144</v>
      </c>
      <c r="JJ177" s="242">
        <f>JG178+($IZ$108/2)-$IZ$114</f>
        <v>0.13500000000000001</v>
      </c>
      <c r="JK177" s="242">
        <f>JK176</f>
        <v>0.15</v>
      </c>
      <c r="JN177" s="261" t="e">
        <f t="shared" si="187"/>
        <v>#N/A</v>
      </c>
      <c r="JO177" s="261" t="e">
        <f t="shared" si="188"/>
        <v>#N/A</v>
      </c>
      <c r="JR177" s="261" t="e">
        <f t="shared" si="193"/>
        <v>#N/A</v>
      </c>
      <c r="JS177" s="261" t="e">
        <f t="shared" si="194"/>
        <v>#N/A</v>
      </c>
      <c r="JV177" s="261" t="e">
        <f t="shared" si="189"/>
        <v>#N/A</v>
      </c>
      <c r="JW177" s="261" t="e">
        <f t="shared" si="190"/>
        <v>#N/A</v>
      </c>
      <c r="PS177" s="342">
        <v>163</v>
      </c>
      <c r="PT177" s="261" t="e">
        <f t="shared" si="191"/>
        <v>#N/A</v>
      </c>
      <c r="PU177" s="261" t="e">
        <f t="shared" si="192"/>
        <v>#N/A</v>
      </c>
    </row>
    <row r="178" spans="4:437" x14ac:dyDescent="0.5"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310"/>
      <c r="AQ178" s="310"/>
      <c r="AR178" s="310"/>
      <c r="AS178" s="310"/>
      <c r="AT178" s="310"/>
      <c r="AU178" s="310"/>
      <c r="AV178" s="310"/>
      <c r="AW178" s="310"/>
      <c r="AX178" s="310"/>
      <c r="AY178" s="310"/>
      <c r="AZ178" s="310"/>
      <c r="BA178" s="310"/>
      <c r="HK178" s="342">
        <v>164</v>
      </c>
      <c r="HL178" s="235" t="e">
        <f t="shared" si="167"/>
        <v>#N/A</v>
      </c>
      <c r="HM178" s="235" t="e">
        <f t="shared" si="168"/>
        <v>#N/A</v>
      </c>
      <c r="HP178" s="235" t="e">
        <f t="shared" si="169"/>
        <v>#N/A</v>
      </c>
      <c r="HQ178" s="235" t="e">
        <f t="shared" si="170"/>
        <v>#N/A</v>
      </c>
      <c r="HT178" s="235" t="e">
        <f t="shared" si="171"/>
        <v>#N/A</v>
      </c>
      <c r="HU178" s="235" t="e">
        <f t="shared" si="172"/>
        <v>#N/A</v>
      </c>
      <c r="HX178" s="235" t="e">
        <f t="shared" si="173"/>
        <v>#N/A</v>
      </c>
      <c r="HY178" s="235" t="e">
        <f t="shared" si="174"/>
        <v>#N/A</v>
      </c>
      <c r="IB178" s="235" t="e">
        <f t="shared" si="175"/>
        <v>#N/A</v>
      </c>
      <c r="IC178" s="235" t="e">
        <f t="shared" si="176"/>
        <v>#N/A</v>
      </c>
      <c r="IE178" s="342">
        <v>164</v>
      </c>
      <c r="IF178" s="262" t="e">
        <f t="shared" si="177"/>
        <v>#N/A</v>
      </c>
      <c r="IG178" s="262" t="e">
        <f t="shared" si="178"/>
        <v>#N/A</v>
      </c>
      <c r="IH178" s="379"/>
      <c r="II178" s="379"/>
      <c r="IJ178" s="262" t="e">
        <f t="shared" si="179"/>
        <v>#N/A</v>
      </c>
      <c r="IK178" s="262" t="e">
        <f t="shared" si="180"/>
        <v>#N/A</v>
      </c>
      <c r="IL178" s="379"/>
      <c r="IM178" s="379"/>
      <c r="IN178" s="262" t="e">
        <f t="shared" si="181"/>
        <v>#N/A</v>
      </c>
      <c r="IO178" s="262" t="e">
        <f t="shared" si="182"/>
        <v>#N/A</v>
      </c>
      <c r="IP178" s="379"/>
      <c r="IQ178" s="379"/>
      <c r="IR178" s="262" t="e">
        <f t="shared" si="183"/>
        <v>#N/A</v>
      </c>
      <c r="IS178" s="262" t="e">
        <f t="shared" si="184"/>
        <v>#N/A</v>
      </c>
      <c r="IT178" s="379"/>
      <c r="IU178" s="379"/>
      <c r="IV178" s="262" t="e">
        <f t="shared" si="185"/>
        <v>#N/A</v>
      </c>
      <c r="IW178" s="262" t="e">
        <f t="shared" si="186"/>
        <v>#N/A</v>
      </c>
      <c r="IY178" s="313" t="s">
        <v>72</v>
      </c>
      <c r="IZ178" s="362">
        <f>IF(JA176=TRUE,$M$23,#N/A)</f>
        <v>0</v>
      </c>
      <c r="JA178" s="362">
        <f>IF(JA176=TRUE,$J$23,#N/A)</f>
        <v>0</v>
      </c>
      <c r="JB178" s="313" t="s">
        <v>149</v>
      </c>
      <c r="JC178" s="228">
        <f>IZ178+$IZ$108/2</f>
        <v>0.15</v>
      </c>
      <c r="JD178" s="228">
        <f>JA178+$IZ$108/2-$IZ$114</f>
        <v>0.13500000000000001</v>
      </c>
      <c r="JF178" s="313" t="s">
        <v>72</v>
      </c>
      <c r="JG178" s="362">
        <f>IF(JH176=TRUE,$J$30,#N/A)</f>
        <v>0</v>
      </c>
      <c r="JH178" s="363">
        <f>IF(JH176=TRUE,$H$30,#N/A)</f>
        <v>0</v>
      </c>
      <c r="JI178" s="313" t="s">
        <v>149</v>
      </c>
      <c r="JJ178" s="242">
        <f>JG178+$IZ$108/2</f>
        <v>0.15</v>
      </c>
      <c r="JK178" s="242">
        <f>JH178+$IZ$108/2-$IZ$114</f>
        <v>0.13500000000000001</v>
      </c>
      <c r="JN178" s="261" t="e">
        <f t="shared" si="187"/>
        <v>#N/A</v>
      </c>
      <c r="JO178" s="261" t="e">
        <f t="shared" si="188"/>
        <v>#N/A</v>
      </c>
      <c r="JR178" s="261" t="e">
        <f t="shared" si="193"/>
        <v>#N/A</v>
      </c>
      <c r="JS178" s="261" t="e">
        <f t="shared" si="194"/>
        <v>#N/A</v>
      </c>
      <c r="JV178" s="261" t="e">
        <f t="shared" si="189"/>
        <v>#N/A</v>
      </c>
      <c r="JW178" s="261" t="e">
        <f t="shared" si="190"/>
        <v>#N/A</v>
      </c>
      <c r="PS178" s="342">
        <v>164</v>
      </c>
      <c r="PT178" s="261" t="e">
        <f t="shared" si="191"/>
        <v>#N/A</v>
      </c>
      <c r="PU178" s="261" t="e">
        <f t="shared" si="192"/>
        <v>#N/A</v>
      </c>
    </row>
    <row r="179" spans="4:437" x14ac:dyDescent="0.5"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310"/>
      <c r="AQ179" s="310"/>
      <c r="AR179" s="310"/>
      <c r="AS179" s="310"/>
      <c r="AT179" s="310"/>
      <c r="AU179" s="310"/>
      <c r="AV179" s="310"/>
      <c r="AW179" s="310"/>
      <c r="AX179" s="310"/>
      <c r="AY179" s="310"/>
      <c r="AZ179" s="310"/>
      <c r="BA179" s="310"/>
      <c r="HK179" s="342">
        <v>165</v>
      </c>
      <c r="HL179" s="235" t="e">
        <f t="shared" si="167"/>
        <v>#N/A</v>
      </c>
      <c r="HM179" s="235" t="e">
        <f t="shared" si="168"/>
        <v>#N/A</v>
      </c>
      <c r="HP179" s="235" t="e">
        <f t="shared" si="169"/>
        <v>#N/A</v>
      </c>
      <c r="HQ179" s="235" t="e">
        <f t="shared" si="170"/>
        <v>#N/A</v>
      </c>
      <c r="HT179" s="235" t="e">
        <f t="shared" si="171"/>
        <v>#N/A</v>
      </c>
      <c r="HU179" s="235" t="e">
        <f t="shared" si="172"/>
        <v>#N/A</v>
      </c>
      <c r="HX179" s="235" t="e">
        <f t="shared" si="173"/>
        <v>#N/A</v>
      </c>
      <c r="HY179" s="235" t="e">
        <f t="shared" si="174"/>
        <v>#N/A</v>
      </c>
      <c r="IB179" s="235" t="e">
        <f t="shared" si="175"/>
        <v>#N/A</v>
      </c>
      <c r="IC179" s="235" t="e">
        <f t="shared" si="176"/>
        <v>#N/A</v>
      </c>
      <c r="IE179" s="342">
        <v>165</v>
      </c>
      <c r="IF179" s="262" t="e">
        <f t="shared" si="177"/>
        <v>#N/A</v>
      </c>
      <c r="IG179" s="262" t="e">
        <f t="shared" si="178"/>
        <v>#N/A</v>
      </c>
      <c r="IH179" s="379"/>
      <c r="II179" s="379"/>
      <c r="IJ179" s="262" t="e">
        <f t="shared" si="179"/>
        <v>#N/A</v>
      </c>
      <c r="IK179" s="262" t="e">
        <f t="shared" si="180"/>
        <v>#N/A</v>
      </c>
      <c r="IL179" s="379"/>
      <c r="IM179" s="379"/>
      <c r="IN179" s="262" t="e">
        <f t="shared" si="181"/>
        <v>#N/A</v>
      </c>
      <c r="IO179" s="262" t="e">
        <f t="shared" si="182"/>
        <v>#N/A</v>
      </c>
      <c r="IP179" s="379"/>
      <c r="IQ179" s="379"/>
      <c r="IR179" s="262" t="e">
        <f t="shared" si="183"/>
        <v>#N/A</v>
      </c>
      <c r="IS179" s="262" t="e">
        <f t="shared" si="184"/>
        <v>#N/A</v>
      </c>
      <c r="IT179" s="379"/>
      <c r="IU179" s="379"/>
      <c r="IV179" s="262" t="e">
        <f t="shared" si="185"/>
        <v>#N/A</v>
      </c>
      <c r="IW179" s="262" t="e">
        <f t="shared" si="186"/>
        <v>#N/A</v>
      </c>
      <c r="JB179" s="313" t="s">
        <v>152</v>
      </c>
      <c r="JC179" s="228">
        <f>JC178</f>
        <v>0.15</v>
      </c>
      <c r="JD179" s="234">
        <f>JA178+($IZ$108/2)-$IZ$109</f>
        <v>7.4999999999999997E-2</v>
      </c>
      <c r="JI179" s="313" t="s">
        <v>152</v>
      </c>
      <c r="JJ179" s="242">
        <f>JJ178</f>
        <v>0.15</v>
      </c>
      <c r="JK179" s="265">
        <f>JH178+($IZ$108/2)-$IZ$109</f>
        <v>7.4999999999999997E-2</v>
      </c>
      <c r="JN179" s="261" t="e">
        <f t="shared" si="187"/>
        <v>#N/A</v>
      </c>
      <c r="JO179" s="261" t="e">
        <f t="shared" si="188"/>
        <v>#N/A</v>
      </c>
      <c r="JR179" s="261" t="e">
        <f t="shared" si="193"/>
        <v>#N/A</v>
      </c>
      <c r="JS179" s="261" t="e">
        <f t="shared" si="194"/>
        <v>#N/A</v>
      </c>
      <c r="JV179" s="261" t="e">
        <f t="shared" si="189"/>
        <v>#N/A</v>
      </c>
      <c r="JW179" s="261" t="e">
        <f t="shared" si="190"/>
        <v>#N/A</v>
      </c>
      <c r="PS179" s="342">
        <v>165</v>
      </c>
      <c r="PT179" s="261" t="e">
        <f t="shared" si="191"/>
        <v>#N/A</v>
      </c>
      <c r="PU179" s="261" t="e">
        <f t="shared" si="192"/>
        <v>#N/A</v>
      </c>
    </row>
    <row r="180" spans="4:437" x14ac:dyDescent="0.5"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310"/>
      <c r="AQ180" s="310"/>
      <c r="AR180" s="310"/>
      <c r="AS180" s="310"/>
      <c r="AT180" s="310"/>
      <c r="AU180" s="310"/>
      <c r="AV180" s="310"/>
      <c r="AW180" s="310"/>
      <c r="AX180" s="310"/>
      <c r="AY180" s="310"/>
      <c r="AZ180" s="310"/>
      <c r="BA180" s="310"/>
      <c r="HK180" s="342">
        <v>166</v>
      </c>
      <c r="HL180" s="235" t="e">
        <f t="shared" si="167"/>
        <v>#N/A</v>
      </c>
      <c r="HM180" s="235" t="e">
        <f t="shared" si="168"/>
        <v>#N/A</v>
      </c>
      <c r="HP180" s="235" t="e">
        <f t="shared" si="169"/>
        <v>#N/A</v>
      </c>
      <c r="HQ180" s="235" t="e">
        <f t="shared" si="170"/>
        <v>#N/A</v>
      </c>
      <c r="HT180" s="235" t="e">
        <f t="shared" si="171"/>
        <v>#N/A</v>
      </c>
      <c r="HU180" s="235" t="e">
        <f t="shared" si="172"/>
        <v>#N/A</v>
      </c>
      <c r="HX180" s="235" t="e">
        <f t="shared" si="173"/>
        <v>#N/A</v>
      </c>
      <c r="HY180" s="235" t="e">
        <f t="shared" si="174"/>
        <v>#N/A</v>
      </c>
      <c r="IB180" s="235" t="e">
        <f t="shared" si="175"/>
        <v>#N/A</v>
      </c>
      <c r="IC180" s="235" t="e">
        <f t="shared" si="176"/>
        <v>#N/A</v>
      </c>
      <c r="IE180" s="342">
        <v>166</v>
      </c>
      <c r="IF180" s="262" t="e">
        <f t="shared" si="177"/>
        <v>#N/A</v>
      </c>
      <c r="IG180" s="262" t="e">
        <f t="shared" si="178"/>
        <v>#N/A</v>
      </c>
      <c r="IH180" s="379"/>
      <c r="II180" s="379"/>
      <c r="IJ180" s="262" t="e">
        <f t="shared" si="179"/>
        <v>#N/A</v>
      </c>
      <c r="IK180" s="262" t="e">
        <f t="shared" si="180"/>
        <v>#N/A</v>
      </c>
      <c r="IL180" s="379"/>
      <c r="IM180" s="379"/>
      <c r="IN180" s="262" t="e">
        <f t="shared" si="181"/>
        <v>#N/A</v>
      </c>
      <c r="IO180" s="262" t="e">
        <f t="shared" si="182"/>
        <v>#N/A</v>
      </c>
      <c r="IP180" s="379"/>
      <c r="IQ180" s="379"/>
      <c r="IR180" s="262" t="e">
        <f t="shared" si="183"/>
        <v>#N/A</v>
      </c>
      <c r="IS180" s="262" t="e">
        <f t="shared" si="184"/>
        <v>#N/A</v>
      </c>
      <c r="IT180" s="379"/>
      <c r="IU180" s="379"/>
      <c r="IV180" s="262" t="e">
        <f t="shared" si="185"/>
        <v>#N/A</v>
      </c>
      <c r="IW180" s="262" t="e">
        <f t="shared" si="186"/>
        <v>#N/A</v>
      </c>
      <c r="JB180" s="313" t="s">
        <v>167</v>
      </c>
      <c r="JC180" s="228">
        <f>IZ178+$IZ$112/2</f>
        <v>0.05</v>
      </c>
      <c r="JD180" s="237">
        <f>JA178+($IZ$108/2)-($IZ$108-$IZ$111-$IZ$110)</f>
        <v>4.4999999999999998E-2</v>
      </c>
      <c r="JI180" s="313" t="s">
        <v>167</v>
      </c>
      <c r="JJ180" s="242">
        <f>JG178+$IZ$112/2</f>
        <v>0.05</v>
      </c>
      <c r="JK180" s="266">
        <f>JH178+($IZ$108/2)-($IZ$108-$IZ$111-$IZ$110)</f>
        <v>4.4999999999999998E-2</v>
      </c>
      <c r="JN180" s="261" t="e">
        <f t="shared" si="187"/>
        <v>#N/A</v>
      </c>
      <c r="JO180" s="261" t="e">
        <f t="shared" si="188"/>
        <v>#N/A</v>
      </c>
      <c r="JR180" s="261" t="e">
        <f t="shared" si="193"/>
        <v>#N/A</v>
      </c>
      <c r="JS180" s="261" t="e">
        <f t="shared" si="194"/>
        <v>#N/A</v>
      </c>
      <c r="JV180" s="261" t="e">
        <f t="shared" si="189"/>
        <v>#N/A</v>
      </c>
      <c r="JW180" s="261" t="e">
        <f t="shared" si="190"/>
        <v>#N/A</v>
      </c>
      <c r="PS180" s="342">
        <v>166</v>
      </c>
      <c r="PT180" s="261" t="e">
        <f t="shared" si="191"/>
        <v>#N/A</v>
      </c>
      <c r="PU180" s="261" t="e">
        <f t="shared" si="192"/>
        <v>#N/A</v>
      </c>
    </row>
    <row r="181" spans="4:437" x14ac:dyDescent="0.5"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310"/>
      <c r="AQ181" s="310"/>
      <c r="AR181" s="310"/>
      <c r="AS181" s="310"/>
      <c r="AT181" s="310"/>
      <c r="AU181" s="310"/>
      <c r="AV181" s="310"/>
      <c r="AW181" s="310"/>
      <c r="AX181" s="310"/>
      <c r="AY181" s="310"/>
      <c r="AZ181" s="310"/>
      <c r="BA181" s="310"/>
      <c r="HK181" s="342">
        <v>167</v>
      </c>
      <c r="HL181" s="235" t="e">
        <f t="shared" si="167"/>
        <v>#N/A</v>
      </c>
      <c r="HM181" s="235" t="e">
        <f t="shared" si="168"/>
        <v>#N/A</v>
      </c>
      <c r="HP181" s="235" t="e">
        <f t="shared" si="169"/>
        <v>#N/A</v>
      </c>
      <c r="HQ181" s="235" t="e">
        <f t="shared" si="170"/>
        <v>#N/A</v>
      </c>
      <c r="HT181" s="235" t="e">
        <f t="shared" si="171"/>
        <v>#N/A</v>
      </c>
      <c r="HU181" s="235" t="e">
        <f t="shared" si="172"/>
        <v>#N/A</v>
      </c>
      <c r="HX181" s="235" t="e">
        <f t="shared" si="173"/>
        <v>#N/A</v>
      </c>
      <c r="HY181" s="235" t="e">
        <f t="shared" si="174"/>
        <v>#N/A</v>
      </c>
      <c r="IB181" s="235" t="e">
        <f t="shared" si="175"/>
        <v>#N/A</v>
      </c>
      <c r="IC181" s="235" t="e">
        <f t="shared" si="176"/>
        <v>#N/A</v>
      </c>
      <c r="IE181" s="342">
        <v>167</v>
      </c>
      <c r="IF181" s="262" t="e">
        <f t="shared" si="177"/>
        <v>#N/A</v>
      </c>
      <c r="IG181" s="262" t="e">
        <f t="shared" si="178"/>
        <v>#N/A</v>
      </c>
      <c r="IH181" s="379"/>
      <c r="II181" s="379"/>
      <c r="IJ181" s="262" t="e">
        <f t="shared" si="179"/>
        <v>#N/A</v>
      </c>
      <c r="IK181" s="262" t="e">
        <f t="shared" si="180"/>
        <v>#N/A</v>
      </c>
      <c r="IL181" s="379"/>
      <c r="IM181" s="379"/>
      <c r="IN181" s="262" t="e">
        <f t="shared" si="181"/>
        <v>#N/A</v>
      </c>
      <c r="IO181" s="262" t="e">
        <f t="shared" si="182"/>
        <v>#N/A</v>
      </c>
      <c r="IP181" s="379"/>
      <c r="IQ181" s="379"/>
      <c r="IR181" s="262" t="e">
        <f t="shared" si="183"/>
        <v>#N/A</v>
      </c>
      <c r="IS181" s="262" t="e">
        <f t="shared" si="184"/>
        <v>#N/A</v>
      </c>
      <c r="IT181" s="379"/>
      <c r="IU181" s="379"/>
      <c r="IV181" s="262" t="e">
        <f t="shared" si="185"/>
        <v>#N/A</v>
      </c>
      <c r="IW181" s="262" t="e">
        <f t="shared" si="186"/>
        <v>#N/A</v>
      </c>
      <c r="JB181" s="313" t="s">
        <v>325</v>
      </c>
      <c r="JC181" s="228">
        <f>JC180</f>
        <v>0.05</v>
      </c>
      <c r="JD181" s="237">
        <f>JA178-($IZ$108/2-$IZ$110)</f>
        <v>-4.4999999999999998E-2</v>
      </c>
      <c r="JI181" s="313" t="s">
        <v>325</v>
      </c>
      <c r="JJ181" s="242">
        <f>JJ180</f>
        <v>0.05</v>
      </c>
      <c r="JK181" s="266">
        <f>JH178-($IZ$108/2-$IZ$110)</f>
        <v>-4.4999999999999998E-2</v>
      </c>
      <c r="JN181" s="261" t="e">
        <f t="shared" si="187"/>
        <v>#N/A</v>
      </c>
      <c r="JO181" s="261" t="e">
        <f t="shared" si="188"/>
        <v>#N/A</v>
      </c>
      <c r="JR181" s="261" t="e">
        <f t="shared" si="193"/>
        <v>#N/A</v>
      </c>
      <c r="JS181" s="261" t="e">
        <f t="shared" si="194"/>
        <v>#N/A</v>
      </c>
      <c r="JV181" s="261" t="e">
        <f t="shared" si="189"/>
        <v>#N/A</v>
      </c>
      <c r="JW181" s="261" t="e">
        <f t="shared" si="190"/>
        <v>#N/A</v>
      </c>
      <c r="PS181" s="342">
        <v>167</v>
      </c>
      <c r="PT181" s="261" t="e">
        <f t="shared" si="191"/>
        <v>#N/A</v>
      </c>
      <c r="PU181" s="261" t="e">
        <f t="shared" si="192"/>
        <v>#N/A</v>
      </c>
    </row>
    <row r="182" spans="4:437" x14ac:dyDescent="0.5"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310"/>
      <c r="AQ182" s="310"/>
      <c r="AR182" s="310"/>
      <c r="AS182" s="310"/>
      <c r="AT182" s="310"/>
      <c r="AU182" s="310"/>
      <c r="AV182" s="310"/>
      <c r="AW182" s="310"/>
      <c r="AX182" s="310"/>
      <c r="AY182" s="310"/>
      <c r="AZ182" s="310"/>
      <c r="BA182" s="310"/>
      <c r="HK182" s="342">
        <v>168</v>
      </c>
      <c r="HL182" s="235" t="e">
        <f t="shared" si="167"/>
        <v>#N/A</v>
      </c>
      <c r="HM182" s="235" t="e">
        <f t="shared" si="168"/>
        <v>#N/A</v>
      </c>
      <c r="HP182" s="235" t="e">
        <f t="shared" si="169"/>
        <v>#N/A</v>
      </c>
      <c r="HQ182" s="235" t="e">
        <f t="shared" si="170"/>
        <v>#N/A</v>
      </c>
      <c r="HT182" s="235" t="e">
        <f t="shared" si="171"/>
        <v>#N/A</v>
      </c>
      <c r="HU182" s="235" t="e">
        <f t="shared" si="172"/>
        <v>#N/A</v>
      </c>
      <c r="HX182" s="235" t="e">
        <f t="shared" si="173"/>
        <v>#N/A</v>
      </c>
      <c r="HY182" s="235" t="e">
        <f t="shared" si="174"/>
        <v>#N/A</v>
      </c>
      <c r="IB182" s="235" t="e">
        <f t="shared" si="175"/>
        <v>#N/A</v>
      </c>
      <c r="IC182" s="235" t="e">
        <f t="shared" si="176"/>
        <v>#N/A</v>
      </c>
      <c r="IE182" s="342">
        <v>168</v>
      </c>
      <c r="IF182" s="262" t="e">
        <f t="shared" si="177"/>
        <v>#N/A</v>
      </c>
      <c r="IG182" s="262" t="e">
        <f t="shared" si="178"/>
        <v>#N/A</v>
      </c>
      <c r="IH182" s="379"/>
      <c r="II182" s="379"/>
      <c r="IJ182" s="262" t="e">
        <f t="shared" si="179"/>
        <v>#N/A</v>
      </c>
      <c r="IK182" s="262" t="e">
        <f t="shared" si="180"/>
        <v>#N/A</v>
      </c>
      <c r="IL182" s="379"/>
      <c r="IM182" s="379"/>
      <c r="IN182" s="262" t="e">
        <f t="shared" si="181"/>
        <v>#N/A</v>
      </c>
      <c r="IO182" s="262" t="e">
        <f t="shared" si="182"/>
        <v>#N/A</v>
      </c>
      <c r="IP182" s="379"/>
      <c r="IQ182" s="379"/>
      <c r="IR182" s="262" t="e">
        <f t="shared" si="183"/>
        <v>#N/A</v>
      </c>
      <c r="IS182" s="262" t="e">
        <f t="shared" si="184"/>
        <v>#N/A</v>
      </c>
      <c r="IT182" s="379"/>
      <c r="IU182" s="379"/>
      <c r="IV182" s="262" t="e">
        <f t="shared" si="185"/>
        <v>#N/A</v>
      </c>
      <c r="IW182" s="262" t="e">
        <f t="shared" si="186"/>
        <v>#N/A</v>
      </c>
      <c r="JB182" s="313" t="s">
        <v>326</v>
      </c>
      <c r="JC182" s="228">
        <f>JC179</f>
        <v>0.15</v>
      </c>
      <c r="JD182" s="228">
        <f>JA178-($IZ$108/2)+$IZ$109</f>
        <v>-7.4999999999999997E-2</v>
      </c>
      <c r="JI182" s="313" t="s">
        <v>326</v>
      </c>
      <c r="JJ182" s="242">
        <f>JJ179</f>
        <v>0.15</v>
      </c>
      <c r="JK182" s="242">
        <f>JH178-($IZ$108/2)+$IZ$109</f>
        <v>-7.4999999999999997E-2</v>
      </c>
      <c r="JN182" s="261" t="e">
        <f t="shared" si="187"/>
        <v>#N/A</v>
      </c>
      <c r="JO182" s="261" t="e">
        <f t="shared" si="188"/>
        <v>#N/A</v>
      </c>
      <c r="JR182" s="261" t="e">
        <f t="shared" si="193"/>
        <v>#N/A</v>
      </c>
      <c r="JS182" s="261" t="e">
        <f t="shared" si="194"/>
        <v>#N/A</v>
      </c>
      <c r="JV182" s="261" t="e">
        <f t="shared" si="189"/>
        <v>#N/A</v>
      </c>
      <c r="JW182" s="261" t="e">
        <f t="shared" si="190"/>
        <v>#N/A</v>
      </c>
      <c r="PS182" s="342">
        <v>168</v>
      </c>
      <c r="PT182" s="261" t="e">
        <f t="shared" si="191"/>
        <v>#N/A</v>
      </c>
      <c r="PU182" s="261" t="e">
        <f t="shared" si="192"/>
        <v>#N/A</v>
      </c>
    </row>
    <row r="183" spans="4:437" x14ac:dyDescent="0.5"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310"/>
      <c r="AQ183" s="310"/>
      <c r="AR183" s="310"/>
      <c r="AS183" s="310"/>
      <c r="AT183" s="310"/>
      <c r="AU183" s="310"/>
      <c r="AV183" s="310"/>
      <c r="AW183" s="310"/>
      <c r="AX183" s="310"/>
      <c r="AY183" s="310"/>
      <c r="AZ183" s="310"/>
      <c r="BA183" s="310"/>
      <c r="HK183" s="342">
        <v>169</v>
      </c>
      <c r="HL183" s="235" t="e">
        <f t="shared" si="167"/>
        <v>#N/A</v>
      </c>
      <c r="HM183" s="235" t="e">
        <f t="shared" si="168"/>
        <v>#N/A</v>
      </c>
      <c r="HP183" s="235" t="e">
        <f t="shared" si="169"/>
        <v>#N/A</v>
      </c>
      <c r="HQ183" s="235" t="e">
        <f t="shared" si="170"/>
        <v>#N/A</v>
      </c>
      <c r="HT183" s="235" t="e">
        <f t="shared" si="171"/>
        <v>#N/A</v>
      </c>
      <c r="HU183" s="235" t="e">
        <f t="shared" si="172"/>
        <v>#N/A</v>
      </c>
      <c r="HX183" s="235" t="e">
        <f t="shared" si="173"/>
        <v>#N/A</v>
      </c>
      <c r="HY183" s="235" t="e">
        <f t="shared" si="174"/>
        <v>#N/A</v>
      </c>
      <c r="IB183" s="235" t="e">
        <f t="shared" si="175"/>
        <v>#N/A</v>
      </c>
      <c r="IC183" s="235" t="e">
        <f t="shared" si="176"/>
        <v>#N/A</v>
      </c>
      <c r="IE183" s="342">
        <v>169</v>
      </c>
      <c r="IF183" s="262" t="e">
        <f t="shared" si="177"/>
        <v>#N/A</v>
      </c>
      <c r="IG183" s="262" t="e">
        <f t="shared" si="178"/>
        <v>#N/A</v>
      </c>
      <c r="IH183" s="379"/>
      <c r="II183" s="379"/>
      <c r="IJ183" s="262" t="e">
        <f t="shared" si="179"/>
        <v>#N/A</v>
      </c>
      <c r="IK183" s="262" t="e">
        <f t="shared" si="180"/>
        <v>#N/A</v>
      </c>
      <c r="IL183" s="379"/>
      <c r="IM183" s="379"/>
      <c r="IN183" s="262" t="e">
        <f t="shared" si="181"/>
        <v>#N/A</v>
      </c>
      <c r="IO183" s="262" t="e">
        <f t="shared" si="182"/>
        <v>#N/A</v>
      </c>
      <c r="IP183" s="379"/>
      <c r="IQ183" s="379"/>
      <c r="IR183" s="262" t="e">
        <f t="shared" si="183"/>
        <v>#N/A</v>
      </c>
      <c r="IS183" s="262" t="e">
        <f t="shared" si="184"/>
        <v>#N/A</v>
      </c>
      <c r="IT183" s="379"/>
      <c r="IU183" s="379"/>
      <c r="IV183" s="262" t="e">
        <f t="shared" si="185"/>
        <v>#N/A</v>
      </c>
      <c r="IW183" s="262" t="e">
        <f t="shared" si="186"/>
        <v>#N/A</v>
      </c>
      <c r="JB183" s="313" t="s">
        <v>372</v>
      </c>
      <c r="JC183" s="228">
        <f>JC182</f>
        <v>0.15</v>
      </c>
      <c r="JD183" s="228">
        <f>JA178-($IZ$108/2)+$IZ$114</f>
        <v>-0.13500000000000001</v>
      </c>
      <c r="JI183" s="313" t="s">
        <v>372</v>
      </c>
      <c r="JJ183" s="242">
        <f>JJ182</f>
        <v>0.15</v>
      </c>
      <c r="JK183" s="242">
        <f>JH178-($IZ$108/2)+$IZ$114</f>
        <v>-0.13500000000000001</v>
      </c>
      <c r="JN183" s="261" t="e">
        <f t="shared" si="187"/>
        <v>#N/A</v>
      </c>
      <c r="JO183" s="261" t="e">
        <f t="shared" si="188"/>
        <v>#N/A</v>
      </c>
      <c r="JR183" s="261" t="e">
        <f t="shared" si="193"/>
        <v>#N/A</v>
      </c>
      <c r="JS183" s="261" t="e">
        <f t="shared" si="194"/>
        <v>#N/A</v>
      </c>
      <c r="JV183" s="261" t="e">
        <f t="shared" si="189"/>
        <v>#N/A</v>
      </c>
      <c r="JW183" s="261" t="e">
        <f t="shared" si="190"/>
        <v>#N/A</v>
      </c>
      <c r="PS183" s="342">
        <v>169</v>
      </c>
      <c r="PT183" s="261" t="e">
        <f t="shared" si="191"/>
        <v>#N/A</v>
      </c>
      <c r="PU183" s="261" t="e">
        <f t="shared" si="192"/>
        <v>#N/A</v>
      </c>
    </row>
    <row r="184" spans="4:437" x14ac:dyDescent="0.5"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310"/>
      <c r="AQ184" s="310"/>
      <c r="AR184" s="310"/>
      <c r="AS184" s="310"/>
      <c r="AT184" s="310"/>
      <c r="AU184" s="310"/>
      <c r="AV184" s="310"/>
      <c r="AW184" s="310"/>
      <c r="AX184" s="310"/>
      <c r="AY184" s="310"/>
      <c r="AZ184" s="310"/>
      <c r="BA184" s="310"/>
      <c r="HK184" s="342">
        <v>170</v>
      </c>
      <c r="HL184" s="235" t="e">
        <f t="shared" si="167"/>
        <v>#N/A</v>
      </c>
      <c r="HM184" s="235" t="e">
        <f t="shared" si="168"/>
        <v>#N/A</v>
      </c>
      <c r="HP184" s="235" t="e">
        <f t="shared" si="169"/>
        <v>#N/A</v>
      </c>
      <c r="HQ184" s="235" t="e">
        <f t="shared" si="170"/>
        <v>#N/A</v>
      </c>
      <c r="HT184" s="235" t="e">
        <f t="shared" si="171"/>
        <v>#N/A</v>
      </c>
      <c r="HU184" s="235" t="e">
        <f t="shared" si="172"/>
        <v>#N/A</v>
      </c>
      <c r="HX184" s="235" t="e">
        <f t="shared" si="173"/>
        <v>#N/A</v>
      </c>
      <c r="HY184" s="235" t="e">
        <f t="shared" si="174"/>
        <v>#N/A</v>
      </c>
      <c r="IB184" s="235" t="e">
        <f t="shared" si="175"/>
        <v>#N/A</v>
      </c>
      <c r="IC184" s="235" t="e">
        <f t="shared" si="176"/>
        <v>#N/A</v>
      </c>
      <c r="IE184" s="342">
        <v>170</v>
      </c>
      <c r="IF184" s="262" t="e">
        <f t="shared" si="177"/>
        <v>#N/A</v>
      </c>
      <c r="IG184" s="262" t="e">
        <f t="shared" si="178"/>
        <v>#N/A</v>
      </c>
      <c r="IH184" s="379"/>
      <c r="II184" s="379"/>
      <c r="IJ184" s="262" t="e">
        <f t="shared" si="179"/>
        <v>#N/A</v>
      </c>
      <c r="IK184" s="262" t="e">
        <f t="shared" si="180"/>
        <v>#N/A</v>
      </c>
      <c r="IL184" s="379"/>
      <c r="IM184" s="379"/>
      <c r="IN184" s="262" t="e">
        <f t="shared" si="181"/>
        <v>#N/A</v>
      </c>
      <c r="IO184" s="262" t="e">
        <f t="shared" si="182"/>
        <v>#N/A</v>
      </c>
      <c r="IP184" s="379"/>
      <c r="IQ184" s="379"/>
      <c r="IR184" s="262" t="e">
        <f t="shared" si="183"/>
        <v>#N/A</v>
      </c>
      <c r="IS184" s="262" t="e">
        <f t="shared" si="184"/>
        <v>#N/A</v>
      </c>
      <c r="IT184" s="379"/>
      <c r="IU184" s="379"/>
      <c r="IV184" s="262" t="e">
        <f t="shared" si="185"/>
        <v>#N/A</v>
      </c>
      <c r="IW184" s="262" t="e">
        <f t="shared" si="186"/>
        <v>#N/A</v>
      </c>
      <c r="JB184" s="313" t="s">
        <v>373</v>
      </c>
      <c r="JC184" s="228">
        <f>JC177</f>
        <v>0.13500000000000001</v>
      </c>
      <c r="JD184" s="228">
        <f>JA178-$IZ$108/2</f>
        <v>-0.15</v>
      </c>
      <c r="JI184" s="313" t="s">
        <v>373</v>
      </c>
      <c r="JJ184" s="242">
        <f>JJ177</f>
        <v>0.13500000000000001</v>
      </c>
      <c r="JK184" s="242">
        <f>JH178-$IZ$108/2</f>
        <v>-0.15</v>
      </c>
      <c r="JN184" s="261" t="e">
        <f t="shared" si="187"/>
        <v>#N/A</v>
      </c>
      <c r="JO184" s="261" t="e">
        <f t="shared" si="188"/>
        <v>#N/A</v>
      </c>
      <c r="JR184" s="261" t="e">
        <f t="shared" si="193"/>
        <v>#N/A</v>
      </c>
      <c r="JS184" s="261" t="e">
        <f t="shared" si="194"/>
        <v>#N/A</v>
      </c>
      <c r="JV184" s="261" t="e">
        <f t="shared" si="189"/>
        <v>#N/A</v>
      </c>
      <c r="JW184" s="261" t="e">
        <f t="shared" si="190"/>
        <v>#N/A</v>
      </c>
      <c r="PS184" s="342">
        <v>170</v>
      </c>
      <c r="PT184" s="261" t="e">
        <f t="shared" si="191"/>
        <v>#N/A</v>
      </c>
      <c r="PU184" s="261" t="e">
        <f t="shared" si="192"/>
        <v>#N/A</v>
      </c>
    </row>
    <row r="185" spans="4:437" x14ac:dyDescent="0.5"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310"/>
      <c r="AQ185" s="310"/>
      <c r="AR185" s="310"/>
      <c r="AS185" s="310"/>
      <c r="AT185" s="310"/>
      <c r="AU185" s="310"/>
      <c r="AV185" s="310"/>
      <c r="AW185" s="310"/>
      <c r="AX185" s="310"/>
      <c r="AY185" s="310"/>
      <c r="AZ185" s="310"/>
      <c r="BA185" s="310"/>
      <c r="HK185" s="342">
        <v>171</v>
      </c>
      <c r="HL185" s="235" t="e">
        <f t="shared" si="167"/>
        <v>#N/A</v>
      </c>
      <c r="HM185" s="235" t="e">
        <f t="shared" si="168"/>
        <v>#N/A</v>
      </c>
      <c r="HP185" s="235" t="e">
        <f t="shared" si="169"/>
        <v>#N/A</v>
      </c>
      <c r="HQ185" s="235" t="e">
        <f t="shared" si="170"/>
        <v>#N/A</v>
      </c>
      <c r="HT185" s="235" t="e">
        <f t="shared" si="171"/>
        <v>#N/A</v>
      </c>
      <c r="HU185" s="235" t="e">
        <f t="shared" si="172"/>
        <v>#N/A</v>
      </c>
      <c r="HX185" s="235" t="e">
        <f t="shared" si="173"/>
        <v>#N/A</v>
      </c>
      <c r="HY185" s="235" t="e">
        <f t="shared" si="174"/>
        <v>#N/A</v>
      </c>
      <c r="IB185" s="235" t="e">
        <f t="shared" si="175"/>
        <v>#N/A</v>
      </c>
      <c r="IC185" s="235" t="e">
        <f t="shared" si="176"/>
        <v>#N/A</v>
      </c>
      <c r="IE185" s="342">
        <v>171</v>
      </c>
      <c r="IF185" s="262" t="e">
        <f t="shared" si="177"/>
        <v>#N/A</v>
      </c>
      <c r="IG185" s="262" t="e">
        <f t="shared" si="178"/>
        <v>#N/A</v>
      </c>
      <c r="IH185" s="379"/>
      <c r="II185" s="379"/>
      <c r="IJ185" s="262" t="e">
        <f t="shared" si="179"/>
        <v>#N/A</v>
      </c>
      <c r="IK185" s="262" t="e">
        <f t="shared" si="180"/>
        <v>#N/A</v>
      </c>
      <c r="IL185" s="379"/>
      <c r="IM185" s="379"/>
      <c r="IN185" s="262" t="e">
        <f t="shared" si="181"/>
        <v>#N/A</v>
      </c>
      <c r="IO185" s="262" t="e">
        <f t="shared" si="182"/>
        <v>#N/A</v>
      </c>
      <c r="IP185" s="379"/>
      <c r="IQ185" s="379"/>
      <c r="IR185" s="262" t="e">
        <f t="shared" si="183"/>
        <v>#N/A</v>
      </c>
      <c r="IS185" s="262" t="e">
        <f t="shared" si="184"/>
        <v>#N/A</v>
      </c>
      <c r="IT185" s="379"/>
      <c r="IU185" s="379"/>
      <c r="IV185" s="262" t="e">
        <f t="shared" si="185"/>
        <v>#N/A</v>
      </c>
      <c r="IW185" s="262" t="e">
        <f t="shared" si="186"/>
        <v>#N/A</v>
      </c>
      <c r="JB185" s="313" t="s">
        <v>393</v>
      </c>
      <c r="JC185" s="228">
        <f>JC176</f>
        <v>-0.13500000000000001</v>
      </c>
      <c r="JD185" s="228">
        <f>JD184</f>
        <v>-0.15</v>
      </c>
      <c r="JI185" s="313" t="s">
        <v>393</v>
      </c>
      <c r="JJ185" s="242">
        <f>JJ176</f>
        <v>-0.13500000000000001</v>
      </c>
      <c r="JK185" s="242">
        <f>JK184</f>
        <v>-0.15</v>
      </c>
      <c r="JN185" s="261" t="e">
        <f t="shared" si="187"/>
        <v>#N/A</v>
      </c>
      <c r="JO185" s="261" t="e">
        <f t="shared" si="188"/>
        <v>#N/A</v>
      </c>
      <c r="JR185" s="261" t="e">
        <f t="shared" si="193"/>
        <v>#N/A</v>
      </c>
      <c r="JS185" s="261" t="e">
        <f t="shared" si="194"/>
        <v>#N/A</v>
      </c>
      <c r="JV185" s="261" t="e">
        <f t="shared" si="189"/>
        <v>#N/A</v>
      </c>
      <c r="JW185" s="261" t="e">
        <f t="shared" si="190"/>
        <v>#N/A</v>
      </c>
      <c r="PS185" s="342">
        <v>171</v>
      </c>
      <c r="PT185" s="261" t="e">
        <f t="shared" si="191"/>
        <v>#N/A</v>
      </c>
      <c r="PU185" s="261" t="e">
        <f t="shared" si="192"/>
        <v>#N/A</v>
      </c>
    </row>
    <row r="186" spans="4:437" x14ac:dyDescent="0.5"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310"/>
      <c r="AQ186" s="310"/>
      <c r="AR186" s="310"/>
      <c r="AS186" s="310"/>
      <c r="AT186" s="310"/>
      <c r="AU186" s="310"/>
      <c r="AV186" s="310"/>
      <c r="AW186" s="310"/>
      <c r="AX186" s="310"/>
      <c r="AY186" s="310"/>
      <c r="AZ186" s="310"/>
      <c r="BA186" s="310"/>
      <c r="HK186" s="342">
        <v>172</v>
      </c>
      <c r="HL186" s="235" t="e">
        <f t="shared" si="167"/>
        <v>#N/A</v>
      </c>
      <c r="HM186" s="235" t="e">
        <f t="shared" si="168"/>
        <v>#N/A</v>
      </c>
      <c r="HP186" s="235" t="e">
        <f t="shared" si="169"/>
        <v>#N/A</v>
      </c>
      <c r="HQ186" s="235" t="e">
        <f t="shared" si="170"/>
        <v>#N/A</v>
      </c>
      <c r="HT186" s="235" t="e">
        <f t="shared" si="171"/>
        <v>#N/A</v>
      </c>
      <c r="HU186" s="235" t="e">
        <f t="shared" si="172"/>
        <v>#N/A</v>
      </c>
      <c r="HX186" s="235" t="e">
        <f t="shared" si="173"/>
        <v>#N/A</v>
      </c>
      <c r="HY186" s="235" t="e">
        <f t="shared" si="174"/>
        <v>#N/A</v>
      </c>
      <c r="IB186" s="235" t="e">
        <f t="shared" si="175"/>
        <v>#N/A</v>
      </c>
      <c r="IC186" s="235" t="e">
        <f t="shared" si="176"/>
        <v>#N/A</v>
      </c>
      <c r="IE186" s="342">
        <v>172</v>
      </c>
      <c r="IF186" s="262" t="e">
        <f t="shared" si="177"/>
        <v>#N/A</v>
      </c>
      <c r="IG186" s="262" t="e">
        <f t="shared" si="178"/>
        <v>#N/A</v>
      </c>
      <c r="IH186" s="379"/>
      <c r="II186" s="379"/>
      <c r="IJ186" s="262" t="e">
        <f t="shared" si="179"/>
        <v>#N/A</v>
      </c>
      <c r="IK186" s="262" t="e">
        <f t="shared" si="180"/>
        <v>#N/A</v>
      </c>
      <c r="IL186" s="379"/>
      <c r="IM186" s="379"/>
      <c r="IN186" s="262" t="e">
        <f t="shared" si="181"/>
        <v>#N/A</v>
      </c>
      <c r="IO186" s="262" t="e">
        <f t="shared" si="182"/>
        <v>#N/A</v>
      </c>
      <c r="IP186" s="379"/>
      <c r="IQ186" s="379"/>
      <c r="IR186" s="262" t="e">
        <f t="shared" si="183"/>
        <v>#N/A</v>
      </c>
      <c r="IS186" s="262" t="e">
        <f t="shared" si="184"/>
        <v>#N/A</v>
      </c>
      <c r="IT186" s="379"/>
      <c r="IU186" s="379"/>
      <c r="IV186" s="262" t="e">
        <f t="shared" si="185"/>
        <v>#N/A</v>
      </c>
      <c r="IW186" s="262" t="e">
        <f t="shared" si="186"/>
        <v>#N/A</v>
      </c>
      <c r="JB186" s="313" t="s">
        <v>394</v>
      </c>
      <c r="JC186" s="228">
        <f>JC185-$IZ$114</f>
        <v>-0.15000000000000002</v>
      </c>
      <c r="JD186" s="228">
        <f>JD185+$IZ$114</f>
        <v>-0.13500000000000001</v>
      </c>
      <c r="JI186" s="313" t="s">
        <v>394</v>
      </c>
      <c r="JJ186" s="242">
        <f>JJ185-$IZ$114</f>
        <v>-0.15000000000000002</v>
      </c>
      <c r="JK186" s="242">
        <f>JK185+$IZ$114</f>
        <v>-0.13500000000000001</v>
      </c>
      <c r="JN186" s="261" t="e">
        <f t="shared" si="187"/>
        <v>#N/A</v>
      </c>
      <c r="JO186" s="261" t="e">
        <f t="shared" si="188"/>
        <v>#N/A</v>
      </c>
      <c r="JR186" s="261" t="e">
        <f t="shared" si="193"/>
        <v>#N/A</v>
      </c>
      <c r="JS186" s="261" t="e">
        <f t="shared" si="194"/>
        <v>#N/A</v>
      </c>
      <c r="JV186" s="261" t="e">
        <f t="shared" si="189"/>
        <v>#N/A</v>
      </c>
      <c r="JW186" s="261" t="e">
        <f t="shared" si="190"/>
        <v>#N/A</v>
      </c>
      <c r="PS186" s="342">
        <v>172</v>
      </c>
      <c r="PT186" s="261" t="e">
        <f t="shared" si="191"/>
        <v>#N/A</v>
      </c>
      <c r="PU186" s="261" t="e">
        <f t="shared" si="192"/>
        <v>#N/A</v>
      </c>
    </row>
    <row r="187" spans="4:437" x14ac:dyDescent="0.5"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310"/>
      <c r="AQ187" s="310"/>
      <c r="AR187" s="310"/>
      <c r="AS187" s="310"/>
      <c r="AT187" s="310"/>
      <c r="AU187" s="310"/>
      <c r="AV187" s="310"/>
      <c r="AW187" s="310"/>
      <c r="AX187" s="310"/>
      <c r="AY187" s="310"/>
      <c r="AZ187" s="310"/>
      <c r="BA187" s="310"/>
      <c r="HK187" s="342">
        <v>173</v>
      </c>
      <c r="HL187" s="235" t="e">
        <f t="shared" si="167"/>
        <v>#N/A</v>
      </c>
      <c r="HM187" s="235" t="e">
        <f t="shared" si="168"/>
        <v>#N/A</v>
      </c>
      <c r="HP187" s="235" t="e">
        <f t="shared" si="169"/>
        <v>#N/A</v>
      </c>
      <c r="HQ187" s="235" t="e">
        <f t="shared" si="170"/>
        <v>#N/A</v>
      </c>
      <c r="HT187" s="235" t="e">
        <f t="shared" si="171"/>
        <v>#N/A</v>
      </c>
      <c r="HU187" s="235" t="e">
        <f t="shared" si="172"/>
        <v>#N/A</v>
      </c>
      <c r="HX187" s="235" t="e">
        <f t="shared" si="173"/>
        <v>#N/A</v>
      </c>
      <c r="HY187" s="235" t="e">
        <f t="shared" si="174"/>
        <v>#N/A</v>
      </c>
      <c r="IB187" s="235" t="e">
        <f t="shared" si="175"/>
        <v>#N/A</v>
      </c>
      <c r="IC187" s="235" t="e">
        <f t="shared" si="176"/>
        <v>#N/A</v>
      </c>
      <c r="IE187" s="342">
        <v>173</v>
      </c>
      <c r="IF187" s="262" t="e">
        <f t="shared" si="177"/>
        <v>#N/A</v>
      </c>
      <c r="IG187" s="262" t="e">
        <f t="shared" si="178"/>
        <v>#N/A</v>
      </c>
      <c r="IH187" s="379"/>
      <c r="II187" s="379"/>
      <c r="IJ187" s="262" t="e">
        <f t="shared" si="179"/>
        <v>#N/A</v>
      </c>
      <c r="IK187" s="262" t="e">
        <f t="shared" si="180"/>
        <v>#N/A</v>
      </c>
      <c r="IL187" s="379"/>
      <c r="IM187" s="379"/>
      <c r="IN187" s="262" t="e">
        <f t="shared" si="181"/>
        <v>#N/A</v>
      </c>
      <c r="IO187" s="262" t="e">
        <f t="shared" si="182"/>
        <v>#N/A</v>
      </c>
      <c r="IP187" s="379"/>
      <c r="IQ187" s="379"/>
      <c r="IR187" s="262" t="e">
        <f t="shared" si="183"/>
        <v>#N/A</v>
      </c>
      <c r="IS187" s="262" t="e">
        <f t="shared" si="184"/>
        <v>#N/A</v>
      </c>
      <c r="IT187" s="379"/>
      <c r="IU187" s="379"/>
      <c r="IV187" s="262" t="e">
        <f t="shared" si="185"/>
        <v>#N/A</v>
      </c>
      <c r="IW187" s="262" t="e">
        <f t="shared" si="186"/>
        <v>#N/A</v>
      </c>
      <c r="JB187" s="313" t="s">
        <v>395</v>
      </c>
      <c r="JC187" s="228">
        <f>JC186</f>
        <v>-0.15000000000000002</v>
      </c>
      <c r="JD187" s="228">
        <f>JD182</f>
        <v>-7.4999999999999997E-2</v>
      </c>
      <c r="JI187" s="313" t="s">
        <v>395</v>
      </c>
      <c r="JJ187" s="242">
        <f>JJ186</f>
        <v>-0.15000000000000002</v>
      </c>
      <c r="JK187" s="242">
        <f>JK182</f>
        <v>-7.4999999999999997E-2</v>
      </c>
      <c r="JN187" s="261" t="e">
        <f t="shared" si="187"/>
        <v>#N/A</v>
      </c>
      <c r="JO187" s="261" t="e">
        <f t="shared" si="188"/>
        <v>#N/A</v>
      </c>
      <c r="JR187" s="261" t="e">
        <f t="shared" si="193"/>
        <v>#N/A</v>
      </c>
      <c r="JS187" s="261" t="e">
        <f t="shared" si="194"/>
        <v>#N/A</v>
      </c>
      <c r="JV187" s="261" t="e">
        <f t="shared" si="189"/>
        <v>#N/A</v>
      </c>
      <c r="JW187" s="261" t="e">
        <f t="shared" si="190"/>
        <v>#N/A</v>
      </c>
      <c r="PS187" s="342">
        <v>173</v>
      </c>
      <c r="PT187" s="261" t="e">
        <f t="shared" si="191"/>
        <v>#N/A</v>
      </c>
      <c r="PU187" s="261" t="e">
        <f t="shared" si="192"/>
        <v>#N/A</v>
      </c>
    </row>
    <row r="188" spans="4:437" x14ac:dyDescent="0.5"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310"/>
      <c r="AQ188" s="310"/>
      <c r="AR188" s="310"/>
      <c r="AS188" s="310"/>
      <c r="AT188" s="310"/>
      <c r="AU188" s="310"/>
      <c r="AV188" s="310"/>
      <c r="AW188" s="310"/>
      <c r="AX188" s="310"/>
      <c r="AY188" s="310"/>
      <c r="AZ188" s="310"/>
      <c r="BA188" s="310"/>
      <c r="HK188" s="342">
        <v>174</v>
      </c>
      <c r="HL188" s="235" t="e">
        <f t="shared" si="167"/>
        <v>#N/A</v>
      </c>
      <c r="HM188" s="235" t="e">
        <f t="shared" si="168"/>
        <v>#N/A</v>
      </c>
      <c r="HP188" s="235" t="e">
        <f t="shared" si="169"/>
        <v>#N/A</v>
      </c>
      <c r="HQ188" s="235" t="e">
        <f t="shared" si="170"/>
        <v>#N/A</v>
      </c>
      <c r="HT188" s="235" t="e">
        <f t="shared" si="171"/>
        <v>#N/A</v>
      </c>
      <c r="HU188" s="235" t="e">
        <f t="shared" si="172"/>
        <v>#N/A</v>
      </c>
      <c r="HX188" s="235" t="e">
        <f t="shared" si="173"/>
        <v>#N/A</v>
      </c>
      <c r="HY188" s="235" t="e">
        <f t="shared" si="174"/>
        <v>#N/A</v>
      </c>
      <c r="IB188" s="235" t="e">
        <f t="shared" si="175"/>
        <v>#N/A</v>
      </c>
      <c r="IC188" s="235" t="e">
        <f t="shared" si="176"/>
        <v>#N/A</v>
      </c>
      <c r="IE188" s="342">
        <v>174</v>
      </c>
      <c r="IF188" s="262" t="e">
        <f t="shared" si="177"/>
        <v>#N/A</v>
      </c>
      <c r="IG188" s="262" t="e">
        <f t="shared" si="178"/>
        <v>#N/A</v>
      </c>
      <c r="IH188" s="379"/>
      <c r="II188" s="379"/>
      <c r="IJ188" s="262" t="e">
        <f t="shared" si="179"/>
        <v>#N/A</v>
      </c>
      <c r="IK188" s="262" t="e">
        <f t="shared" si="180"/>
        <v>#N/A</v>
      </c>
      <c r="IL188" s="379"/>
      <c r="IM188" s="379"/>
      <c r="IN188" s="262" t="e">
        <f t="shared" si="181"/>
        <v>#N/A</v>
      </c>
      <c r="IO188" s="262" t="e">
        <f t="shared" si="182"/>
        <v>#N/A</v>
      </c>
      <c r="IP188" s="379"/>
      <c r="IQ188" s="379"/>
      <c r="IR188" s="262" t="e">
        <f t="shared" si="183"/>
        <v>#N/A</v>
      </c>
      <c r="IS188" s="262" t="e">
        <f t="shared" si="184"/>
        <v>#N/A</v>
      </c>
      <c r="IT188" s="379"/>
      <c r="IU188" s="379"/>
      <c r="IV188" s="262" t="e">
        <f t="shared" si="185"/>
        <v>#N/A</v>
      </c>
      <c r="IW188" s="262" t="e">
        <f t="shared" si="186"/>
        <v>#N/A</v>
      </c>
      <c r="JB188" s="313" t="s">
        <v>396</v>
      </c>
      <c r="JC188" s="228">
        <f>IZ178-$IZ$112/2</f>
        <v>-0.05</v>
      </c>
      <c r="JD188" s="237">
        <f>JD181</f>
        <v>-4.4999999999999998E-2</v>
      </c>
      <c r="JI188" s="313" t="s">
        <v>396</v>
      </c>
      <c r="JJ188" s="242">
        <f>JG178-$IZ$112/2</f>
        <v>-0.05</v>
      </c>
      <c r="JK188" s="266">
        <f>JK181</f>
        <v>-4.4999999999999998E-2</v>
      </c>
      <c r="JN188" s="261" t="e">
        <f t="shared" si="187"/>
        <v>#N/A</v>
      </c>
      <c r="JO188" s="261" t="e">
        <f t="shared" si="188"/>
        <v>#N/A</v>
      </c>
      <c r="JR188" s="261" t="e">
        <f t="shared" si="193"/>
        <v>#N/A</v>
      </c>
      <c r="JS188" s="261" t="e">
        <f t="shared" si="194"/>
        <v>#N/A</v>
      </c>
      <c r="JV188" s="261" t="e">
        <f t="shared" si="189"/>
        <v>#N/A</v>
      </c>
      <c r="JW188" s="261" t="e">
        <f t="shared" si="190"/>
        <v>#N/A</v>
      </c>
      <c r="PS188" s="342">
        <v>174</v>
      </c>
      <c r="PT188" s="261" t="e">
        <f t="shared" si="191"/>
        <v>#N/A</v>
      </c>
      <c r="PU188" s="261" t="e">
        <f t="shared" si="192"/>
        <v>#N/A</v>
      </c>
    </row>
    <row r="189" spans="4:437" x14ac:dyDescent="0.5"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310"/>
      <c r="AQ189" s="310"/>
      <c r="AR189" s="310"/>
      <c r="AS189" s="310"/>
      <c r="AT189" s="310"/>
      <c r="AU189" s="310"/>
      <c r="AV189" s="310"/>
      <c r="AW189" s="310"/>
      <c r="AX189" s="310"/>
      <c r="AY189" s="310"/>
      <c r="AZ189" s="310"/>
      <c r="BA189" s="310"/>
      <c r="HK189" s="342">
        <v>175</v>
      </c>
      <c r="HL189" s="235" t="e">
        <f t="shared" si="167"/>
        <v>#N/A</v>
      </c>
      <c r="HM189" s="235" t="e">
        <f t="shared" si="168"/>
        <v>#N/A</v>
      </c>
      <c r="HP189" s="235" t="e">
        <f t="shared" si="169"/>
        <v>#N/A</v>
      </c>
      <c r="HQ189" s="235" t="e">
        <f t="shared" si="170"/>
        <v>#N/A</v>
      </c>
      <c r="HT189" s="235" t="e">
        <f t="shared" si="171"/>
        <v>#N/A</v>
      </c>
      <c r="HU189" s="235" t="e">
        <f t="shared" si="172"/>
        <v>#N/A</v>
      </c>
      <c r="HX189" s="235" t="e">
        <f t="shared" si="173"/>
        <v>#N/A</v>
      </c>
      <c r="HY189" s="235" t="e">
        <f t="shared" si="174"/>
        <v>#N/A</v>
      </c>
      <c r="IB189" s="235" t="e">
        <f t="shared" si="175"/>
        <v>#N/A</v>
      </c>
      <c r="IC189" s="235" t="e">
        <f t="shared" si="176"/>
        <v>#N/A</v>
      </c>
      <c r="IE189" s="342">
        <v>175</v>
      </c>
      <c r="IF189" s="262" t="e">
        <f t="shared" si="177"/>
        <v>#N/A</v>
      </c>
      <c r="IG189" s="262" t="e">
        <f t="shared" si="178"/>
        <v>#N/A</v>
      </c>
      <c r="IH189" s="379"/>
      <c r="II189" s="379"/>
      <c r="IJ189" s="262" t="e">
        <f t="shared" si="179"/>
        <v>#N/A</v>
      </c>
      <c r="IK189" s="262" t="e">
        <f t="shared" si="180"/>
        <v>#N/A</v>
      </c>
      <c r="IL189" s="379"/>
      <c r="IM189" s="379"/>
      <c r="IN189" s="262" t="e">
        <f t="shared" si="181"/>
        <v>#N/A</v>
      </c>
      <c r="IO189" s="262" t="e">
        <f t="shared" si="182"/>
        <v>#N/A</v>
      </c>
      <c r="IP189" s="379"/>
      <c r="IQ189" s="379"/>
      <c r="IR189" s="262" t="e">
        <f t="shared" si="183"/>
        <v>#N/A</v>
      </c>
      <c r="IS189" s="262" t="e">
        <f t="shared" si="184"/>
        <v>#N/A</v>
      </c>
      <c r="IT189" s="379"/>
      <c r="IU189" s="379"/>
      <c r="IV189" s="262" t="e">
        <f t="shared" si="185"/>
        <v>#N/A</v>
      </c>
      <c r="IW189" s="262" t="e">
        <f t="shared" si="186"/>
        <v>#N/A</v>
      </c>
      <c r="JB189" s="313" t="s">
        <v>397</v>
      </c>
      <c r="JC189" s="228">
        <f>JC188</f>
        <v>-0.05</v>
      </c>
      <c r="JD189" s="234">
        <f>JD180</f>
        <v>4.4999999999999998E-2</v>
      </c>
      <c r="JI189" s="313" t="s">
        <v>397</v>
      </c>
      <c r="JJ189" s="242">
        <f>JJ188</f>
        <v>-0.05</v>
      </c>
      <c r="JK189" s="265">
        <f>JK180</f>
        <v>4.4999999999999998E-2</v>
      </c>
      <c r="JN189" s="261" t="e">
        <f t="shared" si="187"/>
        <v>#N/A</v>
      </c>
      <c r="JO189" s="261" t="e">
        <f t="shared" si="188"/>
        <v>#N/A</v>
      </c>
      <c r="JR189" s="261" t="e">
        <f t="shared" si="193"/>
        <v>#N/A</v>
      </c>
      <c r="JS189" s="261" t="e">
        <f t="shared" si="194"/>
        <v>#N/A</v>
      </c>
      <c r="JV189" s="261" t="e">
        <f t="shared" si="189"/>
        <v>#N/A</v>
      </c>
      <c r="JW189" s="261" t="e">
        <f t="shared" si="190"/>
        <v>#N/A</v>
      </c>
      <c r="PS189" s="342">
        <v>175</v>
      </c>
      <c r="PT189" s="261" t="e">
        <f t="shared" si="191"/>
        <v>#N/A</v>
      </c>
      <c r="PU189" s="261" t="e">
        <f t="shared" si="192"/>
        <v>#N/A</v>
      </c>
    </row>
    <row r="190" spans="4:437" x14ac:dyDescent="0.5"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310"/>
      <c r="AQ190" s="310"/>
      <c r="AR190" s="310"/>
      <c r="AS190" s="310"/>
      <c r="AT190" s="310"/>
      <c r="AU190" s="310"/>
      <c r="AV190" s="310"/>
      <c r="AW190" s="310"/>
      <c r="AX190" s="310"/>
      <c r="AY190" s="310"/>
      <c r="AZ190" s="310"/>
      <c r="BA190" s="310"/>
      <c r="HK190" s="342">
        <v>176</v>
      </c>
      <c r="HL190" s="235" t="e">
        <f t="shared" si="167"/>
        <v>#N/A</v>
      </c>
      <c r="HM190" s="235" t="e">
        <f t="shared" si="168"/>
        <v>#N/A</v>
      </c>
      <c r="HP190" s="235" t="e">
        <f t="shared" si="169"/>
        <v>#N/A</v>
      </c>
      <c r="HQ190" s="235" t="e">
        <f t="shared" si="170"/>
        <v>#N/A</v>
      </c>
      <c r="HT190" s="235" t="e">
        <f t="shared" si="171"/>
        <v>#N/A</v>
      </c>
      <c r="HU190" s="235" t="e">
        <f t="shared" si="172"/>
        <v>#N/A</v>
      </c>
      <c r="HX190" s="235" t="e">
        <f t="shared" si="173"/>
        <v>#N/A</v>
      </c>
      <c r="HY190" s="235" t="e">
        <f t="shared" si="174"/>
        <v>#N/A</v>
      </c>
      <c r="IB190" s="235" t="e">
        <f t="shared" si="175"/>
        <v>#N/A</v>
      </c>
      <c r="IC190" s="235" t="e">
        <f t="shared" si="176"/>
        <v>#N/A</v>
      </c>
      <c r="IE190" s="342">
        <v>176</v>
      </c>
      <c r="IF190" s="262" t="e">
        <f t="shared" si="177"/>
        <v>#N/A</v>
      </c>
      <c r="IG190" s="262" t="e">
        <f t="shared" si="178"/>
        <v>#N/A</v>
      </c>
      <c r="IH190" s="379"/>
      <c r="II190" s="379"/>
      <c r="IJ190" s="262" t="e">
        <f t="shared" si="179"/>
        <v>#N/A</v>
      </c>
      <c r="IK190" s="262" t="e">
        <f t="shared" si="180"/>
        <v>#N/A</v>
      </c>
      <c r="IL190" s="379"/>
      <c r="IM190" s="379"/>
      <c r="IN190" s="262" t="e">
        <f t="shared" si="181"/>
        <v>#N/A</v>
      </c>
      <c r="IO190" s="262" t="e">
        <f t="shared" si="182"/>
        <v>#N/A</v>
      </c>
      <c r="IP190" s="379"/>
      <c r="IQ190" s="379"/>
      <c r="IR190" s="262" t="e">
        <f t="shared" si="183"/>
        <v>#N/A</v>
      </c>
      <c r="IS190" s="262" t="e">
        <f t="shared" si="184"/>
        <v>#N/A</v>
      </c>
      <c r="IT190" s="379"/>
      <c r="IU190" s="379"/>
      <c r="IV190" s="262" t="e">
        <f t="shared" si="185"/>
        <v>#N/A</v>
      </c>
      <c r="IW190" s="262" t="e">
        <f t="shared" si="186"/>
        <v>#N/A</v>
      </c>
      <c r="JB190" s="313" t="s">
        <v>398</v>
      </c>
      <c r="JC190" s="228">
        <f>IZ178-$IZ$108/2</f>
        <v>-0.15</v>
      </c>
      <c r="JD190" s="237">
        <f>JD179</f>
        <v>7.4999999999999997E-2</v>
      </c>
      <c r="JI190" s="313" t="s">
        <v>398</v>
      </c>
      <c r="JJ190" s="242">
        <f>JG178-$IZ$108/2</f>
        <v>-0.15</v>
      </c>
      <c r="JK190" s="266">
        <f>JK179</f>
        <v>7.4999999999999997E-2</v>
      </c>
      <c r="JN190" s="261" t="e">
        <f t="shared" si="187"/>
        <v>#N/A</v>
      </c>
      <c r="JO190" s="261" t="e">
        <f t="shared" si="188"/>
        <v>#N/A</v>
      </c>
      <c r="JR190" s="261" t="e">
        <f t="shared" si="193"/>
        <v>#N/A</v>
      </c>
      <c r="JS190" s="261" t="e">
        <f t="shared" si="194"/>
        <v>#N/A</v>
      </c>
      <c r="JV190" s="261" t="e">
        <f t="shared" si="189"/>
        <v>#N/A</v>
      </c>
      <c r="JW190" s="261" t="e">
        <f t="shared" si="190"/>
        <v>#N/A</v>
      </c>
      <c r="PS190" s="342">
        <v>176</v>
      </c>
      <c r="PT190" s="261" t="e">
        <f t="shared" si="191"/>
        <v>#N/A</v>
      </c>
      <c r="PU190" s="261" t="e">
        <f t="shared" si="192"/>
        <v>#N/A</v>
      </c>
    </row>
    <row r="191" spans="4:437" x14ac:dyDescent="0.5"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310"/>
      <c r="AQ191" s="310"/>
      <c r="AR191" s="310"/>
      <c r="AS191" s="310"/>
      <c r="AT191" s="310"/>
      <c r="AU191" s="310"/>
      <c r="AV191" s="310"/>
      <c r="AW191" s="310"/>
      <c r="AX191" s="310"/>
      <c r="AY191" s="310"/>
      <c r="AZ191" s="310"/>
      <c r="BA191" s="310"/>
      <c r="HK191" s="342">
        <v>177</v>
      </c>
      <c r="HL191" s="235" t="e">
        <f t="shared" si="167"/>
        <v>#N/A</v>
      </c>
      <c r="HM191" s="235" t="e">
        <f t="shared" si="168"/>
        <v>#N/A</v>
      </c>
      <c r="HP191" s="235" t="e">
        <f t="shared" si="169"/>
        <v>#N/A</v>
      </c>
      <c r="HQ191" s="235" t="e">
        <f t="shared" si="170"/>
        <v>#N/A</v>
      </c>
      <c r="HT191" s="235" t="e">
        <f t="shared" si="171"/>
        <v>#N/A</v>
      </c>
      <c r="HU191" s="235" t="e">
        <f t="shared" si="172"/>
        <v>#N/A</v>
      </c>
      <c r="HX191" s="235" t="e">
        <f t="shared" si="173"/>
        <v>#N/A</v>
      </c>
      <c r="HY191" s="235" t="e">
        <f t="shared" si="174"/>
        <v>#N/A</v>
      </c>
      <c r="IB191" s="235" t="e">
        <f t="shared" si="175"/>
        <v>#N/A</v>
      </c>
      <c r="IC191" s="235" t="e">
        <f t="shared" si="176"/>
        <v>#N/A</v>
      </c>
      <c r="IE191" s="342">
        <v>177</v>
      </c>
      <c r="IF191" s="262" t="e">
        <f t="shared" si="177"/>
        <v>#N/A</v>
      </c>
      <c r="IG191" s="262" t="e">
        <f t="shared" si="178"/>
        <v>#N/A</v>
      </c>
      <c r="IH191" s="379"/>
      <c r="II191" s="379"/>
      <c r="IJ191" s="262" t="e">
        <f t="shared" si="179"/>
        <v>#N/A</v>
      </c>
      <c r="IK191" s="262" t="e">
        <f t="shared" si="180"/>
        <v>#N/A</v>
      </c>
      <c r="IL191" s="379"/>
      <c r="IM191" s="379"/>
      <c r="IN191" s="262" t="e">
        <f t="shared" si="181"/>
        <v>#N/A</v>
      </c>
      <c r="IO191" s="262" t="e">
        <f t="shared" si="182"/>
        <v>#N/A</v>
      </c>
      <c r="IP191" s="379"/>
      <c r="IQ191" s="379"/>
      <c r="IR191" s="262" t="e">
        <f t="shared" si="183"/>
        <v>#N/A</v>
      </c>
      <c r="IS191" s="262" t="e">
        <f t="shared" si="184"/>
        <v>#N/A</v>
      </c>
      <c r="IT191" s="379"/>
      <c r="IU191" s="379"/>
      <c r="IV191" s="262" t="e">
        <f t="shared" si="185"/>
        <v>#N/A</v>
      </c>
      <c r="IW191" s="262" t="e">
        <f t="shared" si="186"/>
        <v>#N/A</v>
      </c>
      <c r="JB191" s="313" t="s">
        <v>399</v>
      </c>
      <c r="JC191" s="228">
        <f>JC190</f>
        <v>-0.15</v>
      </c>
      <c r="JD191" s="228">
        <f>JD178</f>
        <v>0.13500000000000001</v>
      </c>
      <c r="JI191" s="313" t="s">
        <v>399</v>
      </c>
      <c r="JJ191" s="242">
        <f>JJ190</f>
        <v>-0.15</v>
      </c>
      <c r="JK191" s="242">
        <f>JK178</f>
        <v>0.13500000000000001</v>
      </c>
      <c r="JN191" s="261" t="e">
        <f t="shared" si="187"/>
        <v>#N/A</v>
      </c>
      <c r="JO191" s="261" t="e">
        <f t="shared" si="188"/>
        <v>#N/A</v>
      </c>
      <c r="JR191" s="261" t="e">
        <f t="shared" si="193"/>
        <v>#N/A</v>
      </c>
      <c r="JS191" s="261" t="e">
        <f t="shared" si="194"/>
        <v>#N/A</v>
      </c>
      <c r="JV191" s="261" t="e">
        <f t="shared" si="189"/>
        <v>#N/A</v>
      </c>
      <c r="JW191" s="261" t="e">
        <f t="shared" si="190"/>
        <v>#N/A</v>
      </c>
      <c r="PS191" s="342">
        <v>177</v>
      </c>
      <c r="PT191" s="261" t="e">
        <f t="shared" si="191"/>
        <v>#N/A</v>
      </c>
      <c r="PU191" s="261" t="e">
        <f t="shared" si="192"/>
        <v>#N/A</v>
      </c>
    </row>
    <row r="192" spans="4:437" x14ac:dyDescent="0.5"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310"/>
      <c r="AQ192" s="310"/>
      <c r="AR192" s="310"/>
      <c r="AS192" s="310"/>
      <c r="AT192" s="310"/>
      <c r="AU192" s="310"/>
      <c r="AV192" s="310"/>
      <c r="AW192" s="310"/>
      <c r="AX192" s="310"/>
      <c r="AY192" s="310"/>
      <c r="AZ192" s="310"/>
      <c r="BA192" s="310"/>
      <c r="HK192" s="342">
        <v>178</v>
      </c>
      <c r="HL192" s="235" t="e">
        <f t="shared" si="167"/>
        <v>#N/A</v>
      </c>
      <c r="HM192" s="235" t="e">
        <f t="shared" si="168"/>
        <v>#N/A</v>
      </c>
      <c r="HP192" s="235" t="e">
        <f t="shared" si="169"/>
        <v>#N/A</v>
      </c>
      <c r="HQ192" s="235" t="e">
        <f t="shared" si="170"/>
        <v>#N/A</v>
      </c>
      <c r="HT192" s="235" t="e">
        <f t="shared" si="171"/>
        <v>#N/A</v>
      </c>
      <c r="HU192" s="235" t="e">
        <f t="shared" si="172"/>
        <v>#N/A</v>
      </c>
      <c r="HX192" s="235" t="e">
        <f t="shared" si="173"/>
        <v>#N/A</v>
      </c>
      <c r="HY192" s="235" t="e">
        <f t="shared" si="174"/>
        <v>#N/A</v>
      </c>
      <c r="IB192" s="235" t="e">
        <f t="shared" si="175"/>
        <v>#N/A</v>
      </c>
      <c r="IC192" s="235" t="e">
        <f t="shared" si="176"/>
        <v>#N/A</v>
      </c>
      <c r="IE192" s="342">
        <v>178</v>
      </c>
      <c r="IF192" s="262" t="e">
        <f t="shared" si="177"/>
        <v>#N/A</v>
      </c>
      <c r="IG192" s="262" t="e">
        <f t="shared" si="178"/>
        <v>#N/A</v>
      </c>
      <c r="IH192" s="379"/>
      <c r="II192" s="379"/>
      <c r="IJ192" s="262" t="e">
        <f t="shared" si="179"/>
        <v>#N/A</v>
      </c>
      <c r="IK192" s="262" t="e">
        <f t="shared" si="180"/>
        <v>#N/A</v>
      </c>
      <c r="IL192" s="379"/>
      <c r="IM192" s="379"/>
      <c r="IN192" s="262" t="e">
        <f t="shared" si="181"/>
        <v>#N/A</v>
      </c>
      <c r="IO192" s="262" t="e">
        <f t="shared" si="182"/>
        <v>#N/A</v>
      </c>
      <c r="IP192" s="379"/>
      <c r="IQ192" s="379"/>
      <c r="IR192" s="262" t="e">
        <f t="shared" si="183"/>
        <v>#N/A</v>
      </c>
      <c r="IS192" s="262" t="e">
        <f t="shared" si="184"/>
        <v>#N/A</v>
      </c>
      <c r="IT192" s="379"/>
      <c r="IU192" s="379"/>
      <c r="IV192" s="262" t="e">
        <f t="shared" si="185"/>
        <v>#N/A</v>
      </c>
      <c r="IW192" s="262" t="e">
        <f t="shared" si="186"/>
        <v>#N/A</v>
      </c>
      <c r="JB192" s="313" t="s">
        <v>400</v>
      </c>
      <c r="JC192" s="228">
        <f>JC176</f>
        <v>-0.13500000000000001</v>
      </c>
      <c r="JD192" s="228">
        <f>JD176</f>
        <v>0.15</v>
      </c>
      <c r="JI192" s="313" t="s">
        <v>400</v>
      </c>
      <c r="JJ192" s="242">
        <f>JJ176</f>
        <v>-0.13500000000000001</v>
      </c>
      <c r="JK192" s="242">
        <f>JK176</f>
        <v>0.15</v>
      </c>
      <c r="JN192" s="261" t="e">
        <f t="shared" si="187"/>
        <v>#N/A</v>
      </c>
      <c r="JO192" s="261" t="e">
        <f t="shared" si="188"/>
        <v>#N/A</v>
      </c>
      <c r="JR192" s="261" t="e">
        <f t="shared" si="193"/>
        <v>#N/A</v>
      </c>
      <c r="JS192" s="261" t="e">
        <f t="shared" si="194"/>
        <v>#N/A</v>
      </c>
      <c r="JV192" s="261" t="e">
        <f t="shared" si="189"/>
        <v>#N/A</v>
      </c>
      <c r="JW192" s="261" t="e">
        <f t="shared" si="190"/>
        <v>#N/A</v>
      </c>
      <c r="PS192" s="342">
        <v>178</v>
      </c>
      <c r="PT192" s="261" t="e">
        <f t="shared" si="191"/>
        <v>#N/A</v>
      </c>
      <c r="PU192" s="261" t="e">
        <f t="shared" si="192"/>
        <v>#N/A</v>
      </c>
    </row>
    <row r="193" spans="4:437" x14ac:dyDescent="0.5"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310"/>
      <c r="AQ193" s="310"/>
      <c r="AR193" s="310"/>
      <c r="AS193" s="310"/>
      <c r="AT193" s="310"/>
      <c r="AU193" s="310"/>
      <c r="AV193" s="310"/>
      <c r="AW193" s="310"/>
      <c r="AX193" s="310"/>
      <c r="AY193" s="310"/>
      <c r="AZ193" s="310"/>
      <c r="BA193" s="310"/>
      <c r="HK193" s="342">
        <v>179</v>
      </c>
      <c r="HL193" s="235" t="e">
        <f t="shared" si="167"/>
        <v>#N/A</v>
      </c>
      <c r="HM193" s="235" t="e">
        <f t="shared" si="168"/>
        <v>#N/A</v>
      </c>
      <c r="HP193" s="235" t="e">
        <f t="shared" si="169"/>
        <v>#N/A</v>
      </c>
      <c r="HQ193" s="235" t="e">
        <f t="shared" si="170"/>
        <v>#N/A</v>
      </c>
      <c r="HT193" s="235" t="e">
        <f t="shared" si="171"/>
        <v>#N/A</v>
      </c>
      <c r="HU193" s="235" t="e">
        <f t="shared" si="172"/>
        <v>#N/A</v>
      </c>
      <c r="HX193" s="235" t="e">
        <f t="shared" si="173"/>
        <v>#N/A</v>
      </c>
      <c r="HY193" s="235" t="e">
        <f t="shared" si="174"/>
        <v>#N/A</v>
      </c>
      <c r="IB193" s="235" t="e">
        <f t="shared" si="175"/>
        <v>#N/A</v>
      </c>
      <c r="IC193" s="235" t="e">
        <f t="shared" si="176"/>
        <v>#N/A</v>
      </c>
      <c r="IE193" s="342">
        <v>179</v>
      </c>
      <c r="IF193" s="262" t="e">
        <f t="shared" si="177"/>
        <v>#N/A</v>
      </c>
      <c r="IG193" s="262" t="e">
        <f t="shared" si="178"/>
        <v>#N/A</v>
      </c>
      <c r="IH193" s="379"/>
      <c r="II193" s="379"/>
      <c r="IJ193" s="262" t="e">
        <f t="shared" si="179"/>
        <v>#N/A</v>
      </c>
      <c r="IK193" s="262" t="e">
        <f t="shared" si="180"/>
        <v>#N/A</v>
      </c>
      <c r="IL193" s="379"/>
      <c r="IM193" s="379"/>
      <c r="IN193" s="262" t="e">
        <f t="shared" si="181"/>
        <v>#N/A</v>
      </c>
      <c r="IO193" s="262" t="e">
        <f t="shared" si="182"/>
        <v>#N/A</v>
      </c>
      <c r="IP193" s="379"/>
      <c r="IQ193" s="379"/>
      <c r="IR193" s="262" t="e">
        <f t="shared" si="183"/>
        <v>#N/A</v>
      </c>
      <c r="IS193" s="262" t="e">
        <f t="shared" si="184"/>
        <v>#N/A</v>
      </c>
      <c r="IT193" s="379"/>
      <c r="IU193" s="379"/>
      <c r="IV193" s="262" t="e">
        <f t="shared" si="185"/>
        <v>#N/A</v>
      </c>
      <c r="IW193" s="262" t="e">
        <f t="shared" si="186"/>
        <v>#N/A</v>
      </c>
      <c r="JC193" s="230" t="e">
        <v>#N/A</v>
      </c>
      <c r="JD193" s="230" t="e">
        <v>#N/A</v>
      </c>
      <c r="JJ193" s="264" t="e">
        <v>#N/A</v>
      </c>
      <c r="JK193" s="264" t="e">
        <v>#N/A</v>
      </c>
      <c r="JN193" s="261" t="e">
        <f t="shared" si="187"/>
        <v>#N/A</v>
      </c>
      <c r="JO193" s="261" t="e">
        <f t="shared" si="188"/>
        <v>#N/A</v>
      </c>
      <c r="JR193" s="261" t="e">
        <f t="shared" si="193"/>
        <v>#N/A</v>
      </c>
      <c r="JS193" s="261" t="e">
        <f t="shared" si="194"/>
        <v>#N/A</v>
      </c>
      <c r="JV193" s="261" t="e">
        <f t="shared" si="189"/>
        <v>#N/A</v>
      </c>
      <c r="JW193" s="261" t="e">
        <f t="shared" si="190"/>
        <v>#N/A</v>
      </c>
      <c r="PS193" s="342">
        <v>179</v>
      </c>
      <c r="PT193" s="261" t="e">
        <f t="shared" si="191"/>
        <v>#N/A</v>
      </c>
      <c r="PU193" s="261" t="e">
        <f t="shared" si="192"/>
        <v>#N/A</v>
      </c>
    </row>
    <row r="194" spans="4:437" x14ac:dyDescent="0.5"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310"/>
      <c r="AQ194" s="310"/>
      <c r="AR194" s="310"/>
      <c r="AS194" s="310"/>
      <c r="AT194" s="310"/>
      <c r="AU194" s="310"/>
      <c r="AV194" s="310"/>
      <c r="AW194" s="310"/>
      <c r="AX194" s="310"/>
      <c r="AY194" s="310"/>
      <c r="AZ194" s="310"/>
      <c r="BA194" s="310"/>
      <c r="HK194" s="342">
        <v>180</v>
      </c>
      <c r="HL194" s="235" t="e">
        <f t="shared" si="167"/>
        <v>#N/A</v>
      </c>
      <c r="HM194" s="235" t="e">
        <f t="shared" si="168"/>
        <v>#N/A</v>
      </c>
      <c r="HP194" s="235" t="e">
        <f t="shared" si="169"/>
        <v>#N/A</v>
      </c>
      <c r="HQ194" s="235" t="e">
        <f t="shared" si="170"/>
        <v>#N/A</v>
      </c>
      <c r="HT194" s="235" t="e">
        <f t="shared" si="171"/>
        <v>#N/A</v>
      </c>
      <c r="HU194" s="235" t="e">
        <f t="shared" si="172"/>
        <v>#N/A</v>
      </c>
      <c r="HX194" s="235" t="e">
        <f t="shared" si="173"/>
        <v>#N/A</v>
      </c>
      <c r="HY194" s="235" t="e">
        <f t="shared" si="174"/>
        <v>#N/A</v>
      </c>
      <c r="IB194" s="235" t="e">
        <f t="shared" si="175"/>
        <v>#N/A</v>
      </c>
      <c r="IC194" s="235" t="e">
        <f t="shared" si="176"/>
        <v>#N/A</v>
      </c>
      <c r="IE194" s="342">
        <v>180</v>
      </c>
      <c r="IF194" s="262" t="e">
        <f t="shared" si="177"/>
        <v>#N/A</v>
      </c>
      <c r="IG194" s="262" t="e">
        <f t="shared" si="178"/>
        <v>#N/A</v>
      </c>
      <c r="IH194" s="379"/>
      <c r="II194" s="379"/>
      <c r="IJ194" s="262" t="e">
        <f t="shared" si="179"/>
        <v>#N/A</v>
      </c>
      <c r="IK194" s="262" t="e">
        <f t="shared" si="180"/>
        <v>#N/A</v>
      </c>
      <c r="IL194" s="379"/>
      <c r="IM194" s="379"/>
      <c r="IN194" s="262" t="e">
        <f t="shared" si="181"/>
        <v>#N/A</v>
      </c>
      <c r="IO194" s="262" t="e">
        <f t="shared" si="182"/>
        <v>#N/A</v>
      </c>
      <c r="IP194" s="379"/>
      <c r="IQ194" s="379"/>
      <c r="IR194" s="262" t="e">
        <f t="shared" si="183"/>
        <v>#N/A</v>
      </c>
      <c r="IS194" s="262" t="e">
        <f t="shared" si="184"/>
        <v>#N/A</v>
      </c>
      <c r="IT194" s="379"/>
      <c r="IU194" s="379"/>
      <c r="IV194" s="262" t="e">
        <f t="shared" si="185"/>
        <v>#N/A</v>
      </c>
      <c r="IW194" s="262" t="e">
        <f t="shared" si="186"/>
        <v>#N/A</v>
      </c>
      <c r="JN194" s="261" t="e">
        <f t="shared" si="187"/>
        <v>#N/A</v>
      </c>
      <c r="JO194" s="261" t="e">
        <f t="shared" si="188"/>
        <v>#N/A</v>
      </c>
      <c r="JR194" s="261" t="e">
        <f t="shared" si="193"/>
        <v>#N/A</v>
      </c>
      <c r="JS194" s="261" t="e">
        <f t="shared" si="194"/>
        <v>#N/A</v>
      </c>
      <c r="JV194" s="261" t="e">
        <f t="shared" si="189"/>
        <v>#N/A</v>
      </c>
      <c r="JW194" s="261" t="e">
        <f t="shared" si="190"/>
        <v>#N/A</v>
      </c>
      <c r="PS194" s="342">
        <v>180</v>
      </c>
      <c r="PT194" s="261" t="e">
        <f t="shared" si="191"/>
        <v>#N/A</v>
      </c>
      <c r="PU194" s="261" t="e">
        <f t="shared" si="192"/>
        <v>#N/A</v>
      </c>
    </row>
    <row r="195" spans="4:437" x14ac:dyDescent="0.5"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310"/>
      <c r="AQ195" s="310"/>
      <c r="AR195" s="310"/>
      <c r="AS195" s="310"/>
      <c r="AT195" s="310"/>
      <c r="AU195" s="310"/>
      <c r="AV195" s="310"/>
      <c r="AW195" s="310"/>
      <c r="AX195" s="310"/>
      <c r="AY195" s="310"/>
      <c r="AZ195" s="310"/>
      <c r="BA195" s="310"/>
      <c r="HK195" s="342">
        <v>181</v>
      </c>
      <c r="HL195" s="235" t="e">
        <f t="shared" si="167"/>
        <v>#N/A</v>
      </c>
      <c r="HM195" s="235" t="e">
        <f t="shared" si="168"/>
        <v>#N/A</v>
      </c>
      <c r="HP195" s="235" t="e">
        <f t="shared" si="169"/>
        <v>#N/A</v>
      </c>
      <c r="HQ195" s="235" t="e">
        <f t="shared" si="170"/>
        <v>#N/A</v>
      </c>
      <c r="HT195" s="235" t="e">
        <f t="shared" si="171"/>
        <v>#N/A</v>
      </c>
      <c r="HU195" s="235" t="e">
        <f t="shared" si="172"/>
        <v>#N/A</v>
      </c>
      <c r="HX195" s="235" t="e">
        <f t="shared" si="173"/>
        <v>#N/A</v>
      </c>
      <c r="HY195" s="235" t="e">
        <f t="shared" si="174"/>
        <v>#N/A</v>
      </c>
      <c r="IB195" s="235" t="e">
        <f t="shared" si="175"/>
        <v>#N/A</v>
      </c>
      <c r="IC195" s="235" t="e">
        <f t="shared" si="176"/>
        <v>#N/A</v>
      </c>
      <c r="IE195" s="342">
        <v>181</v>
      </c>
      <c r="IF195" s="262" t="e">
        <f t="shared" si="177"/>
        <v>#N/A</v>
      </c>
      <c r="IG195" s="262" t="e">
        <f t="shared" si="178"/>
        <v>#N/A</v>
      </c>
      <c r="IH195" s="379"/>
      <c r="II195" s="379"/>
      <c r="IJ195" s="262" t="e">
        <f t="shared" si="179"/>
        <v>#N/A</v>
      </c>
      <c r="IK195" s="262" t="e">
        <f t="shared" si="180"/>
        <v>#N/A</v>
      </c>
      <c r="IL195" s="379"/>
      <c r="IM195" s="379"/>
      <c r="IN195" s="262" t="e">
        <f t="shared" si="181"/>
        <v>#N/A</v>
      </c>
      <c r="IO195" s="262" t="e">
        <f t="shared" si="182"/>
        <v>#N/A</v>
      </c>
      <c r="IP195" s="379"/>
      <c r="IQ195" s="379"/>
      <c r="IR195" s="262" t="e">
        <f t="shared" si="183"/>
        <v>#N/A</v>
      </c>
      <c r="IS195" s="262" t="e">
        <f t="shared" si="184"/>
        <v>#N/A</v>
      </c>
      <c r="IT195" s="379"/>
      <c r="IU195" s="379"/>
      <c r="IV195" s="262" t="e">
        <f t="shared" si="185"/>
        <v>#N/A</v>
      </c>
      <c r="IW195" s="262" t="e">
        <f t="shared" si="186"/>
        <v>#N/A</v>
      </c>
      <c r="JN195" s="261" t="e">
        <f t="shared" si="187"/>
        <v>#N/A</v>
      </c>
      <c r="JO195" s="261" t="e">
        <f t="shared" si="188"/>
        <v>#N/A</v>
      </c>
      <c r="JR195" s="261" t="e">
        <f t="shared" si="193"/>
        <v>#N/A</v>
      </c>
      <c r="JS195" s="261" t="e">
        <f t="shared" si="194"/>
        <v>#N/A</v>
      </c>
      <c r="JV195" s="261" t="e">
        <f t="shared" si="189"/>
        <v>#N/A</v>
      </c>
      <c r="JW195" s="261" t="e">
        <f t="shared" si="190"/>
        <v>#N/A</v>
      </c>
      <c r="PS195" s="342">
        <v>181</v>
      </c>
      <c r="PT195" s="261" t="e">
        <f t="shared" si="191"/>
        <v>#N/A</v>
      </c>
      <c r="PU195" s="261" t="e">
        <f t="shared" si="192"/>
        <v>#N/A</v>
      </c>
    </row>
    <row r="196" spans="4:437" x14ac:dyDescent="0.5"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310"/>
      <c r="AQ196" s="310"/>
      <c r="AR196" s="310"/>
      <c r="AS196" s="310"/>
      <c r="AT196" s="310"/>
      <c r="AU196" s="310"/>
      <c r="AV196" s="310"/>
      <c r="AW196" s="310"/>
      <c r="AX196" s="310"/>
      <c r="AY196" s="310"/>
      <c r="AZ196" s="310"/>
      <c r="BA196" s="310"/>
      <c r="HK196" s="342">
        <v>182</v>
      </c>
      <c r="HL196" s="235" t="e">
        <f t="shared" si="167"/>
        <v>#N/A</v>
      </c>
      <c r="HM196" s="235" t="e">
        <f t="shared" si="168"/>
        <v>#N/A</v>
      </c>
      <c r="HP196" s="235" t="e">
        <f t="shared" si="169"/>
        <v>#N/A</v>
      </c>
      <c r="HQ196" s="235" t="e">
        <f t="shared" si="170"/>
        <v>#N/A</v>
      </c>
      <c r="HT196" s="235" t="e">
        <f t="shared" si="171"/>
        <v>#N/A</v>
      </c>
      <c r="HU196" s="235" t="e">
        <f t="shared" si="172"/>
        <v>#N/A</v>
      </c>
      <c r="HX196" s="235" t="e">
        <f t="shared" si="173"/>
        <v>#N/A</v>
      </c>
      <c r="HY196" s="235" t="e">
        <f t="shared" si="174"/>
        <v>#N/A</v>
      </c>
      <c r="IB196" s="235" t="e">
        <f t="shared" si="175"/>
        <v>#N/A</v>
      </c>
      <c r="IC196" s="235" t="e">
        <f t="shared" si="176"/>
        <v>#N/A</v>
      </c>
      <c r="IE196" s="342">
        <v>182</v>
      </c>
      <c r="IF196" s="262" t="e">
        <f t="shared" si="177"/>
        <v>#N/A</v>
      </c>
      <c r="IG196" s="262" t="e">
        <f t="shared" si="178"/>
        <v>#N/A</v>
      </c>
      <c r="IH196" s="379"/>
      <c r="II196" s="379"/>
      <c r="IJ196" s="262" t="e">
        <f t="shared" si="179"/>
        <v>#N/A</v>
      </c>
      <c r="IK196" s="262" t="e">
        <f t="shared" si="180"/>
        <v>#N/A</v>
      </c>
      <c r="IL196" s="379"/>
      <c r="IM196" s="379"/>
      <c r="IN196" s="262" t="e">
        <f t="shared" si="181"/>
        <v>#N/A</v>
      </c>
      <c r="IO196" s="262" t="e">
        <f t="shared" si="182"/>
        <v>#N/A</v>
      </c>
      <c r="IP196" s="379"/>
      <c r="IQ196" s="379"/>
      <c r="IR196" s="262" t="e">
        <f t="shared" si="183"/>
        <v>#N/A</v>
      </c>
      <c r="IS196" s="262" t="e">
        <f t="shared" si="184"/>
        <v>#N/A</v>
      </c>
      <c r="IT196" s="379"/>
      <c r="IU196" s="379"/>
      <c r="IV196" s="262" t="e">
        <f t="shared" si="185"/>
        <v>#N/A</v>
      </c>
      <c r="IW196" s="262" t="e">
        <f t="shared" si="186"/>
        <v>#N/A</v>
      </c>
      <c r="JN196" s="261" t="e">
        <f t="shared" si="187"/>
        <v>#N/A</v>
      </c>
      <c r="JO196" s="261" t="e">
        <f t="shared" si="188"/>
        <v>#N/A</v>
      </c>
      <c r="JR196" s="261" t="e">
        <f t="shared" si="193"/>
        <v>#N/A</v>
      </c>
      <c r="JS196" s="261" t="e">
        <f t="shared" si="194"/>
        <v>#N/A</v>
      </c>
      <c r="JV196" s="261" t="e">
        <f t="shared" si="189"/>
        <v>#N/A</v>
      </c>
      <c r="JW196" s="261" t="e">
        <f t="shared" si="190"/>
        <v>#N/A</v>
      </c>
      <c r="PS196" s="342">
        <v>182</v>
      </c>
      <c r="PT196" s="261" t="e">
        <f t="shared" si="191"/>
        <v>#N/A</v>
      </c>
      <c r="PU196" s="261" t="e">
        <f t="shared" si="192"/>
        <v>#N/A</v>
      </c>
    </row>
    <row r="197" spans="4:437" x14ac:dyDescent="0.5"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310"/>
      <c r="AQ197" s="310"/>
      <c r="AR197" s="310"/>
      <c r="AS197" s="310"/>
      <c r="AT197" s="310"/>
      <c r="AU197" s="310"/>
      <c r="AV197" s="310"/>
      <c r="AW197" s="310"/>
      <c r="AX197" s="310"/>
      <c r="AY197" s="310"/>
      <c r="AZ197" s="310"/>
      <c r="BA197" s="310"/>
      <c r="HK197" s="342">
        <v>183</v>
      </c>
      <c r="HL197" s="235" t="e">
        <f t="shared" si="167"/>
        <v>#N/A</v>
      </c>
      <c r="HM197" s="235" t="e">
        <f t="shared" si="168"/>
        <v>#N/A</v>
      </c>
      <c r="HP197" s="235" t="e">
        <f t="shared" si="169"/>
        <v>#N/A</v>
      </c>
      <c r="HQ197" s="235" t="e">
        <f t="shared" si="170"/>
        <v>#N/A</v>
      </c>
      <c r="HT197" s="235" t="e">
        <f t="shared" si="171"/>
        <v>#N/A</v>
      </c>
      <c r="HU197" s="235" t="e">
        <f t="shared" si="172"/>
        <v>#N/A</v>
      </c>
      <c r="HX197" s="235" t="e">
        <f t="shared" si="173"/>
        <v>#N/A</v>
      </c>
      <c r="HY197" s="235" t="e">
        <f t="shared" si="174"/>
        <v>#N/A</v>
      </c>
      <c r="IB197" s="235" t="e">
        <f t="shared" si="175"/>
        <v>#N/A</v>
      </c>
      <c r="IC197" s="235" t="e">
        <f t="shared" si="176"/>
        <v>#N/A</v>
      </c>
      <c r="IE197" s="342">
        <v>183</v>
      </c>
      <c r="IF197" s="262" t="e">
        <f t="shared" si="177"/>
        <v>#N/A</v>
      </c>
      <c r="IG197" s="262" t="e">
        <f t="shared" si="178"/>
        <v>#N/A</v>
      </c>
      <c r="IH197" s="379"/>
      <c r="II197" s="379"/>
      <c r="IJ197" s="262" t="e">
        <f t="shared" si="179"/>
        <v>#N/A</v>
      </c>
      <c r="IK197" s="262" t="e">
        <f t="shared" si="180"/>
        <v>#N/A</v>
      </c>
      <c r="IL197" s="379"/>
      <c r="IM197" s="379"/>
      <c r="IN197" s="262" t="e">
        <f t="shared" si="181"/>
        <v>#N/A</v>
      </c>
      <c r="IO197" s="262" t="e">
        <f t="shared" si="182"/>
        <v>#N/A</v>
      </c>
      <c r="IP197" s="379"/>
      <c r="IQ197" s="379"/>
      <c r="IR197" s="262" t="e">
        <f t="shared" si="183"/>
        <v>#N/A</v>
      </c>
      <c r="IS197" s="262" t="e">
        <f t="shared" si="184"/>
        <v>#N/A</v>
      </c>
      <c r="IT197" s="379"/>
      <c r="IU197" s="379"/>
      <c r="IV197" s="262" t="e">
        <f t="shared" si="185"/>
        <v>#N/A</v>
      </c>
      <c r="IW197" s="262" t="e">
        <f t="shared" si="186"/>
        <v>#N/A</v>
      </c>
      <c r="JN197" s="261" t="e">
        <f t="shared" si="187"/>
        <v>#N/A</v>
      </c>
      <c r="JO197" s="261" t="e">
        <f t="shared" si="188"/>
        <v>#N/A</v>
      </c>
      <c r="JR197" s="261" t="e">
        <f t="shared" si="193"/>
        <v>#N/A</v>
      </c>
      <c r="JS197" s="261" t="e">
        <f t="shared" si="194"/>
        <v>#N/A</v>
      </c>
      <c r="JV197" s="261" t="e">
        <f t="shared" si="189"/>
        <v>#N/A</v>
      </c>
      <c r="JW197" s="261" t="e">
        <f t="shared" si="190"/>
        <v>#N/A</v>
      </c>
      <c r="PS197" s="342">
        <v>183</v>
      </c>
      <c r="PT197" s="261" t="e">
        <f t="shared" si="191"/>
        <v>#N/A</v>
      </c>
      <c r="PU197" s="261" t="e">
        <f t="shared" si="192"/>
        <v>#N/A</v>
      </c>
    </row>
    <row r="198" spans="4:437" x14ac:dyDescent="0.5"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310"/>
      <c r="AQ198" s="310"/>
      <c r="AR198" s="310"/>
      <c r="AS198" s="310"/>
      <c r="AT198" s="310"/>
      <c r="AU198" s="310"/>
      <c r="AV198" s="310"/>
      <c r="AW198" s="310"/>
      <c r="AX198" s="310"/>
      <c r="AY198" s="310"/>
      <c r="AZ198" s="310"/>
      <c r="BA198" s="310"/>
      <c r="HK198" s="342">
        <v>184</v>
      </c>
      <c r="HL198" s="235" t="e">
        <f t="shared" si="167"/>
        <v>#N/A</v>
      </c>
      <c r="HM198" s="235" t="e">
        <f t="shared" si="168"/>
        <v>#N/A</v>
      </c>
      <c r="HP198" s="235" t="e">
        <f t="shared" si="169"/>
        <v>#N/A</v>
      </c>
      <c r="HQ198" s="235" t="e">
        <f t="shared" si="170"/>
        <v>#N/A</v>
      </c>
      <c r="HT198" s="235" t="e">
        <f t="shared" si="171"/>
        <v>#N/A</v>
      </c>
      <c r="HU198" s="235" t="e">
        <f t="shared" si="172"/>
        <v>#N/A</v>
      </c>
      <c r="HX198" s="235" t="e">
        <f t="shared" si="173"/>
        <v>#N/A</v>
      </c>
      <c r="HY198" s="235" t="e">
        <f t="shared" si="174"/>
        <v>#N/A</v>
      </c>
      <c r="IB198" s="235" t="e">
        <f t="shared" si="175"/>
        <v>#N/A</v>
      </c>
      <c r="IC198" s="235" t="e">
        <f t="shared" si="176"/>
        <v>#N/A</v>
      </c>
      <c r="IE198" s="342">
        <v>184</v>
      </c>
      <c r="IF198" s="262" t="e">
        <f t="shared" si="177"/>
        <v>#N/A</v>
      </c>
      <c r="IG198" s="262" t="e">
        <f t="shared" si="178"/>
        <v>#N/A</v>
      </c>
      <c r="IH198" s="379"/>
      <c r="II198" s="379"/>
      <c r="IJ198" s="262" t="e">
        <f t="shared" si="179"/>
        <v>#N/A</v>
      </c>
      <c r="IK198" s="262" t="e">
        <f t="shared" si="180"/>
        <v>#N/A</v>
      </c>
      <c r="IL198" s="379"/>
      <c r="IM198" s="379"/>
      <c r="IN198" s="262" t="e">
        <f t="shared" si="181"/>
        <v>#N/A</v>
      </c>
      <c r="IO198" s="262" t="e">
        <f t="shared" si="182"/>
        <v>#N/A</v>
      </c>
      <c r="IP198" s="379"/>
      <c r="IQ198" s="379"/>
      <c r="IR198" s="262" t="e">
        <f t="shared" si="183"/>
        <v>#N/A</v>
      </c>
      <c r="IS198" s="262" t="e">
        <f t="shared" si="184"/>
        <v>#N/A</v>
      </c>
      <c r="IT198" s="379"/>
      <c r="IU198" s="379"/>
      <c r="IV198" s="262" t="e">
        <f t="shared" si="185"/>
        <v>#N/A</v>
      </c>
      <c r="IW198" s="262" t="e">
        <f t="shared" si="186"/>
        <v>#N/A</v>
      </c>
      <c r="JN198" s="261" t="e">
        <f t="shared" si="187"/>
        <v>#N/A</v>
      </c>
      <c r="JO198" s="261" t="e">
        <f t="shared" si="188"/>
        <v>#N/A</v>
      </c>
      <c r="JR198" s="261" t="e">
        <f t="shared" si="193"/>
        <v>#N/A</v>
      </c>
      <c r="JS198" s="261" t="e">
        <f t="shared" si="194"/>
        <v>#N/A</v>
      </c>
      <c r="JV198" s="261" t="e">
        <f t="shared" si="189"/>
        <v>#N/A</v>
      </c>
      <c r="JW198" s="261" t="e">
        <f t="shared" si="190"/>
        <v>#N/A</v>
      </c>
      <c r="PS198" s="342">
        <v>184</v>
      </c>
      <c r="PT198" s="261" t="e">
        <f t="shared" si="191"/>
        <v>#N/A</v>
      </c>
      <c r="PU198" s="261" t="e">
        <f t="shared" si="192"/>
        <v>#N/A</v>
      </c>
    </row>
    <row r="199" spans="4:437" x14ac:dyDescent="0.5"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310"/>
      <c r="AQ199" s="310"/>
      <c r="AR199" s="310"/>
      <c r="AS199" s="310"/>
      <c r="AT199" s="310"/>
      <c r="AU199" s="310"/>
      <c r="AV199" s="310"/>
      <c r="AW199" s="310"/>
      <c r="AX199" s="310"/>
      <c r="AY199" s="310"/>
      <c r="AZ199" s="310"/>
      <c r="BA199" s="310"/>
      <c r="HK199" s="342">
        <v>185</v>
      </c>
      <c r="HL199" s="235" t="e">
        <f t="shared" si="167"/>
        <v>#N/A</v>
      </c>
      <c r="HM199" s="235" t="e">
        <f t="shared" si="168"/>
        <v>#N/A</v>
      </c>
      <c r="HP199" s="235" t="e">
        <f t="shared" si="169"/>
        <v>#N/A</v>
      </c>
      <c r="HQ199" s="235" t="e">
        <f t="shared" si="170"/>
        <v>#N/A</v>
      </c>
      <c r="HT199" s="235" t="e">
        <f t="shared" si="171"/>
        <v>#N/A</v>
      </c>
      <c r="HU199" s="235" t="e">
        <f t="shared" si="172"/>
        <v>#N/A</v>
      </c>
      <c r="HX199" s="235" t="e">
        <f t="shared" si="173"/>
        <v>#N/A</v>
      </c>
      <c r="HY199" s="235" t="e">
        <f t="shared" si="174"/>
        <v>#N/A</v>
      </c>
      <c r="IB199" s="235" t="e">
        <f t="shared" si="175"/>
        <v>#N/A</v>
      </c>
      <c r="IC199" s="235" t="e">
        <f t="shared" si="176"/>
        <v>#N/A</v>
      </c>
      <c r="IE199" s="342">
        <v>185</v>
      </c>
      <c r="IF199" s="262" t="e">
        <f t="shared" si="177"/>
        <v>#N/A</v>
      </c>
      <c r="IG199" s="262" t="e">
        <f t="shared" si="178"/>
        <v>#N/A</v>
      </c>
      <c r="IH199" s="379"/>
      <c r="II199" s="379"/>
      <c r="IJ199" s="262" t="e">
        <f t="shared" si="179"/>
        <v>#N/A</v>
      </c>
      <c r="IK199" s="262" t="e">
        <f t="shared" si="180"/>
        <v>#N/A</v>
      </c>
      <c r="IL199" s="379"/>
      <c r="IM199" s="379"/>
      <c r="IN199" s="262" t="e">
        <f t="shared" si="181"/>
        <v>#N/A</v>
      </c>
      <c r="IO199" s="262" t="e">
        <f t="shared" si="182"/>
        <v>#N/A</v>
      </c>
      <c r="IP199" s="379"/>
      <c r="IQ199" s="379"/>
      <c r="IR199" s="262" t="e">
        <f t="shared" si="183"/>
        <v>#N/A</v>
      </c>
      <c r="IS199" s="262" t="e">
        <f t="shared" si="184"/>
        <v>#N/A</v>
      </c>
      <c r="IT199" s="379"/>
      <c r="IU199" s="379"/>
      <c r="IV199" s="262" t="e">
        <f t="shared" si="185"/>
        <v>#N/A</v>
      </c>
      <c r="IW199" s="262" t="e">
        <f t="shared" si="186"/>
        <v>#N/A</v>
      </c>
      <c r="JN199" s="261" t="e">
        <f t="shared" si="187"/>
        <v>#N/A</v>
      </c>
      <c r="JO199" s="261" t="e">
        <f t="shared" si="188"/>
        <v>#N/A</v>
      </c>
      <c r="JR199" s="261" t="e">
        <f t="shared" si="193"/>
        <v>#N/A</v>
      </c>
      <c r="JS199" s="261" t="e">
        <f t="shared" si="194"/>
        <v>#N/A</v>
      </c>
      <c r="JV199" s="261" t="e">
        <f t="shared" si="189"/>
        <v>#N/A</v>
      </c>
      <c r="JW199" s="261" t="e">
        <f t="shared" si="190"/>
        <v>#N/A</v>
      </c>
      <c r="PS199" s="342">
        <v>185</v>
      </c>
      <c r="PT199" s="261" t="e">
        <f t="shared" si="191"/>
        <v>#N/A</v>
      </c>
      <c r="PU199" s="261" t="e">
        <f t="shared" si="192"/>
        <v>#N/A</v>
      </c>
    </row>
    <row r="200" spans="4:437" x14ac:dyDescent="0.5"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310"/>
      <c r="AQ200" s="310"/>
      <c r="AR200" s="310"/>
      <c r="AS200" s="310"/>
      <c r="AT200" s="310"/>
      <c r="AU200" s="310"/>
      <c r="AV200" s="310"/>
      <c r="AW200" s="310"/>
      <c r="AX200" s="310"/>
      <c r="AY200" s="310"/>
      <c r="AZ200" s="310"/>
      <c r="BA200" s="310"/>
      <c r="HK200" s="342">
        <v>186</v>
      </c>
      <c r="HL200" s="235" t="e">
        <f t="shared" si="167"/>
        <v>#N/A</v>
      </c>
      <c r="HM200" s="235" t="e">
        <f t="shared" si="168"/>
        <v>#N/A</v>
      </c>
      <c r="HP200" s="235" t="e">
        <f t="shared" si="169"/>
        <v>#N/A</v>
      </c>
      <c r="HQ200" s="235" t="e">
        <f t="shared" si="170"/>
        <v>#N/A</v>
      </c>
      <c r="HT200" s="235" t="e">
        <f t="shared" si="171"/>
        <v>#N/A</v>
      </c>
      <c r="HU200" s="235" t="e">
        <f t="shared" si="172"/>
        <v>#N/A</v>
      </c>
      <c r="HX200" s="235" t="e">
        <f t="shared" si="173"/>
        <v>#N/A</v>
      </c>
      <c r="HY200" s="235" t="e">
        <f t="shared" si="174"/>
        <v>#N/A</v>
      </c>
      <c r="IB200" s="235" t="e">
        <f t="shared" si="175"/>
        <v>#N/A</v>
      </c>
      <c r="IC200" s="235" t="e">
        <f t="shared" si="176"/>
        <v>#N/A</v>
      </c>
      <c r="IE200" s="342">
        <v>186</v>
      </c>
      <c r="IF200" s="262" t="e">
        <f t="shared" si="177"/>
        <v>#N/A</v>
      </c>
      <c r="IG200" s="262" t="e">
        <f t="shared" si="178"/>
        <v>#N/A</v>
      </c>
      <c r="IH200" s="379"/>
      <c r="II200" s="379"/>
      <c r="IJ200" s="262" t="e">
        <f t="shared" si="179"/>
        <v>#N/A</v>
      </c>
      <c r="IK200" s="262" t="e">
        <f t="shared" si="180"/>
        <v>#N/A</v>
      </c>
      <c r="IL200" s="379"/>
      <c r="IM200" s="379"/>
      <c r="IN200" s="262" t="e">
        <f t="shared" si="181"/>
        <v>#N/A</v>
      </c>
      <c r="IO200" s="262" t="e">
        <f t="shared" si="182"/>
        <v>#N/A</v>
      </c>
      <c r="IP200" s="379"/>
      <c r="IQ200" s="379"/>
      <c r="IR200" s="262" t="e">
        <f t="shared" si="183"/>
        <v>#N/A</v>
      </c>
      <c r="IS200" s="262" t="e">
        <f t="shared" si="184"/>
        <v>#N/A</v>
      </c>
      <c r="IT200" s="379"/>
      <c r="IU200" s="379"/>
      <c r="IV200" s="262" t="e">
        <f t="shared" si="185"/>
        <v>#N/A</v>
      </c>
      <c r="IW200" s="262" t="e">
        <f t="shared" si="186"/>
        <v>#N/A</v>
      </c>
      <c r="JN200" s="261" t="e">
        <f t="shared" si="187"/>
        <v>#N/A</v>
      </c>
      <c r="JO200" s="261" t="e">
        <f t="shared" si="188"/>
        <v>#N/A</v>
      </c>
      <c r="JR200" s="261" t="e">
        <f t="shared" si="193"/>
        <v>#N/A</v>
      </c>
      <c r="JS200" s="261" t="e">
        <f t="shared" si="194"/>
        <v>#N/A</v>
      </c>
      <c r="JV200" s="261" t="e">
        <f t="shared" si="189"/>
        <v>#N/A</v>
      </c>
      <c r="JW200" s="261" t="e">
        <f t="shared" si="190"/>
        <v>#N/A</v>
      </c>
      <c r="PS200" s="342">
        <v>186</v>
      </c>
      <c r="PT200" s="261" t="e">
        <f t="shared" si="191"/>
        <v>#N/A</v>
      </c>
      <c r="PU200" s="261" t="e">
        <f t="shared" si="192"/>
        <v>#N/A</v>
      </c>
    </row>
    <row r="201" spans="4:437" x14ac:dyDescent="0.5"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310"/>
      <c r="AQ201" s="310"/>
      <c r="AR201" s="310"/>
      <c r="AS201" s="310"/>
      <c r="AT201" s="310"/>
      <c r="AU201" s="310"/>
      <c r="AV201" s="310"/>
      <c r="AW201" s="310"/>
      <c r="AX201" s="310"/>
      <c r="AY201" s="310"/>
      <c r="AZ201" s="310"/>
      <c r="BA201" s="310"/>
      <c r="HK201" s="342">
        <v>187</v>
      </c>
      <c r="HL201" s="235" t="e">
        <f t="shared" si="167"/>
        <v>#N/A</v>
      </c>
      <c r="HM201" s="235" t="e">
        <f t="shared" si="168"/>
        <v>#N/A</v>
      </c>
      <c r="HP201" s="235" t="e">
        <f t="shared" si="169"/>
        <v>#N/A</v>
      </c>
      <c r="HQ201" s="235" t="e">
        <f t="shared" si="170"/>
        <v>#N/A</v>
      </c>
      <c r="HT201" s="235" t="e">
        <f t="shared" si="171"/>
        <v>#N/A</v>
      </c>
      <c r="HU201" s="235" t="e">
        <f t="shared" si="172"/>
        <v>#N/A</v>
      </c>
      <c r="HX201" s="235" t="e">
        <f t="shared" si="173"/>
        <v>#N/A</v>
      </c>
      <c r="HY201" s="235" t="e">
        <f t="shared" si="174"/>
        <v>#N/A</v>
      </c>
      <c r="IB201" s="235" t="e">
        <f t="shared" si="175"/>
        <v>#N/A</v>
      </c>
      <c r="IC201" s="235" t="e">
        <f t="shared" si="176"/>
        <v>#N/A</v>
      </c>
      <c r="IE201" s="342">
        <v>187</v>
      </c>
      <c r="IF201" s="262" t="e">
        <f t="shared" si="177"/>
        <v>#N/A</v>
      </c>
      <c r="IG201" s="262" t="e">
        <f t="shared" si="178"/>
        <v>#N/A</v>
      </c>
      <c r="IH201" s="379"/>
      <c r="II201" s="379"/>
      <c r="IJ201" s="262" t="e">
        <f t="shared" si="179"/>
        <v>#N/A</v>
      </c>
      <c r="IK201" s="262" t="e">
        <f t="shared" si="180"/>
        <v>#N/A</v>
      </c>
      <c r="IL201" s="379"/>
      <c r="IM201" s="379"/>
      <c r="IN201" s="262" t="e">
        <f t="shared" si="181"/>
        <v>#N/A</v>
      </c>
      <c r="IO201" s="262" t="e">
        <f t="shared" si="182"/>
        <v>#N/A</v>
      </c>
      <c r="IP201" s="379"/>
      <c r="IQ201" s="379"/>
      <c r="IR201" s="262" t="e">
        <f t="shared" si="183"/>
        <v>#N/A</v>
      </c>
      <c r="IS201" s="262" t="e">
        <f t="shared" si="184"/>
        <v>#N/A</v>
      </c>
      <c r="IT201" s="379"/>
      <c r="IU201" s="379"/>
      <c r="IV201" s="262" t="e">
        <f t="shared" si="185"/>
        <v>#N/A</v>
      </c>
      <c r="IW201" s="262" t="e">
        <f t="shared" si="186"/>
        <v>#N/A</v>
      </c>
      <c r="JN201" s="261" t="e">
        <f t="shared" si="187"/>
        <v>#N/A</v>
      </c>
      <c r="JO201" s="261" t="e">
        <f t="shared" si="188"/>
        <v>#N/A</v>
      </c>
      <c r="JR201" s="261" t="e">
        <f t="shared" si="193"/>
        <v>#N/A</v>
      </c>
      <c r="JS201" s="261" t="e">
        <f t="shared" si="194"/>
        <v>#N/A</v>
      </c>
      <c r="JV201" s="261" t="e">
        <f t="shared" si="189"/>
        <v>#N/A</v>
      </c>
      <c r="JW201" s="261" t="e">
        <f t="shared" si="190"/>
        <v>#N/A</v>
      </c>
      <c r="PS201" s="342">
        <v>187</v>
      </c>
      <c r="PT201" s="261" t="e">
        <f t="shared" si="191"/>
        <v>#N/A</v>
      </c>
      <c r="PU201" s="261" t="e">
        <f t="shared" si="192"/>
        <v>#N/A</v>
      </c>
    </row>
    <row r="202" spans="4:437" x14ac:dyDescent="0.5"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310"/>
      <c r="AQ202" s="310"/>
      <c r="AR202" s="310"/>
      <c r="AS202" s="310"/>
      <c r="AT202" s="310"/>
      <c r="AU202" s="310"/>
      <c r="AV202" s="310"/>
      <c r="AW202" s="310"/>
      <c r="AX202" s="310"/>
      <c r="AY202" s="310"/>
      <c r="AZ202" s="310"/>
      <c r="BA202" s="310"/>
      <c r="HK202" s="342">
        <v>188</v>
      </c>
      <c r="HL202" s="235" t="e">
        <f t="shared" si="167"/>
        <v>#N/A</v>
      </c>
      <c r="HM202" s="235" t="e">
        <f t="shared" si="168"/>
        <v>#N/A</v>
      </c>
      <c r="HP202" s="235" t="e">
        <f t="shared" si="169"/>
        <v>#N/A</v>
      </c>
      <c r="HQ202" s="235" t="e">
        <f t="shared" si="170"/>
        <v>#N/A</v>
      </c>
      <c r="HT202" s="235" t="e">
        <f t="shared" si="171"/>
        <v>#N/A</v>
      </c>
      <c r="HU202" s="235" t="e">
        <f t="shared" si="172"/>
        <v>#N/A</v>
      </c>
      <c r="HX202" s="235" t="e">
        <f t="shared" si="173"/>
        <v>#N/A</v>
      </c>
      <c r="HY202" s="235" t="e">
        <f t="shared" si="174"/>
        <v>#N/A</v>
      </c>
      <c r="IB202" s="235" t="e">
        <f t="shared" si="175"/>
        <v>#N/A</v>
      </c>
      <c r="IC202" s="235" t="e">
        <f t="shared" si="176"/>
        <v>#N/A</v>
      </c>
      <c r="IE202" s="342">
        <v>188</v>
      </c>
      <c r="IF202" s="262" t="e">
        <f t="shared" si="177"/>
        <v>#N/A</v>
      </c>
      <c r="IG202" s="262" t="e">
        <f t="shared" si="178"/>
        <v>#N/A</v>
      </c>
      <c r="IH202" s="379"/>
      <c r="II202" s="379"/>
      <c r="IJ202" s="262" t="e">
        <f t="shared" si="179"/>
        <v>#N/A</v>
      </c>
      <c r="IK202" s="262" t="e">
        <f t="shared" si="180"/>
        <v>#N/A</v>
      </c>
      <c r="IL202" s="379"/>
      <c r="IM202" s="379"/>
      <c r="IN202" s="262" t="e">
        <f t="shared" si="181"/>
        <v>#N/A</v>
      </c>
      <c r="IO202" s="262" t="e">
        <f t="shared" si="182"/>
        <v>#N/A</v>
      </c>
      <c r="IP202" s="379"/>
      <c r="IQ202" s="379"/>
      <c r="IR202" s="262" t="e">
        <f t="shared" si="183"/>
        <v>#N/A</v>
      </c>
      <c r="IS202" s="262" t="e">
        <f t="shared" si="184"/>
        <v>#N/A</v>
      </c>
      <c r="IT202" s="379"/>
      <c r="IU202" s="379"/>
      <c r="IV202" s="262" t="e">
        <f t="shared" si="185"/>
        <v>#N/A</v>
      </c>
      <c r="IW202" s="262" t="e">
        <f t="shared" si="186"/>
        <v>#N/A</v>
      </c>
      <c r="JN202" s="261" t="e">
        <f t="shared" si="187"/>
        <v>#N/A</v>
      </c>
      <c r="JO202" s="261" t="e">
        <f t="shared" si="188"/>
        <v>#N/A</v>
      </c>
      <c r="JR202" s="261" t="e">
        <f t="shared" si="193"/>
        <v>#N/A</v>
      </c>
      <c r="JS202" s="261" t="e">
        <f t="shared" si="194"/>
        <v>#N/A</v>
      </c>
      <c r="JV202" s="261" t="e">
        <f t="shared" si="189"/>
        <v>#N/A</v>
      </c>
      <c r="JW202" s="261" t="e">
        <f t="shared" si="190"/>
        <v>#N/A</v>
      </c>
      <c r="PS202" s="342">
        <v>188</v>
      </c>
      <c r="PT202" s="261" t="e">
        <f t="shared" si="191"/>
        <v>#N/A</v>
      </c>
      <c r="PU202" s="261" t="e">
        <f t="shared" si="192"/>
        <v>#N/A</v>
      </c>
    </row>
    <row r="203" spans="4:437" x14ac:dyDescent="0.5"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310"/>
      <c r="AQ203" s="310"/>
      <c r="AR203" s="310"/>
      <c r="AS203" s="310"/>
      <c r="AT203" s="310"/>
      <c r="AU203" s="310"/>
      <c r="AV203" s="310"/>
      <c r="AW203" s="310"/>
      <c r="AX203" s="310"/>
      <c r="AY203" s="310"/>
      <c r="AZ203" s="310"/>
      <c r="BA203" s="310"/>
      <c r="HK203" s="342">
        <v>189</v>
      </c>
      <c r="HL203" s="235" t="e">
        <f t="shared" si="167"/>
        <v>#N/A</v>
      </c>
      <c r="HM203" s="235" t="e">
        <f t="shared" si="168"/>
        <v>#N/A</v>
      </c>
      <c r="HP203" s="235" t="e">
        <f t="shared" si="169"/>
        <v>#N/A</v>
      </c>
      <c r="HQ203" s="235" t="e">
        <f t="shared" si="170"/>
        <v>#N/A</v>
      </c>
      <c r="HT203" s="235" t="e">
        <f t="shared" si="171"/>
        <v>#N/A</v>
      </c>
      <c r="HU203" s="235" t="e">
        <f t="shared" si="172"/>
        <v>#N/A</v>
      </c>
      <c r="HX203" s="235" t="e">
        <f t="shared" si="173"/>
        <v>#N/A</v>
      </c>
      <c r="HY203" s="235" t="e">
        <f t="shared" si="174"/>
        <v>#N/A</v>
      </c>
      <c r="IB203" s="235" t="e">
        <f t="shared" si="175"/>
        <v>#N/A</v>
      </c>
      <c r="IC203" s="235" t="e">
        <f t="shared" si="176"/>
        <v>#N/A</v>
      </c>
      <c r="IE203" s="342">
        <v>189</v>
      </c>
      <c r="IF203" s="262" t="e">
        <f t="shared" si="177"/>
        <v>#N/A</v>
      </c>
      <c r="IG203" s="262" t="e">
        <f t="shared" si="178"/>
        <v>#N/A</v>
      </c>
      <c r="IH203" s="379"/>
      <c r="II203" s="379"/>
      <c r="IJ203" s="262" t="e">
        <f t="shared" si="179"/>
        <v>#N/A</v>
      </c>
      <c r="IK203" s="262" t="e">
        <f t="shared" si="180"/>
        <v>#N/A</v>
      </c>
      <c r="IL203" s="379"/>
      <c r="IM203" s="379"/>
      <c r="IN203" s="262" t="e">
        <f t="shared" si="181"/>
        <v>#N/A</v>
      </c>
      <c r="IO203" s="262" t="e">
        <f t="shared" si="182"/>
        <v>#N/A</v>
      </c>
      <c r="IP203" s="379"/>
      <c r="IQ203" s="379"/>
      <c r="IR203" s="262" t="e">
        <f t="shared" si="183"/>
        <v>#N/A</v>
      </c>
      <c r="IS203" s="262" t="e">
        <f t="shared" si="184"/>
        <v>#N/A</v>
      </c>
      <c r="IT203" s="379"/>
      <c r="IU203" s="379"/>
      <c r="IV203" s="262" t="e">
        <f t="shared" si="185"/>
        <v>#N/A</v>
      </c>
      <c r="IW203" s="262" t="e">
        <f t="shared" si="186"/>
        <v>#N/A</v>
      </c>
      <c r="JN203" s="261" t="e">
        <f t="shared" si="187"/>
        <v>#N/A</v>
      </c>
      <c r="JO203" s="261" t="e">
        <f t="shared" si="188"/>
        <v>#N/A</v>
      </c>
      <c r="JR203" s="261" t="e">
        <f t="shared" si="193"/>
        <v>#N/A</v>
      </c>
      <c r="JS203" s="261" t="e">
        <f t="shared" si="194"/>
        <v>#N/A</v>
      </c>
      <c r="JV203" s="261" t="e">
        <f t="shared" si="189"/>
        <v>#N/A</v>
      </c>
      <c r="JW203" s="261" t="e">
        <f t="shared" si="190"/>
        <v>#N/A</v>
      </c>
      <c r="PS203" s="342">
        <v>189</v>
      </c>
      <c r="PT203" s="261" t="e">
        <f t="shared" si="191"/>
        <v>#N/A</v>
      </c>
      <c r="PU203" s="261" t="e">
        <f t="shared" si="192"/>
        <v>#N/A</v>
      </c>
    </row>
    <row r="204" spans="4:437" x14ac:dyDescent="0.5"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310"/>
      <c r="AQ204" s="310"/>
      <c r="AR204" s="310"/>
      <c r="AS204" s="310"/>
      <c r="AT204" s="310"/>
      <c r="AU204" s="310"/>
      <c r="AV204" s="310"/>
      <c r="AW204" s="310"/>
      <c r="AX204" s="310"/>
      <c r="AY204" s="310"/>
      <c r="AZ204" s="310"/>
      <c r="BA204" s="310"/>
      <c r="HK204" s="342">
        <v>190</v>
      </c>
      <c r="HL204" s="235" t="e">
        <f t="shared" si="167"/>
        <v>#N/A</v>
      </c>
      <c r="HM204" s="235" t="e">
        <f t="shared" si="168"/>
        <v>#N/A</v>
      </c>
      <c r="HP204" s="235" t="e">
        <f t="shared" si="169"/>
        <v>#N/A</v>
      </c>
      <c r="HQ204" s="235" t="e">
        <f t="shared" si="170"/>
        <v>#N/A</v>
      </c>
      <c r="HT204" s="235" t="e">
        <f t="shared" si="171"/>
        <v>#N/A</v>
      </c>
      <c r="HU204" s="235" t="e">
        <f t="shared" si="172"/>
        <v>#N/A</v>
      </c>
      <c r="HX204" s="235" t="e">
        <f t="shared" si="173"/>
        <v>#N/A</v>
      </c>
      <c r="HY204" s="235" t="e">
        <f t="shared" si="174"/>
        <v>#N/A</v>
      </c>
      <c r="IB204" s="235" t="e">
        <f t="shared" si="175"/>
        <v>#N/A</v>
      </c>
      <c r="IC204" s="235" t="e">
        <f t="shared" si="176"/>
        <v>#N/A</v>
      </c>
      <c r="IE204" s="342">
        <v>190</v>
      </c>
      <c r="IF204" s="262" t="e">
        <f t="shared" si="177"/>
        <v>#N/A</v>
      </c>
      <c r="IG204" s="262" t="e">
        <f t="shared" si="178"/>
        <v>#N/A</v>
      </c>
      <c r="IH204" s="379"/>
      <c r="II204" s="379"/>
      <c r="IJ204" s="262" t="e">
        <f t="shared" si="179"/>
        <v>#N/A</v>
      </c>
      <c r="IK204" s="262" t="e">
        <f t="shared" si="180"/>
        <v>#N/A</v>
      </c>
      <c r="IL204" s="379"/>
      <c r="IM204" s="379"/>
      <c r="IN204" s="262" t="e">
        <f t="shared" si="181"/>
        <v>#N/A</v>
      </c>
      <c r="IO204" s="262" t="e">
        <f t="shared" si="182"/>
        <v>#N/A</v>
      </c>
      <c r="IP204" s="379"/>
      <c r="IQ204" s="379"/>
      <c r="IR204" s="262" t="e">
        <f t="shared" si="183"/>
        <v>#N/A</v>
      </c>
      <c r="IS204" s="262" t="e">
        <f t="shared" si="184"/>
        <v>#N/A</v>
      </c>
      <c r="IT204" s="379"/>
      <c r="IU204" s="379"/>
      <c r="IV204" s="262" t="e">
        <f t="shared" si="185"/>
        <v>#N/A</v>
      </c>
      <c r="IW204" s="262" t="e">
        <f t="shared" si="186"/>
        <v>#N/A</v>
      </c>
      <c r="JN204" s="261" t="e">
        <f t="shared" si="187"/>
        <v>#N/A</v>
      </c>
      <c r="JO204" s="261" t="e">
        <f t="shared" si="188"/>
        <v>#N/A</v>
      </c>
      <c r="JR204" s="261" t="e">
        <f t="shared" si="193"/>
        <v>#N/A</v>
      </c>
      <c r="JS204" s="261" t="e">
        <f t="shared" si="194"/>
        <v>#N/A</v>
      </c>
      <c r="JV204" s="261" t="e">
        <f t="shared" si="189"/>
        <v>#N/A</v>
      </c>
      <c r="JW204" s="261" t="e">
        <f t="shared" si="190"/>
        <v>#N/A</v>
      </c>
      <c r="PS204" s="342">
        <v>190</v>
      </c>
      <c r="PT204" s="261" t="e">
        <f t="shared" si="191"/>
        <v>#N/A</v>
      </c>
      <c r="PU204" s="261" t="e">
        <f t="shared" si="192"/>
        <v>#N/A</v>
      </c>
    </row>
    <row r="205" spans="4:437" x14ac:dyDescent="0.5"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310"/>
      <c r="AQ205" s="310"/>
      <c r="AR205" s="310"/>
      <c r="AS205" s="310"/>
      <c r="AT205" s="310"/>
      <c r="AU205" s="310"/>
      <c r="AV205" s="310"/>
      <c r="AW205" s="310"/>
      <c r="AX205" s="310"/>
      <c r="AY205" s="310"/>
      <c r="AZ205" s="310"/>
      <c r="BA205" s="310"/>
      <c r="HK205" s="342">
        <v>191</v>
      </c>
      <c r="HL205" s="235" t="e">
        <f t="shared" si="167"/>
        <v>#N/A</v>
      </c>
      <c r="HM205" s="235" t="e">
        <f t="shared" si="168"/>
        <v>#N/A</v>
      </c>
      <c r="HP205" s="235" t="e">
        <f t="shared" si="169"/>
        <v>#N/A</v>
      </c>
      <c r="HQ205" s="235" t="e">
        <f t="shared" si="170"/>
        <v>#N/A</v>
      </c>
      <c r="HT205" s="235" t="e">
        <f t="shared" si="171"/>
        <v>#N/A</v>
      </c>
      <c r="HU205" s="235" t="e">
        <f t="shared" si="172"/>
        <v>#N/A</v>
      </c>
      <c r="HX205" s="235" t="e">
        <f t="shared" si="173"/>
        <v>#N/A</v>
      </c>
      <c r="HY205" s="235" t="e">
        <f t="shared" si="174"/>
        <v>#N/A</v>
      </c>
      <c r="IB205" s="235" t="e">
        <f t="shared" si="175"/>
        <v>#N/A</v>
      </c>
      <c r="IC205" s="235" t="e">
        <f t="shared" si="176"/>
        <v>#N/A</v>
      </c>
      <c r="IE205" s="342">
        <v>191</v>
      </c>
      <c r="IF205" s="262" t="e">
        <f t="shared" si="177"/>
        <v>#N/A</v>
      </c>
      <c r="IG205" s="262" t="e">
        <f t="shared" si="178"/>
        <v>#N/A</v>
      </c>
      <c r="IH205" s="379"/>
      <c r="II205" s="379"/>
      <c r="IJ205" s="262" t="e">
        <f t="shared" si="179"/>
        <v>#N/A</v>
      </c>
      <c r="IK205" s="262" t="e">
        <f t="shared" si="180"/>
        <v>#N/A</v>
      </c>
      <c r="IL205" s="379"/>
      <c r="IM205" s="379"/>
      <c r="IN205" s="262" t="e">
        <f t="shared" si="181"/>
        <v>#N/A</v>
      </c>
      <c r="IO205" s="262" t="e">
        <f t="shared" si="182"/>
        <v>#N/A</v>
      </c>
      <c r="IP205" s="379"/>
      <c r="IQ205" s="379"/>
      <c r="IR205" s="262" t="e">
        <f t="shared" si="183"/>
        <v>#N/A</v>
      </c>
      <c r="IS205" s="262" t="e">
        <f t="shared" si="184"/>
        <v>#N/A</v>
      </c>
      <c r="IT205" s="379"/>
      <c r="IU205" s="379"/>
      <c r="IV205" s="262" t="e">
        <f t="shared" si="185"/>
        <v>#N/A</v>
      </c>
      <c r="IW205" s="262" t="e">
        <f t="shared" si="186"/>
        <v>#N/A</v>
      </c>
      <c r="JN205" s="261" t="e">
        <f t="shared" si="187"/>
        <v>#N/A</v>
      </c>
      <c r="JO205" s="261" t="e">
        <f t="shared" si="188"/>
        <v>#N/A</v>
      </c>
      <c r="JR205" s="261" t="e">
        <f t="shared" si="193"/>
        <v>#N/A</v>
      </c>
      <c r="JS205" s="261" t="e">
        <f t="shared" si="194"/>
        <v>#N/A</v>
      </c>
      <c r="JV205" s="261" t="e">
        <f t="shared" si="189"/>
        <v>#N/A</v>
      </c>
      <c r="JW205" s="261" t="e">
        <f t="shared" si="190"/>
        <v>#N/A</v>
      </c>
      <c r="PS205" s="342">
        <v>191</v>
      </c>
      <c r="PT205" s="261" t="e">
        <f t="shared" si="191"/>
        <v>#N/A</v>
      </c>
      <c r="PU205" s="261" t="e">
        <f t="shared" si="192"/>
        <v>#N/A</v>
      </c>
    </row>
    <row r="206" spans="4:437" x14ac:dyDescent="0.5"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310"/>
      <c r="AQ206" s="310"/>
      <c r="AR206" s="310"/>
      <c r="AS206" s="310"/>
      <c r="AT206" s="310"/>
      <c r="AU206" s="310"/>
      <c r="AV206" s="310"/>
      <c r="AW206" s="310"/>
      <c r="AX206" s="310"/>
      <c r="AY206" s="310"/>
      <c r="AZ206" s="310"/>
      <c r="BA206" s="310"/>
      <c r="HK206" s="342">
        <v>192</v>
      </c>
      <c r="HL206" s="235" t="e">
        <f t="shared" si="167"/>
        <v>#N/A</v>
      </c>
      <c r="HM206" s="235" t="e">
        <f t="shared" si="168"/>
        <v>#N/A</v>
      </c>
      <c r="HP206" s="235" t="e">
        <f t="shared" si="169"/>
        <v>#N/A</v>
      </c>
      <c r="HQ206" s="235" t="e">
        <f t="shared" si="170"/>
        <v>#N/A</v>
      </c>
      <c r="HT206" s="235" t="e">
        <f t="shared" si="171"/>
        <v>#N/A</v>
      </c>
      <c r="HU206" s="235" t="e">
        <f t="shared" si="172"/>
        <v>#N/A</v>
      </c>
      <c r="HX206" s="235" t="e">
        <f t="shared" si="173"/>
        <v>#N/A</v>
      </c>
      <c r="HY206" s="235" t="e">
        <f t="shared" si="174"/>
        <v>#N/A</v>
      </c>
      <c r="IB206" s="235" t="e">
        <f t="shared" si="175"/>
        <v>#N/A</v>
      </c>
      <c r="IC206" s="235" t="e">
        <f t="shared" si="176"/>
        <v>#N/A</v>
      </c>
      <c r="IE206" s="342">
        <v>192</v>
      </c>
      <c r="IF206" s="262" t="e">
        <f t="shared" si="177"/>
        <v>#N/A</v>
      </c>
      <c r="IG206" s="262" t="e">
        <f t="shared" si="178"/>
        <v>#N/A</v>
      </c>
      <c r="IH206" s="379"/>
      <c r="II206" s="379"/>
      <c r="IJ206" s="262" t="e">
        <f t="shared" si="179"/>
        <v>#N/A</v>
      </c>
      <c r="IK206" s="262" t="e">
        <f t="shared" si="180"/>
        <v>#N/A</v>
      </c>
      <c r="IL206" s="379"/>
      <c r="IM206" s="379"/>
      <c r="IN206" s="262" t="e">
        <f t="shared" si="181"/>
        <v>#N/A</v>
      </c>
      <c r="IO206" s="262" t="e">
        <f t="shared" si="182"/>
        <v>#N/A</v>
      </c>
      <c r="IP206" s="379"/>
      <c r="IQ206" s="379"/>
      <c r="IR206" s="262" t="e">
        <f t="shared" si="183"/>
        <v>#N/A</v>
      </c>
      <c r="IS206" s="262" t="e">
        <f t="shared" si="184"/>
        <v>#N/A</v>
      </c>
      <c r="IT206" s="379"/>
      <c r="IU206" s="379"/>
      <c r="IV206" s="262" t="e">
        <f t="shared" si="185"/>
        <v>#N/A</v>
      </c>
      <c r="IW206" s="262" t="e">
        <f t="shared" si="186"/>
        <v>#N/A</v>
      </c>
      <c r="JN206" s="261" t="e">
        <f t="shared" si="187"/>
        <v>#N/A</v>
      </c>
      <c r="JO206" s="261" t="e">
        <f t="shared" si="188"/>
        <v>#N/A</v>
      </c>
      <c r="JR206" s="261" t="e">
        <f t="shared" si="193"/>
        <v>#N/A</v>
      </c>
      <c r="JS206" s="261" t="e">
        <f t="shared" si="194"/>
        <v>#N/A</v>
      </c>
      <c r="JV206" s="261" t="e">
        <f t="shared" si="189"/>
        <v>#N/A</v>
      </c>
      <c r="JW206" s="261" t="e">
        <f t="shared" si="190"/>
        <v>#N/A</v>
      </c>
      <c r="PS206" s="342">
        <v>192</v>
      </c>
      <c r="PT206" s="261" t="e">
        <f t="shared" si="191"/>
        <v>#N/A</v>
      </c>
      <c r="PU206" s="261" t="e">
        <f t="shared" si="192"/>
        <v>#N/A</v>
      </c>
    </row>
    <row r="207" spans="4:437" x14ac:dyDescent="0.5"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310"/>
      <c r="AQ207" s="310"/>
      <c r="AR207" s="310"/>
      <c r="AS207" s="310"/>
      <c r="AT207" s="310"/>
      <c r="AU207" s="310"/>
      <c r="AV207" s="310"/>
      <c r="AW207" s="310"/>
      <c r="AX207" s="310"/>
      <c r="AY207" s="310"/>
      <c r="AZ207" s="310"/>
      <c r="BA207" s="310"/>
      <c r="HK207" s="342">
        <v>193</v>
      </c>
      <c r="HL207" s="235" t="e">
        <f t="shared" ref="HL207:HL270" si="195">IF($HM$9=TRUE,$HL$11+$HL$12*COS(HK207*PI()/$HM$13),#N/A)</f>
        <v>#N/A</v>
      </c>
      <c r="HM207" s="235" t="e">
        <f t="shared" ref="HM207:HM270" si="196">IF($HM$9=TRUE,$HM$11+$HL$12*SIN(HK207*PI()/$HM$13),#N/A)</f>
        <v>#N/A</v>
      </c>
      <c r="HP207" s="235" t="e">
        <f t="shared" ref="HP207:HP270" si="197">IF($HQ$9=TRUE,$HP$11+$HP$12*COS(HK207*PI()/$HQ$13),#N/A)</f>
        <v>#N/A</v>
      </c>
      <c r="HQ207" s="235" t="e">
        <f t="shared" ref="HQ207:HQ270" si="198">IF($HQ$9=TRUE,$HQ$11+$HP$12*SIN(HK207*PI()/$HQ$13),#N/A)</f>
        <v>#N/A</v>
      </c>
      <c r="HT207" s="235" t="e">
        <f t="shared" ref="HT207:HT270" si="199">IF($HU$9=TRUE,$HT$11+$HT$12*COS(HK207*PI()/$HU$13),#N/A)</f>
        <v>#N/A</v>
      </c>
      <c r="HU207" s="235" t="e">
        <f t="shared" ref="HU207:HU270" si="200">IF($HU$9=TRUE,$HU$11+$HT$12*SIN(HK207*PI()/$HU$13),#N/A)</f>
        <v>#N/A</v>
      </c>
      <c r="HX207" s="235" t="e">
        <f t="shared" ref="HX207:HX270" si="201">IF($HY$9=TRUE,$HX$11+$HX$12*COS(HK207*PI()/$HY$13),#N/A)</f>
        <v>#N/A</v>
      </c>
      <c r="HY207" s="235" t="e">
        <f t="shared" ref="HY207:HY270" si="202">IF($HY$9=TRUE,$HY$11+$HX$12*SIN(HK207*PI()/$HY$13),#N/A)</f>
        <v>#N/A</v>
      </c>
      <c r="IB207" s="235" t="e">
        <f t="shared" ref="IB207:IB270" si="203">IF($IC$9=TRUE,$IB$11+$IB$12*COS(HK207*PI()/$IC$13),#N/A)</f>
        <v>#N/A</v>
      </c>
      <c r="IC207" s="235" t="e">
        <f t="shared" ref="IC207:IC270" si="204">IF($IC$9=TRUE,$IC$11+$IB$12*SIN(HK207*PI()/$IC$13),#N/A)</f>
        <v>#N/A</v>
      </c>
      <c r="IE207" s="342">
        <v>193</v>
      </c>
      <c r="IF207" s="262" t="e">
        <f t="shared" ref="IF207:IF270" si="205">IF($IG$9=TRUE,$IF$11+$IF$12*COS(IE207*PI()/$IG$13),#N/A)</f>
        <v>#N/A</v>
      </c>
      <c r="IG207" s="262" t="e">
        <f t="shared" ref="IG207:IG270" si="206">IF($IG$9=TRUE,$IG$11+$IF$12*SIN(IE207*PI()/$IG$13),#N/A)</f>
        <v>#N/A</v>
      </c>
      <c r="IH207" s="379"/>
      <c r="II207" s="379"/>
      <c r="IJ207" s="262" t="e">
        <f t="shared" ref="IJ207:IJ270" si="207">IF($IK$9=TRUE,$IJ$11+$IJ$12*COS(IE207*PI()/$IK$13),#N/A)</f>
        <v>#N/A</v>
      </c>
      <c r="IK207" s="262" t="e">
        <f t="shared" ref="IK207:IK270" si="208">IF($IK$9=TRUE,$IK$11+$IJ$12*SIN(IE207*PI()/$IK$13),#N/A)</f>
        <v>#N/A</v>
      </c>
      <c r="IL207" s="379"/>
      <c r="IM207" s="379"/>
      <c r="IN207" s="262" t="e">
        <f t="shared" ref="IN207:IN270" si="209">IF($IO$9=TRUE,$IN$11+$IN$12*COS(IE207*PI()/$IO$13),#N/A)</f>
        <v>#N/A</v>
      </c>
      <c r="IO207" s="262" t="e">
        <f t="shared" ref="IO207:IO270" si="210">IF($IO$9=TRUE,$IO$11+$IN$12*SIN(IE207*PI()/$IO$13),#N/A)</f>
        <v>#N/A</v>
      </c>
      <c r="IP207" s="379"/>
      <c r="IQ207" s="379"/>
      <c r="IR207" s="262" t="e">
        <f t="shared" ref="IR207:IR270" si="211">IF($IS$9=TRUE,$IR$11+$IR$12*COS(IE207*PI()/$IS$13),#N/A)</f>
        <v>#N/A</v>
      </c>
      <c r="IS207" s="262" t="e">
        <f t="shared" ref="IS207:IS270" si="212">IF($IS$9=TRUE,$IS$11+$IR$12*SIN(IE207*PI()/$IS$13),#N/A)</f>
        <v>#N/A</v>
      </c>
      <c r="IT207" s="379"/>
      <c r="IU207" s="379"/>
      <c r="IV207" s="262" t="e">
        <f t="shared" ref="IV207:IV270" si="213">IF($IW$9=TRUE,$IV$11+$IV$12*COS(IE207*PI()/$IW$13),#N/A)</f>
        <v>#N/A</v>
      </c>
      <c r="IW207" s="262" t="e">
        <f t="shared" ref="IW207:IW270" si="214">IF($IW$9=TRUE,$IW$11+$IV$12*SIN(IE207*PI()/$IW$13),#N/A)</f>
        <v>#N/A</v>
      </c>
      <c r="JN207" s="261" t="e">
        <f t="shared" ref="JN207:JN270" si="215">IF($JO$9=TRUE,$JN$11+$JN$12*COS(IE207*PI()/$JO$13),#N/A)</f>
        <v>#N/A</v>
      </c>
      <c r="JO207" s="261" t="e">
        <f t="shared" ref="JO207:JO270" si="216">IF($JO$9=TRUE,$JO$11+$JN$12*SIN(IE207*PI()/$JO$13),#N/A)</f>
        <v>#N/A</v>
      </c>
      <c r="JR207" s="261" t="e">
        <f t="shared" si="193"/>
        <v>#N/A</v>
      </c>
      <c r="JS207" s="261" t="e">
        <f t="shared" si="194"/>
        <v>#N/A</v>
      </c>
      <c r="JV207" s="261" t="e">
        <f t="shared" ref="JV207:JV270" si="217">IF($JW$9=TRUE,$JV$11+$JV$12*COS(IE207*PI()/$JW$13),#N/A)</f>
        <v>#N/A</v>
      </c>
      <c r="JW207" s="261" t="e">
        <f t="shared" ref="JW207:JW270" si="218">IF($JW$9=TRUE,$JW$11+$JV$12*SIN(IE207*PI()/$JW$13),#N/A)</f>
        <v>#N/A</v>
      </c>
      <c r="PS207" s="342">
        <v>193</v>
      </c>
      <c r="PT207" s="261" t="e">
        <f t="shared" ref="PT207:PT270" si="219">IF($PU$9=TRUE,$PT$11+$PT$12*COS(PS207*PI()/$PU$13),#N/A)</f>
        <v>#N/A</v>
      </c>
      <c r="PU207" s="261" t="e">
        <f t="shared" ref="PU207:PU270" si="220">IF($PU$9=TRUE,$PU$11+$PT$12*SIN(PS207*PI()/$PU$13),#N/A)</f>
        <v>#N/A</v>
      </c>
    </row>
    <row r="208" spans="4:437" x14ac:dyDescent="0.5"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310"/>
      <c r="AQ208" s="310"/>
      <c r="AR208" s="310"/>
      <c r="AS208" s="310"/>
      <c r="AT208" s="310"/>
      <c r="AU208" s="310"/>
      <c r="AV208" s="310"/>
      <c r="AW208" s="310"/>
      <c r="AX208" s="310"/>
      <c r="AY208" s="310"/>
      <c r="AZ208" s="310"/>
      <c r="BA208" s="310"/>
      <c r="HK208" s="342">
        <v>194</v>
      </c>
      <c r="HL208" s="235" t="e">
        <f t="shared" si="195"/>
        <v>#N/A</v>
      </c>
      <c r="HM208" s="235" t="e">
        <f t="shared" si="196"/>
        <v>#N/A</v>
      </c>
      <c r="HP208" s="235" t="e">
        <f t="shared" si="197"/>
        <v>#N/A</v>
      </c>
      <c r="HQ208" s="235" t="e">
        <f t="shared" si="198"/>
        <v>#N/A</v>
      </c>
      <c r="HT208" s="235" t="e">
        <f t="shared" si="199"/>
        <v>#N/A</v>
      </c>
      <c r="HU208" s="235" t="e">
        <f t="shared" si="200"/>
        <v>#N/A</v>
      </c>
      <c r="HX208" s="235" t="e">
        <f t="shared" si="201"/>
        <v>#N/A</v>
      </c>
      <c r="HY208" s="235" t="e">
        <f t="shared" si="202"/>
        <v>#N/A</v>
      </c>
      <c r="IB208" s="235" t="e">
        <f t="shared" si="203"/>
        <v>#N/A</v>
      </c>
      <c r="IC208" s="235" t="e">
        <f t="shared" si="204"/>
        <v>#N/A</v>
      </c>
      <c r="IE208" s="342">
        <v>194</v>
      </c>
      <c r="IF208" s="262" t="e">
        <f t="shared" si="205"/>
        <v>#N/A</v>
      </c>
      <c r="IG208" s="262" t="e">
        <f t="shared" si="206"/>
        <v>#N/A</v>
      </c>
      <c r="IH208" s="379"/>
      <c r="II208" s="379"/>
      <c r="IJ208" s="262" t="e">
        <f t="shared" si="207"/>
        <v>#N/A</v>
      </c>
      <c r="IK208" s="262" t="e">
        <f t="shared" si="208"/>
        <v>#N/A</v>
      </c>
      <c r="IL208" s="379"/>
      <c r="IM208" s="379"/>
      <c r="IN208" s="262" t="e">
        <f t="shared" si="209"/>
        <v>#N/A</v>
      </c>
      <c r="IO208" s="262" t="e">
        <f t="shared" si="210"/>
        <v>#N/A</v>
      </c>
      <c r="IP208" s="379"/>
      <c r="IQ208" s="379"/>
      <c r="IR208" s="262" t="e">
        <f t="shared" si="211"/>
        <v>#N/A</v>
      </c>
      <c r="IS208" s="262" t="e">
        <f t="shared" si="212"/>
        <v>#N/A</v>
      </c>
      <c r="IT208" s="379"/>
      <c r="IU208" s="379"/>
      <c r="IV208" s="262" t="e">
        <f t="shared" si="213"/>
        <v>#N/A</v>
      </c>
      <c r="IW208" s="262" t="e">
        <f t="shared" si="214"/>
        <v>#N/A</v>
      </c>
      <c r="JN208" s="261" t="e">
        <f t="shared" si="215"/>
        <v>#N/A</v>
      </c>
      <c r="JO208" s="261" t="e">
        <f t="shared" si="216"/>
        <v>#N/A</v>
      </c>
      <c r="JR208" s="261" t="e">
        <f t="shared" ref="JR208:JR271" si="221">IF($JS$9=TRUE,$JR$11+$JR$12*COS(IE208*PI()/$JS$13),#N/A)</f>
        <v>#N/A</v>
      </c>
      <c r="JS208" s="261" t="e">
        <f t="shared" ref="JS208:JS271" si="222">IF($JS$9=TRUE,$JS$11+$JR$12*SIN(IE208*PI()/$JS$13),#N/A)</f>
        <v>#N/A</v>
      </c>
      <c r="JV208" s="261" t="e">
        <f t="shared" si="217"/>
        <v>#N/A</v>
      </c>
      <c r="JW208" s="261" t="e">
        <f t="shared" si="218"/>
        <v>#N/A</v>
      </c>
      <c r="PS208" s="342">
        <v>194</v>
      </c>
      <c r="PT208" s="261" t="e">
        <f t="shared" si="219"/>
        <v>#N/A</v>
      </c>
      <c r="PU208" s="261" t="e">
        <f t="shared" si="220"/>
        <v>#N/A</v>
      </c>
    </row>
    <row r="209" spans="4:437" x14ac:dyDescent="0.5"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310"/>
      <c r="AQ209" s="310"/>
      <c r="AR209" s="310"/>
      <c r="AS209" s="310"/>
      <c r="AT209" s="310"/>
      <c r="AU209" s="310"/>
      <c r="AV209" s="310"/>
      <c r="AW209" s="310"/>
      <c r="AX209" s="310"/>
      <c r="AY209" s="310"/>
      <c r="AZ209" s="310"/>
      <c r="BA209" s="310"/>
      <c r="HK209" s="342">
        <v>195</v>
      </c>
      <c r="HL209" s="235" t="e">
        <f t="shared" si="195"/>
        <v>#N/A</v>
      </c>
      <c r="HM209" s="235" t="e">
        <f t="shared" si="196"/>
        <v>#N/A</v>
      </c>
      <c r="HP209" s="235" t="e">
        <f t="shared" si="197"/>
        <v>#N/A</v>
      </c>
      <c r="HQ209" s="235" t="e">
        <f t="shared" si="198"/>
        <v>#N/A</v>
      </c>
      <c r="HT209" s="235" t="e">
        <f t="shared" si="199"/>
        <v>#N/A</v>
      </c>
      <c r="HU209" s="235" t="e">
        <f t="shared" si="200"/>
        <v>#N/A</v>
      </c>
      <c r="HX209" s="235" t="e">
        <f t="shared" si="201"/>
        <v>#N/A</v>
      </c>
      <c r="HY209" s="235" t="e">
        <f t="shared" si="202"/>
        <v>#N/A</v>
      </c>
      <c r="IB209" s="235" t="e">
        <f t="shared" si="203"/>
        <v>#N/A</v>
      </c>
      <c r="IC209" s="235" t="e">
        <f t="shared" si="204"/>
        <v>#N/A</v>
      </c>
      <c r="IE209" s="342">
        <v>195</v>
      </c>
      <c r="IF209" s="262" t="e">
        <f t="shared" si="205"/>
        <v>#N/A</v>
      </c>
      <c r="IG209" s="262" t="e">
        <f t="shared" si="206"/>
        <v>#N/A</v>
      </c>
      <c r="IH209" s="379"/>
      <c r="II209" s="379"/>
      <c r="IJ209" s="262" t="e">
        <f t="shared" si="207"/>
        <v>#N/A</v>
      </c>
      <c r="IK209" s="262" t="e">
        <f t="shared" si="208"/>
        <v>#N/A</v>
      </c>
      <c r="IL209" s="379"/>
      <c r="IM209" s="379"/>
      <c r="IN209" s="262" t="e">
        <f t="shared" si="209"/>
        <v>#N/A</v>
      </c>
      <c r="IO209" s="262" t="e">
        <f t="shared" si="210"/>
        <v>#N/A</v>
      </c>
      <c r="IP209" s="379"/>
      <c r="IQ209" s="379"/>
      <c r="IR209" s="262" t="e">
        <f t="shared" si="211"/>
        <v>#N/A</v>
      </c>
      <c r="IS209" s="262" t="e">
        <f t="shared" si="212"/>
        <v>#N/A</v>
      </c>
      <c r="IT209" s="379"/>
      <c r="IU209" s="379"/>
      <c r="IV209" s="262" t="e">
        <f t="shared" si="213"/>
        <v>#N/A</v>
      </c>
      <c r="IW209" s="262" t="e">
        <f t="shared" si="214"/>
        <v>#N/A</v>
      </c>
      <c r="JN209" s="261" t="e">
        <f t="shared" si="215"/>
        <v>#N/A</v>
      </c>
      <c r="JO209" s="261" t="e">
        <f t="shared" si="216"/>
        <v>#N/A</v>
      </c>
      <c r="JR209" s="261" t="e">
        <f t="shared" si="221"/>
        <v>#N/A</v>
      </c>
      <c r="JS209" s="261" t="e">
        <f t="shared" si="222"/>
        <v>#N/A</v>
      </c>
      <c r="JV209" s="261" t="e">
        <f t="shared" si="217"/>
        <v>#N/A</v>
      </c>
      <c r="JW209" s="261" t="e">
        <f t="shared" si="218"/>
        <v>#N/A</v>
      </c>
      <c r="PS209" s="342">
        <v>195</v>
      </c>
      <c r="PT209" s="261" t="e">
        <f t="shared" si="219"/>
        <v>#N/A</v>
      </c>
      <c r="PU209" s="261" t="e">
        <f t="shared" si="220"/>
        <v>#N/A</v>
      </c>
    </row>
    <row r="210" spans="4:437" x14ac:dyDescent="0.5"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310"/>
      <c r="AQ210" s="310"/>
      <c r="AR210" s="310"/>
      <c r="AS210" s="310"/>
      <c r="AT210" s="310"/>
      <c r="AU210" s="310"/>
      <c r="AV210" s="310"/>
      <c r="AW210" s="310"/>
      <c r="AX210" s="310"/>
      <c r="AY210" s="310"/>
      <c r="AZ210" s="310"/>
      <c r="BA210" s="310"/>
      <c r="HK210" s="342">
        <v>196</v>
      </c>
      <c r="HL210" s="235" t="e">
        <f t="shared" si="195"/>
        <v>#N/A</v>
      </c>
      <c r="HM210" s="235" t="e">
        <f t="shared" si="196"/>
        <v>#N/A</v>
      </c>
      <c r="HP210" s="235" t="e">
        <f t="shared" si="197"/>
        <v>#N/A</v>
      </c>
      <c r="HQ210" s="235" t="e">
        <f t="shared" si="198"/>
        <v>#N/A</v>
      </c>
      <c r="HT210" s="235" t="e">
        <f t="shared" si="199"/>
        <v>#N/A</v>
      </c>
      <c r="HU210" s="235" t="e">
        <f t="shared" si="200"/>
        <v>#N/A</v>
      </c>
      <c r="HX210" s="235" t="e">
        <f t="shared" si="201"/>
        <v>#N/A</v>
      </c>
      <c r="HY210" s="235" t="e">
        <f t="shared" si="202"/>
        <v>#N/A</v>
      </c>
      <c r="IB210" s="235" t="e">
        <f t="shared" si="203"/>
        <v>#N/A</v>
      </c>
      <c r="IC210" s="235" t="e">
        <f t="shared" si="204"/>
        <v>#N/A</v>
      </c>
      <c r="IE210" s="342">
        <v>196</v>
      </c>
      <c r="IF210" s="262" t="e">
        <f t="shared" si="205"/>
        <v>#N/A</v>
      </c>
      <c r="IG210" s="262" t="e">
        <f t="shared" si="206"/>
        <v>#N/A</v>
      </c>
      <c r="IH210" s="379"/>
      <c r="II210" s="379"/>
      <c r="IJ210" s="262" t="e">
        <f t="shared" si="207"/>
        <v>#N/A</v>
      </c>
      <c r="IK210" s="262" t="e">
        <f t="shared" si="208"/>
        <v>#N/A</v>
      </c>
      <c r="IL210" s="379"/>
      <c r="IM210" s="379"/>
      <c r="IN210" s="262" t="e">
        <f t="shared" si="209"/>
        <v>#N/A</v>
      </c>
      <c r="IO210" s="262" t="e">
        <f t="shared" si="210"/>
        <v>#N/A</v>
      </c>
      <c r="IP210" s="379"/>
      <c r="IQ210" s="379"/>
      <c r="IR210" s="262" t="e">
        <f t="shared" si="211"/>
        <v>#N/A</v>
      </c>
      <c r="IS210" s="262" t="e">
        <f t="shared" si="212"/>
        <v>#N/A</v>
      </c>
      <c r="IT210" s="379"/>
      <c r="IU210" s="379"/>
      <c r="IV210" s="262" t="e">
        <f t="shared" si="213"/>
        <v>#N/A</v>
      </c>
      <c r="IW210" s="262" t="e">
        <f t="shared" si="214"/>
        <v>#N/A</v>
      </c>
      <c r="JN210" s="261" t="e">
        <f t="shared" si="215"/>
        <v>#N/A</v>
      </c>
      <c r="JO210" s="261" t="e">
        <f t="shared" si="216"/>
        <v>#N/A</v>
      </c>
      <c r="JR210" s="261" t="e">
        <f t="shared" si="221"/>
        <v>#N/A</v>
      </c>
      <c r="JS210" s="261" t="e">
        <f t="shared" si="222"/>
        <v>#N/A</v>
      </c>
      <c r="JV210" s="261" t="e">
        <f t="shared" si="217"/>
        <v>#N/A</v>
      </c>
      <c r="JW210" s="261" t="e">
        <f t="shared" si="218"/>
        <v>#N/A</v>
      </c>
      <c r="PS210" s="342">
        <v>196</v>
      </c>
      <c r="PT210" s="261" t="e">
        <f t="shared" si="219"/>
        <v>#N/A</v>
      </c>
      <c r="PU210" s="261" t="e">
        <f t="shared" si="220"/>
        <v>#N/A</v>
      </c>
    </row>
    <row r="211" spans="4:437" x14ac:dyDescent="0.5"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310"/>
      <c r="AQ211" s="310"/>
      <c r="AR211" s="310"/>
      <c r="AS211" s="310"/>
      <c r="AT211" s="310"/>
      <c r="AU211" s="310"/>
      <c r="AV211" s="310"/>
      <c r="AW211" s="310"/>
      <c r="AX211" s="310"/>
      <c r="AY211" s="310"/>
      <c r="AZ211" s="310"/>
      <c r="BA211" s="310"/>
      <c r="HK211" s="342">
        <v>197</v>
      </c>
      <c r="HL211" s="235" t="e">
        <f t="shared" si="195"/>
        <v>#N/A</v>
      </c>
      <c r="HM211" s="235" t="e">
        <f t="shared" si="196"/>
        <v>#N/A</v>
      </c>
      <c r="HP211" s="235" t="e">
        <f t="shared" si="197"/>
        <v>#N/A</v>
      </c>
      <c r="HQ211" s="235" t="e">
        <f t="shared" si="198"/>
        <v>#N/A</v>
      </c>
      <c r="HT211" s="235" t="e">
        <f t="shared" si="199"/>
        <v>#N/A</v>
      </c>
      <c r="HU211" s="235" t="e">
        <f t="shared" si="200"/>
        <v>#N/A</v>
      </c>
      <c r="HX211" s="235" t="e">
        <f t="shared" si="201"/>
        <v>#N/A</v>
      </c>
      <c r="HY211" s="235" t="e">
        <f t="shared" si="202"/>
        <v>#N/A</v>
      </c>
      <c r="IB211" s="235" t="e">
        <f t="shared" si="203"/>
        <v>#N/A</v>
      </c>
      <c r="IC211" s="235" t="e">
        <f t="shared" si="204"/>
        <v>#N/A</v>
      </c>
      <c r="IE211" s="342">
        <v>197</v>
      </c>
      <c r="IF211" s="262" t="e">
        <f t="shared" si="205"/>
        <v>#N/A</v>
      </c>
      <c r="IG211" s="262" t="e">
        <f t="shared" si="206"/>
        <v>#N/A</v>
      </c>
      <c r="IH211" s="379"/>
      <c r="II211" s="379"/>
      <c r="IJ211" s="262" t="e">
        <f t="shared" si="207"/>
        <v>#N/A</v>
      </c>
      <c r="IK211" s="262" t="e">
        <f t="shared" si="208"/>
        <v>#N/A</v>
      </c>
      <c r="IL211" s="379"/>
      <c r="IM211" s="379"/>
      <c r="IN211" s="262" t="e">
        <f t="shared" si="209"/>
        <v>#N/A</v>
      </c>
      <c r="IO211" s="262" t="e">
        <f t="shared" si="210"/>
        <v>#N/A</v>
      </c>
      <c r="IP211" s="379"/>
      <c r="IQ211" s="379"/>
      <c r="IR211" s="262" t="e">
        <f t="shared" si="211"/>
        <v>#N/A</v>
      </c>
      <c r="IS211" s="262" t="e">
        <f t="shared" si="212"/>
        <v>#N/A</v>
      </c>
      <c r="IT211" s="379"/>
      <c r="IU211" s="379"/>
      <c r="IV211" s="262" t="e">
        <f t="shared" si="213"/>
        <v>#N/A</v>
      </c>
      <c r="IW211" s="262" t="e">
        <f t="shared" si="214"/>
        <v>#N/A</v>
      </c>
      <c r="JN211" s="261" t="e">
        <f t="shared" si="215"/>
        <v>#N/A</v>
      </c>
      <c r="JO211" s="261" t="e">
        <f t="shared" si="216"/>
        <v>#N/A</v>
      </c>
      <c r="JR211" s="261" t="e">
        <f t="shared" si="221"/>
        <v>#N/A</v>
      </c>
      <c r="JS211" s="261" t="e">
        <f t="shared" si="222"/>
        <v>#N/A</v>
      </c>
      <c r="JV211" s="261" t="e">
        <f t="shared" si="217"/>
        <v>#N/A</v>
      </c>
      <c r="JW211" s="261" t="e">
        <f t="shared" si="218"/>
        <v>#N/A</v>
      </c>
      <c r="PS211" s="342">
        <v>197</v>
      </c>
      <c r="PT211" s="261" t="e">
        <f t="shared" si="219"/>
        <v>#N/A</v>
      </c>
      <c r="PU211" s="261" t="e">
        <f t="shared" si="220"/>
        <v>#N/A</v>
      </c>
    </row>
    <row r="212" spans="4:437" x14ac:dyDescent="0.5"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310"/>
      <c r="AQ212" s="310"/>
      <c r="AR212" s="310"/>
      <c r="AS212" s="310"/>
      <c r="AT212" s="310"/>
      <c r="AU212" s="310"/>
      <c r="AV212" s="310"/>
      <c r="AW212" s="310"/>
      <c r="AX212" s="310"/>
      <c r="AY212" s="310"/>
      <c r="AZ212" s="310"/>
      <c r="BA212" s="310"/>
      <c r="HK212" s="342">
        <v>198</v>
      </c>
      <c r="HL212" s="235" t="e">
        <f t="shared" si="195"/>
        <v>#N/A</v>
      </c>
      <c r="HM212" s="235" t="e">
        <f t="shared" si="196"/>
        <v>#N/A</v>
      </c>
      <c r="HP212" s="235" t="e">
        <f t="shared" si="197"/>
        <v>#N/A</v>
      </c>
      <c r="HQ212" s="235" t="e">
        <f t="shared" si="198"/>
        <v>#N/A</v>
      </c>
      <c r="HT212" s="235" t="e">
        <f t="shared" si="199"/>
        <v>#N/A</v>
      </c>
      <c r="HU212" s="235" t="e">
        <f t="shared" si="200"/>
        <v>#N/A</v>
      </c>
      <c r="HX212" s="235" t="e">
        <f t="shared" si="201"/>
        <v>#N/A</v>
      </c>
      <c r="HY212" s="235" t="e">
        <f t="shared" si="202"/>
        <v>#N/A</v>
      </c>
      <c r="IB212" s="235" t="e">
        <f t="shared" si="203"/>
        <v>#N/A</v>
      </c>
      <c r="IC212" s="235" t="e">
        <f t="shared" si="204"/>
        <v>#N/A</v>
      </c>
      <c r="IE212" s="342">
        <v>198</v>
      </c>
      <c r="IF212" s="262" t="e">
        <f t="shared" si="205"/>
        <v>#N/A</v>
      </c>
      <c r="IG212" s="262" t="e">
        <f t="shared" si="206"/>
        <v>#N/A</v>
      </c>
      <c r="IH212" s="379"/>
      <c r="II212" s="379"/>
      <c r="IJ212" s="262" t="e">
        <f t="shared" si="207"/>
        <v>#N/A</v>
      </c>
      <c r="IK212" s="262" t="e">
        <f t="shared" si="208"/>
        <v>#N/A</v>
      </c>
      <c r="IL212" s="379"/>
      <c r="IM212" s="379"/>
      <c r="IN212" s="262" t="e">
        <f t="shared" si="209"/>
        <v>#N/A</v>
      </c>
      <c r="IO212" s="262" t="e">
        <f t="shared" si="210"/>
        <v>#N/A</v>
      </c>
      <c r="IP212" s="379"/>
      <c r="IQ212" s="379"/>
      <c r="IR212" s="262" t="e">
        <f t="shared" si="211"/>
        <v>#N/A</v>
      </c>
      <c r="IS212" s="262" t="e">
        <f t="shared" si="212"/>
        <v>#N/A</v>
      </c>
      <c r="IT212" s="379"/>
      <c r="IU212" s="379"/>
      <c r="IV212" s="262" t="e">
        <f t="shared" si="213"/>
        <v>#N/A</v>
      </c>
      <c r="IW212" s="262" t="e">
        <f t="shared" si="214"/>
        <v>#N/A</v>
      </c>
      <c r="JN212" s="261" t="e">
        <f t="shared" si="215"/>
        <v>#N/A</v>
      </c>
      <c r="JO212" s="261" t="e">
        <f t="shared" si="216"/>
        <v>#N/A</v>
      </c>
      <c r="JR212" s="261" t="e">
        <f t="shared" si="221"/>
        <v>#N/A</v>
      </c>
      <c r="JS212" s="261" t="e">
        <f t="shared" si="222"/>
        <v>#N/A</v>
      </c>
      <c r="JV212" s="261" t="e">
        <f t="shared" si="217"/>
        <v>#N/A</v>
      </c>
      <c r="JW212" s="261" t="e">
        <f t="shared" si="218"/>
        <v>#N/A</v>
      </c>
      <c r="PS212" s="342">
        <v>198</v>
      </c>
      <c r="PT212" s="261" t="e">
        <f t="shared" si="219"/>
        <v>#N/A</v>
      </c>
      <c r="PU212" s="261" t="e">
        <f t="shared" si="220"/>
        <v>#N/A</v>
      </c>
    </row>
    <row r="213" spans="4:437" x14ac:dyDescent="0.5"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310"/>
      <c r="AQ213" s="310"/>
      <c r="AR213" s="310"/>
      <c r="AS213" s="310"/>
      <c r="AT213" s="310"/>
      <c r="AU213" s="310"/>
      <c r="AV213" s="310"/>
      <c r="AW213" s="310"/>
      <c r="AX213" s="310"/>
      <c r="AY213" s="310"/>
      <c r="AZ213" s="310"/>
      <c r="BA213" s="310"/>
      <c r="HK213" s="342">
        <v>199</v>
      </c>
      <c r="HL213" s="235" t="e">
        <f t="shared" si="195"/>
        <v>#N/A</v>
      </c>
      <c r="HM213" s="235" t="e">
        <f t="shared" si="196"/>
        <v>#N/A</v>
      </c>
      <c r="HP213" s="235" t="e">
        <f t="shared" si="197"/>
        <v>#N/A</v>
      </c>
      <c r="HQ213" s="235" t="e">
        <f t="shared" si="198"/>
        <v>#N/A</v>
      </c>
      <c r="HT213" s="235" t="e">
        <f t="shared" si="199"/>
        <v>#N/A</v>
      </c>
      <c r="HU213" s="235" t="e">
        <f t="shared" si="200"/>
        <v>#N/A</v>
      </c>
      <c r="HX213" s="235" t="e">
        <f t="shared" si="201"/>
        <v>#N/A</v>
      </c>
      <c r="HY213" s="235" t="e">
        <f t="shared" si="202"/>
        <v>#N/A</v>
      </c>
      <c r="IB213" s="235" t="e">
        <f t="shared" si="203"/>
        <v>#N/A</v>
      </c>
      <c r="IC213" s="235" t="e">
        <f t="shared" si="204"/>
        <v>#N/A</v>
      </c>
      <c r="IE213" s="342">
        <v>199</v>
      </c>
      <c r="IF213" s="262" t="e">
        <f t="shared" si="205"/>
        <v>#N/A</v>
      </c>
      <c r="IG213" s="262" t="e">
        <f t="shared" si="206"/>
        <v>#N/A</v>
      </c>
      <c r="IH213" s="379"/>
      <c r="II213" s="379"/>
      <c r="IJ213" s="262" t="e">
        <f t="shared" si="207"/>
        <v>#N/A</v>
      </c>
      <c r="IK213" s="262" t="e">
        <f t="shared" si="208"/>
        <v>#N/A</v>
      </c>
      <c r="IL213" s="379"/>
      <c r="IM213" s="379"/>
      <c r="IN213" s="262" t="e">
        <f t="shared" si="209"/>
        <v>#N/A</v>
      </c>
      <c r="IO213" s="262" t="e">
        <f t="shared" si="210"/>
        <v>#N/A</v>
      </c>
      <c r="IP213" s="379"/>
      <c r="IQ213" s="379"/>
      <c r="IR213" s="262" t="e">
        <f t="shared" si="211"/>
        <v>#N/A</v>
      </c>
      <c r="IS213" s="262" t="e">
        <f t="shared" si="212"/>
        <v>#N/A</v>
      </c>
      <c r="IT213" s="379"/>
      <c r="IU213" s="379"/>
      <c r="IV213" s="262" t="e">
        <f t="shared" si="213"/>
        <v>#N/A</v>
      </c>
      <c r="IW213" s="262" t="e">
        <f t="shared" si="214"/>
        <v>#N/A</v>
      </c>
      <c r="JN213" s="261" t="e">
        <f t="shared" si="215"/>
        <v>#N/A</v>
      </c>
      <c r="JO213" s="261" t="e">
        <f t="shared" si="216"/>
        <v>#N/A</v>
      </c>
      <c r="JR213" s="261" t="e">
        <f t="shared" si="221"/>
        <v>#N/A</v>
      </c>
      <c r="JS213" s="261" t="e">
        <f t="shared" si="222"/>
        <v>#N/A</v>
      </c>
      <c r="JV213" s="261" t="e">
        <f t="shared" si="217"/>
        <v>#N/A</v>
      </c>
      <c r="JW213" s="261" t="e">
        <f t="shared" si="218"/>
        <v>#N/A</v>
      </c>
      <c r="PS213" s="342">
        <v>199</v>
      </c>
      <c r="PT213" s="261" t="e">
        <f t="shared" si="219"/>
        <v>#N/A</v>
      </c>
      <c r="PU213" s="261" t="e">
        <f t="shared" si="220"/>
        <v>#N/A</v>
      </c>
    </row>
    <row r="214" spans="4:437" x14ac:dyDescent="0.5"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310"/>
      <c r="AQ214" s="310"/>
      <c r="AR214" s="310"/>
      <c r="AS214" s="310"/>
      <c r="AT214" s="310"/>
      <c r="AU214" s="310"/>
      <c r="AV214" s="310"/>
      <c r="AW214" s="310"/>
      <c r="AX214" s="310"/>
      <c r="AY214" s="310"/>
      <c r="AZ214" s="310"/>
      <c r="BA214" s="310"/>
      <c r="HK214" s="342">
        <v>200</v>
      </c>
      <c r="HL214" s="235" t="e">
        <f t="shared" si="195"/>
        <v>#N/A</v>
      </c>
      <c r="HM214" s="235" t="e">
        <f t="shared" si="196"/>
        <v>#N/A</v>
      </c>
      <c r="HP214" s="235" t="e">
        <f t="shared" si="197"/>
        <v>#N/A</v>
      </c>
      <c r="HQ214" s="235" t="e">
        <f t="shared" si="198"/>
        <v>#N/A</v>
      </c>
      <c r="HT214" s="235" t="e">
        <f t="shared" si="199"/>
        <v>#N/A</v>
      </c>
      <c r="HU214" s="235" t="e">
        <f t="shared" si="200"/>
        <v>#N/A</v>
      </c>
      <c r="HX214" s="235" t="e">
        <f t="shared" si="201"/>
        <v>#N/A</v>
      </c>
      <c r="HY214" s="235" t="e">
        <f t="shared" si="202"/>
        <v>#N/A</v>
      </c>
      <c r="IB214" s="235" t="e">
        <f t="shared" si="203"/>
        <v>#N/A</v>
      </c>
      <c r="IC214" s="235" t="e">
        <f t="shared" si="204"/>
        <v>#N/A</v>
      </c>
      <c r="IE214" s="342">
        <v>200</v>
      </c>
      <c r="IF214" s="262" t="e">
        <f t="shared" si="205"/>
        <v>#N/A</v>
      </c>
      <c r="IG214" s="262" t="e">
        <f t="shared" si="206"/>
        <v>#N/A</v>
      </c>
      <c r="IH214" s="379"/>
      <c r="II214" s="379"/>
      <c r="IJ214" s="262" t="e">
        <f t="shared" si="207"/>
        <v>#N/A</v>
      </c>
      <c r="IK214" s="262" t="e">
        <f t="shared" si="208"/>
        <v>#N/A</v>
      </c>
      <c r="IL214" s="379"/>
      <c r="IM214" s="379"/>
      <c r="IN214" s="262" t="e">
        <f t="shared" si="209"/>
        <v>#N/A</v>
      </c>
      <c r="IO214" s="262" t="e">
        <f t="shared" si="210"/>
        <v>#N/A</v>
      </c>
      <c r="IP214" s="379"/>
      <c r="IQ214" s="379"/>
      <c r="IR214" s="262" t="e">
        <f t="shared" si="211"/>
        <v>#N/A</v>
      </c>
      <c r="IS214" s="262" t="e">
        <f t="shared" si="212"/>
        <v>#N/A</v>
      </c>
      <c r="IT214" s="379"/>
      <c r="IU214" s="379"/>
      <c r="IV214" s="262" t="e">
        <f t="shared" si="213"/>
        <v>#N/A</v>
      </c>
      <c r="IW214" s="262" t="e">
        <f t="shared" si="214"/>
        <v>#N/A</v>
      </c>
      <c r="JN214" s="261" t="e">
        <f t="shared" si="215"/>
        <v>#N/A</v>
      </c>
      <c r="JO214" s="261" t="e">
        <f t="shared" si="216"/>
        <v>#N/A</v>
      </c>
      <c r="JR214" s="261" t="e">
        <f t="shared" si="221"/>
        <v>#N/A</v>
      </c>
      <c r="JS214" s="261" t="e">
        <f t="shared" si="222"/>
        <v>#N/A</v>
      </c>
      <c r="JV214" s="261" t="e">
        <f t="shared" si="217"/>
        <v>#N/A</v>
      </c>
      <c r="JW214" s="261" t="e">
        <f t="shared" si="218"/>
        <v>#N/A</v>
      </c>
      <c r="PS214" s="342">
        <v>200</v>
      </c>
      <c r="PT214" s="261" t="e">
        <f t="shared" si="219"/>
        <v>#N/A</v>
      </c>
      <c r="PU214" s="261" t="e">
        <f t="shared" si="220"/>
        <v>#N/A</v>
      </c>
    </row>
    <row r="215" spans="4:437" x14ac:dyDescent="0.5"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310"/>
      <c r="AQ215" s="310"/>
      <c r="AR215" s="310"/>
      <c r="AS215" s="310"/>
      <c r="AT215" s="310"/>
      <c r="AU215" s="310"/>
      <c r="AV215" s="310"/>
      <c r="AW215" s="310"/>
      <c r="AX215" s="310"/>
      <c r="AY215" s="310"/>
      <c r="AZ215" s="310"/>
      <c r="BA215" s="310"/>
      <c r="HK215" s="342">
        <v>201</v>
      </c>
      <c r="HL215" s="235" t="e">
        <f t="shared" si="195"/>
        <v>#N/A</v>
      </c>
      <c r="HM215" s="235" t="e">
        <f t="shared" si="196"/>
        <v>#N/A</v>
      </c>
      <c r="HP215" s="235" t="e">
        <f t="shared" si="197"/>
        <v>#N/A</v>
      </c>
      <c r="HQ215" s="235" t="e">
        <f t="shared" si="198"/>
        <v>#N/A</v>
      </c>
      <c r="HT215" s="235" t="e">
        <f t="shared" si="199"/>
        <v>#N/A</v>
      </c>
      <c r="HU215" s="235" t="e">
        <f t="shared" si="200"/>
        <v>#N/A</v>
      </c>
      <c r="HX215" s="235" t="e">
        <f t="shared" si="201"/>
        <v>#N/A</v>
      </c>
      <c r="HY215" s="235" t="e">
        <f t="shared" si="202"/>
        <v>#N/A</v>
      </c>
      <c r="IB215" s="235" t="e">
        <f t="shared" si="203"/>
        <v>#N/A</v>
      </c>
      <c r="IC215" s="235" t="e">
        <f t="shared" si="204"/>
        <v>#N/A</v>
      </c>
      <c r="IE215" s="342">
        <v>201</v>
      </c>
      <c r="IF215" s="262" t="e">
        <f t="shared" si="205"/>
        <v>#N/A</v>
      </c>
      <c r="IG215" s="262" t="e">
        <f t="shared" si="206"/>
        <v>#N/A</v>
      </c>
      <c r="IH215" s="379"/>
      <c r="II215" s="379"/>
      <c r="IJ215" s="262" t="e">
        <f t="shared" si="207"/>
        <v>#N/A</v>
      </c>
      <c r="IK215" s="262" t="e">
        <f t="shared" si="208"/>
        <v>#N/A</v>
      </c>
      <c r="IL215" s="379"/>
      <c r="IM215" s="379"/>
      <c r="IN215" s="262" t="e">
        <f t="shared" si="209"/>
        <v>#N/A</v>
      </c>
      <c r="IO215" s="262" t="e">
        <f t="shared" si="210"/>
        <v>#N/A</v>
      </c>
      <c r="IP215" s="379"/>
      <c r="IQ215" s="379"/>
      <c r="IR215" s="262" t="e">
        <f t="shared" si="211"/>
        <v>#N/A</v>
      </c>
      <c r="IS215" s="262" t="e">
        <f t="shared" si="212"/>
        <v>#N/A</v>
      </c>
      <c r="IT215" s="379"/>
      <c r="IU215" s="379"/>
      <c r="IV215" s="262" t="e">
        <f t="shared" si="213"/>
        <v>#N/A</v>
      </c>
      <c r="IW215" s="262" t="e">
        <f t="shared" si="214"/>
        <v>#N/A</v>
      </c>
      <c r="JN215" s="261" t="e">
        <f t="shared" si="215"/>
        <v>#N/A</v>
      </c>
      <c r="JO215" s="261" t="e">
        <f t="shared" si="216"/>
        <v>#N/A</v>
      </c>
      <c r="JR215" s="261" t="e">
        <f t="shared" si="221"/>
        <v>#N/A</v>
      </c>
      <c r="JS215" s="261" t="e">
        <f t="shared" si="222"/>
        <v>#N/A</v>
      </c>
      <c r="JV215" s="261" t="e">
        <f t="shared" si="217"/>
        <v>#N/A</v>
      </c>
      <c r="JW215" s="261" t="e">
        <f t="shared" si="218"/>
        <v>#N/A</v>
      </c>
      <c r="PS215" s="342">
        <v>201</v>
      </c>
      <c r="PT215" s="261" t="e">
        <f t="shared" si="219"/>
        <v>#N/A</v>
      </c>
      <c r="PU215" s="261" t="e">
        <f t="shared" si="220"/>
        <v>#N/A</v>
      </c>
    </row>
    <row r="216" spans="4:437" x14ac:dyDescent="0.5"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310"/>
      <c r="AQ216" s="310"/>
      <c r="AR216" s="310"/>
      <c r="AS216" s="310"/>
      <c r="AT216" s="310"/>
      <c r="AU216" s="310"/>
      <c r="AV216" s="310"/>
      <c r="AW216" s="310"/>
      <c r="AX216" s="310"/>
      <c r="AY216" s="310"/>
      <c r="AZ216" s="310"/>
      <c r="BA216" s="310"/>
      <c r="HK216" s="342">
        <v>202</v>
      </c>
      <c r="HL216" s="235" t="e">
        <f t="shared" si="195"/>
        <v>#N/A</v>
      </c>
      <c r="HM216" s="235" t="e">
        <f t="shared" si="196"/>
        <v>#N/A</v>
      </c>
      <c r="HP216" s="235" t="e">
        <f t="shared" si="197"/>
        <v>#N/A</v>
      </c>
      <c r="HQ216" s="235" t="e">
        <f t="shared" si="198"/>
        <v>#N/A</v>
      </c>
      <c r="HT216" s="235" t="e">
        <f t="shared" si="199"/>
        <v>#N/A</v>
      </c>
      <c r="HU216" s="235" t="e">
        <f t="shared" si="200"/>
        <v>#N/A</v>
      </c>
      <c r="HX216" s="235" t="e">
        <f t="shared" si="201"/>
        <v>#N/A</v>
      </c>
      <c r="HY216" s="235" t="e">
        <f t="shared" si="202"/>
        <v>#N/A</v>
      </c>
      <c r="IB216" s="235" t="e">
        <f t="shared" si="203"/>
        <v>#N/A</v>
      </c>
      <c r="IC216" s="235" t="e">
        <f t="shared" si="204"/>
        <v>#N/A</v>
      </c>
      <c r="IE216" s="342">
        <v>202</v>
      </c>
      <c r="IF216" s="262" t="e">
        <f t="shared" si="205"/>
        <v>#N/A</v>
      </c>
      <c r="IG216" s="262" t="e">
        <f t="shared" si="206"/>
        <v>#N/A</v>
      </c>
      <c r="IH216" s="379"/>
      <c r="II216" s="379"/>
      <c r="IJ216" s="262" t="e">
        <f t="shared" si="207"/>
        <v>#N/A</v>
      </c>
      <c r="IK216" s="262" t="e">
        <f t="shared" si="208"/>
        <v>#N/A</v>
      </c>
      <c r="IL216" s="379"/>
      <c r="IM216" s="379"/>
      <c r="IN216" s="262" t="e">
        <f t="shared" si="209"/>
        <v>#N/A</v>
      </c>
      <c r="IO216" s="262" t="e">
        <f t="shared" si="210"/>
        <v>#N/A</v>
      </c>
      <c r="IP216" s="379"/>
      <c r="IQ216" s="379"/>
      <c r="IR216" s="262" t="e">
        <f t="shared" si="211"/>
        <v>#N/A</v>
      </c>
      <c r="IS216" s="262" t="e">
        <f t="shared" si="212"/>
        <v>#N/A</v>
      </c>
      <c r="IT216" s="379"/>
      <c r="IU216" s="379"/>
      <c r="IV216" s="262" t="e">
        <f t="shared" si="213"/>
        <v>#N/A</v>
      </c>
      <c r="IW216" s="262" t="e">
        <f t="shared" si="214"/>
        <v>#N/A</v>
      </c>
      <c r="JN216" s="261" t="e">
        <f t="shared" si="215"/>
        <v>#N/A</v>
      </c>
      <c r="JO216" s="261" t="e">
        <f t="shared" si="216"/>
        <v>#N/A</v>
      </c>
      <c r="JR216" s="261" t="e">
        <f t="shared" si="221"/>
        <v>#N/A</v>
      </c>
      <c r="JS216" s="261" t="e">
        <f t="shared" si="222"/>
        <v>#N/A</v>
      </c>
      <c r="JV216" s="261" t="e">
        <f t="shared" si="217"/>
        <v>#N/A</v>
      </c>
      <c r="JW216" s="261" t="e">
        <f t="shared" si="218"/>
        <v>#N/A</v>
      </c>
      <c r="PS216" s="342">
        <v>202</v>
      </c>
      <c r="PT216" s="261" t="e">
        <f t="shared" si="219"/>
        <v>#N/A</v>
      </c>
      <c r="PU216" s="261" t="e">
        <f t="shared" si="220"/>
        <v>#N/A</v>
      </c>
    </row>
    <row r="217" spans="4:437" x14ac:dyDescent="0.5"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310"/>
      <c r="AQ217" s="310"/>
      <c r="AR217" s="310"/>
      <c r="AS217" s="310"/>
      <c r="AT217" s="310"/>
      <c r="AU217" s="310"/>
      <c r="AV217" s="310"/>
      <c r="AW217" s="310"/>
      <c r="AX217" s="310"/>
      <c r="AY217" s="310"/>
      <c r="AZ217" s="310"/>
      <c r="BA217" s="310"/>
      <c r="HK217" s="342">
        <v>203</v>
      </c>
      <c r="HL217" s="235" t="e">
        <f t="shared" si="195"/>
        <v>#N/A</v>
      </c>
      <c r="HM217" s="235" t="e">
        <f t="shared" si="196"/>
        <v>#N/A</v>
      </c>
      <c r="HP217" s="235" t="e">
        <f t="shared" si="197"/>
        <v>#N/A</v>
      </c>
      <c r="HQ217" s="235" t="e">
        <f t="shared" si="198"/>
        <v>#N/A</v>
      </c>
      <c r="HT217" s="235" t="e">
        <f t="shared" si="199"/>
        <v>#N/A</v>
      </c>
      <c r="HU217" s="235" t="e">
        <f t="shared" si="200"/>
        <v>#N/A</v>
      </c>
      <c r="HX217" s="235" t="e">
        <f t="shared" si="201"/>
        <v>#N/A</v>
      </c>
      <c r="HY217" s="235" t="e">
        <f t="shared" si="202"/>
        <v>#N/A</v>
      </c>
      <c r="IB217" s="235" t="e">
        <f t="shared" si="203"/>
        <v>#N/A</v>
      </c>
      <c r="IC217" s="235" t="e">
        <f t="shared" si="204"/>
        <v>#N/A</v>
      </c>
      <c r="IE217" s="342">
        <v>203</v>
      </c>
      <c r="IF217" s="262" t="e">
        <f t="shared" si="205"/>
        <v>#N/A</v>
      </c>
      <c r="IG217" s="262" t="e">
        <f t="shared" si="206"/>
        <v>#N/A</v>
      </c>
      <c r="IH217" s="379"/>
      <c r="II217" s="379"/>
      <c r="IJ217" s="262" t="e">
        <f t="shared" si="207"/>
        <v>#N/A</v>
      </c>
      <c r="IK217" s="262" t="e">
        <f t="shared" si="208"/>
        <v>#N/A</v>
      </c>
      <c r="IL217" s="379"/>
      <c r="IM217" s="379"/>
      <c r="IN217" s="262" t="e">
        <f t="shared" si="209"/>
        <v>#N/A</v>
      </c>
      <c r="IO217" s="262" t="e">
        <f t="shared" si="210"/>
        <v>#N/A</v>
      </c>
      <c r="IP217" s="379"/>
      <c r="IQ217" s="379"/>
      <c r="IR217" s="262" t="e">
        <f t="shared" si="211"/>
        <v>#N/A</v>
      </c>
      <c r="IS217" s="262" t="e">
        <f t="shared" si="212"/>
        <v>#N/A</v>
      </c>
      <c r="IT217" s="379"/>
      <c r="IU217" s="379"/>
      <c r="IV217" s="262" t="e">
        <f t="shared" si="213"/>
        <v>#N/A</v>
      </c>
      <c r="IW217" s="262" t="e">
        <f t="shared" si="214"/>
        <v>#N/A</v>
      </c>
      <c r="JN217" s="261" t="e">
        <f t="shared" si="215"/>
        <v>#N/A</v>
      </c>
      <c r="JO217" s="261" t="e">
        <f t="shared" si="216"/>
        <v>#N/A</v>
      </c>
      <c r="JR217" s="261" t="e">
        <f t="shared" si="221"/>
        <v>#N/A</v>
      </c>
      <c r="JS217" s="261" t="e">
        <f t="shared" si="222"/>
        <v>#N/A</v>
      </c>
      <c r="JV217" s="261" t="e">
        <f t="shared" si="217"/>
        <v>#N/A</v>
      </c>
      <c r="JW217" s="261" t="e">
        <f t="shared" si="218"/>
        <v>#N/A</v>
      </c>
      <c r="PS217" s="342">
        <v>203</v>
      </c>
      <c r="PT217" s="261" t="e">
        <f t="shared" si="219"/>
        <v>#N/A</v>
      </c>
      <c r="PU217" s="261" t="e">
        <f t="shared" si="220"/>
        <v>#N/A</v>
      </c>
    </row>
    <row r="218" spans="4:437" x14ac:dyDescent="0.5"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310"/>
      <c r="AQ218" s="310"/>
      <c r="AR218" s="310"/>
      <c r="AS218" s="310"/>
      <c r="AT218" s="310"/>
      <c r="AU218" s="310"/>
      <c r="AV218" s="310"/>
      <c r="AW218" s="310"/>
      <c r="AX218" s="310"/>
      <c r="AY218" s="310"/>
      <c r="AZ218" s="310"/>
      <c r="BA218" s="310"/>
      <c r="HK218" s="342">
        <v>204</v>
      </c>
      <c r="HL218" s="235" t="e">
        <f t="shared" si="195"/>
        <v>#N/A</v>
      </c>
      <c r="HM218" s="235" t="e">
        <f t="shared" si="196"/>
        <v>#N/A</v>
      </c>
      <c r="HP218" s="235" t="e">
        <f t="shared" si="197"/>
        <v>#N/A</v>
      </c>
      <c r="HQ218" s="235" t="e">
        <f t="shared" si="198"/>
        <v>#N/A</v>
      </c>
      <c r="HT218" s="235" t="e">
        <f t="shared" si="199"/>
        <v>#N/A</v>
      </c>
      <c r="HU218" s="235" t="e">
        <f t="shared" si="200"/>
        <v>#N/A</v>
      </c>
      <c r="HX218" s="235" t="e">
        <f t="shared" si="201"/>
        <v>#N/A</v>
      </c>
      <c r="HY218" s="235" t="e">
        <f t="shared" si="202"/>
        <v>#N/A</v>
      </c>
      <c r="IB218" s="235" t="e">
        <f t="shared" si="203"/>
        <v>#N/A</v>
      </c>
      <c r="IC218" s="235" t="e">
        <f t="shared" si="204"/>
        <v>#N/A</v>
      </c>
      <c r="IE218" s="342">
        <v>204</v>
      </c>
      <c r="IF218" s="262" t="e">
        <f t="shared" si="205"/>
        <v>#N/A</v>
      </c>
      <c r="IG218" s="262" t="e">
        <f t="shared" si="206"/>
        <v>#N/A</v>
      </c>
      <c r="IH218" s="379"/>
      <c r="II218" s="379"/>
      <c r="IJ218" s="262" t="e">
        <f t="shared" si="207"/>
        <v>#N/A</v>
      </c>
      <c r="IK218" s="262" t="e">
        <f t="shared" si="208"/>
        <v>#N/A</v>
      </c>
      <c r="IL218" s="379"/>
      <c r="IM218" s="379"/>
      <c r="IN218" s="262" t="e">
        <f t="shared" si="209"/>
        <v>#N/A</v>
      </c>
      <c r="IO218" s="262" t="e">
        <f t="shared" si="210"/>
        <v>#N/A</v>
      </c>
      <c r="IP218" s="379"/>
      <c r="IQ218" s="379"/>
      <c r="IR218" s="262" t="e">
        <f t="shared" si="211"/>
        <v>#N/A</v>
      </c>
      <c r="IS218" s="262" t="e">
        <f t="shared" si="212"/>
        <v>#N/A</v>
      </c>
      <c r="IT218" s="379"/>
      <c r="IU218" s="379"/>
      <c r="IV218" s="262" t="e">
        <f t="shared" si="213"/>
        <v>#N/A</v>
      </c>
      <c r="IW218" s="262" t="e">
        <f t="shared" si="214"/>
        <v>#N/A</v>
      </c>
      <c r="JN218" s="261" t="e">
        <f t="shared" si="215"/>
        <v>#N/A</v>
      </c>
      <c r="JO218" s="261" t="e">
        <f t="shared" si="216"/>
        <v>#N/A</v>
      </c>
      <c r="JR218" s="261" t="e">
        <f t="shared" si="221"/>
        <v>#N/A</v>
      </c>
      <c r="JS218" s="261" t="e">
        <f t="shared" si="222"/>
        <v>#N/A</v>
      </c>
      <c r="JV218" s="261" t="e">
        <f t="shared" si="217"/>
        <v>#N/A</v>
      </c>
      <c r="JW218" s="261" t="e">
        <f t="shared" si="218"/>
        <v>#N/A</v>
      </c>
      <c r="PS218" s="342">
        <v>204</v>
      </c>
      <c r="PT218" s="261" t="e">
        <f t="shared" si="219"/>
        <v>#N/A</v>
      </c>
      <c r="PU218" s="261" t="e">
        <f t="shared" si="220"/>
        <v>#N/A</v>
      </c>
    </row>
    <row r="219" spans="4:437" x14ac:dyDescent="0.5"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310"/>
      <c r="AQ219" s="310"/>
      <c r="AR219" s="310"/>
      <c r="AS219" s="310"/>
      <c r="AT219" s="310"/>
      <c r="AU219" s="310"/>
      <c r="AV219" s="310"/>
      <c r="AW219" s="310"/>
      <c r="AX219" s="310"/>
      <c r="AY219" s="310"/>
      <c r="AZ219" s="310"/>
      <c r="BA219" s="310"/>
      <c r="HK219" s="342">
        <v>205</v>
      </c>
      <c r="HL219" s="235" t="e">
        <f t="shared" si="195"/>
        <v>#N/A</v>
      </c>
      <c r="HM219" s="235" t="e">
        <f t="shared" si="196"/>
        <v>#N/A</v>
      </c>
      <c r="HP219" s="235" t="e">
        <f t="shared" si="197"/>
        <v>#N/A</v>
      </c>
      <c r="HQ219" s="235" t="e">
        <f t="shared" si="198"/>
        <v>#N/A</v>
      </c>
      <c r="HT219" s="235" t="e">
        <f t="shared" si="199"/>
        <v>#N/A</v>
      </c>
      <c r="HU219" s="235" t="e">
        <f t="shared" si="200"/>
        <v>#N/A</v>
      </c>
      <c r="HX219" s="235" t="e">
        <f t="shared" si="201"/>
        <v>#N/A</v>
      </c>
      <c r="HY219" s="235" t="e">
        <f t="shared" si="202"/>
        <v>#N/A</v>
      </c>
      <c r="IB219" s="235" t="e">
        <f t="shared" si="203"/>
        <v>#N/A</v>
      </c>
      <c r="IC219" s="235" t="e">
        <f t="shared" si="204"/>
        <v>#N/A</v>
      </c>
      <c r="IE219" s="342">
        <v>205</v>
      </c>
      <c r="IF219" s="262" t="e">
        <f t="shared" si="205"/>
        <v>#N/A</v>
      </c>
      <c r="IG219" s="262" t="e">
        <f t="shared" si="206"/>
        <v>#N/A</v>
      </c>
      <c r="IH219" s="379"/>
      <c r="II219" s="379"/>
      <c r="IJ219" s="262" t="e">
        <f t="shared" si="207"/>
        <v>#N/A</v>
      </c>
      <c r="IK219" s="262" t="e">
        <f t="shared" si="208"/>
        <v>#N/A</v>
      </c>
      <c r="IL219" s="379"/>
      <c r="IM219" s="379"/>
      <c r="IN219" s="262" t="e">
        <f t="shared" si="209"/>
        <v>#N/A</v>
      </c>
      <c r="IO219" s="262" t="e">
        <f t="shared" si="210"/>
        <v>#N/A</v>
      </c>
      <c r="IP219" s="379"/>
      <c r="IQ219" s="379"/>
      <c r="IR219" s="262" t="e">
        <f t="shared" si="211"/>
        <v>#N/A</v>
      </c>
      <c r="IS219" s="262" t="e">
        <f t="shared" si="212"/>
        <v>#N/A</v>
      </c>
      <c r="IT219" s="379"/>
      <c r="IU219" s="379"/>
      <c r="IV219" s="262" t="e">
        <f t="shared" si="213"/>
        <v>#N/A</v>
      </c>
      <c r="IW219" s="262" t="e">
        <f t="shared" si="214"/>
        <v>#N/A</v>
      </c>
      <c r="JN219" s="261" t="e">
        <f t="shared" si="215"/>
        <v>#N/A</v>
      </c>
      <c r="JO219" s="261" t="e">
        <f t="shared" si="216"/>
        <v>#N/A</v>
      </c>
      <c r="JR219" s="261" t="e">
        <f t="shared" si="221"/>
        <v>#N/A</v>
      </c>
      <c r="JS219" s="261" t="e">
        <f t="shared" si="222"/>
        <v>#N/A</v>
      </c>
      <c r="JV219" s="261" t="e">
        <f t="shared" si="217"/>
        <v>#N/A</v>
      </c>
      <c r="JW219" s="261" t="e">
        <f t="shared" si="218"/>
        <v>#N/A</v>
      </c>
      <c r="PS219" s="342">
        <v>205</v>
      </c>
      <c r="PT219" s="261" t="e">
        <f t="shared" si="219"/>
        <v>#N/A</v>
      </c>
      <c r="PU219" s="261" t="e">
        <f t="shared" si="220"/>
        <v>#N/A</v>
      </c>
    </row>
    <row r="220" spans="4:437" x14ac:dyDescent="0.5"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310"/>
      <c r="AQ220" s="310"/>
      <c r="AR220" s="310"/>
      <c r="AS220" s="310"/>
      <c r="AT220" s="310"/>
      <c r="AU220" s="310"/>
      <c r="AV220" s="310"/>
      <c r="AW220" s="310"/>
      <c r="AX220" s="310"/>
      <c r="AY220" s="310"/>
      <c r="AZ220" s="310"/>
      <c r="BA220" s="310"/>
      <c r="HK220" s="342">
        <v>206</v>
      </c>
      <c r="HL220" s="235" t="e">
        <f t="shared" si="195"/>
        <v>#N/A</v>
      </c>
      <c r="HM220" s="235" t="e">
        <f t="shared" si="196"/>
        <v>#N/A</v>
      </c>
      <c r="HP220" s="235" t="e">
        <f t="shared" si="197"/>
        <v>#N/A</v>
      </c>
      <c r="HQ220" s="235" t="e">
        <f t="shared" si="198"/>
        <v>#N/A</v>
      </c>
      <c r="HT220" s="235" t="e">
        <f t="shared" si="199"/>
        <v>#N/A</v>
      </c>
      <c r="HU220" s="235" t="e">
        <f t="shared" si="200"/>
        <v>#N/A</v>
      </c>
      <c r="HX220" s="235" t="e">
        <f t="shared" si="201"/>
        <v>#N/A</v>
      </c>
      <c r="HY220" s="235" t="e">
        <f t="shared" si="202"/>
        <v>#N/A</v>
      </c>
      <c r="IB220" s="235" t="e">
        <f t="shared" si="203"/>
        <v>#N/A</v>
      </c>
      <c r="IC220" s="235" t="e">
        <f t="shared" si="204"/>
        <v>#N/A</v>
      </c>
      <c r="IE220" s="342">
        <v>206</v>
      </c>
      <c r="IF220" s="262" t="e">
        <f t="shared" si="205"/>
        <v>#N/A</v>
      </c>
      <c r="IG220" s="262" t="e">
        <f t="shared" si="206"/>
        <v>#N/A</v>
      </c>
      <c r="IH220" s="379"/>
      <c r="II220" s="379"/>
      <c r="IJ220" s="262" t="e">
        <f t="shared" si="207"/>
        <v>#N/A</v>
      </c>
      <c r="IK220" s="262" t="e">
        <f t="shared" si="208"/>
        <v>#N/A</v>
      </c>
      <c r="IL220" s="379"/>
      <c r="IM220" s="379"/>
      <c r="IN220" s="262" t="e">
        <f t="shared" si="209"/>
        <v>#N/A</v>
      </c>
      <c r="IO220" s="262" t="e">
        <f t="shared" si="210"/>
        <v>#N/A</v>
      </c>
      <c r="IP220" s="379"/>
      <c r="IQ220" s="379"/>
      <c r="IR220" s="262" t="e">
        <f t="shared" si="211"/>
        <v>#N/A</v>
      </c>
      <c r="IS220" s="262" t="e">
        <f t="shared" si="212"/>
        <v>#N/A</v>
      </c>
      <c r="IT220" s="379"/>
      <c r="IU220" s="379"/>
      <c r="IV220" s="262" t="e">
        <f t="shared" si="213"/>
        <v>#N/A</v>
      </c>
      <c r="IW220" s="262" t="e">
        <f t="shared" si="214"/>
        <v>#N/A</v>
      </c>
      <c r="JN220" s="261" t="e">
        <f t="shared" si="215"/>
        <v>#N/A</v>
      </c>
      <c r="JO220" s="261" t="e">
        <f t="shared" si="216"/>
        <v>#N/A</v>
      </c>
      <c r="JR220" s="261" t="e">
        <f t="shared" si="221"/>
        <v>#N/A</v>
      </c>
      <c r="JS220" s="261" t="e">
        <f t="shared" si="222"/>
        <v>#N/A</v>
      </c>
      <c r="JV220" s="261" t="e">
        <f t="shared" si="217"/>
        <v>#N/A</v>
      </c>
      <c r="JW220" s="261" t="e">
        <f t="shared" si="218"/>
        <v>#N/A</v>
      </c>
      <c r="PS220" s="342">
        <v>206</v>
      </c>
      <c r="PT220" s="261" t="e">
        <f t="shared" si="219"/>
        <v>#N/A</v>
      </c>
      <c r="PU220" s="261" t="e">
        <f t="shared" si="220"/>
        <v>#N/A</v>
      </c>
    </row>
    <row r="221" spans="4:437" x14ac:dyDescent="0.5"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310"/>
      <c r="AQ221" s="310"/>
      <c r="AR221" s="310"/>
      <c r="AS221" s="310"/>
      <c r="AT221" s="310"/>
      <c r="AU221" s="310"/>
      <c r="AV221" s="310"/>
      <c r="AW221" s="310"/>
      <c r="AX221" s="310"/>
      <c r="AY221" s="310"/>
      <c r="AZ221" s="310"/>
      <c r="BA221" s="310"/>
      <c r="HK221" s="342">
        <v>207</v>
      </c>
      <c r="HL221" s="235" t="e">
        <f t="shared" si="195"/>
        <v>#N/A</v>
      </c>
      <c r="HM221" s="235" t="e">
        <f t="shared" si="196"/>
        <v>#N/A</v>
      </c>
      <c r="HP221" s="235" t="e">
        <f t="shared" si="197"/>
        <v>#N/A</v>
      </c>
      <c r="HQ221" s="235" t="e">
        <f t="shared" si="198"/>
        <v>#N/A</v>
      </c>
      <c r="HT221" s="235" t="e">
        <f t="shared" si="199"/>
        <v>#N/A</v>
      </c>
      <c r="HU221" s="235" t="e">
        <f t="shared" si="200"/>
        <v>#N/A</v>
      </c>
      <c r="HX221" s="235" t="e">
        <f t="shared" si="201"/>
        <v>#N/A</v>
      </c>
      <c r="HY221" s="235" t="e">
        <f t="shared" si="202"/>
        <v>#N/A</v>
      </c>
      <c r="IB221" s="235" t="e">
        <f t="shared" si="203"/>
        <v>#N/A</v>
      </c>
      <c r="IC221" s="235" t="e">
        <f t="shared" si="204"/>
        <v>#N/A</v>
      </c>
      <c r="IE221" s="342">
        <v>207</v>
      </c>
      <c r="IF221" s="262" t="e">
        <f t="shared" si="205"/>
        <v>#N/A</v>
      </c>
      <c r="IG221" s="262" t="e">
        <f t="shared" si="206"/>
        <v>#N/A</v>
      </c>
      <c r="IH221" s="379"/>
      <c r="II221" s="379"/>
      <c r="IJ221" s="262" t="e">
        <f t="shared" si="207"/>
        <v>#N/A</v>
      </c>
      <c r="IK221" s="262" t="e">
        <f t="shared" si="208"/>
        <v>#N/A</v>
      </c>
      <c r="IL221" s="379"/>
      <c r="IM221" s="379"/>
      <c r="IN221" s="262" t="e">
        <f t="shared" si="209"/>
        <v>#N/A</v>
      </c>
      <c r="IO221" s="262" t="e">
        <f t="shared" si="210"/>
        <v>#N/A</v>
      </c>
      <c r="IP221" s="379"/>
      <c r="IQ221" s="379"/>
      <c r="IR221" s="262" t="e">
        <f t="shared" si="211"/>
        <v>#N/A</v>
      </c>
      <c r="IS221" s="262" t="e">
        <f t="shared" si="212"/>
        <v>#N/A</v>
      </c>
      <c r="IT221" s="379"/>
      <c r="IU221" s="379"/>
      <c r="IV221" s="262" t="e">
        <f t="shared" si="213"/>
        <v>#N/A</v>
      </c>
      <c r="IW221" s="262" t="e">
        <f t="shared" si="214"/>
        <v>#N/A</v>
      </c>
      <c r="JN221" s="261" t="e">
        <f t="shared" si="215"/>
        <v>#N/A</v>
      </c>
      <c r="JO221" s="261" t="e">
        <f t="shared" si="216"/>
        <v>#N/A</v>
      </c>
      <c r="JR221" s="261" t="e">
        <f t="shared" si="221"/>
        <v>#N/A</v>
      </c>
      <c r="JS221" s="261" t="e">
        <f t="shared" si="222"/>
        <v>#N/A</v>
      </c>
      <c r="JV221" s="261" t="e">
        <f t="shared" si="217"/>
        <v>#N/A</v>
      </c>
      <c r="JW221" s="261" t="e">
        <f t="shared" si="218"/>
        <v>#N/A</v>
      </c>
      <c r="PS221" s="342">
        <v>207</v>
      </c>
      <c r="PT221" s="261" t="e">
        <f t="shared" si="219"/>
        <v>#N/A</v>
      </c>
      <c r="PU221" s="261" t="e">
        <f t="shared" si="220"/>
        <v>#N/A</v>
      </c>
    </row>
    <row r="222" spans="4:437" x14ac:dyDescent="0.5"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310"/>
      <c r="AQ222" s="310"/>
      <c r="AR222" s="310"/>
      <c r="AS222" s="310"/>
      <c r="AT222" s="310"/>
      <c r="AU222" s="310"/>
      <c r="AV222" s="310"/>
      <c r="AW222" s="310"/>
      <c r="AX222" s="310"/>
      <c r="AY222" s="310"/>
      <c r="AZ222" s="310"/>
      <c r="BA222" s="310"/>
      <c r="HK222" s="342">
        <v>208</v>
      </c>
      <c r="HL222" s="235" t="e">
        <f t="shared" si="195"/>
        <v>#N/A</v>
      </c>
      <c r="HM222" s="235" t="e">
        <f t="shared" si="196"/>
        <v>#N/A</v>
      </c>
      <c r="HP222" s="235" t="e">
        <f t="shared" si="197"/>
        <v>#N/A</v>
      </c>
      <c r="HQ222" s="235" t="e">
        <f t="shared" si="198"/>
        <v>#N/A</v>
      </c>
      <c r="HT222" s="235" t="e">
        <f t="shared" si="199"/>
        <v>#N/A</v>
      </c>
      <c r="HU222" s="235" t="e">
        <f t="shared" si="200"/>
        <v>#N/A</v>
      </c>
      <c r="HX222" s="235" t="e">
        <f t="shared" si="201"/>
        <v>#N/A</v>
      </c>
      <c r="HY222" s="235" t="e">
        <f t="shared" si="202"/>
        <v>#N/A</v>
      </c>
      <c r="IB222" s="235" t="e">
        <f t="shared" si="203"/>
        <v>#N/A</v>
      </c>
      <c r="IC222" s="235" t="e">
        <f t="shared" si="204"/>
        <v>#N/A</v>
      </c>
      <c r="IE222" s="342">
        <v>208</v>
      </c>
      <c r="IF222" s="262" t="e">
        <f t="shared" si="205"/>
        <v>#N/A</v>
      </c>
      <c r="IG222" s="262" t="e">
        <f t="shared" si="206"/>
        <v>#N/A</v>
      </c>
      <c r="IH222" s="379"/>
      <c r="II222" s="379"/>
      <c r="IJ222" s="262" t="e">
        <f t="shared" si="207"/>
        <v>#N/A</v>
      </c>
      <c r="IK222" s="262" t="e">
        <f t="shared" si="208"/>
        <v>#N/A</v>
      </c>
      <c r="IL222" s="379"/>
      <c r="IM222" s="379"/>
      <c r="IN222" s="262" t="e">
        <f t="shared" si="209"/>
        <v>#N/A</v>
      </c>
      <c r="IO222" s="262" t="e">
        <f t="shared" si="210"/>
        <v>#N/A</v>
      </c>
      <c r="IP222" s="379"/>
      <c r="IQ222" s="379"/>
      <c r="IR222" s="262" t="e">
        <f t="shared" si="211"/>
        <v>#N/A</v>
      </c>
      <c r="IS222" s="262" t="e">
        <f t="shared" si="212"/>
        <v>#N/A</v>
      </c>
      <c r="IT222" s="379"/>
      <c r="IU222" s="379"/>
      <c r="IV222" s="262" t="e">
        <f t="shared" si="213"/>
        <v>#N/A</v>
      </c>
      <c r="IW222" s="262" t="e">
        <f t="shared" si="214"/>
        <v>#N/A</v>
      </c>
      <c r="JN222" s="261" t="e">
        <f t="shared" si="215"/>
        <v>#N/A</v>
      </c>
      <c r="JO222" s="261" t="e">
        <f t="shared" si="216"/>
        <v>#N/A</v>
      </c>
      <c r="JR222" s="261" t="e">
        <f t="shared" si="221"/>
        <v>#N/A</v>
      </c>
      <c r="JS222" s="261" t="e">
        <f t="shared" si="222"/>
        <v>#N/A</v>
      </c>
      <c r="JV222" s="261" t="e">
        <f t="shared" si="217"/>
        <v>#N/A</v>
      </c>
      <c r="JW222" s="261" t="e">
        <f t="shared" si="218"/>
        <v>#N/A</v>
      </c>
      <c r="PS222" s="342">
        <v>208</v>
      </c>
      <c r="PT222" s="261" t="e">
        <f t="shared" si="219"/>
        <v>#N/A</v>
      </c>
      <c r="PU222" s="261" t="e">
        <f t="shared" si="220"/>
        <v>#N/A</v>
      </c>
    </row>
    <row r="223" spans="4:437" x14ac:dyDescent="0.5"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310"/>
      <c r="AQ223" s="310"/>
      <c r="AR223" s="310"/>
      <c r="AS223" s="310"/>
      <c r="AT223" s="310"/>
      <c r="AU223" s="310"/>
      <c r="AV223" s="310"/>
      <c r="AW223" s="310"/>
      <c r="AX223" s="310"/>
      <c r="AY223" s="310"/>
      <c r="AZ223" s="310"/>
      <c r="BA223" s="310"/>
      <c r="HK223" s="342">
        <v>209</v>
      </c>
      <c r="HL223" s="235" t="e">
        <f t="shared" si="195"/>
        <v>#N/A</v>
      </c>
      <c r="HM223" s="235" t="e">
        <f t="shared" si="196"/>
        <v>#N/A</v>
      </c>
      <c r="HP223" s="235" t="e">
        <f t="shared" si="197"/>
        <v>#N/A</v>
      </c>
      <c r="HQ223" s="235" t="e">
        <f t="shared" si="198"/>
        <v>#N/A</v>
      </c>
      <c r="HT223" s="235" t="e">
        <f t="shared" si="199"/>
        <v>#N/A</v>
      </c>
      <c r="HU223" s="235" t="e">
        <f t="shared" si="200"/>
        <v>#N/A</v>
      </c>
      <c r="HX223" s="235" t="e">
        <f t="shared" si="201"/>
        <v>#N/A</v>
      </c>
      <c r="HY223" s="235" t="e">
        <f t="shared" si="202"/>
        <v>#N/A</v>
      </c>
      <c r="IB223" s="235" t="e">
        <f t="shared" si="203"/>
        <v>#N/A</v>
      </c>
      <c r="IC223" s="235" t="e">
        <f t="shared" si="204"/>
        <v>#N/A</v>
      </c>
      <c r="IE223" s="342">
        <v>209</v>
      </c>
      <c r="IF223" s="262" t="e">
        <f t="shared" si="205"/>
        <v>#N/A</v>
      </c>
      <c r="IG223" s="262" t="e">
        <f t="shared" si="206"/>
        <v>#N/A</v>
      </c>
      <c r="IH223" s="379"/>
      <c r="II223" s="379"/>
      <c r="IJ223" s="262" t="e">
        <f t="shared" si="207"/>
        <v>#N/A</v>
      </c>
      <c r="IK223" s="262" t="e">
        <f t="shared" si="208"/>
        <v>#N/A</v>
      </c>
      <c r="IL223" s="379"/>
      <c r="IM223" s="379"/>
      <c r="IN223" s="262" t="e">
        <f t="shared" si="209"/>
        <v>#N/A</v>
      </c>
      <c r="IO223" s="262" t="e">
        <f t="shared" si="210"/>
        <v>#N/A</v>
      </c>
      <c r="IP223" s="379"/>
      <c r="IQ223" s="379"/>
      <c r="IR223" s="262" t="e">
        <f t="shared" si="211"/>
        <v>#N/A</v>
      </c>
      <c r="IS223" s="262" t="e">
        <f t="shared" si="212"/>
        <v>#N/A</v>
      </c>
      <c r="IT223" s="379"/>
      <c r="IU223" s="379"/>
      <c r="IV223" s="262" t="e">
        <f t="shared" si="213"/>
        <v>#N/A</v>
      </c>
      <c r="IW223" s="262" t="e">
        <f t="shared" si="214"/>
        <v>#N/A</v>
      </c>
      <c r="JN223" s="261" t="e">
        <f t="shared" si="215"/>
        <v>#N/A</v>
      </c>
      <c r="JO223" s="261" t="e">
        <f t="shared" si="216"/>
        <v>#N/A</v>
      </c>
      <c r="JR223" s="261" t="e">
        <f t="shared" si="221"/>
        <v>#N/A</v>
      </c>
      <c r="JS223" s="261" t="e">
        <f t="shared" si="222"/>
        <v>#N/A</v>
      </c>
      <c r="JV223" s="261" t="e">
        <f t="shared" si="217"/>
        <v>#N/A</v>
      </c>
      <c r="JW223" s="261" t="e">
        <f t="shared" si="218"/>
        <v>#N/A</v>
      </c>
      <c r="PS223" s="342">
        <v>209</v>
      </c>
      <c r="PT223" s="261" t="e">
        <f t="shared" si="219"/>
        <v>#N/A</v>
      </c>
      <c r="PU223" s="261" t="e">
        <f t="shared" si="220"/>
        <v>#N/A</v>
      </c>
    </row>
    <row r="224" spans="4:437" x14ac:dyDescent="0.5"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310"/>
      <c r="AQ224" s="310"/>
      <c r="AR224" s="310"/>
      <c r="AS224" s="310"/>
      <c r="AT224" s="310"/>
      <c r="AU224" s="310"/>
      <c r="AV224" s="310"/>
      <c r="AW224" s="310"/>
      <c r="AX224" s="310"/>
      <c r="AY224" s="310"/>
      <c r="AZ224" s="310"/>
      <c r="BA224" s="310"/>
      <c r="HK224" s="342">
        <v>210</v>
      </c>
      <c r="HL224" s="235" t="e">
        <f t="shared" si="195"/>
        <v>#N/A</v>
      </c>
      <c r="HM224" s="235" t="e">
        <f t="shared" si="196"/>
        <v>#N/A</v>
      </c>
      <c r="HP224" s="235" t="e">
        <f t="shared" si="197"/>
        <v>#N/A</v>
      </c>
      <c r="HQ224" s="235" t="e">
        <f t="shared" si="198"/>
        <v>#N/A</v>
      </c>
      <c r="HT224" s="235" t="e">
        <f t="shared" si="199"/>
        <v>#N/A</v>
      </c>
      <c r="HU224" s="235" t="e">
        <f t="shared" si="200"/>
        <v>#N/A</v>
      </c>
      <c r="HX224" s="235" t="e">
        <f t="shared" si="201"/>
        <v>#N/A</v>
      </c>
      <c r="HY224" s="235" t="e">
        <f t="shared" si="202"/>
        <v>#N/A</v>
      </c>
      <c r="IB224" s="235" t="e">
        <f t="shared" si="203"/>
        <v>#N/A</v>
      </c>
      <c r="IC224" s="235" t="e">
        <f t="shared" si="204"/>
        <v>#N/A</v>
      </c>
      <c r="IE224" s="342">
        <v>210</v>
      </c>
      <c r="IF224" s="262" t="e">
        <f t="shared" si="205"/>
        <v>#N/A</v>
      </c>
      <c r="IG224" s="262" t="e">
        <f t="shared" si="206"/>
        <v>#N/A</v>
      </c>
      <c r="IH224" s="379"/>
      <c r="II224" s="379"/>
      <c r="IJ224" s="262" t="e">
        <f t="shared" si="207"/>
        <v>#N/A</v>
      </c>
      <c r="IK224" s="262" t="e">
        <f t="shared" si="208"/>
        <v>#N/A</v>
      </c>
      <c r="IL224" s="379"/>
      <c r="IM224" s="379"/>
      <c r="IN224" s="262" t="e">
        <f t="shared" si="209"/>
        <v>#N/A</v>
      </c>
      <c r="IO224" s="262" t="e">
        <f t="shared" si="210"/>
        <v>#N/A</v>
      </c>
      <c r="IP224" s="379"/>
      <c r="IQ224" s="379"/>
      <c r="IR224" s="262" t="e">
        <f t="shared" si="211"/>
        <v>#N/A</v>
      </c>
      <c r="IS224" s="262" t="e">
        <f t="shared" si="212"/>
        <v>#N/A</v>
      </c>
      <c r="IT224" s="379"/>
      <c r="IU224" s="379"/>
      <c r="IV224" s="262" t="e">
        <f t="shared" si="213"/>
        <v>#N/A</v>
      </c>
      <c r="IW224" s="262" t="e">
        <f t="shared" si="214"/>
        <v>#N/A</v>
      </c>
      <c r="JN224" s="261" t="e">
        <f t="shared" si="215"/>
        <v>#N/A</v>
      </c>
      <c r="JO224" s="261" t="e">
        <f t="shared" si="216"/>
        <v>#N/A</v>
      </c>
      <c r="JR224" s="261" t="e">
        <f t="shared" si="221"/>
        <v>#N/A</v>
      </c>
      <c r="JS224" s="261" t="e">
        <f t="shared" si="222"/>
        <v>#N/A</v>
      </c>
      <c r="JV224" s="261" t="e">
        <f t="shared" si="217"/>
        <v>#N/A</v>
      </c>
      <c r="JW224" s="261" t="e">
        <f t="shared" si="218"/>
        <v>#N/A</v>
      </c>
      <c r="PS224" s="342">
        <v>210</v>
      </c>
      <c r="PT224" s="261" t="e">
        <f t="shared" si="219"/>
        <v>#N/A</v>
      </c>
      <c r="PU224" s="261" t="e">
        <f t="shared" si="220"/>
        <v>#N/A</v>
      </c>
    </row>
    <row r="225" spans="4:437" x14ac:dyDescent="0.5"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310"/>
      <c r="AQ225" s="310"/>
      <c r="AR225" s="310"/>
      <c r="AS225" s="310"/>
      <c r="AT225" s="310"/>
      <c r="AU225" s="310"/>
      <c r="AV225" s="310"/>
      <c r="AW225" s="310"/>
      <c r="AX225" s="310"/>
      <c r="AY225" s="310"/>
      <c r="AZ225" s="310"/>
      <c r="BA225" s="310"/>
      <c r="HK225" s="342">
        <v>211</v>
      </c>
      <c r="HL225" s="235" t="e">
        <f t="shared" si="195"/>
        <v>#N/A</v>
      </c>
      <c r="HM225" s="235" t="e">
        <f t="shared" si="196"/>
        <v>#N/A</v>
      </c>
      <c r="HP225" s="235" t="e">
        <f t="shared" si="197"/>
        <v>#N/A</v>
      </c>
      <c r="HQ225" s="235" t="e">
        <f t="shared" si="198"/>
        <v>#N/A</v>
      </c>
      <c r="HT225" s="235" t="e">
        <f t="shared" si="199"/>
        <v>#N/A</v>
      </c>
      <c r="HU225" s="235" t="e">
        <f t="shared" si="200"/>
        <v>#N/A</v>
      </c>
      <c r="HX225" s="235" t="e">
        <f t="shared" si="201"/>
        <v>#N/A</v>
      </c>
      <c r="HY225" s="235" t="e">
        <f t="shared" si="202"/>
        <v>#N/A</v>
      </c>
      <c r="IB225" s="235" t="e">
        <f t="shared" si="203"/>
        <v>#N/A</v>
      </c>
      <c r="IC225" s="235" t="e">
        <f t="shared" si="204"/>
        <v>#N/A</v>
      </c>
      <c r="IE225" s="342">
        <v>211</v>
      </c>
      <c r="IF225" s="262" t="e">
        <f t="shared" si="205"/>
        <v>#N/A</v>
      </c>
      <c r="IG225" s="262" t="e">
        <f t="shared" si="206"/>
        <v>#N/A</v>
      </c>
      <c r="IH225" s="379"/>
      <c r="II225" s="379"/>
      <c r="IJ225" s="262" t="e">
        <f t="shared" si="207"/>
        <v>#N/A</v>
      </c>
      <c r="IK225" s="262" t="e">
        <f t="shared" si="208"/>
        <v>#N/A</v>
      </c>
      <c r="IL225" s="379"/>
      <c r="IM225" s="379"/>
      <c r="IN225" s="262" t="e">
        <f t="shared" si="209"/>
        <v>#N/A</v>
      </c>
      <c r="IO225" s="262" t="e">
        <f t="shared" si="210"/>
        <v>#N/A</v>
      </c>
      <c r="IP225" s="379"/>
      <c r="IQ225" s="379"/>
      <c r="IR225" s="262" t="e">
        <f t="shared" si="211"/>
        <v>#N/A</v>
      </c>
      <c r="IS225" s="262" t="e">
        <f t="shared" si="212"/>
        <v>#N/A</v>
      </c>
      <c r="IT225" s="379"/>
      <c r="IU225" s="379"/>
      <c r="IV225" s="262" t="e">
        <f t="shared" si="213"/>
        <v>#N/A</v>
      </c>
      <c r="IW225" s="262" t="e">
        <f t="shared" si="214"/>
        <v>#N/A</v>
      </c>
      <c r="JN225" s="261" t="e">
        <f t="shared" si="215"/>
        <v>#N/A</v>
      </c>
      <c r="JO225" s="261" t="e">
        <f t="shared" si="216"/>
        <v>#N/A</v>
      </c>
      <c r="JR225" s="261" t="e">
        <f t="shared" si="221"/>
        <v>#N/A</v>
      </c>
      <c r="JS225" s="261" t="e">
        <f t="shared" si="222"/>
        <v>#N/A</v>
      </c>
      <c r="JV225" s="261" t="e">
        <f t="shared" si="217"/>
        <v>#N/A</v>
      </c>
      <c r="JW225" s="261" t="e">
        <f t="shared" si="218"/>
        <v>#N/A</v>
      </c>
      <c r="PS225" s="342">
        <v>211</v>
      </c>
      <c r="PT225" s="261" t="e">
        <f t="shared" si="219"/>
        <v>#N/A</v>
      </c>
      <c r="PU225" s="261" t="e">
        <f t="shared" si="220"/>
        <v>#N/A</v>
      </c>
    </row>
    <row r="226" spans="4:437" x14ac:dyDescent="0.5"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310"/>
      <c r="AQ226" s="310"/>
      <c r="AR226" s="310"/>
      <c r="AS226" s="310"/>
      <c r="AT226" s="310"/>
      <c r="AU226" s="310"/>
      <c r="AV226" s="310"/>
      <c r="AW226" s="310"/>
      <c r="AX226" s="310"/>
      <c r="AY226" s="310"/>
      <c r="AZ226" s="310"/>
      <c r="BA226" s="310"/>
      <c r="HK226" s="342">
        <v>212</v>
      </c>
      <c r="HL226" s="235" t="e">
        <f t="shared" si="195"/>
        <v>#N/A</v>
      </c>
      <c r="HM226" s="235" t="e">
        <f t="shared" si="196"/>
        <v>#N/A</v>
      </c>
      <c r="HP226" s="235" t="e">
        <f t="shared" si="197"/>
        <v>#N/A</v>
      </c>
      <c r="HQ226" s="235" t="e">
        <f t="shared" si="198"/>
        <v>#N/A</v>
      </c>
      <c r="HT226" s="235" t="e">
        <f t="shared" si="199"/>
        <v>#N/A</v>
      </c>
      <c r="HU226" s="235" t="e">
        <f t="shared" si="200"/>
        <v>#N/A</v>
      </c>
      <c r="HX226" s="235" t="e">
        <f t="shared" si="201"/>
        <v>#N/A</v>
      </c>
      <c r="HY226" s="235" t="e">
        <f t="shared" si="202"/>
        <v>#N/A</v>
      </c>
      <c r="IB226" s="235" t="e">
        <f t="shared" si="203"/>
        <v>#N/A</v>
      </c>
      <c r="IC226" s="235" t="e">
        <f t="shared" si="204"/>
        <v>#N/A</v>
      </c>
      <c r="IE226" s="342">
        <v>212</v>
      </c>
      <c r="IF226" s="262" t="e">
        <f t="shared" si="205"/>
        <v>#N/A</v>
      </c>
      <c r="IG226" s="262" t="e">
        <f t="shared" si="206"/>
        <v>#N/A</v>
      </c>
      <c r="IH226" s="379"/>
      <c r="II226" s="379"/>
      <c r="IJ226" s="262" t="e">
        <f t="shared" si="207"/>
        <v>#N/A</v>
      </c>
      <c r="IK226" s="262" t="e">
        <f t="shared" si="208"/>
        <v>#N/A</v>
      </c>
      <c r="IL226" s="379"/>
      <c r="IM226" s="379"/>
      <c r="IN226" s="262" t="e">
        <f t="shared" si="209"/>
        <v>#N/A</v>
      </c>
      <c r="IO226" s="262" t="e">
        <f t="shared" si="210"/>
        <v>#N/A</v>
      </c>
      <c r="IP226" s="379"/>
      <c r="IQ226" s="379"/>
      <c r="IR226" s="262" t="e">
        <f t="shared" si="211"/>
        <v>#N/A</v>
      </c>
      <c r="IS226" s="262" t="e">
        <f t="shared" si="212"/>
        <v>#N/A</v>
      </c>
      <c r="IT226" s="379"/>
      <c r="IU226" s="379"/>
      <c r="IV226" s="262" t="e">
        <f t="shared" si="213"/>
        <v>#N/A</v>
      </c>
      <c r="IW226" s="262" t="e">
        <f t="shared" si="214"/>
        <v>#N/A</v>
      </c>
      <c r="JN226" s="261" t="e">
        <f t="shared" si="215"/>
        <v>#N/A</v>
      </c>
      <c r="JO226" s="261" t="e">
        <f t="shared" si="216"/>
        <v>#N/A</v>
      </c>
      <c r="JR226" s="261" t="e">
        <f t="shared" si="221"/>
        <v>#N/A</v>
      </c>
      <c r="JS226" s="261" t="e">
        <f t="shared" si="222"/>
        <v>#N/A</v>
      </c>
      <c r="JV226" s="261" t="e">
        <f t="shared" si="217"/>
        <v>#N/A</v>
      </c>
      <c r="JW226" s="261" t="e">
        <f t="shared" si="218"/>
        <v>#N/A</v>
      </c>
      <c r="PS226" s="342">
        <v>212</v>
      </c>
      <c r="PT226" s="261" t="e">
        <f t="shared" si="219"/>
        <v>#N/A</v>
      </c>
      <c r="PU226" s="261" t="e">
        <f t="shared" si="220"/>
        <v>#N/A</v>
      </c>
    </row>
    <row r="227" spans="4:437" x14ac:dyDescent="0.5"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310"/>
      <c r="AQ227" s="310"/>
      <c r="AR227" s="310"/>
      <c r="AS227" s="310"/>
      <c r="AT227" s="310"/>
      <c r="AU227" s="310"/>
      <c r="AV227" s="310"/>
      <c r="AW227" s="310"/>
      <c r="AX227" s="310"/>
      <c r="AY227" s="310"/>
      <c r="AZ227" s="310"/>
      <c r="BA227" s="310"/>
      <c r="HK227" s="342">
        <v>213</v>
      </c>
      <c r="HL227" s="235" t="e">
        <f t="shared" si="195"/>
        <v>#N/A</v>
      </c>
      <c r="HM227" s="235" t="e">
        <f t="shared" si="196"/>
        <v>#N/A</v>
      </c>
      <c r="HP227" s="235" t="e">
        <f t="shared" si="197"/>
        <v>#N/A</v>
      </c>
      <c r="HQ227" s="235" t="e">
        <f t="shared" si="198"/>
        <v>#N/A</v>
      </c>
      <c r="HT227" s="235" t="e">
        <f t="shared" si="199"/>
        <v>#N/A</v>
      </c>
      <c r="HU227" s="235" t="e">
        <f t="shared" si="200"/>
        <v>#N/A</v>
      </c>
      <c r="HX227" s="235" t="e">
        <f t="shared" si="201"/>
        <v>#N/A</v>
      </c>
      <c r="HY227" s="235" t="e">
        <f t="shared" si="202"/>
        <v>#N/A</v>
      </c>
      <c r="IB227" s="235" t="e">
        <f t="shared" si="203"/>
        <v>#N/A</v>
      </c>
      <c r="IC227" s="235" t="e">
        <f t="shared" si="204"/>
        <v>#N/A</v>
      </c>
      <c r="IE227" s="342">
        <v>213</v>
      </c>
      <c r="IF227" s="262" t="e">
        <f t="shared" si="205"/>
        <v>#N/A</v>
      </c>
      <c r="IG227" s="262" t="e">
        <f t="shared" si="206"/>
        <v>#N/A</v>
      </c>
      <c r="IH227" s="379"/>
      <c r="II227" s="379"/>
      <c r="IJ227" s="262" t="e">
        <f t="shared" si="207"/>
        <v>#N/A</v>
      </c>
      <c r="IK227" s="262" t="e">
        <f t="shared" si="208"/>
        <v>#N/A</v>
      </c>
      <c r="IL227" s="379"/>
      <c r="IM227" s="379"/>
      <c r="IN227" s="262" t="e">
        <f t="shared" si="209"/>
        <v>#N/A</v>
      </c>
      <c r="IO227" s="262" t="e">
        <f t="shared" si="210"/>
        <v>#N/A</v>
      </c>
      <c r="IP227" s="379"/>
      <c r="IQ227" s="379"/>
      <c r="IR227" s="262" t="e">
        <f t="shared" si="211"/>
        <v>#N/A</v>
      </c>
      <c r="IS227" s="262" t="e">
        <f t="shared" si="212"/>
        <v>#N/A</v>
      </c>
      <c r="IT227" s="379"/>
      <c r="IU227" s="379"/>
      <c r="IV227" s="262" t="e">
        <f t="shared" si="213"/>
        <v>#N/A</v>
      </c>
      <c r="IW227" s="262" t="e">
        <f t="shared" si="214"/>
        <v>#N/A</v>
      </c>
      <c r="JN227" s="261" t="e">
        <f t="shared" si="215"/>
        <v>#N/A</v>
      </c>
      <c r="JO227" s="261" t="e">
        <f t="shared" si="216"/>
        <v>#N/A</v>
      </c>
      <c r="JR227" s="261" t="e">
        <f t="shared" si="221"/>
        <v>#N/A</v>
      </c>
      <c r="JS227" s="261" t="e">
        <f t="shared" si="222"/>
        <v>#N/A</v>
      </c>
      <c r="JV227" s="261" t="e">
        <f t="shared" si="217"/>
        <v>#N/A</v>
      </c>
      <c r="JW227" s="261" t="e">
        <f t="shared" si="218"/>
        <v>#N/A</v>
      </c>
      <c r="PS227" s="342">
        <v>213</v>
      </c>
      <c r="PT227" s="261" t="e">
        <f t="shared" si="219"/>
        <v>#N/A</v>
      </c>
      <c r="PU227" s="261" t="e">
        <f t="shared" si="220"/>
        <v>#N/A</v>
      </c>
    </row>
    <row r="228" spans="4:437" x14ac:dyDescent="0.5"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310"/>
      <c r="AQ228" s="310"/>
      <c r="AR228" s="310"/>
      <c r="AS228" s="310"/>
      <c r="AT228" s="310"/>
      <c r="AU228" s="310"/>
      <c r="AV228" s="310"/>
      <c r="AW228" s="310"/>
      <c r="AX228" s="310"/>
      <c r="AY228" s="310"/>
      <c r="AZ228" s="310"/>
      <c r="BA228" s="310"/>
      <c r="HK228" s="342">
        <v>214</v>
      </c>
      <c r="HL228" s="235" t="e">
        <f t="shared" si="195"/>
        <v>#N/A</v>
      </c>
      <c r="HM228" s="235" t="e">
        <f t="shared" si="196"/>
        <v>#N/A</v>
      </c>
      <c r="HP228" s="235" t="e">
        <f t="shared" si="197"/>
        <v>#N/A</v>
      </c>
      <c r="HQ228" s="235" t="e">
        <f t="shared" si="198"/>
        <v>#N/A</v>
      </c>
      <c r="HT228" s="235" t="e">
        <f t="shared" si="199"/>
        <v>#N/A</v>
      </c>
      <c r="HU228" s="235" t="e">
        <f t="shared" si="200"/>
        <v>#N/A</v>
      </c>
      <c r="HX228" s="235" t="e">
        <f t="shared" si="201"/>
        <v>#N/A</v>
      </c>
      <c r="HY228" s="235" t="e">
        <f t="shared" si="202"/>
        <v>#N/A</v>
      </c>
      <c r="IB228" s="235" t="e">
        <f t="shared" si="203"/>
        <v>#N/A</v>
      </c>
      <c r="IC228" s="235" t="e">
        <f t="shared" si="204"/>
        <v>#N/A</v>
      </c>
      <c r="IE228" s="342">
        <v>214</v>
      </c>
      <c r="IF228" s="262" t="e">
        <f t="shared" si="205"/>
        <v>#N/A</v>
      </c>
      <c r="IG228" s="262" t="e">
        <f t="shared" si="206"/>
        <v>#N/A</v>
      </c>
      <c r="IH228" s="379"/>
      <c r="II228" s="379"/>
      <c r="IJ228" s="262" t="e">
        <f t="shared" si="207"/>
        <v>#N/A</v>
      </c>
      <c r="IK228" s="262" t="e">
        <f t="shared" si="208"/>
        <v>#N/A</v>
      </c>
      <c r="IL228" s="379"/>
      <c r="IM228" s="379"/>
      <c r="IN228" s="262" t="e">
        <f t="shared" si="209"/>
        <v>#N/A</v>
      </c>
      <c r="IO228" s="262" t="e">
        <f t="shared" si="210"/>
        <v>#N/A</v>
      </c>
      <c r="IP228" s="379"/>
      <c r="IQ228" s="379"/>
      <c r="IR228" s="262" t="e">
        <f t="shared" si="211"/>
        <v>#N/A</v>
      </c>
      <c r="IS228" s="262" t="e">
        <f t="shared" si="212"/>
        <v>#N/A</v>
      </c>
      <c r="IT228" s="379"/>
      <c r="IU228" s="379"/>
      <c r="IV228" s="262" t="e">
        <f t="shared" si="213"/>
        <v>#N/A</v>
      </c>
      <c r="IW228" s="262" t="e">
        <f t="shared" si="214"/>
        <v>#N/A</v>
      </c>
      <c r="JN228" s="261" t="e">
        <f t="shared" si="215"/>
        <v>#N/A</v>
      </c>
      <c r="JO228" s="261" t="e">
        <f t="shared" si="216"/>
        <v>#N/A</v>
      </c>
      <c r="JR228" s="261" t="e">
        <f t="shared" si="221"/>
        <v>#N/A</v>
      </c>
      <c r="JS228" s="261" t="e">
        <f t="shared" si="222"/>
        <v>#N/A</v>
      </c>
      <c r="JV228" s="261" t="e">
        <f t="shared" si="217"/>
        <v>#N/A</v>
      </c>
      <c r="JW228" s="261" t="e">
        <f t="shared" si="218"/>
        <v>#N/A</v>
      </c>
      <c r="PS228" s="342">
        <v>214</v>
      </c>
      <c r="PT228" s="261" t="e">
        <f t="shared" si="219"/>
        <v>#N/A</v>
      </c>
      <c r="PU228" s="261" t="e">
        <f t="shared" si="220"/>
        <v>#N/A</v>
      </c>
    </row>
    <row r="229" spans="4:437" x14ac:dyDescent="0.5"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310"/>
      <c r="AQ229" s="310"/>
      <c r="AR229" s="310"/>
      <c r="AS229" s="310"/>
      <c r="AT229" s="310"/>
      <c r="AU229" s="310"/>
      <c r="AV229" s="310"/>
      <c r="AW229" s="310"/>
      <c r="AX229" s="310"/>
      <c r="AY229" s="310"/>
      <c r="AZ229" s="310"/>
      <c r="BA229" s="310"/>
      <c r="HK229" s="342">
        <v>215</v>
      </c>
      <c r="HL229" s="235" t="e">
        <f t="shared" si="195"/>
        <v>#N/A</v>
      </c>
      <c r="HM229" s="235" t="e">
        <f t="shared" si="196"/>
        <v>#N/A</v>
      </c>
      <c r="HP229" s="235" t="e">
        <f t="shared" si="197"/>
        <v>#N/A</v>
      </c>
      <c r="HQ229" s="235" t="e">
        <f t="shared" si="198"/>
        <v>#N/A</v>
      </c>
      <c r="HT229" s="235" t="e">
        <f t="shared" si="199"/>
        <v>#N/A</v>
      </c>
      <c r="HU229" s="235" t="e">
        <f t="shared" si="200"/>
        <v>#N/A</v>
      </c>
      <c r="HX229" s="235" t="e">
        <f t="shared" si="201"/>
        <v>#N/A</v>
      </c>
      <c r="HY229" s="235" t="e">
        <f t="shared" si="202"/>
        <v>#N/A</v>
      </c>
      <c r="IB229" s="235" t="e">
        <f t="shared" si="203"/>
        <v>#N/A</v>
      </c>
      <c r="IC229" s="235" t="e">
        <f t="shared" si="204"/>
        <v>#N/A</v>
      </c>
      <c r="IE229" s="342">
        <v>215</v>
      </c>
      <c r="IF229" s="262" t="e">
        <f t="shared" si="205"/>
        <v>#N/A</v>
      </c>
      <c r="IG229" s="262" t="e">
        <f t="shared" si="206"/>
        <v>#N/A</v>
      </c>
      <c r="IH229" s="379"/>
      <c r="II229" s="379"/>
      <c r="IJ229" s="262" t="e">
        <f t="shared" si="207"/>
        <v>#N/A</v>
      </c>
      <c r="IK229" s="262" t="e">
        <f t="shared" si="208"/>
        <v>#N/A</v>
      </c>
      <c r="IL229" s="379"/>
      <c r="IM229" s="379"/>
      <c r="IN229" s="262" t="e">
        <f t="shared" si="209"/>
        <v>#N/A</v>
      </c>
      <c r="IO229" s="262" t="e">
        <f t="shared" si="210"/>
        <v>#N/A</v>
      </c>
      <c r="IP229" s="379"/>
      <c r="IQ229" s="379"/>
      <c r="IR229" s="262" t="e">
        <f t="shared" si="211"/>
        <v>#N/A</v>
      </c>
      <c r="IS229" s="262" t="e">
        <f t="shared" si="212"/>
        <v>#N/A</v>
      </c>
      <c r="IT229" s="379"/>
      <c r="IU229" s="379"/>
      <c r="IV229" s="262" t="e">
        <f t="shared" si="213"/>
        <v>#N/A</v>
      </c>
      <c r="IW229" s="262" t="e">
        <f t="shared" si="214"/>
        <v>#N/A</v>
      </c>
      <c r="JN229" s="261" t="e">
        <f t="shared" si="215"/>
        <v>#N/A</v>
      </c>
      <c r="JO229" s="261" t="e">
        <f t="shared" si="216"/>
        <v>#N/A</v>
      </c>
      <c r="JR229" s="261" t="e">
        <f t="shared" si="221"/>
        <v>#N/A</v>
      </c>
      <c r="JS229" s="261" t="e">
        <f t="shared" si="222"/>
        <v>#N/A</v>
      </c>
      <c r="JV229" s="261" t="e">
        <f t="shared" si="217"/>
        <v>#N/A</v>
      </c>
      <c r="JW229" s="261" t="e">
        <f t="shared" si="218"/>
        <v>#N/A</v>
      </c>
      <c r="PS229" s="342">
        <v>215</v>
      </c>
      <c r="PT229" s="261" t="e">
        <f t="shared" si="219"/>
        <v>#N/A</v>
      </c>
      <c r="PU229" s="261" t="e">
        <f t="shared" si="220"/>
        <v>#N/A</v>
      </c>
    </row>
    <row r="230" spans="4:437" x14ac:dyDescent="0.5"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310"/>
      <c r="AQ230" s="310"/>
      <c r="AR230" s="310"/>
      <c r="AS230" s="310"/>
      <c r="AT230" s="310"/>
      <c r="AU230" s="310"/>
      <c r="AV230" s="310"/>
      <c r="AW230" s="310"/>
      <c r="AX230" s="310"/>
      <c r="AY230" s="310"/>
      <c r="AZ230" s="310"/>
      <c r="BA230" s="310"/>
      <c r="HK230" s="342">
        <v>216</v>
      </c>
      <c r="HL230" s="235" t="e">
        <f t="shared" si="195"/>
        <v>#N/A</v>
      </c>
      <c r="HM230" s="235" t="e">
        <f t="shared" si="196"/>
        <v>#N/A</v>
      </c>
      <c r="HP230" s="235" t="e">
        <f t="shared" si="197"/>
        <v>#N/A</v>
      </c>
      <c r="HQ230" s="235" t="e">
        <f t="shared" si="198"/>
        <v>#N/A</v>
      </c>
      <c r="HT230" s="235" t="e">
        <f t="shared" si="199"/>
        <v>#N/A</v>
      </c>
      <c r="HU230" s="235" t="e">
        <f t="shared" si="200"/>
        <v>#N/A</v>
      </c>
      <c r="HX230" s="235" t="e">
        <f t="shared" si="201"/>
        <v>#N/A</v>
      </c>
      <c r="HY230" s="235" t="e">
        <f t="shared" si="202"/>
        <v>#N/A</v>
      </c>
      <c r="IB230" s="235" t="e">
        <f t="shared" si="203"/>
        <v>#N/A</v>
      </c>
      <c r="IC230" s="235" t="e">
        <f t="shared" si="204"/>
        <v>#N/A</v>
      </c>
      <c r="IE230" s="342">
        <v>216</v>
      </c>
      <c r="IF230" s="262" t="e">
        <f t="shared" si="205"/>
        <v>#N/A</v>
      </c>
      <c r="IG230" s="262" t="e">
        <f t="shared" si="206"/>
        <v>#N/A</v>
      </c>
      <c r="IH230" s="379"/>
      <c r="II230" s="379"/>
      <c r="IJ230" s="262" t="e">
        <f t="shared" si="207"/>
        <v>#N/A</v>
      </c>
      <c r="IK230" s="262" t="e">
        <f t="shared" si="208"/>
        <v>#N/A</v>
      </c>
      <c r="IL230" s="379"/>
      <c r="IM230" s="379"/>
      <c r="IN230" s="262" t="e">
        <f t="shared" si="209"/>
        <v>#N/A</v>
      </c>
      <c r="IO230" s="262" t="e">
        <f t="shared" si="210"/>
        <v>#N/A</v>
      </c>
      <c r="IP230" s="379"/>
      <c r="IQ230" s="379"/>
      <c r="IR230" s="262" t="e">
        <f t="shared" si="211"/>
        <v>#N/A</v>
      </c>
      <c r="IS230" s="262" t="e">
        <f t="shared" si="212"/>
        <v>#N/A</v>
      </c>
      <c r="IT230" s="379"/>
      <c r="IU230" s="379"/>
      <c r="IV230" s="262" t="e">
        <f t="shared" si="213"/>
        <v>#N/A</v>
      </c>
      <c r="IW230" s="262" t="e">
        <f t="shared" si="214"/>
        <v>#N/A</v>
      </c>
      <c r="JN230" s="261" t="e">
        <f t="shared" si="215"/>
        <v>#N/A</v>
      </c>
      <c r="JO230" s="261" t="e">
        <f t="shared" si="216"/>
        <v>#N/A</v>
      </c>
      <c r="JR230" s="261" t="e">
        <f t="shared" si="221"/>
        <v>#N/A</v>
      </c>
      <c r="JS230" s="261" t="e">
        <f t="shared" si="222"/>
        <v>#N/A</v>
      </c>
      <c r="JV230" s="261" t="e">
        <f t="shared" si="217"/>
        <v>#N/A</v>
      </c>
      <c r="JW230" s="261" t="e">
        <f t="shared" si="218"/>
        <v>#N/A</v>
      </c>
      <c r="PS230" s="342">
        <v>216</v>
      </c>
      <c r="PT230" s="261" t="e">
        <f t="shared" si="219"/>
        <v>#N/A</v>
      </c>
      <c r="PU230" s="261" t="e">
        <f t="shared" si="220"/>
        <v>#N/A</v>
      </c>
    </row>
    <row r="231" spans="4:437" x14ac:dyDescent="0.5"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310"/>
      <c r="AQ231" s="310"/>
      <c r="AR231" s="310"/>
      <c r="AS231" s="310"/>
      <c r="AT231" s="310"/>
      <c r="AU231" s="310"/>
      <c r="AV231" s="310"/>
      <c r="AW231" s="310"/>
      <c r="AX231" s="310"/>
      <c r="AY231" s="310"/>
      <c r="AZ231" s="310"/>
      <c r="BA231" s="310"/>
      <c r="HK231" s="342">
        <v>217</v>
      </c>
      <c r="HL231" s="235" t="e">
        <f t="shared" si="195"/>
        <v>#N/A</v>
      </c>
      <c r="HM231" s="235" t="e">
        <f t="shared" si="196"/>
        <v>#N/A</v>
      </c>
      <c r="HP231" s="235" t="e">
        <f t="shared" si="197"/>
        <v>#N/A</v>
      </c>
      <c r="HQ231" s="235" t="e">
        <f t="shared" si="198"/>
        <v>#N/A</v>
      </c>
      <c r="HT231" s="235" t="e">
        <f t="shared" si="199"/>
        <v>#N/A</v>
      </c>
      <c r="HU231" s="235" t="e">
        <f t="shared" si="200"/>
        <v>#N/A</v>
      </c>
      <c r="HX231" s="235" t="e">
        <f t="shared" si="201"/>
        <v>#N/A</v>
      </c>
      <c r="HY231" s="235" t="e">
        <f t="shared" si="202"/>
        <v>#N/A</v>
      </c>
      <c r="IB231" s="235" t="e">
        <f t="shared" si="203"/>
        <v>#N/A</v>
      </c>
      <c r="IC231" s="235" t="e">
        <f t="shared" si="204"/>
        <v>#N/A</v>
      </c>
      <c r="IE231" s="342">
        <v>217</v>
      </c>
      <c r="IF231" s="262" t="e">
        <f t="shared" si="205"/>
        <v>#N/A</v>
      </c>
      <c r="IG231" s="262" t="e">
        <f t="shared" si="206"/>
        <v>#N/A</v>
      </c>
      <c r="IH231" s="379"/>
      <c r="II231" s="379"/>
      <c r="IJ231" s="262" t="e">
        <f t="shared" si="207"/>
        <v>#N/A</v>
      </c>
      <c r="IK231" s="262" t="e">
        <f t="shared" si="208"/>
        <v>#N/A</v>
      </c>
      <c r="IL231" s="379"/>
      <c r="IM231" s="379"/>
      <c r="IN231" s="262" t="e">
        <f t="shared" si="209"/>
        <v>#N/A</v>
      </c>
      <c r="IO231" s="262" t="e">
        <f t="shared" si="210"/>
        <v>#N/A</v>
      </c>
      <c r="IP231" s="379"/>
      <c r="IQ231" s="379"/>
      <c r="IR231" s="262" t="e">
        <f t="shared" si="211"/>
        <v>#N/A</v>
      </c>
      <c r="IS231" s="262" t="e">
        <f t="shared" si="212"/>
        <v>#N/A</v>
      </c>
      <c r="IT231" s="379"/>
      <c r="IU231" s="379"/>
      <c r="IV231" s="262" t="e">
        <f t="shared" si="213"/>
        <v>#N/A</v>
      </c>
      <c r="IW231" s="262" t="e">
        <f t="shared" si="214"/>
        <v>#N/A</v>
      </c>
      <c r="JN231" s="261" t="e">
        <f t="shared" si="215"/>
        <v>#N/A</v>
      </c>
      <c r="JO231" s="261" t="e">
        <f t="shared" si="216"/>
        <v>#N/A</v>
      </c>
      <c r="JR231" s="261" t="e">
        <f t="shared" si="221"/>
        <v>#N/A</v>
      </c>
      <c r="JS231" s="261" t="e">
        <f t="shared" si="222"/>
        <v>#N/A</v>
      </c>
      <c r="JV231" s="261" t="e">
        <f t="shared" si="217"/>
        <v>#N/A</v>
      </c>
      <c r="JW231" s="261" t="e">
        <f t="shared" si="218"/>
        <v>#N/A</v>
      </c>
      <c r="PS231" s="342">
        <v>217</v>
      </c>
      <c r="PT231" s="261" t="e">
        <f t="shared" si="219"/>
        <v>#N/A</v>
      </c>
      <c r="PU231" s="261" t="e">
        <f t="shared" si="220"/>
        <v>#N/A</v>
      </c>
    </row>
    <row r="232" spans="4:437" x14ac:dyDescent="0.5"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310"/>
      <c r="AQ232" s="310"/>
      <c r="AR232" s="310"/>
      <c r="AS232" s="310"/>
      <c r="AT232" s="310"/>
      <c r="AU232" s="310"/>
      <c r="AV232" s="310"/>
      <c r="AW232" s="310"/>
      <c r="AX232" s="310"/>
      <c r="AY232" s="310"/>
      <c r="AZ232" s="310"/>
      <c r="BA232" s="310"/>
      <c r="HK232" s="342">
        <v>218</v>
      </c>
      <c r="HL232" s="235" t="e">
        <f t="shared" si="195"/>
        <v>#N/A</v>
      </c>
      <c r="HM232" s="235" t="e">
        <f t="shared" si="196"/>
        <v>#N/A</v>
      </c>
      <c r="HP232" s="235" t="e">
        <f t="shared" si="197"/>
        <v>#N/A</v>
      </c>
      <c r="HQ232" s="235" t="e">
        <f t="shared" si="198"/>
        <v>#N/A</v>
      </c>
      <c r="HT232" s="235" t="e">
        <f t="shared" si="199"/>
        <v>#N/A</v>
      </c>
      <c r="HU232" s="235" t="e">
        <f t="shared" si="200"/>
        <v>#N/A</v>
      </c>
      <c r="HX232" s="235" t="e">
        <f t="shared" si="201"/>
        <v>#N/A</v>
      </c>
      <c r="HY232" s="235" t="e">
        <f t="shared" si="202"/>
        <v>#N/A</v>
      </c>
      <c r="IB232" s="235" t="e">
        <f t="shared" si="203"/>
        <v>#N/A</v>
      </c>
      <c r="IC232" s="235" t="e">
        <f t="shared" si="204"/>
        <v>#N/A</v>
      </c>
      <c r="IE232" s="342">
        <v>218</v>
      </c>
      <c r="IF232" s="262" t="e">
        <f t="shared" si="205"/>
        <v>#N/A</v>
      </c>
      <c r="IG232" s="262" t="e">
        <f t="shared" si="206"/>
        <v>#N/A</v>
      </c>
      <c r="IH232" s="379"/>
      <c r="II232" s="379"/>
      <c r="IJ232" s="262" t="e">
        <f t="shared" si="207"/>
        <v>#N/A</v>
      </c>
      <c r="IK232" s="262" t="e">
        <f t="shared" si="208"/>
        <v>#N/A</v>
      </c>
      <c r="IL232" s="379"/>
      <c r="IM232" s="379"/>
      <c r="IN232" s="262" t="e">
        <f t="shared" si="209"/>
        <v>#N/A</v>
      </c>
      <c r="IO232" s="262" t="e">
        <f t="shared" si="210"/>
        <v>#N/A</v>
      </c>
      <c r="IP232" s="379"/>
      <c r="IQ232" s="379"/>
      <c r="IR232" s="262" t="e">
        <f t="shared" si="211"/>
        <v>#N/A</v>
      </c>
      <c r="IS232" s="262" t="e">
        <f t="shared" si="212"/>
        <v>#N/A</v>
      </c>
      <c r="IT232" s="379"/>
      <c r="IU232" s="379"/>
      <c r="IV232" s="262" t="e">
        <f t="shared" si="213"/>
        <v>#N/A</v>
      </c>
      <c r="IW232" s="262" t="e">
        <f t="shared" si="214"/>
        <v>#N/A</v>
      </c>
      <c r="JN232" s="261" t="e">
        <f t="shared" si="215"/>
        <v>#N/A</v>
      </c>
      <c r="JO232" s="261" t="e">
        <f t="shared" si="216"/>
        <v>#N/A</v>
      </c>
      <c r="JR232" s="261" t="e">
        <f t="shared" si="221"/>
        <v>#N/A</v>
      </c>
      <c r="JS232" s="261" t="e">
        <f t="shared" si="222"/>
        <v>#N/A</v>
      </c>
      <c r="JV232" s="261" t="e">
        <f t="shared" si="217"/>
        <v>#N/A</v>
      </c>
      <c r="JW232" s="261" t="e">
        <f t="shared" si="218"/>
        <v>#N/A</v>
      </c>
      <c r="PS232" s="342">
        <v>218</v>
      </c>
      <c r="PT232" s="261" t="e">
        <f t="shared" si="219"/>
        <v>#N/A</v>
      </c>
      <c r="PU232" s="261" t="e">
        <f t="shared" si="220"/>
        <v>#N/A</v>
      </c>
    </row>
    <row r="233" spans="4:437" x14ac:dyDescent="0.5"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310"/>
      <c r="AQ233" s="310"/>
      <c r="AR233" s="310"/>
      <c r="AS233" s="310"/>
      <c r="AT233" s="310"/>
      <c r="AU233" s="310"/>
      <c r="AV233" s="310"/>
      <c r="AW233" s="310"/>
      <c r="AX233" s="310"/>
      <c r="AY233" s="310"/>
      <c r="AZ233" s="310"/>
      <c r="BA233" s="310"/>
      <c r="HK233" s="342">
        <v>219</v>
      </c>
      <c r="HL233" s="235" t="e">
        <f t="shared" si="195"/>
        <v>#N/A</v>
      </c>
      <c r="HM233" s="235" t="e">
        <f t="shared" si="196"/>
        <v>#N/A</v>
      </c>
      <c r="HP233" s="235" t="e">
        <f t="shared" si="197"/>
        <v>#N/A</v>
      </c>
      <c r="HQ233" s="235" t="e">
        <f t="shared" si="198"/>
        <v>#N/A</v>
      </c>
      <c r="HT233" s="235" t="e">
        <f t="shared" si="199"/>
        <v>#N/A</v>
      </c>
      <c r="HU233" s="235" t="e">
        <f t="shared" si="200"/>
        <v>#N/A</v>
      </c>
      <c r="HX233" s="235" t="e">
        <f t="shared" si="201"/>
        <v>#N/A</v>
      </c>
      <c r="HY233" s="235" t="e">
        <f t="shared" si="202"/>
        <v>#N/A</v>
      </c>
      <c r="IB233" s="235" t="e">
        <f t="shared" si="203"/>
        <v>#N/A</v>
      </c>
      <c r="IC233" s="235" t="e">
        <f t="shared" si="204"/>
        <v>#N/A</v>
      </c>
      <c r="IE233" s="342">
        <v>219</v>
      </c>
      <c r="IF233" s="262" t="e">
        <f t="shared" si="205"/>
        <v>#N/A</v>
      </c>
      <c r="IG233" s="262" t="e">
        <f t="shared" si="206"/>
        <v>#N/A</v>
      </c>
      <c r="IH233" s="379"/>
      <c r="II233" s="379"/>
      <c r="IJ233" s="262" t="e">
        <f t="shared" si="207"/>
        <v>#N/A</v>
      </c>
      <c r="IK233" s="262" t="e">
        <f t="shared" si="208"/>
        <v>#N/A</v>
      </c>
      <c r="IL233" s="379"/>
      <c r="IM233" s="379"/>
      <c r="IN233" s="262" t="e">
        <f t="shared" si="209"/>
        <v>#N/A</v>
      </c>
      <c r="IO233" s="262" t="e">
        <f t="shared" si="210"/>
        <v>#N/A</v>
      </c>
      <c r="IP233" s="379"/>
      <c r="IQ233" s="379"/>
      <c r="IR233" s="262" t="e">
        <f t="shared" si="211"/>
        <v>#N/A</v>
      </c>
      <c r="IS233" s="262" t="e">
        <f t="shared" si="212"/>
        <v>#N/A</v>
      </c>
      <c r="IT233" s="379"/>
      <c r="IU233" s="379"/>
      <c r="IV233" s="262" t="e">
        <f t="shared" si="213"/>
        <v>#N/A</v>
      </c>
      <c r="IW233" s="262" t="e">
        <f t="shared" si="214"/>
        <v>#N/A</v>
      </c>
      <c r="JN233" s="261" t="e">
        <f t="shared" si="215"/>
        <v>#N/A</v>
      </c>
      <c r="JO233" s="261" t="e">
        <f t="shared" si="216"/>
        <v>#N/A</v>
      </c>
      <c r="JR233" s="261" t="e">
        <f t="shared" si="221"/>
        <v>#N/A</v>
      </c>
      <c r="JS233" s="261" t="e">
        <f t="shared" si="222"/>
        <v>#N/A</v>
      </c>
      <c r="JV233" s="261" t="e">
        <f t="shared" si="217"/>
        <v>#N/A</v>
      </c>
      <c r="JW233" s="261" t="e">
        <f t="shared" si="218"/>
        <v>#N/A</v>
      </c>
      <c r="PS233" s="342">
        <v>219</v>
      </c>
      <c r="PT233" s="261" t="e">
        <f t="shared" si="219"/>
        <v>#N/A</v>
      </c>
      <c r="PU233" s="261" t="e">
        <f t="shared" si="220"/>
        <v>#N/A</v>
      </c>
    </row>
    <row r="234" spans="4:437" x14ac:dyDescent="0.5"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310"/>
      <c r="AQ234" s="310"/>
      <c r="AR234" s="310"/>
      <c r="AS234" s="310"/>
      <c r="AT234" s="310"/>
      <c r="AU234" s="310"/>
      <c r="AV234" s="310"/>
      <c r="AW234" s="310"/>
      <c r="AX234" s="310"/>
      <c r="AY234" s="310"/>
      <c r="AZ234" s="310"/>
      <c r="BA234" s="310"/>
      <c r="HK234" s="342">
        <v>220</v>
      </c>
      <c r="HL234" s="235" t="e">
        <f t="shared" si="195"/>
        <v>#N/A</v>
      </c>
      <c r="HM234" s="235" t="e">
        <f t="shared" si="196"/>
        <v>#N/A</v>
      </c>
      <c r="HP234" s="235" t="e">
        <f t="shared" si="197"/>
        <v>#N/A</v>
      </c>
      <c r="HQ234" s="235" t="e">
        <f t="shared" si="198"/>
        <v>#N/A</v>
      </c>
      <c r="HT234" s="235" t="e">
        <f t="shared" si="199"/>
        <v>#N/A</v>
      </c>
      <c r="HU234" s="235" t="e">
        <f t="shared" si="200"/>
        <v>#N/A</v>
      </c>
      <c r="HX234" s="235" t="e">
        <f t="shared" si="201"/>
        <v>#N/A</v>
      </c>
      <c r="HY234" s="235" t="e">
        <f t="shared" si="202"/>
        <v>#N/A</v>
      </c>
      <c r="IB234" s="235" t="e">
        <f t="shared" si="203"/>
        <v>#N/A</v>
      </c>
      <c r="IC234" s="235" t="e">
        <f t="shared" si="204"/>
        <v>#N/A</v>
      </c>
      <c r="IE234" s="342">
        <v>220</v>
      </c>
      <c r="IF234" s="262" t="e">
        <f t="shared" si="205"/>
        <v>#N/A</v>
      </c>
      <c r="IG234" s="262" t="e">
        <f t="shared" si="206"/>
        <v>#N/A</v>
      </c>
      <c r="IH234" s="379"/>
      <c r="II234" s="379"/>
      <c r="IJ234" s="262" t="e">
        <f t="shared" si="207"/>
        <v>#N/A</v>
      </c>
      <c r="IK234" s="262" t="e">
        <f t="shared" si="208"/>
        <v>#N/A</v>
      </c>
      <c r="IL234" s="379"/>
      <c r="IM234" s="379"/>
      <c r="IN234" s="262" t="e">
        <f t="shared" si="209"/>
        <v>#N/A</v>
      </c>
      <c r="IO234" s="262" t="e">
        <f t="shared" si="210"/>
        <v>#N/A</v>
      </c>
      <c r="IP234" s="379"/>
      <c r="IQ234" s="379"/>
      <c r="IR234" s="262" t="e">
        <f t="shared" si="211"/>
        <v>#N/A</v>
      </c>
      <c r="IS234" s="262" t="e">
        <f t="shared" si="212"/>
        <v>#N/A</v>
      </c>
      <c r="IT234" s="379"/>
      <c r="IU234" s="379"/>
      <c r="IV234" s="262" t="e">
        <f t="shared" si="213"/>
        <v>#N/A</v>
      </c>
      <c r="IW234" s="262" t="e">
        <f t="shared" si="214"/>
        <v>#N/A</v>
      </c>
      <c r="JN234" s="261" t="e">
        <f t="shared" si="215"/>
        <v>#N/A</v>
      </c>
      <c r="JO234" s="261" t="e">
        <f t="shared" si="216"/>
        <v>#N/A</v>
      </c>
      <c r="JR234" s="261" t="e">
        <f t="shared" si="221"/>
        <v>#N/A</v>
      </c>
      <c r="JS234" s="261" t="e">
        <f t="shared" si="222"/>
        <v>#N/A</v>
      </c>
      <c r="JV234" s="261" t="e">
        <f t="shared" si="217"/>
        <v>#N/A</v>
      </c>
      <c r="JW234" s="261" t="e">
        <f t="shared" si="218"/>
        <v>#N/A</v>
      </c>
      <c r="PS234" s="342">
        <v>220</v>
      </c>
      <c r="PT234" s="261" t="e">
        <f t="shared" si="219"/>
        <v>#N/A</v>
      </c>
      <c r="PU234" s="261" t="e">
        <f t="shared" si="220"/>
        <v>#N/A</v>
      </c>
    </row>
    <row r="235" spans="4:437" x14ac:dyDescent="0.5"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310"/>
      <c r="AQ235" s="310"/>
      <c r="AR235" s="310"/>
      <c r="AS235" s="310"/>
      <c r="AT235" s="310"/>
      <c r="AU235" s="310"/>
      <c r="AV235" s="310"/>
      <c r="AW235" s="310"/>
      <c r="AX235" s="310"/>
      <c r="AY235" s="310"/>
      <c r="AZ235" s="310"/>
      <c r="BA235" s="310"/>
      <c r="HK235" s="342">
        <v>221</v>
      </c>
      <c r="HL235" s="235" t="e">
        <f t="shared" si="195"/>
        <v>#N/A</v>
      </c>
      <c r="HM235" s="235" t="e">
        <f t="shared" si="196"/>
        <v>#N/A</v>
      </c>
      <c r="HP235" s="235" t="e">
        <f t="shared" si="197"/>
        <v>#N/A</v>
      </c>
      <c r="HQ235" s="235" t="e">
        <f t="shared" si="198"/>
        <v>#N/A</v>
      </c>
      <c r="HT235" s="235" t="e">
        <f t="shared" si="199"/>
        <v>#N/A</v>
      </c>
      <c r="HU235" s="235" t="e">
        <f t="shared" si="200"/>
        <v>#N/A</v>
      </c>
      <c r="HX235" s="235" t="e">
        <f t="shared" si="201"/>
        <v>#N/A</v>
      </c>
      <c r="HY235" s="235" t="e">
        <f t="shared" si="202"/>
        <v>#N/A</v>
      </c>
      <c r="IB235" s="235" t="e">
        <f t="shared" si="203"/>
        <v>#N/A</v>
      </c>
      <c r="IC235" s="235" t="e">
        <f t="shared" si="204"/>
        <v>#N/A</v>
      </c>
      <c r="IE235" s="342">
        <v>221</v>
      </c>
      <c r="IF235" s="262" t="e">
        <f t="shared" si="205"/>
        <v>#N/A</v>
      </c>
      <c r="IG235" s="262" t="e">
        <f t="shared" si="206"/>
        <v>#N/A</v>
      </c>
      <c r="IH235" s="379"/>
      <c r="II235" s="379"/>
      <c r="IJ235" s="262" t="e">
        <f t="shared" si="207"/>
        <v>#N/A</v>
      </c>
      <c r="IK235" s="262" t="e">
        <f t="shared" si="208"/>
        <v>#N/A</v>
      </c>
      <c r="IL235" s="379"/>
      <c r="IM235" s="379"/>
      <c r="IN235" s="262" t="e">
        <f t="shared" si="209"/>
        <v>#N/A</v>
      </c>
      <c r="IO235" s="262" t="e">
        <f t="shared" si="210"/>
        <v>#N/A</v>
      </c>
      <c r="IP235" s="379"/>
      <c r="IQ235" s="379"/>
      <c r="IR235" s="262" t="e">
        <f t="shared" si="211"/>
        <v>#N/A</v>
      </c>
      <c r="IS235" s="262" t="e">
        <f t="shared" si="212"/>
        <v>#N/A</v>
      </c>
      <c r="IT235" s="379"/>
      <c r="IU235" s="379"/>
      <c r="IV235" s="262" t="e">
        <f t="shared" si="213"/>
        <v>#N/A</v>
      </c>
      <c r="IW235" s="262" t="e">
        <f t="shared" si="214"/>
        <v>#N/A</v>
      </c>
      <c r="JN235" s="261" t="e">
        <f t="shared" si="215"/>
        <v>#N/A</v>
      </c>
      <c r="JO235" s="261" t="e">
        <f t="shared" si="216"/>
        <v>#N/A</v>
      </c>
      <c r="JR235" s="261" t="e">
        <f t="shared" si="221"/>
        <v>#N/A</v>
      </c>
      <c r="JS235" s="261" t="e">
        <f t="shared" si="222"/>
        <v>#N/A</v>
      </c>
      <c r="JV235" s="261" t="e">
        <f t="shared" si="217"/>
        <v>#N/A</v>
      </c>
      <c r="JW235" s="261" t="e">
        <f t="shared" si="218"/>
        <v>#N/A</v>
      </c>
      <c r="PS235" s="342">
        <v>221</v>
      </c>
      <c r="PT235" s="261" t="e">
        <f t="shared" si="219"/>
        <v>#N/A</v>
      </c>
      <c r="PU235" s="261" t="e">
        <f t="shared" si="220"/>
        <v>#N/A</v>
      </c>
    </row>
    <row r="236" spans="4:437" x14ac:dyDescent="0.5"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310"/>
      <c r="AQ236" s="310"/>
      <c r="AR236" s="310"/>
      <c r="AS236" s="310"/>
      <c r="AT236" s="310"/>
      <c r="AU236" s="310"/>
      <c r="AV236" s="310"/>
      <c r="AW236" s="310"/>
      <c r="AX236" s="310"/>
      <c r="AY236" s="310"/>
      <c r="AZ236" s="310"/>
      <c r="BA236" s="310"/>
      <c r="HK236" s="342">
        <v>222</v>
      </c>
      <c r="HL236" s="235" t="e">
        <f t="shared" si="195"/>
        <v>#N/A</v>
      </c>
      <c r="HM236" s="235" t="e">
        <f t="shared" si="196"/>
        <v>#N/A</v>
      </c>
      <c r="HP236" s="235" t="e">
        <f t="shared" si="197"/>
        <v>#N/A</v>
      </c>
      <c r="HQ236" s="235" t="e">
        <f t="shared" si="198"/>
        <v>#N/A</v>
      </c>
      <c r="HT236" s="235" t="e">
        <f t="shared" si="199"/>
        <v>#N/A</v>
      </c>
      <c r="HU236" s="235" t="e">
        <f t="shared" si="200"/>
        <v>#N/A</v>
      </c>
      <c r="HX236" s="235" t="e">
        <f t="shared" si="201"/>
        <v>#N/A</v>
      </c>
      <c r="HY236" s="235" t="e">
        <f t="shared" si="202"/>
        <v>#N/A</v>
      </c>
      <c r="IB236" s="235" t="e">
        <f t="shared" si="203"/>
        <v>#N/A</v>
      </c>
      <c r="IC236" s="235" t="e">
        <f t="shared" si="204"/>
        <v>#N/A</v>
      </c>
      <c r="IE236" s="342">
        <v>222</v>
      </c>
      <c r="IF236" s="262" t="e">
        <f t="shared" si="205"/>
        <v>#N/A</v>
      </c>
      <c r="IG236" s="262" t="e">
        <f t="shared" si="206"/>
        <v>#N/A</v>
      </c>
      <c r="IH236" s="379"/>
      <c r="II236" s="379"/>
      <c r="IJ236" s="262" t="e">
        <f t="shared" si="207"/>
        <v>#N/A</v>
      </c>
      <c r="IK236" s="262" t="e">
        <f t="shared" si="208"/>
        <v>#N/A</v>
      </c>
      <c r="IL236" s="379"/>
      <c r="IM236" s="379"/>
      <c r="IN236" s="262" t="e">
        <f t="shared" si="209"/>
        <v>#N/A</v>
      </c>
      <c r="IO236" s="262" t="e">
        <f t="shared" si="210"/>
        <v>#N/A</v>
      </c>
      <c r="IP236" s="379"/>
      <c r="IQ236" s="379"/>
      <c r="IR236" s="262" t="e">
        <f t="shared" si="211"/>
        <v>#N/A</v>
      </c>
      <c r="IS236" s="262" t="e">
        <f t="shared" si="212"/>
        <v>#N/A</v>
      </c>
      <c r="IT236" s="379"/>
      <c r="IU236" s="379"/>
      <c r="IV236" s="262" t="e">
        <f t="shared" si="213"/>
        <v>#N/A</v>
      </c>
      <c r="IW236" s="262" t="e">
        <f t="shared" si="214"/>
        <v>#N/A</v>
      </c>
      <c r="JN236" s="261" t="e">
        <f t="shared" si="215"/>
        <v>#N/A</v>
      </c>
      <c r="JO236" s="261" t="e">
        <f t="shared" si="216"/>
        <v>#N/A</v>
      </c>
      <c r="JR236" s="261" t="e">
        <f t="shared" si="221"/>
        <v>#N/A</v>
      </c>
      <c r="JS236" s="261" t="e">
        <f t="shared" si="222"/>
        <v>#N/A</v>
      </c>
      <c r="JV236" s="261" t="e">
        <f t="shared" si="217"/>
        <v>#N/A</v>
      </c>
      <c r="JW236" s="261" t="e">
        <f t="shared" si="218"/>
        <v>#N/A</v>
      </c>
      <c r="PS236" s="342">
        <v>222</v>
      </c>
      <c r="PT236" s="261" t="e">
        <f t="shared" si="219"/>
        <v>#N/A</v>
      </c>
      <c r="PU236" s="261" t="e">
        <f t="shared" si="220"/>
        <v>#N/A</v>
      </c>
    </row>
    <row r="237" spans="4:437" x14ac:dyDescent="0.5"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310"/>
      <c r="AQ237" s="310"/>
      <c r="AR237" s="310"/>
      <c r="AS237" s="310"/>
      <c r="AT237" s="310"/>
      <c r="AU237" s="310"/>
      <c r="AV237" s="310"/>
      <c r="AW237" s="310"/>
      <c r="AX237" s="310"/>
      <c r="AY237" s="310"/>
      <c r="AZ237" s="310"/>
      <c r="BA237" s="310"/>
      <c r="HK237" s="342">
        <v>223</v>
      </c>
      <c r="HL237" s="235" t="e">
        <f t="shared" si="195"/>
        <v>#N/A</v>
      </c>
      <c r="HM237" s="235" t="e">
        <f t="shared" si="196"/>
        <v>#N/A</v>
      </c>
      <c r="HP237" s="235" t="e">
        <f t="shared" si="197"/>
        <v>#N/A</v>
      </c>
      <c r="HQ237" s="235" t="e">
        <f t="shared" si="198"/>
        <v>#N/A</v>
      </c>
      <c r="HT237" s="235" t="e">
        <f t="shared" si="199"/>
        <v>#N/A</v>
      </c>
      <c r="HU237" s="235" t="e">
        <f t="shared" si="200"/>
        <v>#N/A</v>
      </c>
      <c r="HX237" s="235" t="e">
        <f t="shared" si="201"/>
        <v>#N/A</v>
      </c>
      <c r="HY237" s="235" t="e">
        <f t="shared" si="202"/>
        <v>#N/A</v>
      </c>
      <c r="IB237" s="235" t="e">
        <f t="shared" si="203"/>
        <v>#N/A</v>
      </c>
      <c r="IC237" s="235" t="e">
        <f t="shared" si="204"/>
        <v>#N/A</v>
      </c>
      <c r="IE237" s="342">
        <v>223</v>
      </c>
      <c r="IF237" s="262" t="e">
        <f t="shared" si="205"/>
        <v>#N/A</v>
      </c>
      <c r="IG237" s="262" t="e">
        <f t="shared" si="206"/>
        <v>#N/A</v>
      </c>
      <c r="IH237" s="379"/>
      <c r="II237" s="379"/>
      <c r="IJ237" s="262" t="e">
        <f t="shared" si="207"/>
        <v>#N/A</v>
      </c>
      <c r="IK237" s="262" t="e">
        <f t="shared" si="208"/>
        <v>#N/A</v>
      </c>
      <c r="IL237" s="379"/>
      <c r="IM237" s="379"/>
      <c r="IN237" s="262" t="e">
        <f t="shared" si="209"/>
        <v>#N/A</v>
      </c>
      <c r="IO237" s="262" t="e">
        <f t="shared" si="210"/>
        <v>#N/A</v>
      </c>
      <c r="IP237" s="379"/>
      <c r="IQ237" s="379"/>
      <c r="IR237" s="262" t="e">
        <f t="shared" si="211"/>
        <v>#N/A</v>
      </c>
      <c r="IS237" s="262" t="e">
        <f t="shared" si="212"/>
        <v>#N/A</v>
      </c>
      <c r="IT237" s="379"/>
      <c r="IU237" s="379"/>
      <c r="IV237" s="262" t="e">
        <f t="shared" si="213"/>
        <v>#N/A</v>
      </c>
      <c r="IW237" s="262" t="e">
        <f t="shared" si="214"/>
        <v>#N/A</v>
      </c>
      <c r="JN237" s="261" t="e">
        <f t="shared" si="215"/>
        <v>#N/A</v>
      </c>
      <c r="JO237" s="261" t="e">
        <f t="shared" si="216"/>
        <v>#N/A</v>
      </c>
      <c r="JR237" s="261" t="e">
        <f t="shared" si="221"/>
        <v>#N/A</v>
      </c>
      <c r="JS237" s="261" t="e">
        <f t="shared" si="222"/>
        <v>#N/A</v>
      </c>
      <c r="JV237" s="261" t="e">
        <f t="shared" si="217"/>
        <v>#N/A</v>
      </c>
      <c r="JW237" s="261" t="e">
        <f t="shared" si="218"/>
        <v>#N/A</v>
      </c>
      <c r="PS237" s="342">
        <v>223</v>
      </c>
      <c r="PT237" s="261" t="e">
        <f t="shared" si="219"/>
        <v>#N/A</v>
      </c>
      <c r="PU237" s="261" t="e">
        <f t="shared" si="220"/>
        <v>#N/A</v>
      </c>
    </row>
    <row r="238" spans="4:437" x14ac:dyDescent="0.5"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310"/>
      <c r="AQ238" s="310"/>
      <c r="AR238" s="310"/>
      <c r="AS238" s="310"/>
      <c r="AT238" s="310"/>
      <c r="AU238" s="310"/>
      <c r="AV238" s="310"/>
      <c r="AW238" s="310"/>
      <c r="AX238" s="310"/>
      <c r="AY238" s="310"/>
      <c r="AZ238" s="310"/>
      <c r="BA238" s="310"/>
      <c r="HK238" s="342">
        <v>224</v>
      </c>
      <c r="HL238" s="235" t="e">
        <f t="shared" si="195"/>
        <v>#N/A</v>
      </c>
      <c r="HM238" s="235" t="e">
        <f t="shared" si="196"/>
        <v>#N/A</v>
      </c>
      <c r="HP238" s="235" t="e">
        <f t="shared" si="197"/>
        <v>#N/A</v>
      </c>
      <c r="HQ238" s="235" t="e">
        <f t="shared" si="198"/>
        <v>#N/A</v>
      </c>
      <c r="HT238" s="235" t="e">
        <f t="shared" si="199"/>
        <v>#N/A</v>
      </c>
      <c r="HU238" s="235" t="e">
        <f t="shared" si="200"/>
        <v>#N/A</v>
      </c>
      <c r="HX238" s="235" t="e">
        <f t="shared" si="201"/>
        <v>#N/A</v>
      </c>
      <c r="HY238" s="235" t="e">
        <f t="shared" si="202"/>
        <v>#N/A</v>
      </c>
      <c r="IB238" s="235" t="e">
        <f t="shared" si="203"/>
        <v>#N/A</v>
      </c>
      <c r="IC238" s="235" t="e">
        <f t="shared" si="204"/>
        <v>#N/A</v>
      </c>
      <c r="IE238" s="342">
        <v>224</v>
      </c>
      <c r="IF238" s="262" t="e">
        <f t="shared" si="205"/>
        <v>#N/A</v>
      </c>
      <c r="IG238" s="262" t="e">
        <f t="shared" si="206"/>
        <v>#N/A</v>
      </c>
      <c r="IH238" s="379"/>
      <c r="II238" s="379"/>
      <c r="IJ238" s="262" t="e">
        <f t="shared" si="207"/>
        <v>#N/A</v>
      </c>
      <c r="IK238" s="262" t="e">
        <f t="shared" si="208"/>
        <v>#N/A</v>
      </c>
      <c r="IL238" s="379"/>
      <c r="IM238" s="379"/>
      <c r="IN238" s="262" t="e">
        <f t="shared" si="209"/>
        <v>#N/A</v>
      </c>
      <c r="IO238" s="262" t="e">
        <f t="shared" si="210"/>
        <v>#N/A</v>
      </c>
      <c r="IP238" s="379"/>
      <c r="IQ238" s="379"/>
      <c r="IR238" s="262" t="e">
        <f t="shared" si="211"/>
        <v>#N/A</v>
      </c>
      <c r="IS238" s="262" t="e">
        <f t="shared" si="212"/>
        <v>#N/A</v>
      </c>
      <c r="IT238" s="379"/>
      <c r="IU238" s="379"/>
      <c r="IV238" s="262" t="e">
        <f t="shared" si="213"/>
        <v>#N/A</v>
      </c>
      <c r="IW238" s="262" t="e">
        <f t="shared" si="214"/>
        <v>#N/A</v>
      </c>
      <c r="JN238" s="261" t="e">
        <f t="shared" si="215"/>
        <v>#N/A</v>
      </c>
      <c r="JO238" s="261" t="e">
        <f t="shared" si="216"/>
        <v>#N/A</v>
      </c>
      <c r="JR238" s="261" t="e">
        <f t="shared" si="221"/>
        <v>#N/A</v>
      </c>
      <c r="JS238" s="261" t="e">
        <f t="shared" si="222"/>
        <v>#N/A</v>
      </c>
      <c r="JV238" s="261" t="e">
        <f t="shared" si="217"/>
        <v>#N/A</v>
      </c>
      <c r="JW238" s="261" t="e">
        <f t="shared" si="218"/>
        <v>#N/A</v>
      </c>
      <c r="PS238" s="342">
        <v>224</v>
      </c>
      <c r="PT238" s="261" t="e">
        <f t="shared" si="219"/>
        <v>#N/A</v>
      </c>
      <c r="PU238" s="261" t="e">
        <f t="shared" si="220"/>
        <v>#N/A</v>
      </c>
    </row>
    <row r="239" spans="4:437" x14ac:dyDescent="0.5"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310"/>
      <c r="AQ239" s="310"/>
      <c r="AR239" s="310"/>
      <c r="AS239" s="310"/>
      <c r="AT239" s="310"/>
      <c r="AU239" s="310"/>
      <c r="AV239" s="310"/>
      <c r="AW239" s="310"/>
      <c r="AX239" s="310"/>
      <c r="AY239" s="310"/>
      <c r="AZ239" s="310"/>
      <c r="BA239" s="310"/>
      <c r="HK239" s="342">
        <v>225</v>
      </c>
      <c r="HL239" s="235" t="e">
        <f t="shared" si="195"/>
        <v>#N/A</v>
      </c>
      <c r="HM239" s="235" t="e">
        <f t="shared" si="196"/>
        <v>#N/A</v>
      </c>
      <c r="HP239" s="235" t="e">
        <f t="shared" si="197"/>
        <v>#N/A</v>
      </c>
      <c r="HQ239" s="235" t="e">
        <f t="shared" si="198"/>
        <v>#N/A</v>
      </c>
      <c r="HT239" s="235" t="e">
        <f t="shared" si="199"/>
        <v>#N/A</v>
      </c>
      <c r="HU239" s="235" t="e">
        <f t="shared" si="200"/>
        <v>#N/A</v>
      </c>
      <c r="HX239" s="235" t="e">
        <f t="shared" si="201"/>
        <v>#N/A</v>
      </c>
      <c r="HY239" s="235" t="e">
        <f t="shared" si="202"/>
        <v>#N/A</v>
      </c>
      <c r="IB239" s="235" t="e">
        <f t="shared" si="203"/>
        <v>#N/A</v>
      </c>
      <c r="IC239" s="235" t="e">
        <f t="shared" si="204"/>
        <v>#N/A</v>
      </c>
      <c r="IE239" s="342">
        <v>225</v>
      </c>
      <c r="IF239" s="262" t="e">
        <f t="shared" si="205"/>
        <v>#N/A</v>
      </c>
      <c r="IG239" s="262" t="e">
        <f t="shared" si="206"/>
        <v>#N/A</v>
      </c>
      <c r="IH239" s="379"/>
      <c r="II239" s="379"/>
      <c r="IJ239" s="262" t="e">
        <f t="shared" si="207"/>
        <v>#N/A</v>
      </c>
      <c r="IK239" s="262" t="e">
        <f t="shared" si="208"/>
        <v>#N/A</v>
      </c>
      <c r="IL239" s="379"/>
      <c r="IM239" s="379"/>
      <c r="IN239" s="262" t="e">
        <f t="shared" si="209"/>
        <v>#N/A</v>
      </c>
      <c r="IO239" s="262" t="e">
        <f t="shared" si="210"/>
        <v>#N/A</v>
      </c>
      <c r="IP239" s="379"/>
      <c r="IQ239" s="379"/>
      <c r="IR239" s="262" t="e">
        <f t="shared" si="211"/>
        <v>#N/A</v>
      </c>
      <c r="IS239" s="262" t="e">
        <f t="shared" si="212"/>
        <v>#N/A</v>
      </c>
      <c r="IT239" s="379"/>
      <c r="IU239" s="379"/>
      <c r="IV239" s="262" t="e">
        <f t="shared" si="213"/>
        <v>#N/A</v>
      </c>
      <c r="IW239" s="262" t="e">
        <f t="shared" si="214"/>
        <v>#N/A</v>
      </c>
      <c r="JN239" s="261" t="e">
        <f t="shared" si="215"/>
        <v>#N/A</v>
      </c>
      <c r="JO239" s="261" t="e">
        <f t="shared" si="216"/>
        <v>#N/A</v>
      </c>
      <c r="JR239" s="261" t="e">
        <f t="shared" si="221"/>
        <v>#N/A</v>
      </c>
      <c r="JS239" s="261" t="e">
        <f t="shared" si="222"/>
        <v>#N/A</v>
      </c>
      <c r="JV239" s="261" t="e">
        <f t="shared" si="217"/>
        <v>#N/A</v>
      </c>
      <c r="JW239" s="261" t="e">
        <f t="shared" si="218"/>
        <v>#N/A</v>
      </c>
      <c r="PS239" s="342">
        <v>225</v>
      </c>
      <c r="PT239" s="261" t="e">
        <f t="shared" si="219"/>
        <v>#N/A</v>
      </c>
      <c r="PU239" s="261" t="e">
        <f t="shared" si="220"/>
        <v>#N/A</v>
      </c>
    </row>
    <row r="240" spans="4:437" x14ac:dyDescent="0.5"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310"/>
      <c r="AQ240" s="310"/>
      <c r="AR240" s="310"/>
      <c r="AS240" s="310"/>
      <c r="AT240" s="310"/>
      <c r="AU240" s="310"/>
      <c r="AV240" s="310"/>
      <c r="AW240" s="310"/>
      <c r="AX240" s="310"/>
      <c r="AY240" s="310"/>
      <c r="AZ240" s="310"/>
      <c r="BA240" s="310"/>
      <c r="HK240" s="342">
        <v>226</v>
      </c>
      <c r="HL240" s="235" t="e">
        <f t="shared" si="195"/>
        <v>#N/A</v>
      </c>
      <c r="HM240" s="235" t="e">
        <f t="shared" si="196"/>
        <v>#N/A</v>
      </c>
      <c r="HP240" s="235" t="e">
        <f t="shared" si="197"/>
        <v>#N/A</v>
      </c>
      <c r="HQ240" s="235" t="e">
        <f t="shared" si="198"/>
        <v>#N/A</v>
      </c>
      <c r="HT240" s="235" t="e">
        <f t="shared" si="199"/>
        <v>#N/A</v>
      </c>
      <c r="HU240" s="235" t="e">
        <f t="shared" si="200"/>
        <v>#N/A</v>
      </c>
      <c r="HX240" s="235" t="e">
        <f t="shared" si="201"/>
        <v>#N/A</v>
      </c>
      <c r="HY240" s="235" t="e">
        <f t="shared" si="202"/>
        <v>#N/A</v>
      </c>
      <c r="IB240" s="235" t="e">
        <f t="shared" si="203"/>
        <v>#N/A</v>
      </c>
      <c r="IC240" s="235" t="e">
        <f t="shared" si="204"/>
        <v>#N/A</v>
      </c>
      <c r="IE240" s="342">
        <v>226</v>
      </c>
      <c r="IF240" s="262" t="e">
        <f t="shared" si="205"/>
        <v>#N/A</v>
      </c>
      <c r="IG240" s="262" t="e">
        <f t="shared" si="206"/>
        <v>#N/A</v>
      </c>
      <c r="IH240" s="379"/>
      <c r="II240" s="379"/>
      <c r="IJ240" s="262" t="e">
        <f t="shared" si="207"/>
        <v>#N/A</v>
      </c>
      <c r="IK240" s="262" t="e">
        <f t="shared" si="208"/>
        <v>#N/A</v>
      </c>
      <c r="IL240" s="379"/>
      <c r="IM240" s="379"/>
      <c r="IN240" s="262" t="e">
        <f t="shared" si="209"/>
        <v>#N/A</v>
      </c>
      <c r="IO240" s="262" t="e">
        <f t="shared" si="210"/>
        <v>#N/A</v>
      </c>
      <c r="IP240" s="379"/>
      <c r="IQ240" s="379"/>
      <c r="IR240" s="262" t="e">
        <f t="shared" si="211"/>
        <v>#N/A</v>
      </c>
      <c r="IS240" s="262" t="e">
        <f t="shared" si="212"/>
        <v>#N/A</v>
      </c>
      <c r="IT240" s="379"/>
      <c r="IU240" s="379"/>
      <c r="IV240" s="262" t="e">
        <f t="shared" si="213"/>
        <v>#N/A</v>
      </c>
      <c r="IW240" s="262" t="e">
        <f t="shared" si="214"/>
        <v>#N/A</v>
      </c>
      <c r="JN240" s="261" t="e">
        <f t="shared" si="215"/>
        <v>#N/A</v>
      </c>
      <c r="JO240" s="261" t="e">
        <f t="shared" si="216"/>
        <v>#N/A</v>
      </c>
      <c r="JR240" s="261" t="e">
        <f t="shared" si="221"/>
        <v>#N/A</v>
      </c>
      <c r="JS240" s="261" t="e">
        <f t="shared" si="222"/>
        <v>#N/A</v>
      </c>
      <c r="JV240" s="261" t="e">
        <f t="shared" si="217"/>
        <v>#N/A</v>
      </c>
      <c r="JW240" s="261" t="e">
        <f t="shared" si="218"/>
        <v>#N/A</v>
      </c>
      <c r="PS240" s="342">
        <v>226</v>
      </c>
      <c r="PT240" s="261" t="e">
        <f t="shared" si="219"/>
        <v>#N/A</v>
      </c>
      <c r="PU240" s="261" t="e">
        <f t="shared" si="220"/>
        <v>#N/A</v>
      </c>
    </row>
    <row r="241" spans="4:437" x14ac:dyDescent="0.5"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310"/>
      <c r="AQ241" s="310"/>
      <c r="AR241" s="310"/>
      <c r="AS241" s="310"/>
      <c r="AT241" s="310"/>
      <c r="AU241" s="310"/>
      <c r="AV241" s="310"/>
      <c r="AW241" s="310"/>
      <c r="AX241" s="310"/>
      <c r="AY241" s="310"/>
      <c r="AZ241" s="310"/>
      <c r="BA241" s="310"/>
      <c r="HK241" s="342">
        <v>227</v>
      </c>
      <c r="HL241" s="235" t="e">
        <f t="shared" si="195"/>
        <v>#N/A</v>
      </c>
      <c r="HM241" s="235" t="e">
        <f t="shared" si="196"/>
        <v>#N/A</v>
      </c>
      <c r="HP241" s="235" t="e">
        <f t="shared" si="197"/>
        <v>#N/A</v>
      </c>
      <c r="HQ241" s="235" t="e">
        <f t="shared" si="198"/>
        <v>#N/A</v>
      </c>
      <c r="HT241" s="235" t="e">
        <f t="shared" si="199"/>
        <v>#N/A</v>
      </c>
      <c r="HU241" s="235" t="e">
        <f t="shared" si="200"/>
        <v>#N/A</v>
      </c>
      <c r="HX241" s="235" t="e">
        <f t="shared" si="201"/>
        <v>#N/A</v>
      </c>
      <c r="HY241" s="235" t="e">
        <f t="shared" si="202"/>
        <v>#N/A</v>
      </c>
      <c r="IB241" s="235" t="e">
        <f t="shared" si="203"/>
        <v>#N/A</v>
      </c>
      <c r="IC241" s="235" t="e">
        <f t="shared" si="204"/>
        <v>#N/A</v>
      </c>
      <c r="IE241" s="342">
        <v>227</v>
      </c>
      <c r="IF241" s="262" t="e">
        <f t="shared" si="205"/>
        <v>#N/A</v>
      </c>
      <c r="IG241" s="262" t="e">
        <f t="shared" si="206"/>
        <v>#N/A</v>
      </c>
      <c r="IH241" s="379"/>
      <c r="II241" s="379"/>
      <c r="IJ241" s="262" t="e">
        <f t="shared" si="207"/>
        <v>#N/A</v>
      </c>
      <c r="IK241" s="262" t="e">
        <f t="shared" si="208"/>
        <v>#N/A</v>
      </c>
      <c r="IL241" s="379"/>
      <c r="IM241" s="379"/>
      <c r="IN241" s="262" t="e">
        <f t="shared" si="209"/>
        <v>#N/A</v>
      </c>
      <c r="IO241" s="262" t="e">
        <f t="shared" si="210"/>
        <v>#N/A</v>
      </c>
      <c r="IP241" s="379"/>
      <c r="IQ241" s="379"/>
      <c r="IR241" s="262" t="e">
        <f t="shared" si="211"/>
        <v>#N/A</v>
      </c>
      <c r="IS241" s="262" t="e">
        <f t="shared" si="212"/>
        <v>#N/A</v>
      </c>
      <c r="IT241" s="379"/>
      <c r="IU241" s="379"/>
      <c r="IV241" s="262" t="e">
        <f t="shared" si="213"/>
        <v>#N/A</v>
      </c>
      <c r="IW241" s="262" t="e">
        <f t="shared" si="214"/>
        <v>#N/A</v>
      </c>
      <c r="JN241" s="261" t="e">
        <f t="shared" si="215"/>
        <v>#N/A</v>
      </c>
      <c r="JO241" s="261" t="e">
        <f t="shared" si="216"/>
        <v>#N/A</v>
      </c>
      <c r="JR241" s="261" t="e">
        <f t="shared" si="221"/>
        <v>#N/A</v>
      </c>
      <c r="JS241" s="261" t="e">
        <f t="shared" si="222"/>
        <v>#N/A</v>
      </c>
      <c r="JV241" s="261" t="e">
        <f t="shared" si="217"/>
        <v>#N/A</v>
      </c>
      <c r="JW241" s="261" t="e">
        <f t="shared" si="218"/>
        <v>#N/A</v>
      </c>
      <c r="PS241" s="342">
        <v>227</v>
      </c>
      <c r="PT241" s="261" t="e">
        <f t="shared" si="219"/>
        <v>#N/A</v>
      </c>
      <c r="PU241" s="261" t="e">
        <f t="shared" si="220"/>
        <v>#N/A</v>
      </c>
    </row>
    <row r="242" spans="4:437" x14ac:dyDescent="0.5"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310"/>
      <c r="AQ242" s="310"/>
      <c r="AR242" s="310"/>
      <c r="AS242" s="310"/>
      <c r="AT242" s="310"/>
      <c r="AU242" s="310"/>
      <c r="AV242" s="310"/>
      <c r="AW242" s="310"/>
      <c r="AX242" s="310"/>
      <c r="AY242" s="310"/>
      <c r="AZ242" s="310"/>
      <c r="BA242" s="310"/>
      <c r="HK242" s="342">
        <v>228</v>
      </c>
      <c r="HL242" s="235" t="e">
        <f t="shared" si="195"/>
        <v>#N/A</v>
      </c>
      <c r="HM242" s="235" t="e">
        <f t="shared" si="196"/>
        <v>#N/A</v>
      </c>
      <c r="HP242" s="235" t="e">
        <f t="shared" si="197"/>
        <v>#N/A</v>
      </c>
      <c r="HQ242" s="235" t="e">
        <f t="shared" si="198"/>
        <v>#N/A</v>
      </c>
      <c r="HT242" s="235" t="e">
        <f t="shared" si="199"/>
        <v>#N/A</v>
      </c>
      <c r="HU242" s="235" t="e">
        <f t="shared" si="200"/>
        <v>#N/A</v>
      </c>
      <c r="HX242" s="235" t="e">
        <f t="shared" si="201"/>
        <v>#N/A</v>
      </c>
      <c r="HY242" s="235" t="e">
        <f t="shared" si="202"/>
        <v>#N/A</v>
      </c>
      <c r="IB242" s="235" t="e">
        <f t="shared" si="203"/>
        <v>#N/A</v>
      </c>
      <c r="IC242" s="235" t="e">
        <f t="shared" si="204"/>
        <v>#N/A</v>
      </c>
      <c r="IE242" s="342">
        <v>228</v>
      </c>
      <c r="IF242" s="262" t="e">
        <f t="shared" si="205"/>
        <v>#N/A</v>
      </c>
      <c r="IG242" s="262" t="e">
        <f t="shared" si="206"/>
        <v>#N/A</v>
      </c>
      <c r="IH242" s="379"/>
      <c r="II242" s="379"/>
      <c r="IJ242" s="262" t="e">
        <f t="shared" si="207"/>
        <v>#N/A</v>
      </c>
      <c r="IK242" s="262" t="e">
        <f t="shared" si="208"/>
        <v>#N/A</v>
      </c>
      <c r="IL242" s="379"/>
      <c r="IM242" s="379"/>
      <c r="IN242" s="262" t="e">
        <f t="shared" si="209"/>
        <v>#N/A</v>
      </c>
      <c r="IO242" s="262" t="e">
        <f t="shared" si="210"/>
        <v>#N/A</v>
      </c>
      <c r="IP242" s="379"/>
      <c r="IQ242" s="379"/>
      <c r="IR242" s="262" t="e">
        <f t="shared" si="211"/>
        <v>#N/A</v>
      </c>
      <c r="IS242" s="262" t="e">
        <f t="shared" si="212"/>
        <v>#N/A</v>
      </c>
      <c r="IT242" s="379"/>
      <c r="IU242" s="379"/>
      <c r="IV242" s="262" t="e">
        <f t="shared" si="213"/>
        <v>#N/A</v>
      </c>
      <c r="IW242" s="262" t="e">
        <f t="shared" si="214"/>
        <v>#N/A</v>
      </c>
      <c r="JN242" s="261" t="e">
        <f t="shared" si="215"/>
        <v>#N/A</v>
      </c>
      <c r="JO242" s="261" t="e">
        <f t="shared" si="216"/>
        <v>#N/A</v>
      </c>
      <c r="JR242" s="261" t="e">
        <f t="shared" si="221"/>
        <v>#N/A</v>
      </c>
      <c r="JS242" s="261" t="e">
        <f t="shared" si="222"/>
        <v>#N/A</v>
      </c>
      <c r="JV242" s="261" t="e">
        <f t="shared" si="217"/>
        <v>#N/A</v>
      </c>
      <c r="JW242" s="261" t="e">
        <f t="shared" si="218"/>
        <v>#N/A</v>
      </c>
      <c r="PS242" s="342">
        <v>228</v>
      </c>
      <c r="PT242" s="261" t="e">
        <f t="shared" si="219"/>
        <v>#N/A</v>
      </c>
      <c r="PU242" s="261" t="e">
        <f t="shared" si="220"/>
        <v>#N/A</v>
      </c>
    </row>
    <row r="243" spans="4:437" x14ac:dyDescent="0.5"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310"/>
      <c r="AQ243" s="310"/>
      <c r="AR243" s="310"/>
      <c r="AS243" s="310"/>
      <c r="AT243" s="310"/>
      <c r="AU243" s="310"/>
      <c r="AV243" s="310"/>
      <c r="AW243" s="310"/>
      <c r="AX243" s="310"/>
      <c r="AY243" s="310"/>
      <c r="AZ243" s="310"/>
      <c r="BA243" s="310"/>
      <c r="HK243" s="342">
        <v>229</v>
      </c>
      <c r="HL243" s="235" t="e">
        <f t="shared" si="195"/>
        <v>#N/A</v>
      </c>
      <c r="HM243" s="235" t="e">
        <f t="shared" si="196"/>
        <v>#N/A</v>
      </c>
      <c r="HP243" s="235" t="e">
        <f t="shared" si="197"/>
        <v>#N/A</v>
      </c>
      <c r="HQ243" s="235" t="e">
        <f t="shared" si="198"/>
        <v>#N/A</v>
      </c>
      <c r="HT243" s="235" t="e">
        <f t="shared" si="199"/>
        <v>#N/A</v>
      </c>
      <c r="HU243" s="235" t="e">
        <f t="shared" si="200"/>
        <v>#N/A</v>
      </c>
      <c r="HX243" s="235" t="e">
        <f t="shared" si="201"/>
        <v>#N/A</v>
      </c>
      <c r="HY243" s="235" t="e">
        <f t="shared" si="202"/>
        <v>#N/A</v>
      </c>
      <c r="IB243" s="235" t="e">
        <f t="shared" si="203"/>
        <v>#N/A</v>
      </c>
      <c r="IC243" s="235" t="e">
        <f t="shared" si="204"/>
        <v>#N/A</v>
      </c>
      <c r="IE243" s="342">
        <v>229</v>
      </c>
      <c r="IF243" s="262" t="e">
        <f t="shared" si="205"/>
        <v>#N/A</v>
      </c>
      <c r="IG243" s="262" t="e">
        <f t="shared" si="206"/>
        <v>#N/A</v>
      </c>
      <c r="IH243" s="379"/>
      <c r="II243" s="379"/>
      <c r="IJ243" s="262" t="e">
        <f t="shared" si="207"/>
        <v>#N/A</v>
      </c>
      <c r="IK243" s="262" t="e">
        <f t="shared" si="208"/>
        <v>#N/A</v>
      </c>
      <c r="IL243" s="379"/>
      <c r="IM243" s="379"/>
      <c r="IN243" s="262" t="e">
        <f t="shared" si="209"/>
        <v>#N/A</v>
      </c>
      <c r="IO243" s="262" t="e">
        <f t="shared" si="210"/>
        <v>#N/A</v>
      </c>
      <c r="IP243" s="379"/>
      <c r="IQ243" s="379"/>
      <c r="IR243" s="262" t="e">
        <f t="shared" si="211"/>
        <v>#N/A</v>
      </c>
      <c r="IS243" s="262" t="e">
        <f t="shared" si="212"/>
        <v>#N/A</v>
      </c>
      <c r="IT243" s="379"/>
      <c r="IU243" s="379"/>
      <c r="IV243" s="262" t="e">
        <f t="shared" si="213"/>
        <v>#N/A</v>
      </c>
      <c r="IW243" s="262" t="e">
        <f t="shared" si="214"/>
        <v>#N/A</v>
      </c>
      <c r="JN243" s="261" t="e">
        <f t="shared" si="215"/>
        <v>#N/A</v>
      </c>
      <c r="JO243" s="261" t="e">
        <f t="shared" si="216"/>
        <v>#N/A</v>
      </c>
      <c r="JR243" s="261" t="e">
        <f t="shared" si="221"/>
        <v>#N/A</v>
      </c>
      <c r="JS243" s="261" t="e">
        <f t="shared" si="222"/>
        <v>#N/A</v>
      </c>
      <c r="JV243" s="261" t="e">
        <f t="shared" si="217"/>
        <v>#N/A</v>
      </c>
      <c r="JW243" s="261" t="e">
        <f t="shared" si="218"/>
        <v>#N/A</v>
      </c>
      <c r="PS243" s="342">
        <v>229</v>
      </c>
      <c r="PT243" s="261" t="e">
        <f t="shared" si="219"/>
        <v>#N/A</v>
      </c>
      <c r="PU243" s="261" t="e">
        <f t="shared" si="220"/>
        <v>#N/A</v>
      </c>
    </row>
    <row r="244" spans="4:437" x14ac:dyDescent="0.5"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310"/>
      <c r="AQ244" s="310"/>
      <c r="AR244" s="310"/>
      <c r="AS244" s="310"/>
      <c r="AT244" s="310"/>
      <c r="AU244" s="310"/>
      <c r="AV244" s="310"/>
      <c r="AW244" s="310"/>
      <c r="AX244" s="310"/>
      <c r="AY244" s="310"/>
      <c r="AZ244" s="310"/>
      <c r="BA244" s="310"/>
      <c r="HK244" s="342">
        <v>230</v>
      </c>
      <c r="HL244" s="235" t="e">
        <f t="shared" si="195"/>
        <v>#N/A</v>
      </c>
      <c r="HM244" s="235" t="e">
        <f t="shared" si="196"/>
        <v>#N/A</v>
      </c>
      <c r="HP244" s="235" t="e">
        <f t="shared" si="197"/>
        <v>#N/A</v>
      </c>
      <c r="HQ244" s="235" t="e">
        <f t="shared" si="198"/>
        <v>#N/A</v>
      </c>
      <c r="HT244" s="235" t="e">
        <f t="shared" si="199"/>
        <v>#N/A</v>
      </c>
      <c r="HU244" s="235" t="e">
        <f t="shared" si="200"/>
        <v>#N/A</v>
      </c>
      <c r="HX244" s="235" t="e">
        <f t="shared" si="201"/>
        <v>#N/A</v>
      </c>
      <c r="HY244" s="235" t="e">
        <f t="shared" si="202"/>
        <v>#N/A</v>
      </c>
      <c r="IB244" s="235" t="e">
        <f t="shared" si="203"/>
        <v>#N/A</v>
      </c>
      <c r="IC244" s="235" t="e">
        <f t="shared" si="204"/>
        <v>#N/A</v>
      </c>
      <c r="IE244" s="342">
        <v>230</v>
      </c>
      <c r="IF244" s="262" t="e">
        <f t="shared" si="205"/>
        <v>#N/A</v>
      </c>
      <c r="IG244" s="262" t="e">
        <f t="shared" si="206"/>
        <v>#N/A</v>
      </c>
      <c r="IH244" s="379"/>
      <c r="II244" s="379"/>
      <c r="IJ244" s="262" t="e">
        <f t="shared" si="207"/>
        <v>#N/A</v>
      </c>
      <c r="IK244" s="262" t="e">
        <f t="shared" si="208"/>
        <v>#N/A</v>
      </c>
      <c r="IL244" s="379"/>
      <c r="IM244" s="379"/>
      <c r="IN244" s="262" t="e">
        <f t="shared" si="209"/>
        <v>#N/A</v>
      </c>
      <c r="IO244" s="262" t="e">
        <f t="shared" si="210"/>
        <v>#N/A</v>
      </c>
      <c r="IP244" s="379"/>
      <c r="IQ244" s="379"/>
      <c r="IR244" s="262" t="e">
        <f t="shared" si="211"/>
        <v>#N/A</v>
      </c>
      <c r="IS244" s="262" t="e">
        <f t="shared" si="212"/>
        <v>#N/A</v>
      </c>
      <c r="IT244" s="379"/>
      <c r="IU244" s="379"/>
      <c r="IV244" s="262" t="e">
        <f t="shared" si="213"/>
        <v>#N/A</v>
      </c>
      <c r="IW244" s="262" t="e">
        <f t="shared" si="214"/>
        <v>#N/A</v>
      </c>
      <c r="JN244" s="261" t="e">
        <f t="shared" si="215"/>
        <v>#N/A</v>
      </c>
      <c r="JO244" s="261" t="e">
        <f t="shared" si="216"/>
        <v>#N/A</v>
      </c>
      <c r="JR244" s="261" t="e">
        <f t="shared" si="221"/>
        <v>#N/A</v>
      </c>
      <c r="JS244" s="261" t="e">
        <f t="shared" si="222"/>
        <v>#N/A</v>
      </c>
      <c r="JV244" s="261" t="e">
        <f t="shared" si="217"/>
        <v>#N/A</v>
      </c>
      <c r="JW244" s="261" t="e">
        <f t="shared" si="218"/>
        <v>#N/A</v>
      </c>
      <c r="PS244" s="342">
        <v>230</v>
      </c>
      <c r="PT244" s="261" t="e">
        <f t="shared" si="219"/>
        <v>#N/A</v>
      </c>
      <c r="PU244" s="261" t="e">
        <f t="shared" si="220"/>
        <v>#N/A</v>
      </c>
    </row>
    <row r="245" spans="4:437" x14ac:dyDescent="0.5"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310"/>
      <c r="AQ245" s="310"/>
      <c r="AR245" s="310"/>
      <c r="AS245" s="310"/>
      <c r="AT245" s="310"/>
      <c r="AU245" s="310"/>
      <c r="AV245" s="310"/>
      <c r="AW245" s="310"/>
      <c r="AX245" s="310"/>
      <c r="AY245" s="310"/>
      <c r="AZ245" s="310"/>
      <c r="BA245" s="310"/>
      <c r="HK245" s="342">
        <v>231</v>
      </c>
      <c r="HL245" s="235" t="e">
        <f t="shared" si="195"/>
        <v>#N/A</v>
      </c>
      <c r="HM245" s="235" t="e">
        <f t="shared" si="196"/>
        <v>#N/A</v>
      </c>
      <c r="HP245" s="235" t="e">
        <f t="shared" si="197"/>
        <v>#N/A</v>
      </c>
      <c r="HQ245" s="235" t="e">
        <f t="shared" si="198"/>
        <v>#N/A</v>
      </c>
      <c r="HT245" s="235" t="e">
        <f t="shared" si="199"/>
        <v>#N/A</v>
      </c>
      <c r="HU245" s="235" t="e">
        <f t="shared" si="200"/>
        <v>#N/A</v>
      </c>
      <c r="HX245" s="235" t="e">
        <f t="shared" si="201"/>
        <v>#N/A</v>
      </c>
      <c r="HY245" s="235" t="e">
        <f t="shared" si="202"/>
        <v>#N/A</v>
      </c>
      <c r="IB245" s="235" t="e">
        <f t="shared" si="203"/>
        <v>#N/A</v>
      </c>
      <c r="IC245" s="235" t="e">
        <f t="shared" si="204"/>
        <v>#N/A</v>
      </c>
      <c r="IE245" s="342">
        <v>231</v>
      </c>
      <c r="IF245" s="262" t="e">
        <f t="shared" si="205"/>
        <v>#N/A</v>
      </c>
      <c r="IG245" s="262" t="e">
        <f t="shared" si="206"/>
        <v>#N/A</v>
      </c>
      <c r="IH245" s="379"/>
      <c r="II245" s="379"/>
      <c r="IJ245" s="262" t="e">
        <f t="shared" si="207"/>
        <v>#N/A</v>
      </c>
      <c r="IK245" s="262" t="e">
        <f t="shared" si="208"/>
        <v>#N/A</v>
      </c>
      <c r="IL245" s="379"/>
      <c r="IM245" s="379"/>
      <c r="IN245" s="262" t="e">
        <f t="shared" si="209"/>
        <v>#N/A</v>
      </c>
      <c r="IO245" s="262" t="e">
        <f t="shared" si="210"/>
        <v>#N/A</v>
      </c>
      <c r="IP245" s="379"/>
      <c r="IQ245" s="379"/>
      <c r="IR245" s="262" t="e">
        <f t="shared" si="211"/>
        <v>#N/A</v>
      </c>
      <c r="IS245" s="262" t="e">
        <f t="shared" si="212"/>
        <v>#N/A</v>
      </c>
      <c r="IT245" s="379"/>
      <c r="IU245" s="379"/>
      <c r="IV245" s="262" t="e">
        <f t="shared" si="213"/>
        <v>#N/A</v>
      </c>
      <c r="IW245" s="262" t="e">
        <f t="shared" si="214"/>
        <v>#N/A</v>
      </c>
      <c r="JN245" s="261" t="e">
        <f t="shared" si="215"/>
        <v>#N/A</v>
      </c>
      <c r="JO245" s="261" t="e">
        <f t="shared" si="216"/>
        <v>#N/A</v>
      </c>
      <c r="JR245" s="261" t="e">
        <f t="shared" si="221"/>
        <v>#N/A</v>
      </c>
      <c r="JS245" s="261" t="e">
        <f t="shared" si="222"/>
        <v>#N/A</v>
      </c>
      <c r="JV245" s="261" t="e">
        <f t="shared" si="217"/>
        <v>#N/A</v>
      </c>
      <c r="JW245" s="261" t="e">
        <f t="shared" si="218"/>
        <v>#N/A</v>
      </c>
      <c r="PS245" s="342">
        <v>231</v>
      </c>
      <c r="PT245" s="261" t="e">
        <f t="shared" si="219"/>
        <v>#N/A</v>
      </c>
      <c r="PU245" s="261" t="e">
        <f t="shared" si="220"/>
        <v>#N/A</v>
      </c>
    </row>
    <row r="246" spans="4:437" x14ac:dyDescent="0.5"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310"/>
      <c r="AQ246" s="310"/>
      <c r="AR246" s="310"/>
      <c r="AS246" s="310"/>
      <c r="AT246" s="310"/>
      <c r="AU246" s="310"/>
      <c r="AV246" s="310"/>
      <c r="AW246" s="310"/>
      <c r="AX246" s="310"/>
      <c r="AY246" s="310"/>
      <c r="AZ246" s="310"/>
      <c r="BA246" s="310"/>
      <c r="HK246" s="342">
        <v>232</v>
      </c>
      <c r="HL246" s="235" t="e">
        <f t="shared" si="195"/>
        <v>#N/A</v>
      </c>
      <c r="HM246" s="235" t="e">
        <f t="shared" si="196"/>
        <v>#N/A</v>
      </c>
      <c r="HP246" s="235" t="e">
        <f t="shared" si="197"/>
        <v>#N/A</v>
      </c>
      <c r="HQ246" s="235" t="e">
        <f t="shared" si="198"/>
        <v>#N/A</v>
      </c>
      <c r="HT246" s="235" t="e">
        <f t="shared" si="199"/>
        <v>#N/A</v>
      </c>
      <c r="HU246" s="235" t="e">
        <f t="shared" si="200"/>
        <v>#N/A</v>
      </c>
      <c r="HX246" s="235" t="e">
        <f t="shared" si="201"/>
        <v>#N/A</v>
      </c>
      <c r="HY246" s="235" t="e">
        <f t="shared" si="202"/>
        <v>#N/A</v>
      </c>
      <c r="IB246" s="235" t="e">
        <f t="shared" si="203"/>
        <v>#N/A</v>
      </c>
      <c r="IC246" s="235" t="e">
        <f t="shared" si="204"/>
        <v>#N/A</v>
      </c>
      <c r="IE246" s="342">
        <v>232</v>
      </c>
      <c r="IF246" s="262" t="e">
        <f t="shared" si="205"/>
        <v>#N/A</v>
      </c>
      <c r="IG246" s="262" t="e">
        <f t="shared" si="206"/>
        <v>#N/A</v>
      </c>
      <c r="IH246" s="379"/>
      <c r="II246" s="379"/>
      <c r="IJ246" s="262" t="e">
        <f t="shared" si="207"/>
        <v>#N/A</v>
      </c>
      <c r="IK246" s="262" t="e">
        <f t="shared" si="208"/>
        <v>#N/A</v>
      </c>
      <c r="IL246" s="379"/>
      <c r="IM246" s="379"/>
      <c r="IN246" s="262" t="e">
        <f t="shared" si="209"/>
        <v>#N/A</v>
      </c>
      <c r="IO246" s="262" t="e">
        <f t="shared" si="210"/>
        <v>#N/A</v>
      </c>
      <c r="IP246" s="379"/>
      <c r="IQ246" s="379"/>
      <c r="IR246" s="262" t="e">
        <f t="shared" si="211"/>
        <v>#N/A</v>
      </c>
      <c r="IS246" s="262" t="e">
        <f t="shared" si="212"/>
        <v>#N/A</v>
      </c>
      <c r="IT246" s="379"/>
      <c r="IU246" s="379"/>
      <c r="IV246" s="262" t="e">
        <f t="shared" si="213"/>
        <v>#N/A</v>
      </c>
      <c r="IW246" s="262" t="e">
        <f t="shared" si="214"/>
        <v>#N/A</v>
      </c>
      <c r="JN246" s="261" t="e">
        <f t="shared" si="215"/>
        <v>#N/A</v>
      </c>
      <c r="JO246" s="261" t="e">
        <f t="shared" si="216"/>
        <v>#N/A</v>
      </c>
      <c r="JR246" s="261" t="e">
        <f t="shared" si="221"/>
        <v>#N/A</v>
      </c>
      <c r="JS246" s="261" t="e">
        <f t="shared" si="222"/>
        <v>#N/A</v>
      </c>
      <c r="JV246" s="261" t="e">
        <f t="shared" si="217"/>
        <v>#N/A</v>
      </c>
      <c r="JW246" s="261" t="e">
        <f t="shared" si="218"/>
        <v>#N/A</v>
      </c>
      <c r="PS246" s="342">
        <v>232</v>
      </c>
      <c r="PT246" s="261" t="e">
        <f t="shared" si="219"/>
        <v>#N/A</v>
      </c>
      <c r="PU246" s="261" t="e">
        <f t="shared" si="220"/>
        <v>#N/A</v>
      </c>
    </row>
    <row r="247" spans="4:437" x14ac:dyDescent="0.5"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310"/>
      <c r="AQ247" s="310"/>
      <c r="AR247" s="310"/>
      <c r="AS247" s="310"/>
      <c r="AT247" s="310"/>
      <c r="AU247" s="310"/>
      <c r="AV247" s="310"/>
      <c r="AW247" s="310"/>
      <c r="AX247" s="310"/>
      <c r="AY247" s="310"/>
      <c r="AZ247" s="310"/>
      <c r="BA247" s="310"/>
      <c r="HK247" s="342">
        <v>233</v>
      </c>
      <c r="HL247" s="235" t="e">
        <f t="shared" si="195"/>
        <v>#N/A</v>
      </c>
      <c r="HM247" s="235" t="e">
        <f t="shared" si="196"/>
        <v>#N/A</v>
      </c>
      <c r="HP247" s="235" t="e">
        <f t="shared" si="197"/>
        <v>#N/A</v>
      </c>
      <c r="HQ247" s="235" t="e">
        <f t="shared" si="198"/>
        <v>#N/A</v>
      </c>
      <c r="HT247" s="235" t="e">
        <f t="shared" si="199"/>
        <v>#N/A</v>
      </c>
      <c r="HU247" s="235" t="e">
        <f t="shared" si="200"/>
        <v>#N/A</v>
      </c>
      <c r="HX247" s="235" t="e">
        <f t="shared" si="201"/>
        <v>#N/A</v>
      </c>
      <c r="HY247" s="235" t="e">
        <f t="shared" si="202"/>
        <v>#N/A</v>
      </c>
      <c r="IB247" s="235" t="e">
        <f t="shared" si="203"/>
        <v>#N/A</v>
      </c>
      <c r="IC247" s="235" t="e">
        <f t="shared" si="204"/>
        <v>#N/A</v>
      </c>
      <c r="IE247" s="342">
        <v>233</v>
      </c>
      <c r="IF247" s="262" t="e">
        <f t="shared" si="205"/>
        <v>#N/A</v>
      </c>
      <c r="IG247" s="262" t="e">
        <f t="shared" si="206"/>
        <v>#N/A</v>
      </c>
      <c r="IH247" s="379"/>
      <c r="II247" s="379"/>
      <c r="IJ247" s="262" t="e">
        <f t="shared" si="207"/>
        <v>#N/A</v>
      </c>
      <c r="IK247" s="262" t="e">
        <f t="shared" si="208"/>
        <v>#N/A</v>
      </c>
      <c r="IL247" s="379"/>
      <c r="IM247" s="379"/>
      <c r="IN247" s="262" t="e">
        <f t="shared" si="209"/>
        <v>#N/A</v>
      </c>
      <c r="IO247" s="262" t="e">
        <f t="shared" si="210"/>
        <v>#N/A</v>
      </c>
      <c r="IP247" s="379"/>
      <c r="IQ247" s="379"/>
      <c r="IR247" s="262" t="e">
        <f t="shared" si="211"/>
        <v>#N/A</v>
      </c>
      <c r="IS247" s="262" t="e">
        <f t="shared" si="212"/>
        <v>#N/A</v>
      </c>
      <c r="IT247" s="379"/>
      <c r="IU247" s="379"/>
      <c r="IV247" s="262" t="e">
        <f t="shared" si="213"/>
        <v>#N/A</v>
      </c>
      <c r="IW247" s="262" t="e">
        <f t="shared" si="214"/>
        <v>#N/A</v>
      </c>
      <c r="JN247" s="261" t="e">
        <f t="shared" si="215"/>
        <v>#N/A</v>
      </c>
      <c r="JO247" s="261" t="e">
        <f t="shared" si="216"/>
        <v>#N/A</v>
      </c>
      <c r="JR247" s="261" t="e">
        <f t="shared" si="221"/>
        <v>#N/A</v>
      </c>
      <c r="JS247" s="261" t="e">
        <f t="shared" si="222"/>
        <v>#N/A</v>
      </c>
      <c r="JV247" s="261" t="e">
        <f t="shared" si="217"/>
        <v>#N/A</v>
      </c>
      <c r="JW247" s="261" t="e">
        <f t="shared" si="218"/>
        <v>#N/A</v>
      </c>
      <c r="PS247" s="342">
        <v>233</v>
      </c>
      <c r="PT247" s="261" t="e">
        <f t="shared" si="219"/>
        <v>#N/A</v>
      </c>
      <c r="PU247" s="261" t="e">
        <f t="shared" si="220"/>
        <v>#N/A</v>
      </c>
    </row>
    <row r="248" spans="4:437" x14ac:dyDescent="0.5"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310"/>
      <c r="AQ248" s="310"/>
      <c r="AR248" s="310"/>
      <c r="AS248" s="310"/>
      <c r="AT248" s="310"/>
      <c r="AU248" s="310"/>
      <c r="AV248" s="310"/>
      <c r="AW248" s="310"/>
      <c r="AX248" s="310"/>
      <c r="AY248" s="310"/>
      <c r="AZ248" s="310"/>
      <c r="BA248" s="310"/>
      <c r="HK248" s="342">
        <v>234</v>
      </c>
      <c r="HL248" s="235" t="e">
        <f t="shared" si="195"/>
        <v>#N/A</v>
      </c>
      <c r="HM248" s="235" t="e">
        <f t="shared" si="196"/>
        <v>#N/A</v>
      </c>
      <c r="HP248" s="235" t="e">
        <f t="shared" si="197"/>
        <v>#N/A</v>
      </c>
      <c r="HQ248" s="235" t="e">
        <f t="shared" si="198"/>
        <v>#N/A</v>
      </c>
      <c r="HT248" s="235" t="e">
        <f t="shared" si="199"/>
        <v>#N/A</v>
      </c>
      <c r="HU248" s="235" t="e">
        <f t="shared" si="200"/>
        <v>#N/A</v>
      </c>
      <c r="HX248" s="235" t="e">
        <f t="shared" si="201"/>
        <v>#N/A</v>
      </c>
      <c r="HY248" s="235" t="e">
        <f t="shared" si="202"/>
        <v>#N/A</v>
      </c>
      <c r="IB248" s="235" t="e">
        <f t="shared" si="203"/>
        <v>#N/A</v>
      </c>
      <c r="IC248" s="235" t="e">
        <f t="shared" si="204"/>
        <v>#N/A</v>
      </c>
      <c r="IE248" s="342">
        <v>234</v>
      </c>
      <c r="IF248" s="262" t="e">
        <f t="shared" si="205"/>
        <v>#N/A</v>
      </c>
      <c r="IG248" s="262" t="e">
        <f t="shared" si="206"/>
        <v>#N/A</v>
      </c>
      <c r="IH248" s="379"/>
      <c r="II248" s="379"/>
      <c r="IJ248" s="262" t="e">
        <f t="shared" si="207"/>
        <v>#N/A</v>
      </c>
      <c r="IK248" s="262" t="e">
        <f t="shared" si="208"/>
        <v>#N/A</v>
      </c>
      <c r="IL248" s="379"/>
      <c r="IM248" s="379"/>
      <c r="IN248" s="262" t="e">
        <f t="shared" si="209"/>
        <v>#N/A</v>
      </c>
      <c r="IO248" s="262" t="e">
        <f t="shared" si="210"/>
        <v>#N/A</v>
      </c>
      <c r="IP248" s="379"/>
      <c r="IQ248" s="379"/>
      <c r="IR248" s="262" t="e">
        <f t="shared" si="211"/>
        <v>#N/A</v>
      </c>
      <c r="IS248" s="262" t="e">
        <f t="shared" si="212"/>
        <v>#N/A</v>
      </c>
      <c r="IT248" s="379"/>
      <c r="IU248" s="379"/>
      <c r="IV248" s="262" t="e">
        <f t="shared" si="213"/>
        <v>#N/A</v>
      </c>
      <c r="IW248" s="262" t="e">
        <f t="shared" si="214"/>
        <v>#N/A</v>
      </c>
      <c r="JN248" s="261" t="e">
        <f t="shared" si="215"/>
        <v>#N/A</v>
      </c>
      <c r="JO248" s="261" t="e">
        <f t="shared" si="216"/>
        <v>#N/A</v>
      </c>
      <c r="JR248" s="261" t="e">
        <f t="shared" si="221"/>
        <v>#N/A</v>
      </c>
      <c r="JS248" s="261" t="e">
        <f t="shared" si="222"/>
        <v>#N/A</v>
      </c>
      <c r="JV248" s="261" t="e">
        <f t="shared" si="217"/>
        <v>#N/A</v>
      </c>
      <c r="JW248" s="261" t="e">
        <f t="shared" si="218"/>
        <v>#N/A</v>
      </c>
      <c r="PS248" s="342">
        <v>234</v>
      </c>
      <c r="PT248" s="261" t="e">
        <f t="shared" si="219"/>
        <v>#N/A</v>
      </c>
      <c r="PU248" s="261" t="e">
        <f t="shared" si="220"/>
        <v>#N/A</v>
      </c>
    </row>
    <row r="249" spans="4:437" x14ac:dyDescent="0.5"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310"/>
      <c r="AQ249" s="310"/>
      <c r="AR249" s="310"/>
      <c r="AS249" s="310"/>
      <c r="AT249" s="310"/>
      <c r="AU249" s="310"/>
      <c r="AV249" s="310"/>
      <c r="AW249" s="310"/>
      <c r="AX249" s="310"/>
      <c r="AY249" s="310"/>
      <c r="AZ249" s="310"/>
      <c r="BA249" s="310"/>
      <c r="HK249" s="342">
        <v>235</v>
      </c>
      <c r="HL249" s="235" t="e">
        <f t="shared" si="195"/>
        <v>#N/A</v>
      </c>
      <c r="HM249" s="235" t="e">
        <f t="shared" si="196"/>
        <v>#N/A</v>
      </c>
      <c r="HP249" s="235" t="e">
        <f t="shared" si="197"/>
        <v>#N/A</v>
      </c>
      <c r="HQ249" s="235" t="e">
        <f t="shared" si="198"/>
        <v>#N/A</v>
      </c>
      <c r="HT249" s="235" t="e">
        <f t="shared" si="199"/>
        <v>#N/A</v>
      </c>
      <c r="HU249" s="235" t="e">
        <f t="shared" si="200"/>
        <v>#N/A</v>
      </c>
      <c r="HX249" s="235" t="e">
        <f t="shared" si="201"/>
        <v>#N/A</v>
      </c>
      <c r="HY249" s="235" t="e">
        <f t="shared" si="202"/>
        <v>#N/A</v>
      </c>
      <c r="IB249" s="235" t="e">
        <f t="shared" si="203"/>
        <v>#N/A</v>
      </c>
      <c r="IC249" s="235" t="e">
        <f t="shared" si="204"/>
        <v>#N/A</v>
      </c>
      <c r="IE249" s="342">
        <v>235</v>
      </c>
      <c r="IF249" s="262" t="e">
        <f t="shared" si="205"/>
        <v>#N/A</v>
      </c>
      <c r="IG249" s="262" t="e">
        <f t="shared" si="206"/>
        <v>#N/A</v>
      </c>
      <c r="IH249" s="379"/>
      <c r="II249" s="379"/>
      <c r="IJ249" s="262" t="e">
        <f t="shared" si="207"/>
        <v>#N/A</v>
      </c>
      <c r="IK249" s="262" t="e">
        <f t="shared" si="208"/>
        <v>#N/A</v>
      </c>
      <c r="IL249" s="379"/>
      <c r="IM249" s="379"/>
      <c r="IN249" s="262" t="e">
        <f t="shared" si="209"/>
        <v>#N/A</v>
      </c>
      <c r="IO249" s="262" t="e">
        <f t="shared" si="210"/>
        <v>#N/A</v>
      </c>
      <c r="IP249" s="379"/>
      <c r="IQ249" s="379"/>
      <c r="IR249" s="262" t="e">
        <f t="shared" si="211"/>
        <v>#N/A</v>
      </c>
      <c r="IS249" s="262" t="e">
        <f t="shared" si="212"/>
        <v>#N/A</v>
      </c>
      <c r="IT249" s="379"/>
      <c r="IU249" s="379"/>
      <c r="IV249" s="262" t="e">
        <f t="shared" si="213"/>
        <v>#N/A</v>
      </c>
      <c r="IW249" s="262" t="e">
        <f t="shared" si="214"/>
        <v>#N/A</v>
      </c>
      <c r="JN249" s="261" t="e">
        <f t="shared" si="215"/>
        <v>#N/A</v>
      </c>
      <c r="JO249" s="261" t="e">
        <f t="shared" si="216"/>
        <v>#N/A</v>
      </c>
      <c r="JR249" s="261" t="e">
        <f t="shared" si="221"/>
        <v>#N/A</v>
      </c>
      <c r="JS249" s="261" t="e">
        <f t="shared" si="222"/>
        <v>#N/A</v>
      </c>
      <c r="JV249" s="261" t="e">
        <f t="shared" si="217"/>
        <v>#N/A</v>
      </c>
      <c r="JW249" s="261" t="e">
        <f t="shared" si="218"/>
        <v>#N/A</v>
      </c>
      <c r="PS249" s="342">
        <v>235</v>
      </c>
      <c r="PT249" s="261" t="e">
        <f t="shared" si="219"/>
        <v>#N/A</v>
      </c>
      <c r="PU249" s="261" t="e">
        <f t="shared" si="220"/>
        <v>#N/A</v>
      </c>
    </row>
    <row r="250" spans="4:437" x14ac:dyDescent="0.5"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310"/>
      <c r="AQ250" s="310"/>
      <c r="AR250" s="310"/>
      <c r="AS250" s="310"/>
      <c r="AT250" s="310"/>
      <c r="AU250" s="310"/>
      <c r="AV250" s="310"/>
      <c r="AW250" s="310"/>
      <c r="AX250" s="310"/>
      <c r="AY250" s="310"/>
      <c r="AZ250" s="310"/>
      <c r="BA250" s="310"/>
      <c r="HK250" s="342">
        <v>236</v>
      </c>
      <c r="HL250" s="235" t="e">
        <f t="shared" si="195"/>
        <v>#N/A</v>
      </c>
      <c r="HM250" s="235" t="e">
        <f t="shared" si="196"/>
        <v>#N/A</v>
      </c>
      <c r="HP250" s="235" t="e">
        <f t="shared" si="197"/>
        <v>#N/A</v>
      </c>
      <c r="HQ250" s="235" t="e">
        <f t="shared" si="198"/>
        <v>#N/A</v>
      </c>
      <c r="HT250" s="235" t="e">
        <f t="shared" si="199"/>
        <v>#N/A</v>
      </c>
      <c r="HU250" s="235" t="e">
        <f t="shared" si="200"/>
        <v>#N/A</v>
      </c>
      <c r="HX250" s="235" t="e">
        <f t="shared" si="201"/>
        <v>#N/A</v>
      </c>
      <c r="HY250" s="235" t="e">
        <f t="shared" si="202"/>
        <v>#N/A</v>
      </c>
      <c r="IB250" s="235" t="e">
        <f t="shared" si="203"/>
        <v>#N/A</v>
      </c>
      <c r="IC250" s="235" t="e">
        <f t="shared" si="204"/>
        <v>#N/A</v>
      </c>
      <c r="IE250" s="342">
        <v>236</v>
      </c>
      <c r="IF250" s="262" t="e">
        <f t="shared" si="205"/>
        <v>#N/A</v>
      </c>
      <c r="IG250" s="262" t="e">
        <f t="shared" si="206"/>
        <v>#N/A</v>
      </c>
      <c r="IH250" s="379"/>
      <c r="II250" s="379"/>
      <c r="IJ250" s="262" t="e">
        <f t="shared" si="207"/>
        <v>#N/A</v>
      </c>
      <c r="IK250" s="262" t="e">
        <f t="shared" si="208"/>
        <v>#N/A</v>
      </c>
      <c r="IL250" s="379"/>
      <c r="IM250" s="379"/>
      <c r="IN250" s="262" t="e">
        <f t="shared" si="209"/>
        <v>#N/A</v>
      </c>
      <c r="IO250" s="262" t="e">
        <f t="shared" si="210"/>
        <v>#N/A</v>
      </c>
      <c r="IP250" s="379"/>
      <c r="IQ250" s="379"/>
      <c r="IR250" s="262" t="e">
        <f t="shared" si="211"/>
        <v>#N/A</v>
      </c>
      <c r="IS250" s="262" t="e">
        <f t="shared" si="212"/>
        <v>#N/A</v>
      </c>
      <c r="IT250" s="379"/>
      <c r="IU250" s="379"/>
      <c r="IV250" s="262" t="e">
        <f t="shared" si="213"/>
        <v>#N/A</v>
      </c>
      <c r="IW250" s="262" t="e">
        <f t="shared" si="214"/>
        <v>#N/A</v>
      </c>
      <c r="JN250" s="261" t="e">
        <f t="shared" si="215"/>
        <v>#N/A</v>
      </c>
      <c r="JO250" s="261" t="e">
        <f t="shared" si="216"/>
        <v>#N/A</v>
      </c>
      <c r="JR250" s="261" t="e">
        <f t="shared" si="221"/>
        <v>#N/A</v>
      </c>
      <c r="JS250" s="261" t="e">
        <f t="shared" si="222"/>
        <v>#N/A</v>
      </c>
      <c r="JV250" s="261" t="e">
        <f t="shared" si="217"/>
        <v>#N/A</v>
      </c>
      <c r="JW250" s="261" t="e">
        <f t="shared" si="218"/>
        <v>#N/A</v>
      </c>
      <c r="PS250" s="342">
        <v>236</v>
      </c>
      <c r="PT250" s="261" t="e">
        <f t="shared" si="219"/>
        <v>#N/A</v>
      </c>
      <c r="PU250" s="261" t="e">
        <f t="shared" si="220"/>
        <v>#N/A</v>
      </c>
    </row>
    <row r="251" spans="4:437" x14ac:dyDescent="0.5"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310"/>
      <c r="AQ251" s="310"/>
      <c r="AR251" s="310"/>
      <c r="AS251" s="310"/>
      <c r="AT251" s="310"/>
      <c r="AU251" s="310"/>
      <c r="AV251" s="310"/>
      <c r="AW251" s="310"/>
      <c r="AX251" s="310"/>
      <c r="AY251" s="310"/>
      <c r="AZ251" s="310"/>
      <c r="BA251" s="310"/>
      <c r="HK251" s="342">
        <v>237</v>
      </c>
      <c r="HL251" s="235" t="e">
        <f t="shared" si="195"/>
        <v>#N/A</v>
      </c>
      <c r="HM251" s="235" t="e">
        <f t="shared" si="196"/>
        <v>#N/A</v>
      </c>
      <c r="HP251" s="235" t="e">
        <f t="shared" si="197"/>
        <v>#N/A</v>
      </c>
      <c r="HQ251" s="235" t="e">
        <f t="shared" si="198"/>
        <v>#N/A</v>
      </c>
      <c r="HT251" s="235" t="e">
        <f t="shared" si="199"/>
        <v>#N/A</v>
      </c>
      <c r="HU251" s="235" t="e">
        <f t="shared" si="200"/>
        <v>#N/A</v>
      </c>
      <c r="HX251" s="235" t="e">
        <f t="shared" si="201"/>
        <v>#N/A</v>
      </c>
      <c r="HY251" s="235" t="e">
        <f t="shared" si="202"/>
        <v>#N/A</v>
      </c>
      <c r="IB251" s="235" t="e">
        <f t="shared" si="203"/>
        <v>#N/A</v>
      </c>
      <c r="IC251" s="235" t="e">
        <f t="shared" si="204"/>
        <v>#N/A</v>
      </c>
      <c r="IE251" s="342">
        <v>237</v>
      </c>
      <c r="IF251" s="262" t="e">
        <f t="shared" si="205"/>
        <v>#N/A</v>
      </c>
      <c r="IG251" s="262" t="e">
        <f t="shared" si="206"/>
        <v>#N/A</v>
      </c>
      <c r="IH251" s="379"/>
      <c r="II251" s="379"/>
      <c r="IJ251" s="262" t="e">
        <f t="shared" si="207"/>
        <v>#N/A</v>
      </c>
      <c r="IK251" s="262" t="e">
        <f t="shared" si="208"/>
        <v>#N/A</v>
      </c>
      <c r="IL251" s="379"/>
      <c r="IM251" s="379"/>
      <c r="IN251" s="262" t="e">
        <f t="shared" si="209"/>
        <v>#N/A</v>
      </c>
      <c r="IO251" s="262" t="e">
        <f t="shared" si="210"/>
        <v>#N/A</v>
      </c>
      <c r="IP251" s="379"/>
      <c r="IQ251" s="379"/>
      <c r="IR251" s="262" t="e">
        <f t="shared" si="211"/>
        <v>#N/A</v>
      </c>
      <c r="IS251" s="262" t="e">
        <f t="shared" si="212"/>
        <v>#N/A</v>
      </c>
      <c r="IT251" s="379"/>
      <c r="IU251" s="379"/>
      <c r="IV251" s="262" t="e">
        <f t="shared" si="213"/>
        <v>#N/A</v>
      </c>
      <c r="IW251" s="262" t="e">
        <f t="shared" si="214"/>
        <v>#N/A</v>
      </c>
      <c r="JN251" s="261" t="e">
        <f t="shared" si="215"/>
        <v>#N/A</v>
      </c>
      <c r="JO251" s="261" t="e">
        <f t="shared" si="216"/>
        <v>#N/A</v>
      </c>
      <c r="JR251" s="261" t="e">
        <f t="shared" si="221"/>
        <v>#N/A</v>
      </c>
      <c r="JS251" s="261" t="e">
        <f t="shared" si="222"/>
        <v>#N/A</v>
      </c>
      <c r="JV251" s="261" t="e">
        <f t="shared" si="217"/>
        <v>#N/A</v>
      </c>
      <c r="JW251" s="261" t="e">
        <f t="shared" si="218"/>
        <v>#N/A</v>
      </c>
      <c r="PS251" s="342">
        <v>237</v>
      </c>
      <c r="PT251" s="261" t="e">
        <f t="shared" si="219"/>
        <v>#N/A</v>
      </c>
      <c r="PU251" s="261" t="e">
        <f t="shared" si="220"/>
        <v>#N/A</v>
      </c>
    </row>
    <row r="252" spans="4:437" x14ac:dyDescent="0.5"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310"/>
      <c r="AQ252" s="310"/>
      <c r="AR252" s="310"/>
      <c r="AS252" s="310"/>
      <c r="AT252" s="310"/>
      <c r="AU252" s="310"/>
      <c r="AV252" s="310"/>
      <c r="AW252" s="310"/>
      <c r="AX252" s="310"/>
      <c r="AY252" s="310"/>
      <c r="AZ252" s="310"/>
      <c r="BA252" s="310"/>
      <c r="HK252" s="342">
        <v>238</v>
      </c>
      <c r="HL252" s="235" t="e">
        <f t="shared" si="195"/>
        <v>#N/A</v>
      </c>
      <c r="HM252" s="235" t="e">
        <f t="shared" si="196"/>
        <v>#N/A</v>
      </c>
      <c r="HP252" s="235" t="e">
        <f t="shared" si="197"/>
        <v>#N/A</v>
      </c>
      <c r="HQ252" s="235" t="e">
        <f t="shared" si="198"/>
        <v>#N/A</v>
      </c>
      <c r="HT252" s="235" t="e">
        <f t="shared" si="199"/>
        <v>#N/A</v>
      </c>
      <c r="HU252" s="235" t="e">
        <f t="shared" si="200"/>
        <v>#N/A</v>
      </c>
      <c r="HX252" s="235" t="e">
        <f t="shared" si="201"/>
        <v>#N/A</v>
      </c>
      <c r="HY252" s="235" t="e">
        <f t="shared" si="202"/>
        <v>#N/A</v>
      </c>
      <c r="IB252" s="235" t="e">
        <f t="shared" si="203"/>
        <v>#N/A</v>
      </c>
      <c r="IC252" s="235" t="e">
        <f t="shared" si="204"/>
        <v>#N/A</v>
      </c>
      <c r="IE252" s="342">
        <v>238</v>
      </c>
      <c r="IF252" s="262" t="e">
        <f t="shared" si="205"/>
        <v>#N/A</v>
      </c>
      <c r="IG252" s="262" t="e">
        <f t="shared" si="206"/>
        <v>#N/A</v>
      </c>
      <c r="IH252" s="379"/>
      <c r="II252" s="379"/>
      <c r="IJ252" s="262" t="e">
        <f t="shared" si="207"/>
        <v>#N/A</v>
      </c>
      <c r="IK252" s="262" t="e">
        <f t="shared" si="208"/>
        <v>#N/A</v>
      </c>
      <c r="IL252" s="379"/>
      <c r="IM252" s="379"/>
      <c r="IN252" s="262" t="e">
        <f t="shared" si="209"/>
        <v>#N/A</v>
      </c>
      <c r="IO252" s="262" t="e">
        <f t="shared" si="210"/>
        <v>#N/A</v>
      </c>
      <c r="IP252" s="379"/>
      <c r="IQ252" s="379"/>
      <c r="IR252" s="262" t="e">
        <f t="shared" si="211"/>
        <v>#N/A</v>
      </c>
      <c r="IS252" s="262" t="e">
        <f t="shared" si="212"/>
        <v>#N/A</v>
      </c>
      <c r="IT252" s="379"/>
      <c r="IU252" s="379"/>
      <c r="IV252" s="262" t="e">
        <f t="shared" si="213"/>
        <v>#N/A</v>
      </c>
      <c r="IW252" s="262" t="e">
        <f t="shared" si="214"/>
        <v>#N/A</v>
      </c>
      <c r="JN252" s="261" t="e">
        <f t="shared" si="215"/>
        <v>#N/A</v>
      </c>
      <c r="JO252" s="261" t="e">
        <f t="shared" si="216"/>
        <v>#N/A</v>
      </c>
      <c r="JR252" s="261" t="e">
        <f t="shared" si="221"/>
        <v>#N/A</v>
      </c>
      <c r="JS252" s="261" t="e">
        <f t="shared" si="222"/>
        <v>#N/A</v>
      </c>
      <c r="JV252" s="261" t="e">
        <f t="shared" si="217"/>
        <v>#N/A</v>
      </c>
      <c r="JW252" s="261" t="e">
        <f t="shared" si="218"/>
        <v>#N/A</v>
      </c>
      <c r="PS252" s="342">
        <v>238</v>
      </c>
      <c r="PT252" s="261" t="e">
        <f t="shared" si="219"/>
        <v>#N/A</v>
      </c>
      <c r="PU252" s="261" t="e">
        <f t="shared" si="220"/>
        <v>#N/A</v>
      </c>
    </row>
    <row r="253" spans="4:437" x14ac:dyDescent="0.5"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310"/>
      <c r="AQ253" s="310"/>
      <c r="AR253" s="310"/>
      <c r="AS253" s="310"/>
      <c r="AT253" s="310"/>
      <c r="AU253" s="310"/>
      <c r="AV253" s="310"/>
      <c r="AW253" s="310"/>
      <c r="AX253" s="310"/>
      <c r="AY253" s="310"/>
      <c r="AZ253" s="310"/>
      <c r="BA253" s="310"/>
      <c r="HK253" s="342">
        <v>239</v>
      </c>
      <c r="HL253" s="235" t="e">
        <f t="shared" si="195"/>
        <v>#N/A</v>
      </c>
      <c r="HM253" s="235" t="e">
        <f t="shared" si="196"/>
        <v>#N/A</v>
      </c>
      <c r="HP253" s="235" t="e">
        <f t="shared" si="197"/>
        <v>#N/A</v>
      </c>
      <c r="HQ253" s="235" t="e">
        <f t="shared" si="198"/>
        <v>#N/A</v>
      </c>
      <c r="HT253" s="235" t="e">
        <f t="shared" si="199"/>
        <v>#N/A</v>
      </c>
      <c r="HU253" s="235" t="e">
        <f t="shared" si="200"/>
        <v>#N/A</v>
      </c>
      <c r="HX253" s="235" t="e">
        <f t="shared" si="201"/>
        <v>#N/A</v>
      </c>
      <c r="HY253" s="235" t="e">
        <f t="shared" si="202"/>
        <v>#N/A</v>
      </c>
      <c r="IB253" s="235" t="e">
        <f t="shared" si="203"/>
        <v>#N/A</v>
      </c>
      <c r="IC253" s="235" t="e">
        <f t="shared" si="204"/>
        <v>#N/A</v>
      </c>
      <c r="IE253" s="342">
        <v>239</v>
      </c>
      <c r="IF253" s="262" t="e">
        <f t="shared" si="205"/>
        <v>#N/A</v>
      </c>
      <c r="IG253" s="262" t="e">
        <f t="shared" si="206"/>
        <v>#N/A</v>
      </c>
      <c r="IH253" s="379"/>
      <c r="II253" s="379"/>
      <c r="IJ253" s="262" t="e">
        <f t="shared" si="207"/>
        <v>#N/A</v>
      </c>
      <c r="IK253" s="262" t="e">
        <f t="shared" si="208"/>
        <v>#N/A</v>
      </c>
      <c r="IL253" s="379"/>
      <c r="IM253" s="379"/>
      <c r="IN253" s="262" t="e">
        <f t="shared" si="209"/>
        <v>#N/A</v>
      </c>
      <c r="IO253" s="262" t="e">
        <f t="shared" si="210"/>
        <v>#N/A</v>
      </c>
      <c r="IP253" s="379"/>
      <c r="IQ253" s="379"/>
      <c r="IR253" s="262" t="e">
        <f t="shared" si="211"/>
        <v>#N/A</v>
      </c>
      <c r="IS253" s="262" t="e">
        <f t="shared" si="212"/>
        <v>#N/A</v>
      </c>
      <c r="IT253" s="379"/>
      <c r="IU253" s="379"/>
      <c r="IV253" s="262" t="e">
        <f t="shared" si="213"/>
        <v>#N/A</v>
      </c>
      <c r="IW253" s="262" t="e">
        <f t="shared" si="214"/>
        <v>#N/A</v>
      </c>
      <c r="JN253" s="261" t="e">
        <f t="shared" si="215"/>
        <v>#N/A</v>
      </c>
      <c r="JO253" s="261" t="e">
        <f t="shared" si="216"/>
        <v>#N/A</v>
      </c>
      <c r="JR253" s="261" t="e">
        <f t="shared" si="221"/>
        <v>#N/A</v>
      </c>
      <c r="JS253" s="261" t="e">
        <f t="shared" si="222"/>
        <v>#N/A</v>
      </c>
      <c r="JV253" s="261" t="e">
        <f t="shared" si="217"/>
        <v>#N/A</v>
      </c>
      <c r="JW253" s="261" t="e">
        <f t="shared" si="218"/>
        <v>#N/A</v>
      </c>
      <c r="PS253" s="342">
        <v>239</v>
      </c>
      <c r="PT253" s="261" t="e">
        <f t="shared" si="219"/>
        <v>#N/A</v>
      </c>
      <c r="PU253" s="261" t="e">
        <f t="shared" si="220"/>
        <v>#N/A</v>
      </c>
    </row>
    <row r="254" spans="4:437" x14ac:dyDescent="0.5"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310"/>
      <c r="AQ254" s="310"/>
      <c r="AR254" s="310"/>
      <c r="AS254" s="310"/>
      <c r="AT254" s="310"/>
      <c r="AU254" s="310"/>
      <c r="AV254" s="310"/>
      <c r="AW254" s="310"/>
      <c r="AX254" s="310"/>
      <c r="AY254" s="310"/>
      <c r="AZ254" s="310"/>
      <c r="BA254" s="310"/>
      <c r="HK254" s="342">
        <v>240</v>
      </c>
      <c r="HL254" s="235" t="e">
        <f t="shared" si="195"/>
        <v>#N/A</v>
      </c>
      <c r="HM254" s="235" t="e">
        <f t="shared" si="196"/>
        <v>#N/A</v>
      </c>
      <c r="HP254" s="235" t="e">
        <f t="shared" si="197"/>
        <v>#N/A</v>
      </c>
      <c r="HQ254" s="235" t="e">
        <f t="shared" si="198"/>
        <v>#N/A</v>
      </c>
      <c r="HT254" s="235" t="e">
        <f t="shared" si="199"/>
        <v>#N/A</v>
      </c>
      <c r="HU254" s="235" t="e">
        <f t="shared" si="200"/>
        <v>#N/A</v>
      </c>
      <c r="HX254" s="235" t="e">
        <f t="shared" si="201"/>
        <v>#N/A</v>
      </c>
      <c r="HY254" s="235" t="e">
        <f t="shared" si="202"/>
        <v>#N/A</v>
      </c>
      <c r="IB254" s="235" t="e">
        <f t="shared" si="203"/>
        <v>#N/A</v>
      </c>
      <c r="IC254" s="235" t="e">
        <f t="shared" si="204"/>
        <v>#N/A</v>
      </c>
      <c r="IE254" s="342">
        <v>240</v>
      </c>
      <c r="IF254" s="262" t="e">
        <f t="shared" si="205"/>
        <v>#N/A</v>
      </c>
      <c r="IG254" s="262" t="e">
        <f t="shared" si="206"/>
        <v>#N/A</v>
      </c>
      <c r="IH254" s="379"/>
      <c r="II254" s="379"/>
      <c r="IJ254" s="262" t="e">
        <f t="shared" si="207"/>
        <v>#N/A</v>
      </c>
      <c r="IK254" s="262" t="e">
        <f t="shared" si="208"/>
        <v>#N/A</v>
      </c>
      <c r="IL254" s="379"/>
      <c r="IM254" s="379"/>
      <c r="IN254" s="262" t="e">
        <f t="shared" si="209"/>
        <v>#N/A</v>
      </c>
      <c r="IO254" s="262" t="e">
        <f t="shared" si="210"/>
        <v>#N/A</v>
      </c>
      <c r="IP254" s="379"/>
      <c r="IQ254" s="379"/>
      <c r="IR254" s="262" t="e">
        <f t="shared" si="211"/>
        <v>#N/A</v>
      </c>
      <c r="IS254" s="262" t="e">
        <f t="shared" si="212"/>
        <v>#N/A</v>
      </c>
      <c r="IT254" s="379"/>
      <c r="IU254" s="379"/>
      <c r="IV254" s="262" t="e">
        <f t="shared" si="213"/>
        <v>#N/A</v>
      </c>
      <c r="IW254" s="262" t="e">
        <f t="shared" si="214"/>
        <v>#N/A</v>
      </c>
      <c r="JN254" s="261" t="e">
        <f t="shared" si="215"/>
        <v>#N/A</v>
      </c>
      <c r="JO254" s="261" t="e">
        <f t="shared" si="216"/>
        <v>#N/A</v>
      </c>
      <c r="JR254" s="261" t="e">
        <f t="shared" si="221"/>
        <v>#N/A</v>
      </c>
      <c r="JS254" s="261" t="e">
        <f t="shared" si="222"/>
        <v>#N/A</v>
      </c>
      <c r="JV254" s="261" t="e">
        <f t="shared" si="217"/>
        <v>#N/A</v>
      </c>
      <c r="JW254" s="261" t="e">
        <f t="shared" si="218"/>
        <v>#N/A</v>
      </c>
      <c r="PS254" s="342">
        <v>240</v>
      </c>
      <c r="PT254" s="261" t="e">
        <f t="shared" si="219"/>
        <v>#N/A</v>
      </c>
      <c r="PU254" s="261" t="e">
        <f t="shared" si="220"/>
        <v>#N/A</v>
      </c>
    </row>
    <row r="255" spans="4:437" x14ac:dyDescent="0.5"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310"/>
      <c r="AQ255" s="310"/>
      <c r="AR255" s="310"/>
      <c r="AS255" s="310"/>
      <c r="AT255" s="310"/>
      <c r="AU255" s="310"/>
      <c r="AV255" s="310"/>
      <c r="AW255" s="310"/>
      <c r="AX255" s="310"/>
      <c r="AY255" s="310"/>
      <c r="AZ255" s="310"/>
      <c r="BA255" s="310"/>
      <c r="HK255" s="342">
        <v>241</v>
      </c>
      <c r="HL255" s="235" t="e">
        <f t="shared" si="195"/>
        <v>#N/A</v>
      </c>
      <c r="HM255" s="235" t="e">
        <f t="shared" si="196"/>
        <v>#N/A</v>
      </c>
      <c r="HP255" s="235" t="e">
        <f t="shared" si="197"/>
        <v>#N/A</v>
      </c>
      <c r="HQ255" s="235" t="e">
        <f t="shared" si="198"/>
        <v>#N/A</v>
      </c>
      <c r="HT255" s="235" t="e">
        <f t="shared" si="199"/>
        <v>#N/A</v>
      </c>
      <c r="HU255" s="235" t="e">
        <f t="shared" si="200"/>
        <v>#N/A</v>
      </c>
      <c r="HX255" s="235" t="e">
        <f t="shared" si="201"/>
        <v>#N/A</v>
      </c>
      <c r="HY255" s="235" t="e">
        <f t="shared" si="202"/>
        <v>#N/A</v>
      </c>
      <c r="IB255" s="235" t="e">
        <f t="shared" si="203"/>
        <v>#N/A</v>
      </c>
      <c r="IC255" s="235" t="e">
        <f t="shared" si="204"/>
        <v>#N/A</v>
      </c>
      <c r="IE255" s="342">
        <v>241</v>
      </c>
      <c r="IF255" s="262" t="e">
        <f t="shared" si="205"/>
        <v>#N/A</v>
      </c>
      <c r="IG255" s="262" t="e">
        <f t="shared" si="206"/>
        <v>#N/A</v>
      </c>
      <c r="IH255" s="379"/>
      <c r="II255" s="379"/>
      <c r="IJ255" s="262" t="e">
        <f t="shared" si="207"/>
        <v>#N/A</v>
      </c>
      <c r="IK255" s="262" t="e">
        <f t="shared" si="208"/>
        <v>#N/A</v>
      </c>
      <c r="IL255" s="379"/>
      <c r="IM255" s="379"/>
      <c r="IN255" s="262" t="e">
        <f t="shared" si="209"/>
        <v>#N/A</v>
      </c>
      <c r="IO255" s="262" t="e">
        <f t="shared" si="210"/>
        <v>#N/A</v>
      </c>
      <c r="IP255" s="379"/>
      <c r="IQ255" s="379"/>
      <c r="IR255" s="262" t="e">
        <f t="shared" si="211"/>
        <v>#N/A</v>
      </c>
      <c r="IS255" s="262" t="e">
        <f t="shared" si="212"/>
        <v>#N/A</v>
      </c>
      <c r="IT255" s="379"/>
      <c r="IU255" s="379"/>
      <c r="IV255" s="262" t="e">
        <f t="shared" si="213"/>
        <v>#N/A</v>
      </c>
      <c r="IW255" s="262" t="e">
        <f t="shared" si="214"/>
        <v>#N/A</v>
      </c>
      <c r="JN255" s="261" t="e">
        <f t="shared" si="215"/>
        <v>#N/A</v>
      </c>
      <c r="JO255" s="261" t="e">
        <f t="shared" si="216"/>
        <v>#N/A</v>
      </c>
      <c r="JR255" s="261" t="e">
        <f t="shared" si="221"/>
        <v>#N/A</v>
      </c>
      <c r="JS255" s="261" t="e">
        <f t="shared" si="222"/>
        <v>#N/A</v>
      </c>
      <c r="JV255" s="261" t="e">
        <f t="shared" si="217"/>
        <v>#N/A</v>
      </c>
      <c r="JW255" s="261" t="e">
        <f t="shared" si="218"/>
        <v>#N/A</v>
      </c>
      <c r="PS255" s="342">
        <v>241</v>
      </c>
      <c r="PT255" s="261" t="e">
        <f t="shared" si="219"/>
        <v>#N/A</v>
      </c>
      <c r="PU255" s="261" t="e">
        <f t="shared" si="220"/>
        <v>#N/A</v>
      </c>
    </row>
    <row r="256" spans="4:437" x14ac:dyDescent="0.5"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310"/>
      <c r="AQ256" s="310"/>
      <c r="AR256" s="310"/>
      <c r="AS256" s="310"/>
      <c r="AT256" s="310"/>
      <c r="AU256" s="310"/>
      <c r="AV256" s="310"/>
      <c r="AW256" s="310"/>
      <c r="AX256" s="310"/>
      <c r="AY256" s="310"/>
      <c r="AZ256" s="310"/>
      <c r="BA256" s="310"/>
      <c r="HK256" s="342">
        <v>242</v>
      </c>
      <c r="HL256" s="235" t="e">
        <f t="shared" si="195"/>
        <v>#N/A</v>
      </c>
      <c r="HM256" s="235" t="e">
        <f t="shared" si="196"/>
        <v>#N/A</v>
      </c>
      <c r="HP256" s="235" t="e">
        <f t="shared" si="197"/>
        <v>#N/A</v>
      </c>
      <c r="HQ256" s="235" t="e">
        <f t="shared" si="198"/>
        <v>#N/A</v>
      </c>
      <c r="HT256" s="235" t="e">
        <f t="shared" si="199"/>
        <v>#N/A</v>
      </c>
      <c r="HU256" s="235" t="e">
        <f t="shared" si="200"/>
        <v>#N/A</v>
      </c>
      <c r="HX256" s="235" t="e">
        <f t="shared" si="201"/>
        <v>#N/A</v>
      </c>
      <c r="HY256" s="235" t="e">
        <f t="shared" si="202"/>
        <v>#N/A</v>
      </c>
      <c r="IB256" s="235" t="e">
        <f t="shared" si="203"/>
        <v>#N/A</v>
      </c>
      <c r="IC256" s="235" t="e">
        <f t="shared" si="204"/>
        <v>#N/A</v>
      </c>
      <c r="IE256" s="342">
        <v>242</v>
      </c>
      <c r="IF256" s="262" t="e">
        <f t="shared" si="205"/>
        <v>#N/A</v>
      </c>
      <c r="IG256" s="262" t="e">
        <f t="shared" si="206"/>
        <v>#N/A</v>
      </c>
      <c r="IH256" s="379"/>
      <c r="II256" s="379"/>
      <c r="IJ256" s="262" t="e">
        <f t="shared" si="207"/>
        <v>#N/A</v>
      </c>
      <c r="IK256" s="262" t="e">
        <f t="shared" si="208"/>
        <v>#N/A</v>
      </c>
      <c r="IL256" s="379"/>
      <c r="IM256" s="379"/>
      <c r="IN256" s="262" t="e">
        <f t="shared" si="209"/>
        <v>#N/A</v>
      </c>
      <c r="IO256" s="262" t="e">
        <f t="shared" si="210"/>
        <v>#N/A</v>
      </c>
      <c r="IP256" s="379"/>
      <c r="IQ256" s="379"/>
      <c r="IR256" s="262" t="e">
        <f t="shared" si="211"/>
        <v>#N/A</v>
      </c>
      <c r="IS256" s="262" t="e">
        <f t="shared" si="212"/>
        <v>#N/A</v>
      </c>
      <c r="IT256" s="379"/>
      <c r="IU256" s="379"/>
      <c r="IV256" s="262" t="e">
        <f t="shared" si="213"/>
        <v>#N/A</v>
      </c>
      <c r="IW256" s="262" t="e">
        <f t="shared" si="214"/>
        <v>#N/A</v>
      </c>
      <c r="JN256" s="261" t="e">
        <f t="shared" si="215"/>
        <v>#N/A</v>
      </c>
      <c r="JO256" s="261" t="e">
        <f t="shared" si="216"/>
        <v>#N/A</v>
      </c>
      <c r="JR256" s="261" t="e">
        <f t="shared" si="221"/>
        <v>#N/A</v>
      </c>
      <c r="JS256" s="261" t="e">
        <f t="shared" si="222"/>
        <v>#N/A</v>
      </c>
      <c r="JV256" s="261" t="e">
        <f t="shared" si="217"/>
        <v>#N/A</v>
      </c>
      <c r="JW256" s="261" t="e">
        <f t="shared" si="218"/>
        <v>#N/A</v>
      </c>
      <c r="PS256" s="342">
        <v>242</v>
      </c>
      <c r="PT256" s="261" t="e">
        <f t="shared" si="219"/>
        <v>#N/A</v>
      </c>
      <c r="PU256" s="261" t="e">
        <f t="shared" si="220"/>
        <v>#N/A</v>
      </c>
    </row>
    <row r="257" spans="4:437" x14ac:dyDescent="0.5"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310"/>
      <c r="AQ257" s="310"/>
      <c r="AR257" s="310"/>
      <c r="AS257" s="310"/>
      <c r="AT257" s="310"/>
      <c r="AU257" s="310"/>
      <c r="AV257" s="310"/>
      <c r="AW257" s="310"/>
      <c r="AX257" s="310"/>
      <c r="AY257" s="310"/>
      <c r="AZ257" s="310"/>
      <c r="BA257" s="310"/>
      <c r="HK257" s="342">
        <v>243</v>
      </c>
      <c r="HL257" s="235" t="e">
        <f t="shared" si="195"/>
        <v>#N/A</v>
      </c>
      <c r="HM257" s="235" t="e">
        <f t="shared" si="196"/>
        <v>#N/A</v>
      </c>
      <c r="HP257" s="235" t="e">
        <f t="shared" si="197"/>
        <v>#N/A</v>
      </c>
      <c r="HQ257" s="235" t="e">
        <f t="shared" si="198"/>
        <v>#N/A</v>
      </c>
      <c r="HT257" s="235" t="e">
        <f t="shared" si="199"/>
        <v>#N/A</v>
      </c>
      <c r="HU257" s="235" t="e">
        <f t="shared" si="200"/>
        <v>#N/A</v>
      </c>
      <c r="HX257" s="235" t="e">
        <f t="shared" si="201"/>
        <v>#N/A</v>
      </c>
      <c r="HY257" s="235" t="e">
        <f t="shared" si="202"/>
        <v>#N/A</v>
      </c>
      <c r="IB257" s="235" t="e">
        <f t="shared" si="203"/>
        <v>#N/A</v>
      </c>
      <c r="IC257" s="235" t="e">
        <f t="shared" si="204"/>
        <v>#N/A</v>
      </c>
      <c r="IE257" s="342">
        <v>243</v>
      </c>
      <c r="IF257" s="262" t="e">
        <f t="shared" si="205"/>
        <v>#N/A</v>
      </c>
      <c r="IG257" s="262" t="e">
        <f t="shared" si="206"/>
        <v>#N/A</v>
      </c>
      <c r="IH257" s="379"/>
      <c r="II257" s="379"/>
      <c r="IJ257" s="262" t="e">
        <f t="shared" si="207"/>
        <v>#N/A</v>
      </c>
      <c r="IK257" s="262" t="e">
        <f t="shared" si="208"/>
        <v>#N/A</v>
      </c>
      <c r="IL257" s="379"/>
      <c r="IM257" s="379"/>
      <c r="IN257" s="262" t="e">
        <f t="shared" si="209"/>
        <v>#N/A</v>
      </c>
      <c r="IO257" s="262" t="e">
        <f t="shared" si="210"/>
        <v>#N/A</v>
      </c>
      <c r="IP257" s="379"/>
      <c r="IQ257" s="379"/>
      <c r="IR257" s="262" t="e">
        <f t="shared" si="211"/>
        <v>#N/A</v>
      </c>
      <c r="IS257" s="262" t="e">
        <f t="shared" si="212"/>
        <v>#N/A</v>
      </c>
      <c r="IT257" s="379"/>
      <c r="IU257" s="379"/>
      <c r="IV257" s="262" t="e">
        <f t="shared" si="213"/>
        <v>#N/A</v>
      </c>
      <c r="IW257" s="262" t="e">
        <f t="shared" si="214"/>
        <v>#N/A</v>
      </c>
      <c r="JN257" s="261" t="e">
        <f t="shared" si="215"/>
        <v>#N/A</v>
      </c>
      <c r="JO257" s="261" t="e">
        <f t="shared" si="216"/>
        <v>#N/A</v>
      </c>
      <c r="JR257" s="261" t="e">
        <f t="shared" si="221"/>
        <v>#N/A</v>
      </c>
      <c r="JS257" s="261" t="e">
        <f t="shared" si="222"/>
        <v>#N/A</v>
      </c>
      <c r="JV257" s="261" t="e">
        <f t="shared" si="217"/>
        <v>#N/A</v>
      </c>
      <c r="JW257" s="261" t="e">
        <f t="shared" si="218"/>
        <v>#N/A</v>
      </c>
      <c r="PS257" s="342">
        <v>243</v>
      </c>
      <c r="PT257" s="261" t="e">
        <f t="shared" si="219"/>
        <v>#N/A</v>
      </c>
      <c r="PU257" s="261" t="e">
        <f t="shared" si="220"/>
        <v>#N/A</v>
      </c>
    </row>
    <row r="258" spans="4:437" x14ac:dyDescent="0.5"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310"/>
      <c r="AQ258" s="310"/>
      <c r="AR258" s="310"/>
      <c r="AS258" s="310"/>
      <c r="AT258" s="310"/>
      <c r="AU258" s="310"/>
      <c r="AV258" s="310"/>
      <c r="AW258" s="310"/>
      <c r="AX258" s="310"/>
      <c r="AY258" s="310"/>
      <c r="AZ258" s="310"/>
      <c r="BA258" s="310"/>
      <c r="HK258" s="342">
        <v>244</v>
      </c>
      <c r="HL258" s="235" t="e">
        <f t="shared" si="195"/>
        <v>#N/A</v>
      </c>
      <c r="HM258" s="235" t="e">
        <f t="shared" si="196"/>
        <v>#N/A</v>
      </c>
      <c r="HP258" s="235" t="e">
        <f t="shared" si="197"/>
        <v>#N/A</v>
      </c>
      <c r="HQ258" s="235" t="e">
        <f t="shared" si="198"/>
        <v>#N/A</v>
      </c>
      <c r="HT258" s="235" t="e">
        <f t="shared" si="199"/>
        <v>#N/A</v>
      </c>
      <c r="HU258" s="235" t="e">
        <f t="shared" si="200"/>
        <v>#N/A</v>
      </c>
      <c r="HX258" s="235" t="e">
        <f t="shared" si="201"/>
        <v>#N/A</v>
      </c>
      <c r="HY258" s="235" t="e">
        <f t="shared" si="202"/>
        <v>#N/A</v>
      </c>
      <c r="IB258" s="235" t="e">
        <f t="shared" si="203"/>
        <v>#N/A</v>
      </c>
      <c r="IC258" s="235" t="e">
        <f t="shared" si="204"/>
        <v>#N/A</v>
      </c>
      <c r="IE258" s="342">
        <v>244</v>
      </c>
      <c r="IF258" s="262" t="e">
        <f t="shared" si="205"/>
        <v>#N/A</v>
      </c>
      <c r="IG258" s="262" t="e">
        <f t="shared" si="206"/>
        <v>#N/A</v>
      </c>
      <c r="IH258" s="379"/>
      <c r="II258" s="379"/>
      <c r="IJ258" s="262" t="e">
        <f t="shared" si="207"/>
        <v>#N/A</v>
      </c>
      <c r="IK258" s="262" t="e">
        <f t="shared" si="208"/>
        <v>#N/A</v>
      </c>
      <c r="IL258" s="379"/>
      <c r="IM258" s="379"/>
      <c r="IN258" s="262" t="e">
        <f t="shared" si="209"/>
        <v>#N/A</v>
      </c>
      <c r="IO258" s="262" t="e">
        <f t="shared" si="210"/>
        <v>#N/A</v>
      </c>
      <c r="IP258" s="379"/>
      <c r="IQ258" s="379"/>
      <c r="IR258" s="262" t="e">
        <f t="shared" si="211"/>
        <v>#N/A</v>
      </c>
      <c r="IS258" s="262" t="e">
        <f t="shared" si="212"/>
        <v>#N/A</v>
      </c>
      <c r="IT258" s="379"/>
      <c r="IU258" s="379"/>
      <c r="IV258" s="262" t="e">
        <f t="shared" si="213"/>
        <v>#N/A</v>
      </c>
      <c r="IW258" s="262" t="e">
        <f t="shared" si="214"/>
        <v>#N/A</v>
      </c>
      <c r="JN258" s="261" t="e">
        <f t="shared" si="215"/>
        <v>#N/A</v>
      </c>
      <c r="JO258" s="261" t="e">
        <f t="shared" si="216"/>
        <v>#N/A</v>
      </c>
      <c r="JR258" s="261" t="e">
        <f t="shared" si="221"/>
        <v>#N/A</v>
      </c>
      <c r="JS258" s="261" t="e">
        <f t="shared" si="222"/>
        <v>#N/A</v>
      </c>
      <c r="JV258" s="261" t="e">
        <f t="shared" si="217"/>
        <v>#N/A</v>
      </c>
      <c r="JW258" s="261" t="e">
        <f t="shared" si="218"/>
        <v>#N/A</v>
      </c>
      <c r="PS258" s="342">
        <v>244</v>
      </c>
      <c r="PT258" s="261" t="e">
        <f t="shared" si="219"/>
        <v>#N/A</v>
      </c>
      <c r="PU258" s="261" t="e">
        <f t="shared" si="220"/>
        <v>#N/A</v>
      </c>
    </row>
    <row r="259" spans="4:437" x14ac:dyDescent="0.5"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310"/>
      <c r="AQ259" s="310"/>
      <c r="AR259" s="310"/>
      <c r="AS259" s="310"/>
      <c r="AT259" s="310"/>
      <c r="AU259" s="310"/>
      <c r="AV259" s="310"/>
      <c r="AW259" s="310"/>
      <c r="AX259" s="310"/>
      <c r="AY259" s="310"/>
      <c r="AZ259" s="310"/>
      <c r="BA259" s="310"/>
      <c r="HK259" s="342">
        <v>245</v>
      </c>
      <c r="HL259" s="235" t="e">
        <f t="shared" si="195"/>
        <v>#N/A</v>
      </c>
      <c r="HM259" s="235" t="e">
        <f t="shared" si="196"/>
        <v>#N/A</v>
      </c>
      <c r="HP259" s="235" t="e">
        <f t="shared" si="197"/>
        <v>#N/A</v>
      </c>
      <c r="HQ259" s="235" t="e">
        <f t="shared" si="198"/>
        <v>#N/A</v>
      </c>
      <c r="HT259" s="235" t="e">
        <f t="shared" si="199"/>
        <v>#N/A</v>
      </c>
      <c r="HU259" s="235" t="e">
        <f t="shared" si="200"/>
        <v>#N/A</v>
      </c>
      <c r="HX259" s="235" t="e">
        <f t="shared" si="201"/>
        <v>#N/A</v>
      </c>
      <c r="HY259" s="235" t="e">
        <f t="shared" si="202"/>
        <v>#N/A</v>
      </c>
      <c r="IB259" s="235" t="e">
        <f t="shared" si="203"/>
        <v>#N/A</v>
      </c>
      <c r="IC259" s="235" t="e">
        <f t="shared" si="204"/>
        <v>#N/A</v>
      </c>
      <c r="IE259" s="342">
        <v>245</v>
      </c>
      <c r="IF259" s="262" t="e">
        <f t="shared" si="205"/>
        <v>#N/A</v>
      </c>
      <c r="IG259" s="262" t="e">
        <f t="shared" si="206"/>
        <v>#N/A</v>
      </c>
      <c r="IH259" s="379"/>
      <c r="II259" s="379"/>
      <c r="IJ259" s="262" t="e">
        <f t="shared" si="207"/>
        <v>#N/A</v>
      </c>
      <c r="IK259" s="262" t="e">
        <f t="shared" si="208"/>
        <v>#N/A</v>
      </c>
      <c r="IL259" s="379"/>
      <c r="IM259" s="379"/>
      <c r="IN259" s="262" t="e">
        <f t="shared" si="209"/>
        <v>#N/A</v>
      </c>
      <c r="IO259" s="262" t="e">
        <f t="shared" si="210"/>
        <v>#N/A</v>
      </c>
      <c r="IP259" s="379"/>
      <c r="IQ259" s="379"/>
      <c r="IR259" s="262" t="e">
        <f t="shared" si="211"/>
        <v>#N/A</v>
      </c>
      <c r="IS259" s="262" t="e">
        <f t="shared" si="212"/>
        <v>#N/A</v>
      </c>
      <c r="IT259" s="379"/>
      <c r="IU259" s="379"/>
      <c r="IV259" s="262" t="e">
        <f t="shared" si="213"/>
        <v>#N/A</v>
      </c>
      <c r="IW259" s="262" t="e">
        <f t="shared" si="214"/>
        <v>#N/A</v>
      </c>
      <c r="JN259" s="261" t="e">
        <f t="shared" si="215"/>
        <v>#N/A</v>
      </c>
      <c r="JO259" s="261" t="e">
        <f t="shared" si="216"/>
        <v>#N/A</v>
      </c>
      <c r="JR259" s="261" t="e">
        <f t="shared" si="221"/>
        <v>#N/A</v>
      </c>
      <c r="JS259" s="261" t="e">
        <f t="shared" si="222"/>
        <v>#N/A</v>
      </c>
      <c r="JV259" s="261" t="e">
        <f t="shared" si="217"/>
        <v>#N/A</v>
      </c>
      <c r="JW259" s="261" t="e">
        <f t="shared" si="218"/>
        <v>#N/A</v>
      </c>
      <c r="PS259" s="342">
        <v>245</v>
      </c>
      <c r="PT259" s="261" t="e">
        <f t="shared" si="219"/>
        <v>#N/A</v>
      </c>
      <c r="PU259" s="261" t="e">
        <f t="shared" si="220"/>
        <v>#N/A</v>
      </c>
    </row>
    <row r="260" spans="4:437" x14ac:dyDescent="0.5"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310"/>
      <c r="AQ260" s="310"/>
      <c r="AR260" s="310"/>
      <c r="AS260" s="310"/>
      <c r="AT260" s="310"/>
      <c r="AU260" s="310"/>
      <c r="AV260" s="310"/>
      <c r="AW260" s="310"/>
      <c r="AX260" s="310"/>
      <c r="AY260" s="310"/>
      <c r="AZ260" s="310"/>
      <c r="BA260" s="310"/>
      <c r="HK260" s="342">
        <v>246</v>
      </c>
      <c r="HL260" s="235" t="e">
        <f t="shared" si="195"/>
        <v>#N/A</v>
      </c>
      <c r="HM260" s="235" t="e">
        <f t="shared" si="196"/>
        <v>#N/A</v>
      </c>
      <c r="HP260" s="235" t="e">
        <f t="shared" si="197"/>
        <v>#N/A</v>
      </c>
      <c r="HQ260" s="235" t="e">
        <f t="shared" si="198"/>
        <v>#N/A</v>
      </c>
      <c r="HT260" s="235" t="e">
        <f t="shared" si="199"/>
        <v>#N/A</v>
      </c>
      <c r="HU260" s="235" t="e">
        <f t="shared" si="200"/>
        <v>#N/A</v>
      </c>
      <c r="HX260" s="235" t="e">
        <f t="shared" si="201"/>
        <v>#N/A</v>
      </c>
      <c r="HY260" s="235" t="e">
        <f t="shared" si="202"/>
        <v>#N/A</v>
      </c>
      <c r="IB260" s="235" t="e">
        <f t="shared" si="203"/>
        <v>#N/A</v>
      </c>
      <c r="IC260" s="235" t="e">
        <f t="shared" si="204"/>
        <v>#N/A</v>
      </c>
      <c r="IE260" s="342">
        <v>246</v>
      </c>
      <c r="IF260" s="262" t="e">
        <f t="shared" si="205"/>
        <v>#N/A</v>
      </c>
      <c r="IG260" s="262" t="e">
        <f t="shared" si="206"/>
        <v>#N/A</v>
      </c>
      <c r="IH260" s="379"/>
      <c r="II260" s="379"/>
      <c r="IJ260" s="262" t="e">
        <f t="shared" si="207"/>
        <v>#N/A</v>
      </c>
      <c r="IK260" s="262" t="e">
        <f t="shared" si="208"/>
        <v>#N/A</v>
      </c>
      <c r="IL260" s="379"/>
      <c r="IM260" s="379"/>
      <c r="IN260" s="262" t="e">
        <f t="shared" si="209"/>
        <v>#N/A</v>
      </c>
      <c r="IO260" s="262" t="e">
        <f t="shared" si="210"/>
        <v>#N/A</v>
      </c>
      <c r="IP260" s="379"/>
      <c r="IQ260" s="379"/>
      <c r="IR260" s="262" t="e">
        <f t="shared" si="211"/>
        <v>#N/A</v>
      </c>
      <c r="IS260" s="262" t="e">
        <f t="shared" si="212"/>
        <v>#N/A</v>
      </c>
      <c r="IT260" s="379"/>
      <c r="IU260" s="379"/>
      <c r="IV260" s="262" t="e">
        <f t="shared" si="213"/>
        <v>#N/A</v>
      </c>
      <c r="IW260" s="262" t="e">
        <f t="shared" si="214"/>
        <v>#N/A</v>
      </c>
      <c r="JN260" s="261" t="e">
        <f t="shared" si="215"/>
        <v>#N/A</v>
      </c>
      <c r="JO260" s="261" t="e">
        <f t="shared" si="216"/>
        <v>#N/A</v>
      </c>
      <c r="JR260" s="261" t="e">
        <f t="shared" si="221"/>
        <v>#N/A</v>
      </c>
      <c r="JS260" s="261" t="e">
        <f t="shared" si="222"/>
        <v>#N/A</v>
      </c>
      <c r="JV260" s="261" t="e">
        <f t="shared" si="217"/>
        <v>#N/A</v>
      </c>
      <c r="JW260" s="261" t="e">
        <f t="shared" si="218"/>
        <v>#N/A</v>
      </c>
      <c r="PS260" s="342">
        <v>246</v>
      </c>
      <c r="PT260" s="261" t="e">
        <f t="shared" si="219"/>
        <v>#N/A</v>
      </c>
      <c r="PU260" s="261" t="e">
        <f t="shared" si="220"/>
        <v>#N/A</v>
      </c>
    </row>
    <row r="261" spans="4:437" x14ac:dyDescent="0.5"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310"/>
      <c r="AQ261" s="310"/>
      <c r="AR261" s="310"/>
      <c r="AS261" s="310"/>
      <c r="AT261" s="310"/>
      <c r="AU261" s="310"/>
      <c r="AV261" s="310"/>
      <c r="AW261" s="310"/>
      <c r="AX261" s="310"/>
      <c r="AY261" s="310"/>
      <c r="AZ261" s="310"/>
      <c r="BA261" s="310"/>
      <c r="HK261" s="342">
        <v>247</v>
      </c>
      <c r="HL261" s="235" t="e">
        <f t="shared" si="195"/>
        <v>#N/A</v>
      </c>
      <c r="HM261" s="235" t="e">
        <f t="shared" si="196"/>
        <v>#N/A</v>
      </c>
      <c r="HP261" s="235" t="e">
        <f t="shared" si="197"/>
        <v>#N/A</v>
      </c>
      <c r="HQ261" s="235" t="e">
        <f t="shared" si="198"/>
        <v>#N/A</v>
      </c>
      <c r="HT261" s="235" t="e">
        <f t="shared" si="199"/>
        <v>#N/A</v>
      </c>
      <c r="HU261" s="235" t="e">
        <f t="shared" si="200"/>
        <v>#N/A</v>
      </c>
      <c r="HX261" s="235" t="e">
        <f t="shared" si="201"/>
        <v>#N/A</v>
      </c>
      <c r="HY261" s="235" t="e">
        <f t="shared" si="202"/>
        <v>#N/A</v>
      </c>
      <c r="IB261" s="235" t="e">
        <f t="shared" si="203"/>
        <v>#N/A</v>
      </c>
      <c r="IC261" s="235" t="e">
        <f t="shared" si="204"/>
        <v>#N/A</v>
      </c>
      <c r="IE261" s="342">
        <v>247</v>
      </c>
      <c r="IF261" s="262" t="e">
        <f t="shared" si="205"/>
        <v>#N/A</v>
      </c>
      <c r="IG261" s="262" t="e">
        <f t="shared" si="206"/>
        <v>#N/A</v>
      </c>
      <c r="IH261" s="379"/>
      <c r="II261" s="379"/>
      <c r="IJ261" s="262" t="e">
        <f t="shared" si="207"/>
        <v>#N/A</v>
      </c>
      <c r="IK261" s="262" t="e">
        <f t="shared" si="208"/>
        <v>#N/A</v>
      </c>
      <c r="IL261" s="379"/>
      <c r="IM261" s="379"/>
      <c r="IN261" s="262" t="e">
        <f t="shared" si="209"/>
        <v>#N/A</v>
      </c>
      <c r="IO261" s="262" t="e">
        <f t="shared" si="210"/>
        <v>#N/A</v>
      </c>
      <c r="IP261" s="379"/>
      <c r="IQ261" s="379"/>
      <c r="IR261" s="262" t="e">
        <f t="shared" si="211"/>
        <v>#N/A</v>
      </c>
      <c r="IS261" s="262" t="e">
        <f t="shared" si="212"/>
        <v>#N/A</v>
      </c>
      <c r="IT261" s="379"/>
      <c r="IU261" s="379"/>
      <c r="IV261" s="262" t="e">
        <f t="shared" si="213"/>
        <v>#N/A</v>
      </c>
      <c r="IW261" s="262" t="e">
        <f t="shared" si="214"/>
        <v>#N/A</v>
      </c>
      <c r="JN261" s="261" t="e">
        <f t="shared" si="215"/>
        <v>#N/A</v>
      </c>
      <c r="JO261" s="261" t="e">
        <f t="shared" si="216"/>
        <v>#N/A</v>
      </c>
      <c r="JR261" s="261" t="e">
        <f t="shared" si="221"/>
        <v>#N/A</v>
      </c>
      <c r="JS261" s="261" t="e">
        <f t="shared" si="222"/>
        <v>#N/A</v>
      </c>
      <c r="JV261" s="261" t="e">
        <f t="shared" si="217"/>
        <v>#N/A</v>
      </c>
      <c r="JW261" s="261" t="e">
        <f t="shared" si="218"/>
        <v>#N/A</v>
      </c>
      <c r="PS261" s="342">
        <v>247</v>
      </c>
      <c r="PT261" s="261" t="e">
        <f t="shared" si="219"/>
        <v>#N/A</v>
      </c>
      <c r="PU261" s="261" t="e">
        <f t="shared" si="220"/>
        <v>#N/A</v>
      </c>
    </row>
    <row r="262" spans="4:437" x14ac:dyDescent="0.5"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310"/>
      <c r="AQ262" s="310"/>
      <c r="AR262" s="310"/>
      <c r="AS262" s="310"/>
      <c r="AT262" s="310"/>
      <c r="AU262" s="310"/>
      <c r="AV262" s="310"/>
      <c r="AW262" s="310"/>
      <c r="AX262" s="310"/>
      <c r="AY262" s="310"/>
      <c r="AZ262" s="310"/>
      <c r="BA262" s="310"/>
      <c r="HK262" s="342">
        <v>248</v>
      </c>
      <c r="HL262" s="235" t="e">
        <f t="shared" si="195"/>
        <v>#N/A</v>
      </c>
      <c r="HM262" s="235" t="e">
        <f t="shared" si="196"/>
        <v>#N/A</v>
      </c>
      <c r="HP262" s="235" t="e">
        <f t="shared" si="197"/>
        <v>#N/A</v>
      </c>
      <c r="HQ262" s="235" t="e">
        <f t="shared" si="198"/>
        <v>#N/A</v>
      </c>
      <c r="HT262" s="235" t="e">
        <f t="shared" si="199"/>
        <v>#N/A</v>
      </c>
      <c r="HU262" s="235" t="e">
        <f t="shared" si="200"/>
        <v>#N/A</v>
      </c>
      <c r="HX262" s="235" t="e">
        <f t="shared" si="201"/>
        <v>#N/A</v>
      </c>
      <c r="HY262" s="235" t="e">
        <f t="shared" si="202"/>
        <v>#N/A</v>
      </c>
      <c r="IB262" s="235" t="e">
        <f t="shared" si="203"/>
        <v>#N/A</v>
      </c>
      <c r="IC262" s="235" t="e">
        <f t="shared" si="204"/>
        <v>#N/A</v>
      </c>
      <c r="IE262" s="342">
        <v>248</v>
      </c>
      <c r="IF262" s="262" t="e">
        <f t="shared" si="205"/>
        <v>#N/A</v>
      </c>
      <c r="IG262" s="262" t="e">
        <f t="shared" si="206"/>
        <v>#N/A</v>
      </c>
      <c r="IH262" s="379"/>
      <c r="II262" s="379"/>
      <c r="IJ262" s="262" t="e">
        <f t="shared" si="207"/>
        <v>#N/A</v>
      </c>
      <c r="IK262" s="262" t="e">
        <f t="shared" si="208"/>
        <v>#N/A</v>
      </c>
      <c r="IL262" s="379"/>
      <c r="IM262" s="379"/>
      <c r="IN262" s="262" t="e">
        <f t="shared" si="209"/>
        <v>#N/A</v>
      </c>
      <c r="IO262" s="262" t="e">
        <f t="shared" si="210"/>
        <v>#N/A</v>
      </c>
      <c r="IP262" s="379"/>
      <c r="IQ262" s="379"/>
      <c r="IR262" s="262" t="e">
        <f t="shared" si="211"/>
        <v>#N/A</v>
      </c>
      <c r="IS262" s="262" t="e">
        <f t="shared" si="212"/>
        <v>#N/A</v>
      </c>
      <c r="IT262" s="379"/>
      <c r="IU262" s="379"/>
      <c r="IV262" s="262" t="e">
        <f t="shared" si="213"/>
        <v>#N/A</v>
      </c>
      <c r="IW262" s="262" t="e">
        <f t="shared" si="214"/>
        <v>#N/A</v>
      </c>
      <c r="JN262" s="261" t="e">
        <f t="shared" si="215"/>
        <v>#N/A</v>
      </c>
      <c r="JO262" s="261" t="e">
        <f t="shared" si="216"/>
        <v>#N/A</v>
      </c>
      <c r="JR262" s="261" t="e">
        <f t="shared" si="221"/>
        <v>#N/A</v>
      </c>
      <c r="JS262" s="261" t="e">
        <f t="shared" si="222"/>
        <v>#N/A</v>
      </c>
      <c r="JV262" s="261" t="e">
        <f t="shared" si="217"/>
        <v>#N/A</v>
      </c>
      <c r="JW262" s="261" t="e">
        <f t="shared" si="218"/>
        <v>#N/A</v>
      </c>
      <c r="PS262" s="342">
        <v>248</v>
      </c>
      <c r="PT262" s="261" t="e">
        <f t="shared" si="219"/>
        <v>#N/A</v>
      </c>
      <c r="PU262" s="261" t="e">
        <f t="shared" si="220"/>
        <v>#N/A</v>
      </c>
    </row>
    <row r="263" spans="4:437" x14ac:dyDescent="0.5"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310"/>
      <c r="AQ263" s="310"/>
      <c r="AR263" s="310"/>
      <c r="AS263" s="310"/>
      <c r="AT263" s="310"/>
      <c r="AU263" s="310"/>
      <c r="AV263" s="310"/>
      <c r="AW263" s="310"/>
      <c r="AX263" s="310"/>
      <c r="AY263" s="310"/>
      <c r="AZ263" s="310"/>
      <c r="BA263" s="310"/>
      <c r="HK263" s="342">
        <v>249</v>
      </c>
      <c r="HL263" s="235" t="e">
        <f t="shared" si="195"/>
        <v>#N/A</v>
      </c>
      <c r="HM263" s="235" t="e">
        <f t="shared" si="196"/>
        <v>#N/A</v>
      </c>
      <c r="HP263" s="235" t="e">
        <f t="shared" si="197"/>
        <v>#N/A</v>
      </c>
      <c r="HQ263" s="235" t="e">
        <f t="shared" si="198"/>
        <v>#N/A</v>
      </c>
      <c r="HT263" s="235" t="e">
        <f t="shared" si="199"/>
        <v>#N/A</v>
      </c>
      <c r="HU263" s="235" t="e">
        <f t="shared" si="200"/>
        <v>#N/A</v>
      </c>
      <c r="HX263" s="235" t="e">
        <f t="shared" si="201"/>
        <v>#N/A</v>
      </c>
      <c r="HY263" s="235" t="e">
        <f t="shared" si="202"/>
        <v>#N/A</v>
      </c>
      <c r="IB263" s="235" t="e">
        <f t="shared" si="203"/>
        <v>#N/A</v>
      </c>
      <c r="IC263" s="235" t="e">
        <f t="shared" si="204"/>
        <v>#N/A</v>
      </c>
      <c r="IE263" s="342">
        <v>249</v>
      </c>
      <c r="IF263" s="262" t="e">
        <f t="shared" si="205"/>
        <v>#N/A</v>
      </c>
      <c r="IG263" s="262" t="e">
        <f t="shared" si="206"/>
        <v>#N/A</v>
      </c>
      <c r="IH263" s="379"/>
      <c r="II263" s="379"/>
      <c r="IJ263" s="262" t="e">
        <f t="shared" si="207"/>
        <v>#N/A</v>
      </c>
      <c r="IK263" s="262" t="e">
        <f t="shared" si="208"/>
        <v>#N/A</v>
      </c>
      <c r="IL263" s="379"/>
      <c r="IM263" s="379"/>
      <c r="IN263" s="262" t="e">
        <f t="shared" si="209"/>
        <v>#N/A</v>
      </c>
      <c r="IO263" s="262" t="e">
        <f t="shared" si="210"/>
        <v>#N/A</v>
      </c>
      <c r="IP263" s="379"/>
      <c r="IQ263" s="379"/>
      <c r="IR263" s="262" t="e">
        <f t="shared" si="211"/>
        <v>#N/A</v>
      </c>
      <c r="IS263" s="262" t="e">
        <f t="shared" si="212"/>
        <v>#N/A</v>
      </c>
      <c r="IT263" s="379"/>
      <c r="IU263" s="379"/>
      <c r="IV263" s="262" t="e">
        <f t="shared" si="213"/>
        <v>#N/A</v>
      </c>
      <c r="IW263" s="262" t="e">
        <f t="shared" si="214"/>
        <v>#N/A</v>
      </c>
      <c r="JN263" s="261" t="e">
        <f t="shared" si="215"/>
        <v>#N/A</v>
      </c>
      <c r="JO263" s="261" t="e">
        <f t="shared" si="216"/>
        <v>#N/A</v>
      </c>
      <c r="JR263" s="261" t="e">
        <f t="shared" si="221"/>
        <v>#N/A</v>
      </c>
      <c r="JS263" s="261" t="e">
        <f t="shared" si="222"/>
        <v>#N/A</v>
      </c>
      <c r="JV263" s="261" t="e">
        <f t="shared" si="217"/>
        <v>#N/A</v>
      </c>
      <c r="JW263" s="261" t="e">
        <f t="shared" si="218"/>
        <v>#N/A</v>
      </c>
      <c r="PS263" s="342">
        <v>249</v>
      </c>
      <c r="PT263" s="261" t="e">
        <f t="shared" si="219"/>
        <v>#N/A</v>
      </c>
      <c r="PU263" s="261" t="e">
        <f t="shared" si="220"/>
        <v>#N/A</v>
      </c>
    </row>
    <row r="264" spans="4:437" x14ac:dyDescent="0.5"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310"/>
      <c r="AQ264" s="310"/>
      <c r="AR264" s="310"/>
      <c r="AS264" s="310"/>
      <c r="AT264" s="310"/>
      <c r="AU264" s="310"/>
      <c r="AV264" s="310"/>
      <c r="AW264" s="310"/>
      <c r="AX264" s="310"/>
      <c r="AY264" s="310"/>
      <c r="AZ264" s="310"/>
      <c r="BA264" s="310"/>
      <c r="HK264" s="342">
        <v>250</v>
      </c>
      <c r="HL264" s="235" t="e">
        <f t="shared" si="195"/>
        <v>#N/A</v>
      </c>
      <c r="HM264" s="235" t="e">
        <f t="shared" si="196"/>
        <v>#N/A</v>
      </c>
      <c r="HP264" s="235" t="e">
        <f t="shared" si="197"/>
        <v>#N/A</v>
      </c>
      <c r="HQ264" s="235" t="e">
        <f t="shared" si="198"/>
        <v>#N/A</v>
      </c>
      <c r="HT264" s="235" t="e">
        <f t="shared" si="199"/>
        <v>#N/A</v>
      </c>
      <c r="HU264" s="235" t="e">
        <f t="shared" si="200"/>
        <v>#N/A</v>
      </c>
      <c r="HX264" s="235" t="e">
        <f t="shared" si="201"/>
        <v>#N/A</v>
      </c>
      <c r="HY264" s="235" t="e">
        <f t="shared" si="202"/>
        <v>#N/A</v>
      </c>
      <c r="IB264" s="235" t="e">
        <f t="shared" si="203"/>
        <v>#N/A</v>
      </c>
      <c r="IC264" s="235" t="e">
        <f t="shared" si="204"/>
        <v>#N/A</v>
      </c>
      <c r="IE264" s="342">
        <v>250</v>
      </c>
      <c r="IF264" s="262" t="e">
        <f t="shared" si="205"/>
        <v>#N/A</v>
      </c>
      <c r="IG264" s="262" t="e">
        <f t="shared" si="206"/>
        <v>#N/A</v>
      </c>
      <c r="IH264" s="379"/>
      <c r="II264" s="379"/>
      <c r="IJ264" s="262" t="e">
        <f t="shared" si="207"/>
        <v>#N/A</v>
      </c>
      <c r="IK264" s="262" t="e">
        <f t="shared" si="208"/>
        <v>#N/A</v>
      </c>
      <c r="IL264" s="379"/>
      <c r="IM264" s="379"/>
      <c r="IN264" s="262" t="e">
        <f t="shared" si="209"/>
        <v>#N/A</v>
      </c>
      <c r="IO264" s="262" t="e">
        <f t="shared" si="210"/>
        <v>#N/A</v>
      </c>
      <c r="IP264" s="379"/>
      <c r="IQ264" s="379"/>
      <c r="IR264" s="262" t="e">
        <f t="shared" si="211"/>
        <v>#N/A</v>
      </c>
      <c r="IS264" s="262" t="e">
        <f t="shared" si="212"/>
        <v>#N/A</v>
      </c>
      <c r="IT264" s="379"/>
      <c r="IU264" s="379"/>
      <c r="IV264" s="262" t="e">
        <f t="shared" si="213"/>
        <v>#N/A</v>
      </c>
      <c r="IW264" s="262" t="e">
        <f t="shared" si="214"/>
        <v>#N/A</v>
      </c>
      <c r="JN264" s="261" t="e">
        <f t="shared" si="215"/>
        <v>#N/A</v>
      </c>
      <c r="JO264" s="261" t="e">
        <f t="shared" si="216"/>
        <v>#N/A</v>
      </c>
      <c r="JR264" s="261" t="e">
        <f t="shared" si="221"/>
        <v>#N/A</v>
      </c>
      <c r="JS264" s="261" t="e">
        <f t="shared" si="222"/>
        <v>#N/A</v>
      </c>
      <c r="JV264" s="261" t="e">
        <f t="shared" si="217"/>
        <v>#N/A</v>
      </c>
      <c r="JW264" s="261" t="e">
        <f t="shared" si="218"/>
        <v>#N/A</v>
      </c>
      <c r="PS264" s="342">
        <v>250</v>
      </c>
      <c r="PT264" s="261" t="e">
        <f t="shared" si="219"/>
        <v>#N/A</v>
      </c>
      <c r="PU264" s="261" t="e">
        <f t="shared" si="220"/>
        <v>#N/A</v>
      </c>
    </row>
    <row r="265" spans="4:437" x14ac:dyDescent="0.5"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310"/>
      <c r="AQ265" s="310"/>
      <c r="AR265" s="310"/>
      <c r="AS265" s="310"/>
      <c r="AT265" s="310"/>
      <c r="AU265" s="310"/>
      <c r="AV265" s="310"/>
      <c r="AW265" s="310"/>
      <c r="AX265" s="310"/>
      <c r="AY265" s="310"/>
      <c r="AZ265" s="310"/>
      <c r="BA265" s="310"/>
      <c r="HK265" s="342">
        <v>251</v>
      </c>
      <c r="HL265" s="235" t="e">
        <f t="shared" si="195"/>
        <v>#N/A</v>
      </c>
      <c r="HM265" s="235" t="e">
        <f t="shared" si="196"/>
        <v>#N/A</v>
      </c>
      <c r="HP265" s="235" t="e">
        <f t="shared" si="197"/>
        <v>#N/A</v>
      </c>
      <c r="HQ265" s="235" t="e">
        <f t="shared" si="198"/>
        <v>#N/A</v>
      </c>
      <c r="HT265" s="235" t="e">
        <f t="shared" si="199"/>
        <v>#N/A</v>
      </c>
      <c r="HU265" s="235" t="e">
        <f t="shared" si="200"/>
        <v>#N/A</v>
      </c>
      <c r="HX265" s="235" t="e">
        <f t="shared" si="201"/>
        <v>#N/A</v>
      </c>
      <c r="HY265" s="235" t="e">
        <f t="shared" si="202"/>
        <v>#N/A</v>
      </c>
      <c r="IB265" s="235" t="e">
        <f t="shared" si="203"/>
        <v>#N/A</v>
      </c>
      <c r="IC265" s="235" t="e">
        <f t="shared" si="204"/>
        <v>#N/A</v>
      </c>
      <c r="IE265" s="342">
        <v>251</v>
      </c>
      <c r="IF265" s="262" t="e">
        <f t="shared" si="205"/>
        <v>#N/A</v>
      </c>
      <c r="IG265" s="262" t="e">
        <f t="shared" si="206"/>
        <v>#N/A</v>
      </c>
      <c r="IH265" s="379"/>
      <c r="II265" s="379"/>
      <c r="IJ265" s="262" t="e">
        <f t="shared" si="207"/>
        <v>#N/A</v>
      </c>
      <c r="IK265" s="262" t="e">
        <f t="shared" si="208"/>
        <v>#N/A</v>
      </c>
      <c r="IL265" s="379"/>
      <c r="IM265" s="379"/>
      <c r="IN265" s="262" t="e">
        <f t="shared" si="209"/>
        <v>#N/A</v>
      </c>
      <c r="IO265" s="262" t="e">
        <f t="shared" si="210"/>
        <v>#N/A</v>
      </c>
      <c r="IP265" s="379"/>
      <c r="IQ265" s="379"/>
      <c r="IR265" s="262" t="e">
        <f t="shared" si="211"/>
        <v>#N/A</v>
      </c>
      <c r="IS265" s="262" t="e">
        <f t="shared" si="212"/>
        <v>#N/A</v>
      </c>
      <c r="IT265" s="379"/>
      <c r="IU265" s="379"/>
      <c r="IV265" s="262" t="e">
        <f t="shared" si="213"/>
        <v>#N/A</v>
      </c>
      <c r="IW265" s="262" t="e">
        <f t="shared" si="214"/>
        <v>#N/A</v>
      </c>
      <c r="JN265" s="261" t="e">
        <f t="shared" si="215"/>
        <v>#N/A</v>
      </c>
      <c r="JO265" s="261" t="e">
        <f t="shared" si="216"/>
        <v>#N/A</v>
      </c>
      <c r="JR265" s="261" t="e">
        <f t="shared" si="221"/>
        <v>#N/A</v>
      </c>
      <c r="JS265" s="261" t="e">
        <f t="shared" si="222"/>
        <v>#N/A</v>
      </c>
      <c r="JV265" s="261" t="e">
        <f t="shared" si="217"/>
        <v>#N/A</v>
      </c>
      <c r="JW265" s="261" t="e">
        <f t="shared" si="218"/>
        <v>#N/A</v>
      </c>
      <c r="PS265" s="342">
        <v>251</v>
      </c>
      <c r="PT265" s="261" t="e">
        <f t="shared" si="219"/>
        <v>#N/A</v>
      </c>
      <c r="PU265" s="261" t="e">
        <f t="shared" si="220"/>
        <v>#N/A</v>
      </c>
    </row>
    <row r="266" spans="4:437" x14ac:dyDescent="0.5"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310"/>
      <c r="AQ266" s="310"/>
      <c r="AR266" s="310"/>
      <c r="AS266" s="310"/>
      <c r="AT266" s="310"/>
      <c r="AU266" s="310"/>
      <c r="AV266" s="310"/>
      <c r="AW266" s="310"/>
      <c r="AX266" s="310"/>
      <c r="AY266" s="310"/>
      <c r="AZ266" s="310"/>
      <c r="BA266" s="310"/>
      <c r="HK266" s="342">
        <v>252</v>
      </c>
      <c r="HL266" s="235" t="e">
        <f t="shared" si="195"/>
        <v>#N/A</v>
      </c>
      <c r="HM266" s="235" t="e">
        <f t="shared" si="196"/>
        <v>#N/A</v>
      </c>
      <c r="HP266" s="235" t="e">
        <f t="shared" si="197"/>
        <v>#N/A</v>
      </c>
      <c r="HQ266" s="235" t="e">
        <f t="shared" si="198"/>
        <v>#N/A</v>
      </c>
      <c r="HT266" s="235" t="e">
        <f t="shared" si="199"/>
        <v>#N/A</v>
      </c>
      <c r="HU266" s="235" t="e">
        <f t="shared" si="200"/>
        <v>#N/A</v>
      </c>
      <c r="HX266" s="235" t="e">
        <f t="shared" si="201"/>
        <v>#N/A</v>
      </c>
      <c r="HY266" s="235" t="e">
        <f t="shared" si="202"/>
        <v>#N/A</v>
      </c>
      <c r="IB266" s="235" t="e">
        <f t="shared" si="203"/>
        <v>#N/A</v>
      </c>
      <c r="IC266" s="235" t="e">
        <f t="shared" si="204"/>
        <v>#N/A</v>
      </c>
      <c r="IE266" s="342">
        <v>252</v>
      </c>
      <c r="IF266" s="262" t="e">
        <f t="shared" si="205"/>
        <v>#N/A</v>
      </c>
      <c r="IG266" s="262" t="e">
        <f t="shared" si="206"/>
        <v>#N/A</v>
      </c>
      <c r="IH266" s="379"/>
      <c r="II266" s="379"/>
      <c r="IJ266" s="262" t="e">
        <f t="shared" si="207"/>
        <v>#N/A</v>
      </c>
      <c r="IK266" s="262" t="e">
        <f t="shared" si="208"/>
        <v>#N/A</v>
      </c>
      <c r="IL266" s="379"/>
      <c r="IM266" s="379"/>
      <c r="IN266" s="262" t="e">
        <f t="shared" si="209"/>
        <v>#N/A</v>
      </c>
      <c r="IO266" s="262" t="e">
        <f t="shared" si="210"/>
        <v>#N/A</v>
      </c>
      <c r="IP266" s="379"/>
      <c r="IQ266" s="379"/>
      <c r="IR266" s="262" t="e">
        <f t="shared" si="211"/>
        <v>#N/A</v>
      </c>
      <c r="IS266" s="262" t="e">
        <f t="shared" si="212"/>
        <v>#N/A</v>
      </c>
      <c r="IT266" s="379"/>
      <c r="IU266" s="379"/>
      <c r="IV266" s="262" t="e">
        <f t="shared" si="213"/>
        <v>#N/A</v>
      </c>
      <c r="IW266" s="262" t="e">
        <f t="shared" si="214"/>
        <v>#N/A</v>
      </c>
      <c r="JN266" s="261" t="e">
        <f t="shared" si="215"/>
        <v>#N/A</v>
      </c>
      <c r="JO266" s="261" t="e">
        <f t="shared" si="216"/>
        <v>#N/A</v>
      </c>
      <c r="JR266" s="261" t="e">
        <f t="shared" si="221"/>
        <v>#N/A</v>
      </c>
      <c r="JS266" s="261" t="e">
        <f t="shared" si="222"/>
        <v>#N/A</v>
      </c>
      <c r="JV266" s="261" t="e">
        <f t="shared" si="217"/>
        <v>#N/A</v>
      </c>
      <c r="JW266" s="261" t="e">
        <f t="shared" si="218"/>
        <v>#N/A</v>
      </c>
      <c r="PS266" s="342">
        <v>252</v>
      </c>
      <c r="PT266" s="261" t="e">
        <f t="shared" si="219"/>
        <v>#N/A</v>
      </c>
      <c r="PU266" s="261" t="e">
        <f t="shared" si="220"/>
        <v>#N/A</v>
      </c>
    </row>
    <row r="267" spans="4:437" x14ac:dyDescent="0.5"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310"/>
      <c r="AQ267" s="310"/>
      <c r="AR267" s="310"/>
      <c r="AS267" s="310"/>
      <c r="AT267" s="310"/>
      <c r="AU267" s="310"/>
      <c r="AV267" s="310"/>
      <c r="AW267" s="310"/>
      <c r="AX267" s="310"/>
      <c r="AY267" s="310"/>
      <c r="AZ267" s="310"/>
      <c r="BA267" s="310"/>
      <c r="HK267" s="342">
        <v>253</v>
      </c>
      <c r="HL267" s="235" t="e">
        <f t="shared" si="195"/>
        <v>#N/A</v>
      </c>
      <c r="HM267" s="235" t="e">
        <f t="shared" si="196"/>
        <v>#N/A</v>
      </c>
      <c r="HP267" s="235" t="e">
        <f t="shared" si="197"/>
        <v>#N/A</v>
      </c>
      <c r="HQ267" s="235" t="e">
        <f t="shared" si="198"/>
        <v>#N/A</v>
      </c>
      <c r="HT267" s="235" t="e">
        <f t="shared" si="199"/>
        <v>#N/A</v>
      </c>
      <c r="HU267" s="235" t="e">
        <f t="shared" si="200"/>
        <v>#N/A</v>
      </c>
      <c r="HX267" s="235" t="e">
        <f t="shared" si="201"/>
        <v>#N/A</v>
      </c>
      <c r="HY267" s="235" t="e">
        <f t="shared" si="202"/>
        <v>#N/A</v>
      </c>
      <c r="IB267" s="235" t="e">
        <f t="shared" si="203"/>
        <v>#N/A</v>
      </c>
      <c r="IC267" s="235" t="e">
        <f t="shared" si="204"/>
        <v>#N/A</v>
      </c>
      <c r="IE267" s="342">
        <v>253</v>
      </c>
      <c r="IF267" s="262" t="e">
        <f t="shared" si="205"/>
        <v>#N/A</v>
      </c>
      <c r="IG267" s="262" t="e">
        <f t="shared" si="206"/>
        <v>#N/A</v>
      </c>
      <c r="IH267" s="379"/>
      <c r="II267" s="379"/>
      <c r="IJ267" s="262" t="e">
        <f t="shared" si="207"/>
        <v>#N/A</v>
      </c>
      <c r="IK267" s="262" t="e">
        <f t="shared" si="208"/>
        <v>#N/A</v>
      </c>
      <c r="IL267" s="379"/>
      <c r="IM267" s="379"/>
      <c r="IN267" s="262" t="e">
        <f t="shared" si="209"/>
        <v>#N/A</v>
      </c>
      <c r="IO267" s="262" t="e">
        <f t="shared" si="210"/>
        <v>#N/A</v>
      </c>
      <c r="IP267" s="379"/>
      <c r="IQ267" s="379"/>
      <c r="IR267" s="262" t="e">
        <f t="shared" si="211"/>
        <v>#N/A</v>
      </c>
      <c r="IS267" s="262" t="e">
        <f t="shared" si="212"/>
        <v>#N/A</v>
      </c>
      <c r="IT267" s="379"/>
      <c r="IU267" s="379"/>
      <c r="IV267" s="262" t="e">
        <f t="shared" si="213"/>
        <v>#N/A</v>
      </c>
      <c r="IW267" s="262" t="e">
        <f t="shared" si="214"/>
        <v>#N/A</v>
      </c>
      <c r="JN267" s="261" t="e">
        <f t="shared" si="215"/>
        <v>#N/A</v>
      </c>
      <c r="JO267" s="261" t="e">
        <f t="shared" si="216"/>
        <v>#N/A</v>
      </c>
      <c r="JR267" s="261" t="e">
        <f t="shared" si="221"/>
        <v>#N/A</v>
      </c>
      <c r="JS267" s="261" t="e">
        <f t="shared" si="222"/>
        <v>#N/A</v>
      </c>
      <c r="JV267" s="261" t="e">
        <f t="shared" si="217"/>
        <v>#N/A</v>
      </c>
      <c r="JW267" s="261" t="e">
        <f t="shared" si="218"/>
        <v>#N/A</v>
      </c>
      <c r="PS267" s="342">
        <v>253</v>
      </c>
      <c r="PT267" s="261" t="e">
        <f t="shared" si="219"/>
        <v>#N/A</v>
      </c>
      <c r="PU267" s="261" t="e">
        <f t="shared" si="220"/>
        <v>#N/A</v>
      </c>
    </row>
    <row r="268" spans="4:437" x14ac:dyDescent="0.5"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310"/>
      <c r="AQ268" s="310"/>
      <c r="AR268" s="310"/>
      <c r="AS268" s="310"/>
      <c r="AT268" s="310"/>
      <c r="AU268" s="310"/>
      <c r="AV268" s="310"/>
      <c r="AW268" s="310"/>
      <c r="AX268" s="310"/>
      <c r="AY268" s="310"/>
      <c r="AZ268" s="310"/>
      <c r="BA268" s="310"/>
      <c r="HK268" s="342">
        <v>254</v>
      </c>
      <c r="HL268" s="235" t="e">
        <f t="shared" si="195"/>
        <v>#N/A</v>
      </c>
      <c r="HM268" s="235" t="e">
        <f t="shared" si="196"/>
        <v>#N/A</v>
      </c>
      <c r="HP268" s="235" t="e">
        <f t="shared" si="197"/>
        <v>#N/A</v>
      </c>
      <c r="HQ268" s="235" t="e">
        <f t="shared" si="198"/>
        <v>#N/A</v>
      </c>
      <c r="HT268" s="235" t="e">
        <f t="shared" si="199"/>
        <v>#N/A</v>
      </c>
      <c r="HU268" s="235" t="e">
        <f t="shared" si="200"/>
        <v>#N/A</v>
      </c>
      <c r="HX268" s="235" t="e">
        <f t="shared" si="201"/>
        <v>#N/A</v>
      </c>
      <c r="HY268" s="235" t="e">
        <f t="shared" si="202"/>
        <v>#N/A</v>
      </c>
      <c r="IB268" s="235" t="e">
        <f t="shared" si="203"/>
        <v>#N/A</v>
      </c>
      <c r="IC268" s="235" t="e">
        <f t="shared" si="204"/>
        <v>#N/A</v>
      </c>
      <c r="IE268" s="342">
        <v>254</v>
      </c>
      <c r="IF268" s="262" t="e">
        <f t="shared" si="205"/>
        <v>#N/A</v>
      </c>
      <c r="IG268" s="262" t="e">
        <f t="shared" si="206"/>
        <v>#N/A</v>
      </c>
      <c r="IH268" s="379"/>
      <c r="II268" s="379"/>
      <c r="IJ268" s="262" t="e">
        <f t="shared" si="207"/>
        <v>#N/A</v>
      </c>
      <c r="IK268" s="262" t="e">
        <f t="shared" si="208"/>
        <v>#N/A</v>
      </c>
      <c r="IL268" s="379"/>
      <c r="IM268" s="379"/>
      <c r="IN268" s="262" t="e">
        <f t="shared" si="209"/>
        <v>#N/A</v>
      </c>
      <c r="IO268" s="262" t="e">
        <f t="shared" si="210"/>
        <v>#N/A</v>
      </c>
      <c r="IP268" s="379"/>
      <c r="IQ268" s="379"/>
      <c r="IR268" s="262" t="e">
        <f t="shared" si="211"/>
        <v>#N/A</v>
      </c>
      <c r="IS268" s="262" t="e">
        <f t="shared" si="212"/>
        <v>#N/A</v>
      </c>
      <c r="IT268" s="379"/>
      <c r="IU268" s="379"/>
      <c r="IV268" s="262" t="e">
        <f t="shared" si="213"/>
        <v>#N/A</v>
      </c>
      <c r="IW268" s="262" t="e">
        <f t="shared" si="214"/>
        <v>#N/A</v>
      </c>
      <c r="JN268" s="261" t="e">
        <f t="shared" si="215"/>
        <v>#N/A</v>
      </c>
      <c r="JO268" s="261" t="e">
        <f t="shared" si="216"/>
        <v>#N/A</v>
      </c>
      <c r="JR268" s="261" t="e">
        <f t="shared" si="221"/>
        <v>#N/A</v>
      </c>
      <c r="JS268" s="261" t="e">
        <f t="shared" si="222"/>
        <v>#N/A</v>
      </c>
      <c r="JV268" s="261" t="e">
        <f t="shared" si="217"/>
        <v>#N/A</v>
      </c>
      <c r="JW268" s="261" t="e">
        <f t="shared" si="218"/>
        <v>#N/A</v>
      </c>
      <c r="PS268" s="342">
        <v>254</v>
      </c>
      <c r="PT268" s="261" t="e">
        <f t="shared" si="219"/>
        <v>#N/A</v>
      </c>
      <c r="PU268" s="261" t="e">
        <f t="shared" si="220"/>
        <v>#N/A</v>
      </c>
    </row>
    <row r="269" spans="4:437" x14ac:dyDescent="0.5"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310"/>
      <c r="AQ269" s="310"/>
      <c r="AR269" s="310"/>
      <c r="AS269" s="310"/>
      <c r="AT269" s="310"/>
      <c r="AU269" s="310"/>
      <c r="AV269" s="310"/>
      <c r="AW269" s="310"/>
      <c r="AX269" s="310"/>
      <c r="AY269" s="310"/>
      <c r="AZ269" s="310"/>
      <c r="BA269" s="310"/>
      <c r="HK269" s="342">
        <v>255</v>
      </c>
      <c r="HL269" s="235" t="e">
        <f t="shared" si="195"/>
        <v>#N/A</v>
      </c>
      <c r="HM269" s="235" t="e">
        <f t="shared" si="196"/>
        <v>#N/A</v>
      </c>
      <c r="HP269" s="235" t="e">
        <f t="shared" si="197"/>
        <v>#N/A</v>
      </c>
      <c r="HQ269" s="235" t="e">
        <f t="shared" si="198"/>
        <v>#N/A</v>
      </c>
      <c r="HT269" s="235" t="e">
        <f t="shared" si="199"/>
        <v>#N/A</v>
      </c>
      <c r="HU269" s="235" t="e">
        <f t="shared" si="200"/>
        <v>#N/A</v>
      </c>
      <c r="HX269" s="235" t="e">
        <f t="shared" si="201"/>
        <v>#N/A</v>
      </c>
      <c r="HY269" s="235" t="e">
        <f t="shared" si="202"/>
        <v>#N/A</v>
      </c>
      <c r="IB269" s="235" t="e">
        <f t="shared" si="203"/>
        <v>#N/A</v>
      </c>
      <c r="IC269" s="235" t="e">
        <f t="shared" si="204"/>
        <v>#N/A</v>
      </c>
      <c r="IE269" s="342">
        <v>255</v>
      </c>
      <c r="IF269" s="262" t="e">
        <f t="shared" si="205"/>
        <v>#N/A</v>
      </c>
      <c r="IG269" s="262" t="e">
        <f t="shared" si="206"/>
        <v>#N/A</v>
      </c>
      <c r="IH269" s="379"/>
      <c r="II269" s="379"/>
      <c r="IJ269" s="262" t="e">
        <f t="shared" si="207"/>
        <v>#N/A</v>
      </c>
      <c r="IK269" s="262" t="e">
        <f t="shared" si="208"/>
        <v>#N/A</v>
      </c>
      <c r="IL269" s="379"/>
      <c r="IM269" s="379"/>
      <c r="IN269" s="262" t="e">
        <f t="shared" si="209"/>
        <v>#N/A</v>
      </c>
      <c r="IO269" s="262" t="e">
        <f t="shared" si="210"/>
        <v>#N/A</v>
      </c>
      <c r="IP269" s="379"/>
      <c r="IQ269" s="379"/>
      <c r="IR269" s="262" t="e">
        <f t="shared" si="211"/>
        <v>#N/A</v>
      </c>
      <c r="IS269" s="262" t="e">
        <f t="shared" si="212"/>
        <v>#N/A</v>
      </c>
      <c r="IT269" s="379"/>
      <c r="IU269" s="379"/>
      <c r="IV269" s="262" t="e">
        <f t="shared" si="213"/>
        <v>#N/A</v>
      </c>
      <c r="IW269" s="262" t="e">
        <f t="shared" si="214"/>
        <v>#N/A</v>
      </c>
      <c r="JN269" s="261" t="e">
        <f t="shared" si="215"/>
        <v>#N/A</v>
      </c>
      <c r="JO269" s="261" t="e">
        <f t="shared" si="216"/>
        <v>#N/A</v>
      </c>
      <c r="JR269" s="261" t="e">
        <f t="shared" si="221"/>
        <v>#N/A</v>
      </c>
      <c r="JS269" s="261" t="e">
        <f t="shared" si="222"/>
        <v>#N/A</v>
      </c>
      <c r="JV269" s="261" t="e">
        <f t="shared" si="217"/>
        <v>#N/A</v>
      </c>
      <c r="JW269" s="261" t="e">
        <f t="shared" si="218"/>
        <v>#N/A</v>
      </c>
      <c r="PS269" s="342">
        <v>255</v>
      </c>
      <c r="PT269" s="261" t="e">
        <f t="shared" si="219"/>
        <v>#N/A</v>
      </c>
      <c r="PU269" s="261" t="e">
        <f t="shared" si="220"/>
        <v>#N/A</v>
      </c>
    </row>
    <row r="270" spans="4:437" x14ac:dyDescent="0.5"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310"/>
      <c r="AQ270" s="310"/>
      <c r="AR270" s="310"/>
      <c r="AS270" s="310"/>
      <c r="AT270" s="310"/>
      <c r="AU270" s="310"/>
      <c r="AV270" s="310"/>
      <c r="AW270" s="310"/>
      <c r="AX270" s="310"/>
      <c r="AY270" s="310"/>
      <c r="AZ270" s="310"/>
      <c r="BA270" s="310"/>
      <c r="HK270" s="342">
        <v>256</v>
      </c>
      <c r="HL270" s="235" t="e">
        <f t="shared" si="195"/>
        <v>#N/A</v>
      </c>
      <c r="HM270" s="235" t="e">
        <f t="shared" si="196"/>
        <v>#N/A</v>
      </c>
      <c r="HP270" s="235" t="e">
        <f t="shared" si="197"/>
        <v>#N/A</v>
      </c>
      <c r="HQ270" s="235" t="e">
        <f t="shared" si="198"/>
        <v>#N/A</v>
      </c>
      <c r="HT270" s="235" t="e">
        <f t="shared" si="199"/>
        <v>#N/A</v>
      </c>
      <c r="HU270" s="235" t="e">
        <f t="shared" si="200"/>
        <v>#N/A</v>
      </c>
      <c r="HX270" s="235" t="e">
        <f t="shared" si="201"/>
        <v>#N/A</v>
      </c>
      <c r="HY270" s="235" t="e">
        <f t="shared" si="202"/>
        <v>#N/A</v>
      </c>
      <c r="IB270" s="235" t="e">
        <f t="shared" si="203"/>
        <v>#N/A</v>
      </c>
      <c r="IC270" s="235" t="e">
        <f t="shared" si="204"/>
        <v>#N/A</v>
      </c>
      <c r="IE270" s="342">
        <v>256</v>
      </c>
      <c r="IF270" s="262" t="e">
        <f t="shared" si="205"/>
        <v>#N/A</v>
      </c>
      <c r="IG270" s="262" t="e">
        <f t="shared" si="206"/>
        <v>#N/A</v>
      </c>
      <c r="IH270" s="379"/>
      <c r="II270" s="379"/>
      <c r="IJ270" s="262" t="e">
        <f t="shared" si="207"/>
        <v>#N/A</v>
      </c>
      <c r="IK270" s="262" t="e">
        <f t="shared" si="208"/>
        <v>#N/A</v>
      </c>
      <c r="IL270" s="379"/>
      <c r="IM270" s="379"/>
      <c r="IN270" s="262" t="e">
        <f t="shared" si="209"/>
        <v>#N/A</v>
      </c>
      <c r="IO270" s="262" t="e">
        <f t="shared" si="210"/>
        <v>#N/A</v>
      </c>
      <c r="IP270" s="379"/>
      <c r="IQ270" s="379"/>
      <c r="IR270" s="262" t="e">
        <f t="shared" si="211"/>
        <v>#N/A</v>
      </c>
      <c r="IS270" s="262" t="e">
        <f t="shared" si="212"/>
        <v>#N/A</v>
      </c>
      <c r="IT270" s="379"/>
      <c r="IU270" s="379"/>
      <c r="IV270" s="262" t="e">
        <f t="shared" si="213"/>
        <v>#N/A</v>
      </c>
      <c r="IW270" s="262" t="e">
        <f t="shared" si="214"/>
        <v>#N/A</v>
      </c>
      <c r="JN270" s="261" t="e">
        <f t="shared" si="215"/>
        <v>#N/A</v>
      </c>
      <c r="JO270" s="261" t="e">
        <f t="shared" si="216"/>
        <v>#N/A</v>
      </c>
      <c r="JR270" s="261" t="e">
        <f t="shared" si="221"/>
        <v>#N/A</v>
      </c>
      <c r="JS270" s="261" t="e">
        <f t="shared" si="222"/>
        <v>#N/A</v>
      </c>
      <c r="JV270" s="261" t="e">
        <f t="shared" si="217"/>
        <v>#N/A</v>
      </c>
      <c r="JW270" s="261" t="e">
        <f t="shared" si="218"/>
        <v>#N/A</v>
      </c>
      <c r="PS270" s="342">
        <v>256</v>
      </c>
      <c r="PT270" s="261" t="e">
        <f t="shared" si="219"/>
        <v>#N/A</v>
      </c>
      <c r="PU270" s="261" t="e">
        <f t="shared" si="220"/>
        <v>#N/A</v>
      </c>
    </row>
    <row r="271" spans="4:437" x14ac:dyDescent="0.5"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310"/>
      <c r="AQ271" s="310"/>
      <c r="AR271" s="310"/>
      <c r="AS271" s="310"/>
      <c r="AT271" s="310"/>
      <c r="AU271" s="310"/>
      <c r="AV271" s="310"/>
      <c r="AW271" s="310"/>
      <c r="AX271" s="310"/>
      <c r="AY271" s="310"/>
      <c r="AZ271" s="310"/>
      <c r="BA271" s="310"/>
      <c r="HK271" s="342">
        <v>257</v>
      </c>
      <c r="HL271" s="235" t="e">
        <f t="shared" ref="HL271:HL334" si="223">IF($HM$9=TRUE,$HL$11+$HL$12*COS(HK271*PI()/$HM$13),#N/A)</f>
        <v>#N/A</v>
      </c>
      <c r="HM271" s="235" t="e">
        <f t="shared" ref="HM271:HM334" si="224">IF($HM$9=TRUE,$HM$11+$HL$12*SIN(HK271*PI()/$HM$13),#N/A)</f>
        <v>#N/A</v>
      </c>
      <c r="HP271" s="235" t="e">
        <f t="shared" ref="HP271:HP334" si="225">IF($HQ$9=TRUE,$HP$11+$HP$12*COS(HK271*PI()/$HQ$13),#N/A)</f>
        <v>#N/A</v>
      </c>
      <c r="HQ271" s="235" t="e">
        <f t="shared" ref="HQ271:HQ334" si="226">IF($HQ$9=TRUE,$HQ$11+$HP$12*SIN(HK271*PI()/$HQ$13),#N/A)</f>
        <v>#N/A</v>
      </c>
      <c r="HT271" s="235" t="e">
        <f t="shared" ref="HT271:HT334" si="227">IF($HU$9=TRUE,$HT$11+$HT$12*COS(HK271*PI()/$HU$13),#N/A)</f>
        <v>#N/A</v>
      </c>
      <c r="HU271" s="235" t="e">
        <f t="shared" ref="HU271:HU334" si="228">IF($HU$9=TRUE,$HU$11+$HT$12*SIN(HK271*PI()/$HU$13),#N/A)</f>
        <v>#N/A</v>
      </c>
      <c r="HX271" s="235" t="e">
        <f t="shared" ref="HX271:HX334" si="229">IF($HY$9=TRUE,$HX$11+$HX$12*COS(HK271*PI()/$HY$13),#N/A)</f>
        <v>#N/A</v>
      </c>
      <c r="HY271" s="235" t="e">
        <f t="shared" ref="HY271:HY334" si="230">IF($HY$9=TRUE,$HY$11+$HX$12*SIN(HK271*PI()/$HY$13),#N/A)</f>
        <v>#N/A</v>
      </c>
      <c r="IB271" s="235" t="e">
        <f t="shared" ref="IB271:IB334" si="231">IF($IC$9=TRUE,$IB$11+$IB$12*COS(HK271*PI()/$IC$13),#N/A)</f>
        <v>#N/A</v>
      </c>
      <c r="IC271" s="235" t="e">
        <f t="shared" ref="IC271:IC334" si="232">IF($IC$9=TRUE,$IC$11+$IB$12*SIN(HK271*PI()/$IC$13),#N/A)</f>
        <v>#N/A</v>
      </c>
      <c r="IE271" s="342">
        <v>257</v>
      </c>
      <c r="IF271" s="262" t="e">
        <f t="shared" ref="IF271:IF334" si="233">IF($IG$9=TRUE,$IF$11+$IF$12*COS(IE271*PI()/$IG$13),#N/A)</f>
        <v>#N/A</v>
      </c>
      <c r="IG271" s="262" t="e">
        <f t="shared" ref="IG271:IG334" si="234">IF($IG$9=TRUE,$IG$11+$IF$12*SIN(IE271*PI()/$IG$13),#N/A)</f>
        <v>#N/A</v>
      </c>
      <c r="IH271" s="379"/>
      <c r="II271" s="379"/>
      <c r="IJ271" s="262" t="e">
        <f t="shared" ref="IJ271:IJ334" si="235">IF($IK$9=TRUE,$IJ$11+$IJ$12*COS(IE271*PI()/$IK$13),#N/A)</f>
        <v>#N/A</v>
      </c>
      <c r="IK271" s="262" t="e">
        <f t="shared" ref="IK271:IK334" si="236">IF($IK$9=TRUE,$IK$11+$IJ$12*SIN(IE271*PI()/$IK$13),#N/A)</f>
        <v>#N/A</v>
      </c>
      <c r="IL271" s="379"/>
      <c r="IM271" s="379"/>
      <c r="IN271" s="262" t="e">
        <f t="shared" ref="IN271:IN334" si="237">IF($IO$9=TRUE,$IN$11+$IN$12*COS(IE271*PI()/$IO$13),#N/A)</f>
        <v>#N/A</v>
      </c>
      <c r="IO271" s="262" t="e">
        <f t="shared" ref="IO271:IO334" si="238">IF($IO$9=TRUE,$IO$11+$IN$12*SIN(IE271*PI()/$IO$13),#N/A)</f>
        <v>#N/A</v>
      </c>
      <c r="IP271" s="379"/>
      <c r="IQ271" s="379"/>
      <c r="IR271" s="262" t="e">
        <f t="shared" ref="IR271:IR334" si="239">IF($IS$9=TRUE,$IR$11+$IR$12*COS(IE271*PI()/$IS$13),#N/A)</f>
        <v>#N/A</v>
      </c>
      <c r="IS271" s="262" t="e">
        <f t="shared" ref="IS271:IS334" si="240">IF($IS$9=TRUE,$IS$11+$IR$12*SIN(IE271*PI()/$IS$13),#N/A)</f>
        <v>#N/A</v>
      </c>
      <c r="IT271" s="379"/>
      <c r="IU271" s="379"/>
      <c r="IV271" s="262" t="e">
        <f t="shared" ref="IV271:IV334" si="241">IF($IW$9=TRUE,$IV$11+$IV$12*COS(IE271*PI()/$IW$13),#N/A)</f>
        <v>#N/A</v>
      </c>
      <c r="IW271" s="262" t="e">
        <f t="shared" ref="IW271:IW334" si="242">IF($IW$9=TRUE,$IW$11+$IV$12*SIN(IE271*PI()/$IW$13),#N/A)</f>
        <v>#N/A</v>
      </c>
      <c r="JN271" s="261" t="e">
        <f t="shared" ref="JN271:JN334" si="243">IF($JO$9=TRUE,$JN$11+$JN$12*COS(IE271*PI()/$JO$13),#N/A)</f>
        <v>#N/A</v>
      </c>
      <c r="JO271" s="261" t="e">
        <f t="shared" ref="JO271:JO334" si="244">IF($JO$9=TRUE,$JO$11+$JN$12*SIN(IE271*PI()/$JO$13),#N/A)</f>
        <v>#N/A</v>
      </c>
      <c r="JR271" s="261" t="e">
        <f t="shared" si="221"/>
        <v>#N/A</v>
      </c>
      <c r="JS271" s="261" t="e">
        <f t="shared" si="222"/>
        <v>#N/A</v>
      </c>
      <c r="JV271" s="261" t="e">
        <f t="shared" ref="JV271:JV334" si="245">IF($JW$9=TRUE,$JV$11+$JV$12*COS(IE271*PI()/$JW$13),#N/A)</f>
        <v>#N/A</v>
      </c>
      <c r="JW271" s="261" t="e">
        <f t="shared" ref="JW271:JW334" si="246">IF($JW$9=TRUE,$JW$11+$JV$12*SIN(IE271*PI()/$JW$13),#N/A)</f>
        <v>#N/A</v>
      </c>
      <c r="PS271" s="342">
        <v>257</v>
      </c>
      <c r="PT271" s="261" t="e">
        <f t="shared" ref="PT271:PT334" si="247">IF($PU$9=TRUE,$PT$11+$PT$12*COS(PS271*PI()/$PU$13),#N/A)</f>
        <v>#N/A</v>
      </c>
      <c r="PU271" s="261" t="e">
        <f t="shared" ref="PU271:PU334" si="248">IF($PU$9=TRUE,$PU$11+$PT$12*SIN(PS271*PI()/$PU$13),#N/A)</f>
        <v>#N/A</v>
      </c>
    </row>
    <row r="272" spans="4:437" x14ac:dyDescent="0.5"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310"/>
      <c r="AQ272" s="310"/>
      <c r="AR272" s="310"/>
      <c r="AS272" s="310"/>
      <c r="AT272" s="310"/>
      <c r="AU272" s="310"/>
      <c r="AV272" s="310"/>
      <c r="AW272" s="310"/>
      <c r="AX272" s="310"/>
      <c r="AY272" s="310"/>
      <c r="AZ272" s="310"/>
      <c r="BA272" s="310"/>
      <c r="HK272" s="342">
        <v>258</v>
      </c>
      <c r="HL272" s="235" t="e">
        <f t="shared" si="223"/>
        <v>#N/A</v>
      </c>
      <c r="HM272" s="235" t="e">
        <f t="shared" si="224"/>
        <v>#N/A</v>
      </c>
      <c r="HP272" s="235" t="e">
        <f t="shared" si="225"/>
        <v>#N/A</v>
      </c>
      <c r="HQ272" s="235" t="e">
        <f t="shared" si="226"/>
        <v>#N/A</v>
      </c>
      <c r="HT272" s="235" t="e">
        <f t="shared" si="227"/>
        <v>#N/A</v>
      </c>
      <c r="HU272" s="235" t="e">
        <f t="shared" si="228"/>
        <v>#N/A</v>
      </c>
      <c r="HX272" s="235" t="e">
        <f t="shared" si="229"/>
        <v>#N/A</v>
      </c>
      <c r="HY272" s="235" t="e">
        <f t="shared" si="230"/>
        <v>#N/A</v>
      </c>
      <c r="IB272" s="235" t="e">
        <f t="shared" si="231"/>
        <v>#N/A</v>
      </c>
      <c r="IC272" s="235" t="e">
        <f t="shared" si="232"/>
        <v>#N/A</v>
      </c>
      <c r="IE272" s="342">
        <v>258</v>
      </c>
      <c r="IF272" s="262" t="e">
        <f t="shared" si="233"/>
        <v>#N/A</v>
      </c>
      <c r="IG272" s="262" t="e">
        <f t="shared" si="234"/>
        <v>#N/A</v>
      </c>
      <c r="IH272" s="379"/>
      <c r="II272" s="379"/>
      <c r="IJ272" s="262" t="e">
        <f t="shared" si="235"/>
        <v>#N/A</v>
      </c>
      <c r="IK272" s="262" t="e">
        <f t="shared" si="236"/>
        <v>#N/A</v>
      </c>
      <c r="IL272" s="379"/>
      <c r="IM272" s="379"/>
      <c r="IN272" s="262" t="e">
        <f t="shared" si="237"/>
        <v>#N/A</v>
      </c>
      <c r="IO272" s="262" t="e">
        <f t="shared" si="238"/>
        <v>#N/A</v>
      </c>
      <c r="IP272" s="379"/>
      <c r="IQ272" s="379"/>
      <c r="IR272" s="262" t="e">
        <f t="shared" si="239"/>
        <v>#N/A</v>
      </c>
      <c r="IS272" s="262" t="e">
        <f t="shared" si="240"/>
        <v>#N/A</v>
      </c>
      <c r="IT272" s="379"/>
      <c r="IU272" s="379"/>
      <c r="IV272" s="262" t="e">
        <f t="shared" si="241"/>
        <v>#N/A</v>
      </c>
      <c r="IW272" s="262" t="e">
        <f t="shared" si="242"/>
        <v>#N/A</v>
      </c>
      <c r="JN272" s="261" t="e">
        <f t="shared" si="243"/>
        <v>#N/A</v>
      </c>
      <c r="JO272" s="261" t="e">
        <f t="shared" si="244"/>
        <v>#N/A</v>
      </c>
      <c r="JR272" s="261" t="e">
        <f t="shared" ref="JR272:JR335" si="249">IF($JS$9=TRUE,$JR$11+$JR$12*COS(IE272*PI()/$JS$13),#N/A)</f>
        <v>#N/A</v>
      </c>
      <c r="JS272" s="261" t="e">
        <f t="shared" ref="JS272:JS335" si="250">IF($JS$9=TRUE,$JS$11+$JR$12*SIN(IE272*PI()/$JS$13),#N/A)</f>
        <v>#N/A</v>
      </c>
      <c r="JV272" s="261" t="e">
        <f t="shared" si="245"/>
        <v>#N/A</v>
      </c>
      <c r="JW272" s="261" t="e">
        <f t="shared" si="246"/>
        <v>#N/A</v>
      </c>
      <c r="PS272" s="342">
        <v>258</v>
      </c>
      <c r="PT272" s="261" t="e">
        <f t="shared" si="247"/>
        <v>#N/A</v>
      </c>
      <c r="PU272" s="261" t="e">
        <f t="shared" si="248"/>
        <v>#N/A</v>
      </c>
    </row>
    <row r="273" spans="4:437" x14ac:dyDescent="0.5"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310"/>
      <c r="AQ273" s="310"/>
      <c r="AR273" s="310"/>
      <c r="AS273" s="310"/>
      <c r="AT273" s="310"/>
      <c r="AU273" s="310"/>
      <c r="AV273" s="310"/>
      <c r="AW273" s="310"/>
      <c r="AX273" s="310"/>
      <c r="AY273" s="310"/>
      <c r="AZ273" s="310"/>
      <c r="BA273" s="310"/>
      <c r="HK273" s="342">
        <v>259</v>
      </c>
      <c r="HL273" s="235" t="e">
        <f t="shared" si="223"/>
        <v>#N/A</v>
      </c>
      <c r="HM273" s="235" t="e">
        <f t="shared" si="224"/>
        <v>#N/A</v>
      </c>
      <c r="HP273" s="235" t="e">
        <f t="shared" si="225"/>
        <v>#N/A</v>
      </c>
      <c r="HQ273" s="235" t="e">
        <f t="shared" si="226"/>
        <v>#N/A</v>
      </c>
      <c r="HT273" s="235" t="e">
        <f t="shared" si="227"/>
        <v>#N/A</v>
      </c>
      <c r="HU273" s="235" t="e">
        <f t="shared" si="228"/>
        <v>#N/A</v>
      </c>
      <c r="HX273" s="235" t="e">
        <f t="shared" si="229"/>
        <v>#N/A</v>
      </c>
      <c r="HY273" s="235" t="e">
        <f t="shared" si="230"/>
        <v>#N/A</v>
      </c>
      <c r="IB273" s="235" t="e">
        <f t="shared" si="231"/>
        <v>#N/A</v>
      </c>
      <c r="IC273" s="235" t="e">
        <f t="shared" si="232"/>
        <v>#N/A</v>
      </c>
      <c r="IE273" s="342">
        <v>259</v>
      </c>
      <c r="IF273" s="262" t="e">
        <f t="shared" si="233"/>
        <v>#N/A</v>
      </c>
      <c r="IG273" s="262" t="e">
        <f t="shared" si="234"/>
        <v>#N/A</v>
      </c>
      <c r="IH273" s="379"/>
      <c r="II273" s="379"/>
      <c r="IJ273" s="262" t="e">
        <f t="shared" si="235"/>
        <v>#N/A</v>
      </c>
      <c r="IK273" s="262" t="e">
        <f t="shared" si="236"/>
        <v>#N/A</v>
      </c>
      <c r="IL273" s="379"/>
      <c r="IM273" s="379"/>
      <c r="IN273" s="262" t="e">
        <f t="shared" si="237"/>
        <v>#N/A</v>
      </c>
      <c r="IO273" s="262" t="e">
        <f t="shared" si="238"/>
        <v>#N/A</v>
      </c>
      <c r="IP273" s="379"/>
      <c r="IQ273" s="379"/>
      <c r="IR273" s="262" t="e">
        <f t="shared" si="239"/>
        <v>#N/A</v>
      </c>
      <c r="IS273" s="262" t="e">
        <f t="shared" si="240"/>
        <v>#N/A</v>
      </c>
      <c r="IT273" s="379"/>
      <c r="IU273" s="379"/>
      <c r="IV273" s="262" t="e">
        <f t="shared" si="241"/>
        <v>#N/A</v>
      </c>
      <c r="IW273" s="262" t="e">
        <f t="shared" si="242"/>
        <v>#N/A</v>
      </c>
      <c r="JN273" s="261" t="e">
        <f t="shared" si="243"/>
        <v>#N/A</v>
      </c>
      <c r="JO273" s="261" t="e">
        <f t="shared" si="244"/>
        <v>#N/A</v>
      </c>
      <c r="JR273" s="261" t="e">
        <f t="shared" si="249"/>
        <v>#N/A</v>
      </c>
      <c r="JS273" s="261" t="e">
        <f t="shared" si="250"/>
        <v>#N/A</v>
      </c>
      <c r="JV273" s="261" t="e">
        <f t="shared" si="245"/>
        <v>#N/A</v>
      </c>
      <c r="JW273" s="261" t="e">
        <f t="shared" si="246"/>
        <v>#N/A</v>
      </c>
      <c r="PS273" s="342">
        <v>259</v>
      </c>
      <c r="PT273" s="261" t="e">
        <f t="shared" si="247"/>
        <v>#N/A</v>
      </c>
      <c r="PU273" s="261" t="e">
        <f t="shared" si="248"/>
        <v>#N/A</v>
      </c>
    </row>
    <row r="274" spans="4:437" x14ac:dyDescent="0.5"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310"/>
      <c r="AQ274" s="310"/>
      <c r="AR274" s="310"/>
      <c r="AS274" s="310"/>
      <c r="AT274" s="310"/>
      <c r="AU274" s="310"/>
      <c r="AV274" s="310"/>
      <c r="AW274" s="310"/>
      <c r="AX274" s="310"/>
      <c r="AY274" s="310"/>
      <c r="AZ274" s="310"/>
      <c r="BA274" s="310"/>
      <c r="HK274" s="342">
        <v>260</v>
      </c>
      <c r="HL274" s="235" t="e">
        <f t="shared" si="223"/>
        <v>#N/A</v>
      </c>
      <c r="HM274" s="235" t="e">
        <f t="shared" si="224"/>
        <v>#N/A</v>
      </c>
      <c r="HP274" s="235" t="e">
        <f t="shared" si="225"/>
        <v>#N/A</v>
      </c>
      <c r="HQ274" s="235" t="e">
        <f t="shared" si="226"/>
        <v>#N/A</v>
      </c>
      <c r="HT274" s="235" t="e">
        <f t="shared" si="227"/>
        <v>#N/A</v>
      </c>
      <c r="HU274" s="235" t="e">
        <f t="shared" si="228"/>
        <v>#N/A</v>
      </c>
      <c r="HX274" s="235" t="e">
        <f t="shared" si="229"/>
        <v>#N/A</v>
      </c>
      <c r="HY274" s="235" t="e">
        <f t="shared" si="230"/>
        <v>#N/A</v>
      </c>
      <c r="IB274" s="235" t="e">
        <f t="shared" si="231"/>
        <v>#N/A</v>
      </c>
      <c r="IC274" s="235" t="e">
        <f t="shared" si="232"/>
        <v>#N/A</v>
      </c>
      <c r="IE274" s="342">
        <v>260</v>
      </c>
      <c r="IF274" s="262" t="e">
        <f t="shared" si="233"/>
        <v>#N/A</v>
      </c>
      <c r="IG274" s="262" t="e">
        <f t="shared" si="234"/>
        <v>#N/A</v>
      </c>
      <c r="IH274" s="379"/>
      <c r="II274" s="379"/>
      <c r="IJ274" s="262" t="e">
        <f t="shared" si="235"/>
        <v>#N/A</v>
      </c>
      <c r="IK274" s="262" t="e">
        <f t="shared" si="236"/>
        <v>#N/A</v>
      </c>
      <c r="IL274" s="379"/>
      <c r="IM274" s="379"/>
      <c r="IN274" s="262" t="e">
        <f t="shared" si="237"/>
        <v>#N/A</v>
      </c>
      <c r="IO274" s="262" t="e">
        <f t="shared" si="238"/>
        <v>#N/A</v>
      </c>
      <c r="IP274" s="379"/>
      <c r="IQ274" s="379"/>
      <c r="IR274" s="262" t="e">
        <f t="shared" si="239"/>
        <v>#N/A</v>
      </c>
      <c r="IS274" s="262" t="e">
        <f t="shared" si="240"/>
        <v>#N/A</v>
      </c>
      <c r="IT274" s="379"/>
      <c r="IU274" s="379"/>
      <c r="IV274" s="262" t="e">
        <f t="shared" si="241"/>
        <v>#N/A</v>
      </c>
      <c r="IW274" s="262" t="e">
        <f t="shared" si="242"/>
        <v>#N/A</v>
      </c>
      <c r="JN274" s="261" t="e">
        <f t="shared" si="243"/>
        <v>#N/A</v>
      </c>
      <c r="JO274" s="261" t="e">
        <f t="shared" si="244"/>
        <v>#N/A</v>
      </c>
      <c r="JR274" s="261" t="e">
        <f t="shared" si="249"/>
        <v>#N/A</v>
      </c>
      <c r="JS274" s="261" t="e">
        <f t="shared" si="250"/>
        <v>#N/A</v>
      </c>
      <c r="JV274" s="261" t="e">
        <f t="shared" si="245"/>
        <v>#N/A</v>
      </c>
      <c r="JW274" s="261" t="e">
        <f t="shared" si="246"/>
        <v>#N/A</v>
      </c>
      <c r="PS274" s="342">
        <v>260</v>
      </c>
      <c r="PT274" s="261" t="e">
        <f t="shared" si="247"/>
        <v>#N/A</v>
      </c>
      <c r="PU274" s="261" t="e">
        <f t="shared" si="248"/>
        <v>#N/A</v>
      </c>
    </row>
    <row r="275" spans="4:437" x14ac:dyDescent="0.5"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310"/>
      <c r="AQ275" s="310"/>
      <c r="AR275" s="310"/>
      <c r="AS275" s="310"/>
      <c r="AT275" s="310"/>
      <c r="AU275" s="310"/>
      <c r="AV275" s="310"/>
      <c r="AW275" s="310"/>
      <c r="AX275" s="310"/>
      <c r="AY275" s="310"/>
      <c r="AZ275" s="310"/>
      <c r="BA275" s="310"/>
      <c r="HK275" s="342">
        <v>261</v>
      </c>
      <c r="HL275" s="235" t="e">
        <f t="shared" si="223"/>
        <v>#N/A</v>
      </c>
      <c r="HM275" s="235" t="e">
        <f t="shared" si="224"/>
        <v>#N/A</v>
      </c>
      <c r="HP275" s="235" t="e">
        <f t="shared" si="225"/>
        <v>#N/A</v>
      </c>
      <c r="HQ275" s="235" t="e">
        <f t="shared" si="226"/>
        <v>#N/A</v>
      </c>
      <c r="HT275" s="235" t="e">
        <f t="shared" si="227"/>
        <v>#N/A</v>
      </c>
      <c r="HU275" s="235" t="e">
        <f t="shared" si="228"/>
        <v>#N/A</v>
      </c>
      <c r="HX275" s="235" t="e">
        <f t="shared" si="229"/>
        <v>#N/A</v>
      </c>
      <c r="HY275" s="235" t="e">
        <f t="shared" si="230"/>
        <v>#N/A</v>
      </c>
      <c r="IB275" s="235" t="e">
        <f t="shared" si="231"/>
        <v>#N/A</v>
      </c>
      <c r="IC275" s="235" t="e">
        <f t="shared" si="232"/>
        <v>#N/A</v>
      </c>
      <c r="IE275" s="342">
        <v>261</v>
      </c>
      <c r="IF275" s="262" t="e">
        <f t="shared" si="233"/>
        <v>#N/A</v>
      </c>
      <c r="IG275" s="262" t="e">
        <f t="shared" si="234"/>
        <v>#N/A</v>
      </c>
      <c r="IH275" s="379"/>
      <c r="II275" s="379"/>
      <c r="IJ275" s="262" t="e">
        <f t="shared" si="235"/>
        <v>#N/A</v>
      </c>
      <c r="IK275" s="262" t="e">
        <f t="shared" si="236"/>
        <v>#N/A</v>
      </c>
      <c r="IL275" s="379"/>
      <c r="IM275" s="379"/>
      <c r="IN275" s="262" t="e">
        <f t="shared" si="237"/>
        <v>#N/A</v>
      </c>
      <c r="IO275" s="262" t="e">
        <f t="shared" si="238"/>
        <v>#N/A</v>
      </c>
      <c r="IP275" s="379"/>
      <c r="IQ275" s="379"/>
      <c r="IR275" s="262" t="e">
        <f t="shared" si="239"/>
        <v>#N/A</v>
      </c>
      <c r="IS275" s="262" t="e">
        <f t="shared" si="240"/>
        <v>#N/A</v>
      </c>
      <c r="IT275" s="379"/>
      <c r="IU275" s="379"/>
      <c r="IV275" s="262" t="e">
        <f t="shared" si="241"/>
        <v>#N/A</v>
      </c>
      <c r="IW275" s="262" t="e">
        <f t="shared" si="242"/>
        <v>#N/A</v>
      </c>
      <c r="JN275" s="261" t="e">
        <f t="shared" si="243"/>
        <v>#N/A</v>
      </c>
      <c r="JO275" s="261" t="e">
        <f t="shared" si="244"/>
        <v>#N/A</v>
      </c>
      <c r="JR275" s="261" t="e">
        <f t="shared" si="249"/>
        <v>#N/A</v>
      </c>
      <c r="JS275" s="261" t="e">
        <f t="shared" si="250"/>
        <v>#N/A</v>
      </c>
      <c r="JV275" s="261" t="e">
        <f t="shared" si="245"/>
        <v>#N/A</v>
      </c>
      <c r="JW275" s="261" t="e">
        <f t="shared" si="246"/>
        <v>#N/A</v>
      </c>
      <c r="PS275" s="342">
        <v>261</v>
      </c>
      <c r="PT275" s="261" t="e">
        <f t="shared" si="247"/>
        <v>#N/A</v>
      </c>
      <c r="PU275" s="261" t="e">
        <f t="shared" si="248"/>
        <v>#N/A</v>
      </c>
    </row>
    <row r="276" spans="4:437" x14ac:dyDescent="0.5"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310"/>
      <c r="AQ276" s="310"/>
      <c r="AR276" s="310"/>
      <c r="AS276" s="310"/>
      <c r="AT276" s="310"/>
      <c r="AU276" s="310"/>
      <c r="AV276" s="310"/>
      <c r="AW276" s="310"/>
      <c r="AX276" s="310"/>
      <c r="AY276" s="310"/>
      <c r="AZ276" s="310"/>
      <c r="BA276" s="310"/>
      <c r="HK276" s="342">
        <v>262</v>
      </c>
      <c r="HL276" s="235" t="e">
        <f t="shared" si="223"/>
        <v>#N/A</v>
      </c>
      <c r="HM276" s="235" t="e">
        <f t="shared" si="224"/>
        <v>#N/A</v>
      </c>
      <c r="HP276" s="235" t="e">
        <f t="shared" si="225"/>
        <v>#N/A</v>
      </c>
      <c r="HQ276" s="235" t="e">
        <f t="shared" si="226"/>
        <v>#N/A</v>
      </c>
      <c r="HT276" s="235" t="e">
        <f t="shared" si="227"/>
        <v>#N/A</v>
      </c>
      <c r="HU276" s="235" t="e">
        <f t="shared" si="228"/>
        <v>#N/A</v>
      </c>
      <c r="HX276" s="235" t="e">
        <f t="shared" si="229"/>
        <v>#N/A</v>
      </c>
      <c r="HY276" s="235" t="e">
        <f t="shared" si="230"/>
        <v>#N/A</v>
      </c>
      <c r="IB276" s="235" t="e">
        <f t="shared" si="231"/>
        <v>#N/A</v>
      </c>
      <c r="IC276" s="235" t="e">
        <f t="shared" si="232"/>
        <v>#N/A</v>
      </c>
      <c r="IE276" s="342">
        <v>262</v>
      </c>
      <c r="IF276" s="262" t="e">
        <f t="shared" si="233"/>
        <v>#N/A</v>
      </c>
      <c r="IG276" s="262" t="e">
        <f t="shared" si="234"/>
        <v>#N/A</v>
      </c>
      <c r="IH276" s="379"/>
      <c r="II276" s="379"/>
      <c r="IJ276" s="262" t="e">
        <f t="shared" si="235"/>
        <v>#N/A</v>
      </c>
      <c r="IK276" s="262" t="e">
        <f t="shared" si="236"/>
        <v>#N/A</v>
      </c>
      <c r="IL276" s="379"/>
      <c r="IM276" s="379"/>
      <c r="IN276" s="262" t="e">
        <f t="shared" si="237"/>
        <v>#N/A</v>
      </c>
      <c r="IO276" s="262" t="e">
        <f t="shared" si="238"/>
        <v>#N/A</v>
      </c>
      <c r="IP276" s="379"/>
      <c r="IQ276" s="379"/>
      <c r="IR276" s="262" t="e">
        <f t="shared" si="239"/>
        <v>#N/A</v>
      </c>
      <c r="IS276" s="262" t="e">
        <f t="shared" si="240"/>
        <v>#N/A</v>
      </c>
      <c r="IT276" s="379"/>
      <c r="IU276" s="379"/>
      <c r="IV276" s="262" t="e">
        <f t="shared" si="241"/>
        <v>#N/A</v>
      </c>
      <c r="IW276" s="262" t="e">
        <f t="shared" si="242"/>
        <v>#N/A</v>
      </c>
      <c r="JN276" s="261" t="e">
        <f t="shared" si="243"/>
        <v>#N/A</v>
      </c>
      <c r="JO276" s="261" t="e">
        <f t="shared" si="244"/>
        <v>#N/A</v>
      </c>
      <c r="JR276" s="261" t="e">
        <f t="shared" si="249"/>
        <v>#N/A</v>
      </c>
      <c r="JS276" s="261" t="e">
        <f t="shared" si="250"/>
        <v>#N/A</v>
      </c>
      <c r="JV276" s="261" t="e">
        <f t="shared" si="245"/>
        <v>#N/A</v>
      </c>
      <c r="JW276" s="261" t="e">
        <f t="shared" si="246"/>
        <v>#N/A</v>
      </c>
      <c r="PS276" s="342">
        <v>262</v>
      </c>
      <c r="PT276" s="261" t="e">
        <f t="shared" si="247"/>
        <v>#N/A</v>
      </c>
      <c r="PU276" s="261" t="e">
        <f t="shared" si="248"/>
        <v>#N/A</v>
      </c>
    </row>
    <row r="277" spans="4:437" x14ac:dyDescent="0.5"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310"/>
      <c r="AQ277" s="310"/>
      <c r="AR277" s="310"/>
      <c r="AS277" s="310"/>
      <c r="AT277" s="310"/>
      <c r="AU277" s="310"/>
      <c r="AV277" s="310"/>
      <c r="AW277" s="310"/>
      <c r="AX277" s="310"/>
      <c r="AY277" s="310"/>
      <c r="AZ277" s="310"/>
      <c r="BA277" s="310"/>
      <c r="HK277" s="342">
        <v>263</v>
      </c>
      <c r="HL277" s="235" t="e">
        <f t="shared" si="223"/>
        <v>#N/A</v>
      </c>
      <c r="HM277" s="235" t="e">
        <f t="shared" si="224"/>
        <v>#N/A</v>
      </c>
      <c r="HP277" s="235" t="e">
        <f t="shared" si="225"/>
        <v>#N/A</v>
      </c>
      <c r="HQ277" s="235" t="e">
        <f t="shared" si="226"/>
        <v>#N/A</v>
      </c>
      <c r="HT277" s="235" t="e">
        <f t="shared" si="227"/>
        <v>#N/A</v>
      </c>
      <c r="HU277" s="235" t="e">
        <f t="shared" si="228"/>
        <v>#N/A</v>
      </c>
      <c r="HX277" s="235" t="e">
        <f t="shared" si="229"/>
        <v>#N/A</v>
      </c>
      <c r="HY277" s="235" t="e">
        <f t="shared" si="230"/>
        <v>#N/A</v>
      </c>
      <c r="IB277" s="235" t="e">
        <f t="shared" si="231"/>
        <v>#N/A</v>
      </c>
      <c r="IC277" s="235" t="e">
        <f t="shared" si="232"/>
        <v>#N/A</v>
      </c>
      <c r="IE277" s="342">
        <v>263</v>
      </c>
      <c r="IF277" s="262" t="e">
        <f t="shared" si="233"/>
        <v>#N/A</v>
      </c>
      <c r="IG277" s="262" t="e">
        <f t="shared" si="234"/>
        <v>#N/A</v>
      </c>
      <c r="IH277" s="379"/>
      <c r="II277" s="379"/>
      <c r="IJ277" s="262" t="e">
        <f t="shared" si="235"/>
        <v>#N/A</v>
      </c>
      <c r="IK277" s="262" t="e">
        <f t="shared" si="236"/>
        <v>#N/A</v>
      </c>
      <c r="IL277" s="379"/>
      <c r="IM277" s="379"/>
      <c r="IN277" s="262" t="e">
        <f t="shared" si="237"/>
        <v>#N/A</v>
      </c>
      <c r="IO277" s="262" t="e">
        <f t="shared" si="238"/>
        <v>#N/A</v>
      </c>
      <c r="IP277" s="379"/>
      <c r="IQ277" s="379"/>
      <c r="IR277" s="262" t="e">
        <f t="shared" si="239"/>
        <v>#N/A</v>
      </c>
      <c r="IS277" s="262" t="e">
        <f t="shared" si="240"/>
        <v>#N/A</v>
      </c>
      <c r="IT277" s="379"/>
      <c r="IU277" s="379"/>
      <c r="IV277" s="262" t="e">
        <f t="shared" si="241"/>
        <v>#N/A</v>
      </c>
      <c r="IW277" s="262" t="e">
        <f t="shared" si="242"/>
        <v>#N/A</v>
      </c>
      <c r="JN277" s="261" t="e">
        <f t="shared" si="243"/>
        <v>#N/A</v>
      </c>
      <c r="JO277" s="261" t="e">
        <f t="shared" si="244"/>
        <v>#N/A</v>
      </c>
      <c r="JR277" s="261" t="e">
        <f t="shared" si="249"/>
        <v>#N/A</v>
      </c>
      <c r="JS277" s="261" t="e">
        <f t="shared" si="250"/>
        <v>#N/A</v>
      </c>
      <c r="JV277" s="261" t="e">
        <f t="shared" si="245"/>
        <v>#N/A</v>
      </c>
      <c r="JW277" s="261" t="e">
        <f t="shared" si="246"/>
        <v>#N/A</v>
      </c>
      <c r="PS277" s="342">
        <v>263</v>
      </c>
      <c r="PT277" s="261" t="e">
        <f t="shared" si="247"/>
        <v>#N/A</v>
      </c>
      <c r="PU277" s="261" t="e">
        <f t="shared" si="248"/>
        <v>#N/A</v>
      </c>
    </row>
    <row r="278" spans="4:437" x14ac:dyDescent="0.5"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310"/>
      <c r="AQ278" s="310"/>
      <c r="AR278" s="310"/>
      <c r="AS278" s="310"/>
      <c r="AT278" s="310"/>
      <c r="AU278" s="310"/>
      <c r="AV278" s="310"/>
      <c r="AW278" s="310"/>
      <c r="AX278" s="310"/>
      <c r="AY278" s="310"/>
      <c r="AZ278" s="310"/>
      <c r="BA278" s="310"/>
      <c r="HK278" s="342">
        <v>264</v>
      </c>
      <c r="HL278" s="235" t="e">
        <f t="shared" si="223"/>
        <v>#N/A</v>
      </c>
      <c r="HM278" s="235" t="e">
        <f t="shared" si="224"/>
        <v>#N/A</v>
      </c>
      <c r="HP278" s="235" t="e">
        <f t="shared" si="225"/>
        <v>#N/A</v>
      </c>
      <c r="HQ278" s="235" t="e">
        <f t="shared" si="226"/>
        <v>#N/A</v>
      </c>
      <c r="HT278" s="235" t="e">
        <f t="shared" si="227"/>
        <v>#N/A</v>
      </c>
      <c r="HU278" s="235" t="e">
        <f t="shared" si="228"/>
        <v>#N/A</v>
      </c>
      <c r="HX278" s="235" t="e">
        <f t="shared" si="229"/>
        <v>#N/A</v>
      </c>
      <c r="HY278" s="235" t="e">
        <f t="shared" si="230"/>
        <v>#N/A</v>
      </c>
      <c r="IB278" s="235" t="e">
        <f t="shared" si="231"/>
        <v>#N/A</v>
      </c>
      <c r="IC278" s="235" t="e">
        <f t="shared" si="232"/>
        <v>#N/A</v>
      </c>
      <c r="IE278" s="342">
        <v>264</v>
      </c>
      <c r="IF278" s="262" t="e">
        <f t="shared" si="233"/>
        <v>#N/A</v>
      </c>
      <c r="IG278" s="262" t="e">
        <f t="shared" si="234"/>
        <v>#N/A</v>
      </c>
      <c r="IH278" s="379"/>
      <c r="II278" s="379"/>
      <c r="IJ278" s="262" t="e">
        <f t="shared" si="235"/>
        <v>#N/A</v>
      </c>
      <c r="IK278" s="262" t="e">
        <f t="shared" si="236"/>
        <v>#N/A</v>
      </c>
      <c r="IL278" s="379"/>
      <c r="IM278" s="379"/>
      <c r="IN278" s="262" t="e">
        <f t="shared" si="237"/>
        <v>#N/A</v>
      </c>
      <c r="IO278" s="262" t="e">
        <f t="shared" si="238"/>
        <v>#N/A</v>
      </c>
      <c r="IP278" s="379"/>
      <c r="IQ278" s="379"/>
      <c r="IR278" s="262" t="e">
        <f t="shared" si="239"/>
        <v>#N/A</v>
      </c>
      <c r="IS278" s="262" t="e">
        <f t="shared" si="240"/>
        <v>#N/A</v>
      </c>
      <c r="IT278" s="379"/>
      <c r="IU278" s="379"/>
      <c r="IV278" s="262" t="e">
        <f t="shared" si="241"/>
        <v>#N/A</v>
      </c>
      <c r="IW278" s="262" t="e">
        <f t="shared" si="242"/>
        <v>#N/A</v>
      </c>
      <c r="JN278" s="261" t="e">
        <f t="shared" si="243"/>
        <v>#N/A</v>
      </c>
      <c r="JO278" s="261" t="e">
        <f t="shared" si="244"/>
        <v>#N/A</v>
      </c>
      <c r="JR278" s="261" t="e">
        <f t="shared" si="249"/>
        <v>#N/A</v>
      </c>
      <c r="JS278" s="261" t="e">
        <f t="shared" si="250"/>
        <v>#N/A</v>
      </c>
      <c r="JV278" s="261" t="e">
        <f t="shared" si="245"/>
        <v>#N/A</v>
      </c>
      <c r="JW278" s="261" t="e">
        <f t="shared" si="246"/>
        <v>#N/A</v>
      </c>
      <c r="PS278" s="342">
        <v>264</v>
      </c>
      <c r="PT278" s="261" t="e">
        <f t="shared" si="247"/>
        <v>#N/A</v>
      </c>
      <c r="PU278" s="261" t="e">
        <f t="shared" si="248"/>
        <v>#N/A</v>
      </c>
    </row>
    <row r="279" spans="4:437" x14ac:dyDescent="0.5"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310"/>
      <c r="AQ279" s="310"/>
      <c r="AR279" s="310"/>
      <c r="AS279" s="310"/>
      <c r="AT279" s="310"/>
      <c r="AU279" s="310"/>
      <c r="AV279" s="310"/>
      <c r="AW279" s="310"/>
      <c r="AX279" s="310"/>
      <c r="AY279" s="310"/>
      <c r="AZ279" s="310"/>
      <c r="BA279" s="310"/>
      <c r="HK279" s="342">
        <v>265</v>
      </c>
      <c r="HL279" s="235" t="e">
        <f t="shared" si="223"/>
        <v>#N/A</v>
      </c>
      <c r="HM279" s="235" t="e">
        <f t="shared" si="224"/>
        <v>#N/A</v>
      </c>
      <c r="HP279" s="235" t="e">
        <f t="shared" si="225"/>
        <v>#N/A</v>
      </c>
      <c r="HQ279" s="235" t="e">
        <f t="shared" si="226"/>
        <v>#N/A</v>
      </c>
      <c r="HT279" s="235" t="e">
        <f t="shared" si="227"/>
        <v>#N/A</v>
      </c>
      <c r="HU279" s="235" t="e">
        <f t="shared" si="228"/>
        <v>#N/A</v>
      </c>
      <c r="HX279" s="235" t="e">
        <f t="shared" si="229"/>
        <v>#N/A</v>
      </c>
      <c r="HY279" s="235" t="e">
        <f t="shared" si="230"/>
        <v>#N/A</v>
      </c>
      <c r="IB279" s="235" t="e">
        <f t="shared" si="231"/>
        <v>#N/A</v>
      </c>
      <c r="IC279" s="235" t="e">
        <f t="shared" si="232"/>
        <v>#N/A</v>
      </c>
      <c r="IE279" s="342">
        <v>265</v>
      </c>
      <c r="IF279" s="262" t="e">
        <f t="shared" si="233"/>
        <v>#N/A</v>
      </c>
      <c r="IG279" s="262" t="e">
        <f t="shared" si="234"/>
        <v>#N/A</v>
      </c>
      <c r="IH279" s="379"/>
      <c r="II279" s="379"/>
      <c r="IJ279" s="262" t="e">
        <f t="shared" si="235"/>
        <v>#N/A</v>
      </c>
      <c r="IK279" s="262" t="e">
        <f t="shared" si="236"/>
        <v>#N/A</v>
      </c>
      <c r="IL279" s="379"/>
      <c r="IM279" s="379"/>
      <c r="IN279" s="262" t="e">
        <f t="shared" si="237"/>
        <v>#N/A</v>
      </c>
      <c r="IO279" s="262" t="e">
        <f t="shared" si="238"/>
        <v>#N/A</v>
      </c>
      <c r="IP279" s="379"/>
      <c r="IQ279" s="379"/>
      <c r="IR279" s="262" t="e">
        <f t="shared" si="239"/>
        <v>#N/A</v>
      </c>
      <c r="IS279" s="262" t="e">
        <f t="shared" si="240"/>
        <v>#N/A</v>
      </c>
      <c r="IT279" s="379"/>
      <c r="IU279" s="379"/>
      <c r="IV279" s="262" t="e">
        <f t="shared" si="241"/>
        <v>#N/A</v>
      </c>
      <c r="IW279" s="262" t="e">
        <f t="shared" si="242"/>
        <v>#N/A</v>
      </c>
      <c r="JN279" s="261" t="e">
        <f t="shared" si="243"/>
        <v>#N/A</v>
      </c>
      <c r="JO279" s="261" t="e">
        <f t="shared" si="244"/>
        <v>#N/A</v>
      </c>
      <c r="JR279" s="261" t="e">
        <f t="shared" si="249"/>
        <v>#N/A</v>
      </c>
      <c r="JS279" s="261" t="e">
        <f t="shared" si="250"/>
        <v>#N/A</v>
      </c>
      <c r="JV279" s="261" t="e">
        <f t="shared" si="245"/>
        <v>#N/A</v>
      </c>
      <c r="JW279" s="261" t="e">
        <f t="shared" si="246"/>
        <v>#N/A</v>
      </c>
      <c r="PS279" s="342">
        <v>265</v>
      </c>
      <c r="PT279" s="261" t="e">
        <f t="shared" si="247"/>
        <v>#N/A</v>
      </c>
      <c r="PU279" s="261" t="e">
        <f t="shared" si="248"/>
        <v>#N/A</v>
      </c>
    </row>
    <row r="280" spans="4:437" x14ac:dyDescent="0.5"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310"/>
      <c r="AQ280" s="310"/>
      <c r="AR280" s="310"/>
      <c r="AS280" s="310"/>
      <c r="AT280" s="310"/>
      <c r="AU280" s="310"/>
      <c r="AV280" s="310"/>
      <c r="AW280" s="310"/>
      <c r="AX280" s="310"/>
      <c r="AY280" s="310"/>
      <c r="AZ280" s="310"/>
      <c r="BA280" s="310"/>
      <c r="HK280" s="342">
        <v>266</v>
      </c>
      <c r="HL280" s="235" t="e">
        <f t="shared" si="223"/>
        <v>#N/A</v>
      </c>
      <c r="HM280" s="235" t="e">
        <f t="shared" si="224"/>
        <v>#N/A</v>
      </c>
      <c r="HP280" s="235" t="e">
        <f t="shared" si="225"/>
        <v>#N/A</v>
      </c>
      <c r="HQ280" s="235" t="e">
        <f t="shared" si="226"/>
        <v>#N/A</v>
      </c>
      <c r="HT280" s="235" t="e">
        <f t="shared" si="227"/>
        <v>#N/A</v>
      </c>
      <c r="HU280" s="235" t="e">
        <f t="shared" si="228"/>
        <v>#N/A</v>
      </c>
      <c r="HX280" s="235" t="e">
        <f t="shared" si="229"/>
        <v>#N/A</v>
      </c>
      <c r="HY280" s="235" t="e">
        <f t="shared" si="230"/>
        <v>#N/A</v>
      </c>
      <c r="IB280" s="235" t="e">
        <f t="shared" si="231"/>
        <v>#N/A</v>
      </c>
      <c r="IC280" s="235" t="e">
        <f t="shared" si="232"/>
        <v>#N/A</v>
      </c>
      <c r="IE280" s="342">
        <v>266</v>
      </c>
      <c r="IF280" s="262" t="e">
        <f t="shared" si="233"/>
        <v>#N/A</v>
      </c>
      <c r="IG280" s="262" t="e">
        <f t="shared" si="234"/>
        <v>#N/A</v>
      </c>
      <c r="IH280" s="379"/>
      <c r="II280" s="379"/>
      <c r="IJ280" s="262" t="e">
        <f t="shared" si="235"/>
        <v>#N/A</v>
      </c>
      <c r="IK280" s="262" t="e">
        <f t="shared" si="236"/>
        <v>#N/A</v>
      </c>
      <c r="IL280" s="379"/>
      <c r="IM280" s="379"/>
      <c r="IN280" s="262" t="e">
        <f t="shared" si="237"/>
        <v>#N/A</v>
      </c>
      <c r="IO280" s="262" t="e">
        <f t="shared" si="238"/>
        <v>#N/A</v>
      </c>
      <c r="IP280" s="379"/>
      <c r="IQ280" s="379"/>
      <c r="IR280" s="262" t="e">
        <f t="shared" si="239"/>
        <v>#N/A</v>
      </c>
      <c r="IS280" s="262" t="e">
        <f t="shared" si="240"/>
        <v>#N/A</v>
      </c>
      <c r="IT280" s="379"/>
      <c r="IU280" s="379"/>
      <c r="IV280" s="262" t="e">
        <f t="shared" si="241"/>
        <v>#N/A</v>
      </c>
      <c r="IW280" s="262" t="e">
        <f t="shared" si="242"/>
        <v>#N/A</v>
      </c>
      <c r="JN280" s="261" t="e">
        <f t="shared" si="243"/>
        <v>#N/A</v>
      </c>
      <c r="JO280" s="261" t="e">
        <f t="shared" si="244"/>
        <v>#N/A</v>
      </c>
      <c r="JR280" s="261" t="e">
        <f t="shared" si="249"/>
        <v>#N/A</v>
      </c>
      <c r="JS280" s="261" t="e">
        <f t="shared" si="250"/>
        <v>#N/A</v>
      </c>
      <c r="JV280" s="261" t="e">
        <f t="shared" si="245"/>
        <v>#N/A</v>
      </c>
      <c r="JW280" s="261" t="e">
        <f t="shared" si="246"/>
        <v>#N/A</v>
      </c>
      <c r="PS280" s="342">
        <v>266</v>
      </c>
      <c r="PT280" s="261" t="e">
        <f t="shared" si="247"/>
        <v>#N/A</v>
      </c>
      <c r="PU280" s="261" t="e">
        <f t="shared" si="248"/>
        <v>#N/A</v>
      </c>
    </row>
    <row r="281" spans="4:437" x14ac:dyDescent="0.5"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310"/>
      <c r="AQ281" s="310"/>
      <c r="AR281" s="310"/>
      <c r="AS281" s="310"/>
      <c r="AT281" s="310"/>
      <c r="AU281" s="310"/>
      <c r="AV281" s="310"/>
      <c r="AW281" s="310"/>
      <c r="AX281" s="310"/>
      <c r="AY281" s="310"/>
      <c r="AZ281" s="310"/>
      <c r="BA281" s="310"/>
      <c r="HK281" s="342">
        <v>267</v>
      </c>
      <c r="HL281" s="235" t="e">
        <f t="shared" si="223"/>
        <v>#N/A</v>
      </c>
      <c r="HM281" s="235" t="e">
        <f t="shared" si="224"/>
        <v>#N/A</v>
      </c>
      <c r="HP281" s="235" t="e">
        <f t="shared" si="225"/>
        <v>#N/A</v>
      </c>
      <c r="HQ281" s="235" t="e">
        <f t="shared" si="226"/>
        <v>#N/A</v>
      </c>
      <c r="HT281" s="235" t="e">
        <f t="shared" si="227"/>
        <v>#N/A</v>
      </c>
      <c r="HU281" s="235" t="e">
        <f t="shared" si="228"/>
        <v>#N/A</v>
      </c>
      <c r="HX281" s="235" t="e">
        <f t="shared" si="229"/>
        <v>#N/A</v>
      </c>
      <c r="HY281" s="235" t="e">
        <f t="shared" si="230"/>
        <v>#N/A</v>
      </c>
      <c r="IB281" s="235" t="e">
        <f t="shared" si="231"/>
        <v>#N/A</v>
      </c>
      <c r="IC281" s="235" t="e">
        <f t="shared" si="232"/>
        <v>#N/A</v>
      </c>
      <c r="IE281" s="342">
        <v>267</v>
      </c>
      <c r="IF281" s="262" t="e">
        <f t="shared" si="233"/>
        <v>#N/A</v>
      </c>
      <c r="IG281" s="262" t="e">
        <f t="shared" si="234"/>
        <v>#N/A</v>
      </c>
      <c r="IH281" s="379"/>
      <c r="II281" s="379"/>
      <c r="IJ281" s="262" t="e">
        <f t="shared" si="235"/>
        <v>#N/A</v>
      </c>
      <c r="IK281" s="262" t="e">
        <f t="shared" si="236"/>
        <v>#N/A</v>
      </c>
      <c r="IL281" s="379"/>
      <c r="IM281" s="379"/>
      <c r="IN281" s="262" t="e">
        <f t="shared" si="237"/>
        <v>#N/A</v>
      </c>
      <c r="IO281" s="262" t="e">
        <f t="shared" si="238"/>
        <v>#N/A</v>
      </c>
      <c r="IP281" s="379"/>
      <c r="IQ281" s="379"/>
      <c r="IR281" s="262" t="e">
        <f t="shared" si="239"/>
        <v>#N/A</v>
      </c>
      <c r="IS281" s="262" t="e">
        <f t="shared" si="240"/>
        <v>#N/A</v>
      </c>
      <c r="IT281" s="379"/>
      <c r="IU281" s="379"/>
      <c r="IV281" s="262" t="e">
        <f t="shared" si="241"/>
        <v>#N/A</v>
      </c>
      <c r="IW281" s="262" t="e">
        <f t="shared" si="242"/>
        <v>#N/A</v>
      </c>
      <c r="JN281" s="261" t="e">
        <f t="shared" si="243"/>
        <v>#N/A</v>
      </c>
      <c r="JO281" s="261" t="e">
        <f t="shared" si="244"/>
        <v>#N/A</v>
      </c>
      <c r="JR281" s="261" t="e">
        <f t="shared" si="249"/>
        <v>#N/A</v>
      </c>
      <c r="JS281" s="261" t="e">
        <f t="shared" si="250"/>
        <v>#N/A</v>
      </c>
      <c r="JV281" s="261" t="e">
        <f t="shared" si="245"/>
        <v>#N/A</v>
      </c>
      <c r="JW281" s="261" t="e">
        <f t="shared" si="246"/>
        <v>#N/A</v>
      </c>
      <c r="PS281" s="342">
        <v>267</v>
      </c>
      <c r="PT281" s="261" t="e">
        <f t="shared" si="247"/>
        <v>#N/A</v>
      </c>
      <c r="PU281" s="261" t="e">
        <f t="shared" si="248"/>
        <v>#N/A</v>
      </c>
    </row>
    <row r="282" spans="4:437" x14ac:dyDescent="0.5"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310"/>
      <c r="AQ282" s="310"/>
      <c r="AR282" s="310"/>
      <c r="AS282" s="310"/>
      <c r="AT282" s="310"/>
      <c r="AU282" s="310"/>
      <c r="AV282" s="310"/>
      <c r="AW282" s="310"/>
      <c r="AX282" s="310"/>
      <c r="AY282" s="310"/>
      <c r="AZ282" s="310"/>
      <c r="BA282" s="310"/>
      <c r="HK282" s="342">
        <v>268</v>
      </c>
      <c r="HL282" s="235" t="e">
        <f t="shared" si="223"/>
        <v>#N/A</v>
      </c>
      <c r="HM282" s="235" t="e">
        <f t="shared" si="224"/>
        <v>#N/A</v>
      </c>
      <c r="HP282" s="235" t="e">
        <f t="shared" si="225"/>
        <v>#N/A</v>
      </c>
      <c r="HQ282" s="235" t="e">
        <f t="shared" si="226"/>
        <v>#N/A</v>
      </c>
      <c r="HT282" s="235" t="e">
        <f t="shared" si="227"/>
        <v>#N/A</v>
      </c>
      <c r="HU282" s="235" t="e">
        <f t="shared" si="228"/>
        <v>#N/A</v>
      </c>
      <c r="HX282" s="235" t="e">
        <f t="shared" si="229"/>
        <v>#N/A</v>
      </c>
      <c r="HY282" s="235" t="e">
        <f t="shared" si="230"/>
        <v>#N/A</v>
      </c>
      <c r="IB282" s="235" t="e">
        <f t="shared" si="231"/>
        <v>#N/A</v>
      </c>
      <c r="IC282" s="235" t="e">
        <f t="shared" si="232"/>
        <v>#N/A</v>
      </c>
      <c r="IE282" s="342">
        <v>268</v>
      </c>
      <c r="IF282" s="262" t="e">
        <f t="shared" si="233"/>
        <v>#N/A</v>
      </c>
      <c r="IG282" s="262" t="e">
        <f t="shared" si="234"/>
        <v>#N/A</v>
      </c>
      <c r="IH282" s="379"/>
      <c r="II282" s="379"/>
      <c r="IJ282" s="262" t="e">
        <f t="shared" si="235"/>
        <v>#N/A</v>
      </c>
      <c r="IK282" s="262" t="e">
        <f t="shared" si="236"/>
        <v>#N/A</v>
      </c>
      <c r="IL282" s="379"/>
      <c r="IM282" s="379"/>
      <c r="IN282" s="262" t="e">
        <f t="shared" si="237"/>
        <v>#N/A</v>
      </c>
      <c r="IO282" s="262" t="e">
        <f t="shared" si="238"/>
        <v>#N/A</v>
      </c>
      <c r="IP282" s="379"/>
      <c r="IQ282" s="379"/>
      <c r="IR282" s="262" t="e">
        <f t="shared" si="239"/>
        <v>#N/A</v>
      </c>
      <c r="IS282" s="262" t="e">
        <f t="shared" si="240"/>
        <v>#N/A</v>
      </c>
      <c r="IT282" s="379"/>
      <c r="IU282" s="379"/>
      <c r="IV282" s="262" t="e">
        <f t="shared" si="241"/>
        <v>#N/A</v>
      </c>
      <c r="IW282" s="262" t="e">
        <f t="shared" si="242"/>
        <v>#N/A</v>
      </c>
      <c r="JN282" s="261" t="e">
        <f t="shared" si="243"/>
        <v>#N/A</v>
      </c>
      <c r="JO282" s="261" t="e">
        <f t="shared" si="244"/>
        <v>#N/A</v>
      </c>
      <c r="JR282" s="261" t="e">
        <f t="shared" si="249"/>
        <v>#N/A</v>
      </c>
      <c r="JS282" s="261" t="e">
        <f t="shared" si="250"/>
        <v>#N/A</v>
      </c>
      <c r="JV282" s="261" t="e">
        <f t="shared" si="245"/>
        <v>#N/A</v>
      </c>
      <c r="JW282" s="261" t="e">
        <f t="shared" si="246"/>
        <v>#N/A</v>
      </c>
      <c r="PS282" s="342">
        <v>268</v>
      </c>
      <c r="PT282" s="261" t="e">
        <f t="shared" si="247"/>
        <v>#N/A</v>
      </c>
      <c r="PU282" s="261" t="e">
        <f t="shared" si="248"/>
        <v>#N/A</v>
      </c>
    </row>
    <row r="283" spans="4:437" x14ac:dyDescent="0.5"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310"/>
      <c r="AQ283" s="310"/>
      <c r="AR283" s="310"/>
      <c r="AS283" s="310"/>
      <c r="AT283" s="310"/>
      <c r="AU283" s="310"/>
      <c r="AV283" s="310"/>
      <c r="AW283" s="310"/>
      <c r="AX283" s="310"/>
      <c r="AY283" s="310"/>
      <c r="AZ283" s="310"/>
      <c r="BA283" s="310"/>
      <c r="HK283" s="342">
        <v>269</v>
      </c>
      <c r="HL283" s="235" t="e">
        <f t="shared" si="223"/>
        <v>#N/A</v>
      </c>
      <c r="HM283" s="235" t="e">
        <f t="shared" si="224"/>
        <v>#N/A</v>
      </c>
      <c r="HP283" s="235" t="e">
        <f t="shared" si="225"/>
        <v>#N/A</v>
      </c>
      <c r="HQ283" s="235" t="e">
        <f t="shared" si="226"/>
        <v>#N/A</v>
      </c>
      <c r="HT283" s="235" t="e">
        <f t="shared" si="227"/>
        <v>#N/A</v>
      </c>
      <c r="HU283" s="235" t="e">
        <f t="shared" si="228"/>
        <v>#N/A</v>
      </c>
      <c r="HX283" s="235" t="e">
        <f t="shared" si="229"/>
        <v>#N/A</v>
      </c>
      <c r="HY283" s="235" t="e">
        <f t="shared" si="230"/>
        <v>#N/A</v>
      </c>
      <c r="IB283" s="235" t="e">
        <f t="shared" si="231"/>
        <v>#N/A</v>
      </c>
      <c r="IC283" s="235" t="e">
        <f t="shared" si="232"/>
        <v>#N/A</v>
      </c>
      <c r="IE283" s="342">
        <v>269</v>
      </c>
      <c r="IF283" s="262" t="e">
        <f t="shared" si="233"/>
        <v>#N/A</v>
      </c>
      <c r="IG283" s="262" t="e">
        <f t="shared" si="234"/>
        <v>#N/A</v>
      </c>
      <c r="IH283" s="379"/>
      <c r="II283" s="379"/>
      <c r="IJ283" s="262" t="e">
        <f t="shared" si="235"/>
        <v>#N/A</v>
      </c>
      <c r="IK283" s="262" t="e">
        <f t="shared" si="236"/>
        <v>#N/A</v>
      </c>
      <c r="IL283" s="379"/>
      <c r="IM283" s="379"/>
      <c r="IN283" s="262" t="e">
        <f t="shared" si="237"/>
        <v>#N/A</v>
      </c>
      <c r="IO283" s="262" t="e">
        <f t="shared" si="238"/>
        <v>#N/A</v>
      </c>
      <c r="IP283" s="379"/>
      <c r="IQ283" s="379"/>
      <c r="IR283" s="262" t="e">
        <f t="shared" si="239"/>
        <v>#N/A</v>
      </c>
      <c r="IS283" s="262" t="e">
        <f t="shared" si="240"/>
        <v>#N/A</v>
      </c>
      <c r="IT283" s="379"/>
      <c r="IU283" s="379"/>
      <c r="IV283" s="262" t="e">
        <f t="shared" si="241"/>
        <v>#N/A</v>
      </c>
      <c r="IW283" s="262" t="e">
        <f t="shared" si="242"/>
        <v>#N/A</v>
      </c>
      <c r="JN283" s="261" t="e">
        <f t="shared" si="243"/>
        <v>#N/A</v>
      </c>
      <c r="JO283" s="261" t="e">
        <f t="shared" si="244"/>
        <v>#N/A</v>
      </c>
      <c r="JR283" s="261" t="e">
        <f t="shared" si="249"/>
        <v>#N/A</v>
      </c>
      <c r="JS283" s="261" t="e">
        <f t="shared" si="250"/>
        <v>#N/A</v>
      </c>
      <c r="JV283" s="261" t="e">
        <f t="shared" si="245"/>
        <v>#N/A</v>
      </c>
      <c r="JW283" s="261" t="e">
        <f t="shared" si="246"/>
        <v>#N/A</v>
      </c>
      <c r="PS283" s="342">
        <v>269</v>
      </c>
      <c r="PT283" s="261" t="e">
        <f t="shared" si="247"/>
        <v>#N/A</v>
      </c>
      <c r="PU283" s="261" t="e">
        <f t="shared" si="248"/>
        <v>#N/A</v>
      </c>
    </row>
    <row r="284" spans="4:437" x14ac:dyDescent="0.5"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310"/>
      <c r="AQ284" s="310"/>
      <c r="AR284" s="310"/>
      <c r="AS284" s="310"/>
      <c r="AT284" s="310"/>
      <c r="AU284" s="310"/>
      <c r="AV284" s="310"/>
      <c r="AW284" s="310"/>
      <c r="AX284" s="310"/>
      <c r="AY284" s="310"/>
      <c r="AZ284" s="310"/>
      <c r="BA284" s="310"/>
      <c r="HK284" s="342">
        <v>270</v>
      </c>
      <c r="HL284" s="235" t="e">
        <f t="shared" si="223"/>
        <v>#N/A</v>
      </c>
      <c r="HM284" s="235" t="e">
        <f t="shared" si="224"/>
        <v>#N/A</v>
      </c>
      <c r="HP284" s="235" t="e">
        <f t="shared" si="225"/>
        <v>#N/A</v>
      </c>
      <c r="HQ284" s="235" t="e">
        <f t="shared" si="226"/>
        <v>#N/A</v>
      </c>
      <c r="HT284" s="235" t="e">
        <f t="shared" si="227"/>
        <v>#N/A</v>
      </c>
      <c r="HU284" s="235" t="e">
        <f t="shared" si="228"/>
        <v>#N/A</v>
      </c>
      <c r="HX284" s="235" t="e">
        <f t="shared" si="229"/>
        <v>#N/A</v>
      </c>
      <c r="HY284" s="235" t="e">
        <f t="shared" si="230"/>
        <v>#N/A</v>
      </c>
      <c r="IB284" s="235" t="e">
        <f t="shared" si="231"/>
        <v>#N/A</v>
      </c>
      <c r="IC284" s="235" t="e">
        <f t="shared" si="232"/>
        <v>#N/A</v>
      </c>
      <c r="IE284" s="342">
        <v>270</v>
      </c>
      <c r="IF284" s="262" t="e">
        <f t="shared" si="233"/>
        <v>#N/A</v>
      </c>
      <c r="IG284" s="262" t="e">
        <f t="shared" si="234"/>
        <v>#N/A</v>
      </c>
      <c r="IH284" s="379"/>
      <c r="II284" s="379"/>
      <c r="IJ284" s="262" t="e">
        <f t="shared" si="235"/>
        <v>#N/A</v>
      </c>
      <c r="IK284" s="262" t="e">
        <f t="shared" si="236"/>
        <v>#N/A</v>
      </c>
      <c r="IL284" s="379"/>
      <c r="IM284" s="379"/>
      <c r="IN284" s="262" t="e">
        <f t="shared" si="237"/>
        <v>#N/A</v>
      </c>
      <c r="IO284" s="262" t="e">
        <f t="shared" si="238"/>
        <v>#N/A</v>
      </c>
      <c r="IP284" s="379"/>
      <c r="IQ284" s="379"/>
      <c r="IR284" s="262" t="e">
        <f t="shared" si="239"/>
        <v>#N/A</v>
      </c>
      <c r="IS284" s="262" t="e">
        <f t="shared" si="240"/>
        <v>#N/A</v>
      </c>
      <c r="IT284" s="379"/>
      <c r="IU284" s="379"/>
      <c r="IV284" s="262" t="e">
        <f t="shared" si="241"/>
        <v>#N/A</v>
      </c>
      <c r="IW284" s="262" t="e">
        <f t="shared" si="242"/>
        <v>#N/A</v>
      </c>
      <c r="JN284" s="261" t="e">
        <f t="shared" si="243"/>
        <v>#N/A</v>
      </c>
      <c r="JO284" s="261" t="e">
        <f t="shared" si="244"/>
        <v>#N/A</v>
      </c>
      <c r="JR284" s="261" t="e">
        <f t="shared" si="249"/>
        <v>#N/A</v>
      </c>
      <c r="JS284" s="261" t="e">
        <f t="shared" si="250"/>
        <v>#N/A</v>
      </c>
      <c r="JV284" s="261" t="e">
        <f t="shared" si="245"/>
        <v>#N/A</v>
      </c>
      <c r="JW284" s="261" t="e">
        <f t="shared" si="246"/>
        <v>#N/A</v>
      </c>
      <c r="PS284" s="342">
        <v>270</v>
      </c>
      <c r="PT284" s="261" t="e">
        <f t="shared" si="247"/>
        <v>#N/A</v>
      </c>
      <c r="PU284" s="261" t="e">
        <f t="shared" si="248"/>
        <v>#N/A</v>
      </c>
    </row>
    <row r="285" spans="4:437" x14ac:dyDescent="0.5"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310"/>
      <c r="AQ285" s="310"/>
      <c r="AR285" s="310"/>
      <c r="AS285" s="310"/>
      <c r="AT285" s="310"/>
      <c r="AU285" s="310"/>
      <c r="AV285" s="310"/>
      <c r="AW285" s="310"/>
      <c r="AX285" s="310"/>
      <c r="AY285" s="310"/>
      <c r="AZ285" s="310"/>
      <c r="BA285" s="310"/>
      <c r="HK285" s="342">
        <v>271</v>
      </c>
      <c r="HL285" s="235" t="e">
        <f t="shared" si="223"/>
        <v>#N/A</v>
      </c>
      <c r="HM285" s="235" t="e">
        <f t="shared" si="224"/>
        <v>#N/A</v>
      </c>
      <c r="HP285" s="235" t="e">
        <f t="shared" si="225"/>
        <v>#N/A</v>
      </c>
      <c r="HQ285" s="235" t="e">
        <f t="shared" si="226"/>
        <v>#N/A</v>
      </c>
      <c r="HT285" s="235" t="e">
        <f t="shared" si="227"/>
        <v>#N/A</v>
      </c>
      <c r="HU285" s="235" t="e">
        <f t="shared" si="228"/>
        <v>#N/A</v>
      </c>
      <c r="HX285" s="235" t="e">
        <f t="shared" si="229"/>
        <v>#N/A</v>
      </c>
      <c r="HY285" s="235" t="e">
        <f t="shared" si="230"/>
        <v>#N/A</v>
      </c>
      <c r="IB285" s="235" t="e">
        <f t="shared" si="231"/>
        <v>#N/A</v>
      </c>
      <c r="IC285" s="235" t="e">
        <f t="shared" si="232"/>
        <v>#N/A</v>
      </c>
      <c r="IE285" s="342">
        <v>271</v>
      </c>
      <c r="IF285" s="262" t="e">
        <f t="shared" si="233"/>
        <v>#N/A</v>
      </c>
      <c r="IG285" s="262" t="e">
        <f t="shared" si="234"/>
        <v>#N/A</v>
      </c>
      <c r="IH285" s="379"/>
      <c r="II285" s="379"/>
      <c r="IJ285" s="262" t="e">
        <f t="shared" si="235"/>
        <v>#N/A</v>
      </c>
      <c r="IK285" s="262" t="e">
        <f t="shared" si="236"/>
        <v>#N/A</v>
      </c>
      <c r="IL285" s="379"/>
      <c r="IM285" s="379"/>
      <c r="IN285" s="262" t="e">
        <f t="shared" si="237"/>
        <v>#N/A</v>
      </c>
      <c r="IO285" s="262" t="e">
        <f t="shared" si="238"/>
        <v>#N/A</v>
      </c>
      <c r="IP285" s="379"/>
      <c r="IQ285" s="379"/>
      <c r="IR285" s="262" t="e">
        <f t="shared" si="239"/>
        <v>#N/A</v>
      </c>
      <c r="IS285" s="262" t="e">
        <f t="shared" si="240"/>
        <v>#N/A</v>
      </c>
      <c r="IT285" s="379"/>
      <c r="IU285" s="379"/>
      <c r="IV285" s="262" t="e">
        <f t="shared" si="241"/>
        <v>#N/A</v>
      </c>
      <c r="IW285" s="262" t="e">
        <f t="shared" si="242"/>
        <v>#N/A</v>
      </c>
      <c r="JN285" s="261" t="e">
        <f t="shared" si="243"/>
        <v>#N/A</v>
      </c>
      <c r="JO285" s="261" t="e">
        <f t="shared" si="244"/>
        <v>#N/A</v>
      </c>
      <c r="JR285" s="261" t="e">
        <f t="shared" si="249"/>
        <v>#N/A</v>
      </c>
      <c r="JS285" s="261" t="e">
        <f t="shared" si="250"/>
        <v>#N/A</v>
      </c>
      <c r="JV285" s="261" t="e">
        <f t="shared" si="245"/>
        <v>#N/A</v>
      </c>
      <c r="JW285" s="261" t="e">
        <f t="shared" si="246"/>
        <v>#N/A</v>
      </c>
      <c r="PS285" s="342">
        <v>271</v>
      </c>
      <c r="PT285" s="261" t="e">
        <f t="shared" si="247"/>
        <v>#N/A</v>
      </c>
      <c r="PU285" s="261" t="e">
        <f t="shared" si="248"/>
        <v>#N/A</v>
      </c>
    </row>
    <row r="286" spans="4:437" x14ac:dyDescent="0.5"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310"/>
      <c r="AQ286" s="310"/>
      <c r="AR286" s="310"/>
      <c r="AS286" s="310"/>
      <c r="AT286" s="310"/>
      <c r="AU286" s="310"/>
      <c r="AV286" s="310"/>
      <c r="AW286" s="310"/>
      <c r="AX286" s="310"/>
      <c r="AY286" s="310"/>
      <c r="AZ286" s="310"/>
      <c r="BA286" s="310"/>
      <c r="HK286" s="342">
        <v>272</v>
      </c>
      <c r="HL286" s="235" t="e">
        <f t="shared" si="223"/>
        <v>#N/A</v>
      </c>
      <c r="HM286" s="235" t="e">
        <f t="shared" si="224"/>
        <v>#N/A</v>
      </c>
      <c r="HP286" s="235" t="e">
        <f t="shared" si="225"/>
        <v>#N/A</v>
      </c>
      <c r="HQ286" s="235" t="e">
        <f t="shared" si="226"/>
        <v>#N/A</v>
      </c>
      <c r="HT286" s="235" t="e">
        <f t="shared" si="227"/>
        <v>#N/A</v>
      </c>
      <c r="HU286" s="235" t="e">
        <f t="shared" si="228"/>
        <v>#N/A</v>
      </c>
      <c r="HX286" s="235" t="e">
        <f t="shared" si="229"/>
        <v>#N/A</v>
      </c>
      <c r="HY286" s="235" t="e">
        <f t="shared" si="230"/>
        <v>#N/A</v>
      </c>
      <c r="IB286" s="235" t="e">
        <f t="shared" si="231"/>
        <v>#N/A</v>
      </c>
      <c r="IC286" s="235" t="e">
        <f t="shared" si="232"/>
        <v>#N/A</v>
      </c>
      <c r="IE286" s="342">
        <v>272</v>
      </c>
      <c r="IF286" s="262" t="e">
        <f t="shared" si="233"/>
        <v>#N/A</v>
      </c>
      <c r="IG286" s="262" t="e">
        <f t="shared" si="234"/>
        <v>#N/A</v>
      </c>
      <c r="IH286" s="379"/>
      <c r="II286" s="379"/>
      <c r="IJ286" s="262" t="e">
        <f t="shared" si="235"/>
        <v>#N/A</v>
      </c>
      <c r="IK286" s="262" t="e">
        <f t="shared" si="236"/>
        <v>#N/A</v>
      </c>
      <c r="IL286" s="379"/>
      <c r="IM286" s="379"/>
      <c r="IN286" s="262" t="e">
        <f t="shared" si="237"/>
        <v>#N/A</v>
      </c>
      <c r="IO286" s="262" t="e">
        <f t="shared" si="238"/>
        <v>#N/A</v>
      </c>
      <c r="IP286" s="379"/>
      <c r="IQ286" s="379"/>
      <c r="IR286" s="262" t="e">
        <f t="shared" si="239"/>
        <v>#N/A</v>
      </c>
      <c r="IS286" s="262" t="e">
        <f t="shared" si="240"/>
        <v>#N/A</v>
      </c>
      <c r="IT286" s="379"/>
      <c r="IU286" s="379"/>
      <c r="IV286" s="262" t="e">
        <f t="shared" si="241"/>
        <v>#N/A</v>
      </c>
      <c r="IW286" s="262" t="e">
        <f t="shared" si="242"/>
        <v>#N/A</v>
      </c>
      <c r="JN286" s="261" t="e">
        <f t="shared" si="243"/>
        <v>#N/A</v>
      </c>
      <c r="JO286" s="261" t="e">
        <f t="shared" si="244"/>
        <v>#N/A</v>
      </c>
      <c r="JR286" s="261" t="e">
        <f t="shared" si="249"/>
        <v>#N/A</v>
      </c>
      <c r="JS286" s="261" t="e">
        <f t="shared" si="250"/>
        <v>#N/A</v>
      </c>
      <c r="JV286" s="261" t="e">
        <f t="shared" si="245"/>
        <v>#N/A</v>
      </c>
      <c r="JW286" s="261" t="e">
        <f t="shared" si="246"/>
        <v>#N/A</v>
      </c>
      <c r="PS286" s="342">
        <v>272</v>
      </c>
      <c r="PT286" s="261" t="e">
        <f t="shared" si="247"/>
        <v>#N/A</v>
      </c>
      <c r="PU286" s="261" t="e">
        <f t="shared" si="248"/>
        <v>#N/A</v>
      </c>
    </row>
    <row r="287" spans="4:437" x14ac:dyDescent="0.5"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310"/>
      <c r="AQ287" s="310"/>
      <c r="AR287" s="310"/>
      <c r="AS287" s="310"/>
      <c r="AT287" s="310"/>
      <c r="AU287" s="310"/>
      <c r="AV287" s="310"/>
      <c r="AW287" s="310"/>
      <c r="AX287" s="310"/>
      <c r="AY287" s="310"/>
      <c r="AZ287" s="310"/>
      <c r="BA287" s="310"/>
      <c r="HK287" s="342">
        <v>273</v>
      </c>
      <c r="HL287" s="235" t="e">
        <f t="shared" si="223"/>
        <v>#N/A</v>
      </c>
      <c r="HM287" s="235" t="e">
        <f t="shared" si="224"/>
        <v>#N/A</v>
      </c>
      <c r="HP287" s="235" t="e">
        <f t="shared" si="225"/>
        <v>#N/A</v>
      </c>
      <c r="HQ287" s="235" t="e">
        <f t="shared" si="226"/>
        <v>#N/A</v>
      </c>
      <c r="HT287" s="235" t="e">
        <f t="shared" si="227"/>
        <v>#N/A</v>
      </c>
      <c r="HU287" s="235" t="e">
        <f t="shared" si="228"/>
        <v>#N/A</v>
      </c>
      <c r="HX287" s="235" t="e">
        <f t="shared" si="229"/>
        <v>#N/A</v>
      </c>
      <c r="HY287" s="235" t="e">
        <f t="shared" si="230"/>
        <v>#N/A</v>
      </c>
      <c r="IB287" s="235" t="e">
        <f t="shared" si="231"/>
        <v>#N/A</v>
      </c>
      <c r="IC287" s="235" t="e">
        <f t="shared" si="232"/>
        <v>#N/A</v>
      </c>
      <c r="IE287" s="342">
        <v>273</v>
      </c>
      <c r="IF287" s="262" t="e">
        <f t="shared" si="233"/>
        <v>#N/A</v>
      </c>
      <c r="IG287" s="262" t="e">
        <f t="shared" si="234"/>
        <v>#N/A</v>
      </c>
      <c r="IH287" s="379"/>
      <c r="II287" s="379"/>
      <c r="IJ287" s="262" t="e">
        <f t="shared" si="235"/>
        <v>#N/A</v>
      </c>
      <c r="IK287" s="262" t="e">
        <f t="shared" si="236"/>
        <v>#N/A</v>
      </c>
      <c r="IL287" s="379"/>
      <c r="IM287" s="379"/>
      <c r="IN287" s="262" t="e">
        <f t="shared" si="237"/>
        <v>#N/A</v>
      </c>
      <c r="IO287" s="262" t="e">
        <f t="shared" si="238"/>
        <v>#N/A</v>
      </c>
      <c r="IP287" s="379"/>
      <c r="IQ287" s="379"/>
      <c r="IR287" s="262" t="e">
        <f t="shared" si="239"/>
        <v>#N/A</v>
      </c>
      <c r="IS287" s="262" t="e">
        <f t="shared" si="240"/>
        <v>#N/A</v>
      </c>
      <c r="IT287" s="379"/>
      <c r="IU287" s="379"/>
      <c r="IV287" s="262" t="e">
        <f t="shared" si="241"/>
        <v>#N/A</v>
      </c>
      <c r="IW287" s="262" t="e">
        <f t="shared" si="242"/>
        <v>#N/A</v>
      </c>
      <c r="JN287" s="261" t="e">
        <f t="shared" si="243"/>
        <v>#N/A</v>
      </c>
      <c r="JO287" s="261" t="e">
        <f t="shared" si="244"/>
        <v>#N/A</v>
      </c>
      <c r="JR287" s="261" t="e">
        <f t="shared" si="249"/>
        <v>#N/A</v>
      </c>
      <c r="JS287" s="261" t="e">
        <f t="shared" si="250"/>
        <v>#N/A</v>
      </c>
      <c r="JV287" s="261" t="e">
        <f t="shared" si="245"/>
        <v>#N/A</v>
      </c>
      <c r="JW287" s="261" t="e">
        <f t="shared" si="246"/>
        <v>#N/A</v>
      </c>
      <c r="PS287" s="342">
        <v>273</v>
      </c>
      <c r="PT287" s="261" t="e">
        <f t="shared" si="247"/>
        <v>#N/A</v>
      </c>
      <c r="PU287" s="261" t="e">
        <f t="shared" si="248"/>
        <v>#N/A</v>
      </c>
    </row>
    <row r="288" spans="4:437" x14ac:dyDescent="0.5"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310"/>
      <c r="AQ288" s="310"/>
      <c r="AR288" s="310"/>
      <c r="AS288" s="310"/>
      <c r="AT288" s="310"/>
      <c r="AU288" s="310"/>
      <c r="AV288" s="310"/>
      <c r="AW288" s="310"/>
      <c r="AX288" s="310"/>
      <c r="AY288" s="310"/>
      <c r="AZ288" s="310"/>
      <c r="BA288" s="310"/>
      <c r="HK288" s="342">
        <v>274</v>
      </c>
      <c r="HL288" s="235" t="e">
        <f t="shared" si="223"/>
        <v>#N/A</v>
      </c>
      <c r="HM288" s="235" t="e">
        <f t="shared" si="224"/>
        <v>#N/A</v>
      </c>
      <c r="HP288" s="235" t="e">
        <f t="shared" si="225"/>
        <v>#N/A</v>
      </c>
      <c r="HQ288" s="235" t="e">
        <f t="shared" si="226"/>
        <v>#N/A</v>
      </c>
      <c r="HT288" s="235" t="e">
        <f t="shared" si="227"/>
        <v>#N/A</v>
      </c>
      <c r="HU288" s="235" t="e">
        <f t="shared" si="228"/>
        <v>#N/A</v>
      </c>
      <c r="HX288" s="235" t="e">
        <f t="shared" si="229"/>
        <v>#N/A</v>
      </c>
      <c r="HY288" s="235" t="e">
        <f t="shared" si="230"/>
        <v>#N/A</v>
      </c>
      <c r="IB288" s="235" t="e">
        <f t="shared" si="231"/>
        <v>#N/A</v>
      </c>
      <c r="IC288" s="235" t="e">
        <f t="shared" si="232"/>
        <v>#N/A</v>
      </c>
      <c r="IE288" s="342">
        <v>274</v>
      </c>
      <c r="IF288" s="262" t="e">
        <f t="shared" si="233"/>
        <v>#N/A</v>
      </c>
      <c r="IG288" s="262" t="e">
        <f t="shared" si="234"/>
        <v>#N/A</v>
      </c>
      <c r="IH288" s="379"/>
      <c r="II288" s="379"/>
      <c r="IJ288" s="262" t="e">
        <f t="shared" si="235"/>
        <v>#N/A</v>
      </c>
      <c r="IK288" s="262" t="e">
        <f t="shared" si="236"/>
        <v>#N/A</v>
      </c>
      <c r="IL288" s="379"/>
      <c r="IM288" s="379"/>
      <c r="IN288" s="262" t="e">
        <f t="shared" si="237"/>
        <v>#N/A</v>
      </c>
      <c r="IO288" s="262" t="e">
        <f t="shared" si="238"/>
        <v>#N/A</v>
      </c>
      <c r="IP288" s="379"/>
      <c r="IQ288" s="379"/>
      <c r="IR288" s="262" t="e">
        <f t="shared" si="239"/>
        <v>#N/A</v>
      </c>
      <c r="IS288" s="262" t="e">
        <f t="shared" si="240"/>
        <v>#N/A</v>
      </c>
      <c r="IT288" s="379"/>
      <c r="IU288" s="379"/>
      <c r="IV288" s="262" t="e">
        <f t="shared" si="241"/>
        <v>#N/A</v>
      </c>
      <c r="IW288" s="262" t="e">
        <f t="shared" si="242"/>
        <v>#N/A</v>
      </c>
      <c r="JN288" s="261" t="e">
        <f t="shared" si="243"/>
        <v>#N/A</v>
      </c>
      <c r="JO288" s="261" t="e">
        <f t="shared" si="244"/>
        <v>#N/A</v>
      </c>
      <c r="JR288" s="261" t="e">
        <f t="shared" si="249"/>
        <v>#N/A</v>
      </c>
      <c r="JS288" s="261" t="e">
        <f t="shared" si="250"/>
        <v>#N/A</v>
      </c>
      <c r="JV288" s="261" t="e">
        <f t="shared" si="245"/>
        <v>#N/A</v>
      </c>
      <c r="JW288" s="261" t="e">
        <f t="shared" si="246"/>
        <v>#N/A</v>
      </c>
      <c r="PS288" s="342">
        <v>274</v>
      </c>
      <c r="PT288" s="261" t="e">
        <f t="shared" si="247"/>
        <v>#N/A</v>
      </c>
      <c r="PU288" s="261" t="e">
        <f t="shared" si="248"/>
        <v>#N/A</v>
      </c>
    </row>
    <row r="289" spans="4:437" x14ac:dyDescent="0.5"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310"/>
      <c r="AQ289" s="310"/>
      <c r="AR289" s="310"/>
      <c r="AS289" s="310"/>
      <c r="AT289" s="310"/>
      <c r="AU289" s="310"/>
      <c r="AV289" s="310"/>
      <c r="AW289" s="310"/>
      <c r="AX289" s="310"/>
      <c r="AY289" s="310"/>
      <c r="AZ289" s="310"/>
      <c r="BA289" s="310"/>
      <c r="HK289" s="342">
        <v>275</v>
      </c>
      <c r="HL289" s="235" t="e">
        <f t="shared" si="223"/>
        <v>#N/A</v>
      </c>
      <c r="HM289" s="235" t="e">
        <f t="shared" si="224"/>
        <v>#N/A</v>
      </c>
      <c r="HP289" s="235" t="e">
        <f t="shared" si="225"/>
        <v>#N/A</v>
      </c>
      <c r="HQ289" s="235" t="e">
        <f t="shared" si="226"/>
        <v>#N/A</v>
      </c>
      <c r="HT289" s="235" t="e">
        <f t="shared" si="227"/>
        <v>#N/A</v>
      </c>
      <c r="HU289" s="235" t="e">
        <f t="shared" si="228"/>
        <v>#N/A</v>
      </c>
      <c r="HX289" s="235" t="e">
        <f t="shared" si="229"/>
        <v>#N/A</v>
      </c>
      <c r="HY289" s="235" t="e">
        <f t="shared" si="230"/>
        <v>#N/A</v>
      </c>
      <c r="IB289" s="235" t="e">
        <f t="shared" si="231"/>
        <v>#N/A</v>
      </c>
      <c r="IC289" s="235" t="e">
        <f t="shared" si="232"/>
        <v>#N/A</v>
      </c>
      <c r="IE289" s="342">
        <v>275</v>
      </c>
      <c r="IF289" s="262" t="e">
        <f t="shared" si="233"/>
        <v>#N/A</v>
      </c>
      <c r="IG289" s="262" t="e">
        <f t="shared" si="234"/>
        <v>#N/A</v>
      </c>
      <c r="IH289" s="379"/>
      <c r="II289" s="379"/>
      <c r="IJ289" s="262" t="e">
        <f t="shared" si="235"/>
        <v>#N/A</v>
      </c>
      <c r="IK289" s="262" t="e">
        <f t="shared" si="236"/>
        <v>#N/A</v>
      </c>
      <c r="IL289" s="379"/>
      <c r="IM289" s="379"/>
      <c r="IN289" s="262" t="e">
        <f t="shared" si="237"/>
        <v>#N/A</v>
      </c>
      <c r="IO289" s="262" t="e">
        <f t="shared" si="238"/>
        <v>#N/A</v>
      </c>
      <c r="IP289" s="379"/>
      <c r="IQ289" s="379"/>
      <c r="IR289" s="262" t="e">
        <f t="shared" si="239"/>
        <v>#N/A</v>
      </c>
      <c r="IS289" s="262" t="e">
        <f t="shared" si="240"/>
        <v>#N/A</v>
      </c>
      <c r="IT289" s="379"/>
      <c r="IU289" s="379"/>
      <c r="IV289" s="262" t="e">
        <f t="shared" si="241"/>
        <v>#N/A</v>
      </c>
      <c r="IW289" s="262" t="e">
        <f t="shared" si="242"/>
        <v>#N/A</v>
      </c>
      <c r="JN289" s="261" t="e">
        <f t="shared" si="243"/>
        <v>#N/A</v>
      </c>
      <c r="JO289" s="261" t="e">
        <f t="shared" si="244"/>
        <v>#N/A</v>
      </c>
      <c r="JR289" s="261" t="e">
        <f t="shared" si="249"/>
        <v>#N/A</v>
      </c>
      <c r="JS289" s="261" t="e">
        <f t="shared" si="250"/>
        <v>#N/A</v>
      </c>
      <c r="JV289" s="261" t="e">
        <f t="shared" si="245"/>
        <v>#N/A</v>
      </c>
      <c r="JW289" s="261" t="e">
        <f t="shared" si="246"/>
        <v>#N/A</v>
      </c>
      <c r="PS289" s="342">
        <v>275</v>
      </c>
      <c r="PT289" s="261" t="e">
        <f t="shared" si="247"/>
        <v>#N/A</v>
      </c>
      <c r="PU289" s="261" t="e">
        <f t="shared" si="248"/>
        <v>#N/A</v>
      </c>
    </row>
    <row r="290" spans="4:437" x14ac:dyDescent="0.5"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310"/>
      <c r="AQ290" s="310"/>
      <c r="AR290" s="310"/>
      <c r="AS290" s="310"/>
      <c r="AT290" s="310"/>
      <c r="AU290" s="310"/>
      <c r="AV290" s="310"/>
      <c r="AW290" s="310"/>
      <c r="AX290" s="310"/>
      <c r="AY290" s="310"/>
      <c r="AZ290" s="310"/>
      <c r="BA290" s="310"/>
      <c r="HK290" s="342">
        <v>276</v>
      </c>
      <c r="HL290" s="235" t="e">
        <f t="shared" si="223"/>
        <v>#N/A</v>
      </c>
      <c r="HM290" s="235" t="e">
        <f t="shared" si="224"/>
        <v>#N/A</v>
      </c>
      <c r="HP290" s="235" t="e">
        <f t="shared" si="225"/>
        <v>#N/A</v>
      </c>
      <c r="HQ290" s="235" t="e">
        <f t="shared" si="226"/>
        <v>#N/A</v>
      </c>
      <c r="HT290" s="235" t="e">
        <f t="shared" si="227"/>
        <v>#N/A</v>
      </c>
      <c r="HU290" s="235" t="e">
        <f t="shared" si="228"/>
        <v>#N/A</v>
      </c>
      <c r="HX290" s="235" t="e">
        <f t="shared" si="229"/>
        <v>#N/A</v>
      </c>
      <c r="HY290" s="235" t="e">
        <f t="shared" si="230"/>
        <v>#N/A</v>
      </c>
      <c r="IB290" s="235" t="e">
        <f t="shared" si="231"/>
        <v>#N/A</v>
      </c>
      <c r="IC290" s="235" t="e">
        <f t="shared" si="232"/>
        <v>#N/A</v>
      </c>
      <c r="IE290" s="342">
        <v>276</v>
      </c>
      <c r="IF290" s="262" t="e">
        <f t="shared" si="233"/>
        <v>#N/A</v>
      </c>
      <c r="IG290" s="262" t="e">
        <f t="shared" si="234"/>
        <v>#N/A</v>
      </c>
      <c r="IH290" s="379"/>
      <c r="II290" s="379"/>
      <c r="IJ290" s="262" t="e">
        <f t="shared" si="235"/>
        <v>#N/A</v>
      </c>
      <c r="IK290" s="262" t="e">
        <f t="shared" si="236"/>
        <v>#N/A</v>
      </c>
      <c r="IL290" s="379"/>
      <c r="IM290" s="379"/>
      <c r="IN290" s="262" t="e">
        <f t="shared" si="237"/>
        <v>#N/A</v>
      </c>
      <c r="IO290" s="262" t="e">
        <f t="shared" si="238"/>
        <v>#N/A</v>
      </c>
      <c r="IP290" s="379"/>
      <c r="IQ290" s="379"/>
      <c r="IR290" s="262" t="e">
        <f t="shared" si="239"/>
        <v>#N/A</v>
      </c>
      <c r="IS290" s="262" t="e">
        <f t="shared" si="240"/>
        <v>#N/A</v>
      </c>
      <c r="IT290" s="379"/>
      <c r="IU290" s="379"/>
      <c r="IV290" s="262" t="e">
        <f t="shared" si="241"/>
        <v>#N/A</v>
      </c>
      <c r="IW290" s="262" t="e">
        <f t="shared" si="242"/>
        <v>#N/A</v>
      </c>
      <c r="JN290" s="261" t="e">
        <f t="shared" si="243"/>
        <v>#N/A</v>
      </c>
      <c r="JO290" s="261" t="e">
        <f t="shared" si="244"/>
        <v>#N/A</v>
      </c>
      <c r="JR290" s="261" t="e">
        <f t="shared" si="249"/>
        <v>#N/A</v>
      </c>
      <c r="JS290" s="261" t="e">
        <f t="shared" si="250"/>
        <v>#N/A</v>
      </c>
      <c r="JV290" s="261" t="e">
        <f t="shared" si="245"/>
        <v>#N/A</v>
      </c>
      <c r="JW290" s="261" t="e">
        <f t="shared" si="246"/>
        <v>#N/A</v>
      </c>
      <c r="PS290" s="342">
        <v>276</v>
      </c>
      <c r="PT290" s="261" t="e">
        <f t="shared" si="247"/>
        <v>#N/A</v>
      </c>
      <c r="PU290" s="261" t="e">
        <f t="shared" si="248"/>
        <v>#N/A</v>
      </c>
    </row>
    <row r="291" spans="4:437" x14ac:dyDescent="0.5"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HK291" s="342">
        <v>277</v>
      </c>
      <c r="HL291" s="235" t="e">
        <f t="shared" si="223"/>
        <v>#N/A</v>
      </c>
      <c r="HM291" s="235" t="e">
        <f t="shared" si="224"/>
        <v>#N/A</v>
      </c>
      <c r="HP291" s="235" t="e">
        <f t="shared" si="225"/>
        <v>#N/A</v>
      </c>
      <c r="HQ291" s="235" t="e">
        <f t="shared" si="226"/>
        <v>#N/A</v>
      </c>
      <c r="HT291" s="235" t="e">
        <f t="shared" si="227"/>
        <v>#N/A</v>
      </c>
      <c r="HU291" s="235" t="e">
        <f t="shared" si="228"/>
        <v>#N/A</v>
      </c>
      <c r="HX291" s="235" t="e">
        <f t="shared" si="229"/>
        <v>#N/A</v>
      </c>
      <c r="HY291" s="235" t="e">
        <f t="shared" si="230"/>
        <v>#N/A</v>
      </c>
      <c r="IB291" s="235" t="e">
        <f t="shared" si="231"/>
        <v>#N/A</v>
      </c>
      <c r="IC291" s="235" t="e">
        <f t="shared" si="232"/>
        <v>#N/A</v>
      </c>
      <c r="IE291" s="342">
        <v>277</v>
      </c>
      <c r="IF291" s="262" t="e">
        <f t="shared" si="233"/>
        <v>#N/A</v>
      </c>
      <c r="IG291" s="262" t="e">
        <f t="shared" si="234"/>
        <v>#N/A</v>
      </c>
      <c r="IH291" s="379"/>
      <c r="II291" s="379"/>
      <c r="IJ291" s="262" t="e">
        <f t="shared" si="235"/>
        <v>#N/A</v>
      </c>
      <c r="IK291" s="262" t="e">
        <f t="shared" si="236"/>
        <v>#N/A</v>
      </c>
      <c r="IL291" s="379"/>
      <c r="IM291" s="379"/>
      <c r="IN291" s="262" t="e">
        <f t="shared" si="237"/>
        <v>#N/A</v>
      </c>
      <c r="IO291" s="262" t="e">
        <f t="shared" si="238"/>
        <v>#N/A</v>
      </c>
      <c r="IP291" s="379"/>
      <c r="IQ291" s="379"/>
      <c r="IR291" s="262" t="e">
        <f t="shared" si="239"/>
        <v>#N/A</v>
      </c>
      <c r="IS291" s="262" t="e">
        <f t="shared" si="240"/>
        <v>#N/A</v>
      </c>
      <c r="IT291" s="379"/>
      <c r="IU291" s="379"/>
      <c r="IV291" s="262" t="e">
        <f t="shared" si="241"/>
        <v>#N/A</v>
      </c>
      <c r="IW291" s="262" t="e">
        <f t="shared" si="242"/>
        <v>#N/A</v>
      </c>
      <c r="JN291" s="261" t="e">
        <f t="shared" si="243"/>
        <v>#N/A</v>
      </c>
      <c r="JO291" s="261" t="e">
        <f t="shared" si="244"/>
        <v>#N/A</v>
      </c>
      <c r="JR291" s="261" t="e">
        <f t="shared" si="249"/>
        <v>#N/A</v>
      </c>
      <c r="JS291" s="261" t="e">
        <f t="shared" si="250"/>
        <v>#N/A</v>
      </c>
      <c r="JV291" s="261" t="e">
        <f t="shared" si="245"/>
        <v>#N/A</v>
      </c>
      <c r="JW291" s="261" t="e">
        <f t="shared" si="246"/>
        <v>#N/A</v>
      </c>
      <c r="PS291" s="342">
        <v>277</v>
      </c>
      <c r="PT291" s="261" t="e">
        <f t="shared" si="247"/>
        <v>#N/A</v>
      </c>
      <c r="PU291" s="261" t="e">
        <f t="shared" si="248"/>
        <v>#N/A</v>
      </c>
    </row>
    <row r="292" spans="4:437" x14ac:dyDescent="0.5"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HK292" s="342">
        <v>278</v>
      </c>
      <c r="HL292" s="235" t="e">
        <f t="shared" si="223"/>
        <v>#N/A</v>
      </c>
      <c r="HM292" s="235" t="e">
        <f t="shared" si="224"/>
        <v>#N/A</v>
      </c>
      <c r="HP292" s="235" t="e">
        <f t="shared" si="225"/>
        <v>#N/A</v>
      </c>
      <c r="HQ292" s="235" t="e">
        <f t="shared" si="226"/>
        <v>#N/A</v>
      </c>
      <c r="HT292" s="235" t="e">
        <f t="shared" si="227"/>
        <v>#N/A</v>
      </c>
      <c r="HU292" s="235" t="e">
        <f t="shared" si="228"/>
        <v>#N/A</v>
      </c>
      <c r="HX292" s="235" t="e">
        <f t="shared" si="229"/>
        <v>#N/A</v>
      </c>
      <c r="HY292" s="235" t="e">
        <f t="shared" si="230"/>
        <v>#N/A</v>
      </c>
      <c r="IB292" s="235" t="e">
        <f t="shared" si="231"/>
        <v>#N/A</v>
      </c>
      <c r="IC292" s="235" t="e">
        <f t="shared" si="232"/>
        <v>#N/A</v>
      </c>
      <c r="IE292" s="342">
        <v>278</v>
      </c>
      <c r="IF292" s="262" t="e">
        <f t="shared" si="233"/>
        <v>#N/A</v>
      </c>
      <c r="IG292" s="262" t="e">
        <f t="shared" si="234"/>
        <v>#N/A</v>
      </c>
      <c r="IH292" s="379"/>
      <c r="II292" s="379"/>
      <c r="IJ292" s="262" t="e">
        <f t="shared" si="235"/>
        <v>#N/A</v>
      </c>
      <c r="IK292" s="262" t="e">
        <f t="shared" si="236"/>
        <v>#N/A</v>
      </c>
      <c r="IL292" s="379"/>
      <c r="IM292" s="379"/>
      <c r="IN292" s="262" t="e">
        <f t="shared" si="237"/>
        <v>#N/A</v>
      </c>
      <c r="IO292" s="262" t="e">
        <f t="shared" si="238"/>
        <v>#N/A</v>
      </c>
      <c r="IP292" s="379"/>
      <c r="IQ292" s="379"/>
      <c r="IR292" s="262" t="e">
        <f t="shared" si="239"/>
        <v>#N/A</v>
      </c>
      <c r="IS292" s="262" t="e">
        <f t="shared" si="240"/>
        <v>#N/A</v>
      </c>
      <c r="IT292" s="379"/>
      <c r="IU292" s="379"/>
      <c r="IV292" s="262" t="e">
        <f t="shared" si="241"/>
        <v>#N/A</v>
      </c>
      <c r="IW292" s="262" t="e">
        <f t="shared" si="242"/>
        <v>#N/A</v>
      </c>
      <c r="JN292" s="261" t="e">
        <f t="shared" si="243"/>
        <v>#N/A</v>
      </c>
      <c r="JO292" s="261" t="e">
        <f t="shared" si="244"/>
        <v>#N/A</v>
      </c>
      <c r="JR292" s="261" t="e">
        <f t="shared" si="249"/>
        <v>#N/A</v>
      </c>
      <c r="JS292" s="261" t="e">
        <f t="shared" si="250"/>
        <v>#N/A</v>
      </c>
      <c r="JV292" s="261" t="e">
        <f t="shared" si="245"/>
        <v>#N/A</v>
      </c>
      <c r="JW292" s="261" t="e">
        <f t="shared" si="246"/>
        <v>#N/A</v>
      </c>
      <c r="PS292" s="342">
        <v>278</v>
      </c>
      <c r="PT292" s="261" t="e">
        <f t="shared" si="247"/>
        <v>#N/A</v>
      </c>
      <c r="PU292" s="261" t="e">
        <f t="shared" si="248"/>
        <v>#N/A</v>
      </c>
    </row>
    <row r="293" spans="4:437" x14ac:dyDescent="0.5">
      <c r="HK293" s="342">
        <v>279</v>
      </c>
      <c r="HL293" s="235" t="e">
        <f t="shared" si="223"/>
        <v>#N/A</v>
      </c>
      <c r="HM293" s="235" t="e">
        <f t="shared" si="224"/>
        <v>#N/A</v>
      </c>
      <c r="HP293" s="235" t="e">
        <f t="shared" si="225"/>
        <v>#N/A</v>
      </c>
      <c r="HQ293" s="235" t="e">
        <f t="shared" si="226"/>
        <v>#N/A</v>
      </c>
      <c r="HT293" s="235" t="e">
        <f t="shared" si="227"/>
        <v>#N/A</v>
      </c>
      <c r="HU293" s="235" t="e">
        <f t="shared" si="228"/>
        <v>#N/A</v>
      </c>
      <c r="HX293" s="235" t="e">
        <f t="shared" si="229"/>
        <v>#N/A</v>
      </c>
      <c r="HY293" s="235" t="e">
        <f t="shared" si="230"/>
        <v>#N/A</v>
      </c>
      <c r="IB293" s="235" t="e">
        <f t="shared" si="231"/>
        <v>#N/A</v>
      </c>
      <c r="IC293" s="235" t="e">
        <f t="shared" si="232"/>
        <v>#N/A</v>
      </c>
      <c r="IE293" s="342">
        <v>279</v>
      </c>
      <c r="IF293" s="262" t="e">
        <f t="shared" si="233"/>
        <v>#N/A</v>
      </c>
      <c r="IG293" s="262" t="e">
        <f t="shared" si="234"/>
        <v>#N/A</v>
      </c>
      <c r="IH293" s="379"/>
      <c r="II293" s="379"/>
      <c r="IJ293" s="262" t="e">
        <f t="shared" si="235"/>
        <v>#N/A</v>
      </c>
      <c r="IK293" s="262" t="e">
        <f t="shared" si="236"/>
        <v>#N/A</v>
      </c>
      <c r="IL293" s="379"/>
      <c r="IM293" s="379"/>
      <c r="IN293" s="262" t="e">
        <f t="shared" si="237"/>
        <v>#N/A</v>
      </c>
      <c r="IO293" s="262" t="e">
        <f t="shared" si="238"/>
        <v>#N/A</v>
      </c>
      <c r="IP293" s="379"/>
      <c r="IQ293" s="379"/>
      <c r="IR293" s="262" t="e">
        <f t="shared" si="239"/>
        <v>#N/A</v>
      </c>
      <c r="IS293" s="262" t="e">
        <f t="shared" si="240"/>
        <v>#N/A</v>
      </c>
      <c r="IT293" s="379"/>
      <c r="IU293" s="379"/>
      <c r="IV293" s="262" t="e">
        <f t="shared" si="241"/>
        <v>#N/A</v>
      </c>
      <c r="IW293" s="262" t="e">
        <f t="shared" si="242"/>
        <v>#N/A</v>
      </c>
      <c r="JN293" s="261" t="e">
        <f t="shared" si="243"/>
        <v>#N/A</v>
      </c>
      <c r="JO293" s="261" t="e">
        <f t="shared" si="244"/>
        <v>#N/A</v>
      </c>
      <c r="JR293" s="261" t="e">
        <f t="shared" si="249"/>
        <v>#N/A</v>
      </c>
      <c r="JS293" s="261" t="e">
        <f t="shared" si="250"/>
        <v>#N/A</v>
      </c>
      <c r="JV293" s="261" t="e">
        <f t="shared" si="245"/>
        <v>#N/A</v>
      </c>
      <c r="JW293" s="261" t="e">
        <f t="shared" si="246"/>
        <v>#N/A</v>
      </c>
      <c r="PS293" s="342">
        <v>279</v>
      </c>
      <c r="PT293" s="261" t="e">
        <f t="shared" si="247"/>
        <v>#N/A</v>
      </c>
      <c r="PU293" s="261" t="e">
        <f t="shared" si="248"/>
        <v>#N/A</v>
      </c>
    </row>
    <row r="294" spans="4:437" x14ac:dyDescent="0.5">
      <c r="HK294" s="342">
        <v>280</v>
      </c>
      <c r="HL294" s="235" t="e">
        <f t="shared" si="223"/>
        <v>#N/A</v>
      </c>
      <c r="HM294" s="235" t="e">
        <f t="shared" si="224"/>
        <v>#N/A</v>
      </c>
      <c r="HP294" s="235" t="e">
        <f t="shared" si="225"/>
        <v>#N/A</v>
      </c>
      <c r="HQ294" s="235" t="e">
        <f t="shared" si="226"/>
        <v>#N/A</v>
      </c>
      <c r="HT294" s="235" t="e">
        <f t="shared" si="227"/>
        <v>#N/A</v>
      </c>
      <c r="HU294" s="235" t="e">
        <f t="shared" si="228"/>
        <v>#N/A</v>
      </c>
      <c r="HX294" s="235" t="e">
        <f t="shared" si="229"/>
        <v>#N/A</v>
      </c>
      <c r="HY294" s="235" t="e">
        <f t="shared" si="230"/>
        <v>#N/A</v>
      </c>
      <c r="IB294" s="235" t="e">
        <f t="shared" si="231"/>
        <v>#N/A</v>
      </c>
      <c r="IC294" s="235" t="e">
        <f t="shared" si="232"/>
        <v>#N/A</v>
      </c>
      <c r="IE294" s="342">
        <v>280</v>
      </c>
      <c r="IF294" s="262" t="e">
        <f t="shared" si="233"/>
        <v>#N/A</v>
      </c>
      <c r="IG294" s="262" t="e">
        <f t="shared" si="234"/>
        <v>#N/A</v>
      </c>
      <c r="IH294" s="379"/>
      <c r="II294" s="379"/>
      <c r="IJ294" s="262" t="e">
        <f t="shared" si="235"/>
        <v>#N/A</v>
      </c>
      <c r="IK294" s="262" t="e">
        <f t="shared" si="236"/>
        <v>#N/A</v>
      </c>
      <c r="IL294" s="379"/>
      <c r="IM294" s="379"/>
      <c r="IN294" s="262" t="e">
        <f t="shared" si="237"/>
        <v>#N/A</v>
      </c>
      <c r="IO294" s="262" t="e">
        <f t="shared" si="238"/>
        <v>#N/A</v>
      </c>
      <c r="IP294" s="379"/>
      <c r="IQ294" s="379"/>
      <c r="IR294" s="262" t="e">
        <f t="shared" si="239"/>
        <v>#N/A</v>
      </c>
      <c r="IS294" s="262" t="e">
        <f t="shared" si="240"/>
        <v>#N/A</v>
      </c>
      <c r="IT294" s="379"/>
      <c r="IU294" s="379"/>
      <c r="IV294" s="262" t="e">
        <f t="shared" si="241"/>
        <v>#N/A</v>
      </c>
      <c r="IW294" s="262" t="e">
        <f t="shared" si="242"/>
        <v>#N/A</v>
      </c>
      <c r="JN294" s="261" t="e">
        <f t="shared" si="243"/>
        <v>#N/A</v>
      </c>
      <c r="JO294" s="261" t="e">
        <f t="shared" si="244"/>
        <v>#N/A</v>
      </c>
      <c r="JR294" s="261" t="e">
        <f t="shared" si="249"/>
        <v>#N/A</v>
      </c>
      <c r="JS294" s="261" t="e">
        <f t="shared" si="250"/>
        <v>#N/A</v>
      </c>
      <c r="JV294" s="261" t="e">
        <f t="shared" si="245"/>
        <v>#N/A</v>
      </c>
      <c r="JW294" s="261" t="e">
        <f t="shared" si="246"/>
        <v>#N/A</v>
      </c>
      <c r="PS294" s="342">
        <v>280</v>
      </c>
      <c r="PT294" s="261" t="e">
        <f t="shared" si="247"/>
        <v>#N/A</v>
      </c>
      <c r="PU294" s="261" t="e">
        <f t="shared" si="248"/>
        <v>#N/A</v>
      </c>
    </row>
    <row r="295" spans="4:437" x14ac:dyDescent="0.5">
      <c r="HK295" s="342">
        <v>281</v>
      </c>
      <c r="HL295" s="235" t="e">
        <f t="shared" si="223"/>
        <v>#N/A</v>
      </c>
      <c r="HM295" s="235" t="e">
        <f t="shared" si="224"/>
        <v>#N/A</v>
      </c>
      <c r="HP295" s="235" t="e">
        <f t="shared" si="225"/>
        <v>#N/A</v>
      </c>
      <c r="HQ295" s="235" t="e">
        <f t="shared" si="226"/>
        <v>#N/A</v>
      </c>
      <c r="HT295" s="235" t="e">
        <f t="shared" si="227"/>
        <v>#N/A</v>
      </c>
      <c r="HU295" s="235" t="e">
        <f t="shared" si="228"/>
        <v>#N/A</v>
      </c>
      <c r="HX295" s="235" t="e">
        <f t="shared" si="229"/>
        <v>#N/A</v>
      </c>
      <c r="HY295" s="235" t="e">
        <f t="shared" si="230"/>
        <v>#N/A</v>
      </c>
      <c r="IB295" s="235" t="e">
        <f t="shared" si="231"/>
        <v>#N/A</v>
      </c>
      <c r="IC295" s="235" t="e">
        <f t="shared" si="232"/>
        <v>#N/A</v>
      </c>
      <c r="IE295" s="342">
        <v>281</v>
      </c>
      <c r="IF295" s="262" t="e">
        <f t="shared" si="233"/>
        <v>#N/A</v>
      </c>
      <c r="IG295" s="262" t="e">
        <f t="shared" si="234"/>
        <v>#N/A</v>
      </c>
      <c r="IH295" s="379"/>
      <c r="II295" s="379"/>
      <c r="IJ295" s="262" t="e">
        <f t="shared" si="235"/>
        <v>#N/A</v>
      </c>
      <c r="IK295" s="262" t="e">
        <f t="shared" si="236"/>
        <v>#N/A</v>
      </c>
      <c r="IL295" s="379"/>
      <c r="IM295" s="379"/>
      <c r="IN295" s="262" t="e">
        <f t="shared" si="237"/>
        <v>#N/A</v>
      </c>
      <c r="IO295" s="262" t="e">
        <f t="shared" si="238"/>
        <v>#N/A</v>
      </c>
      <c r="IP295" s="379"/>
      <c r="IQ295" s="379"/>
      <c r="IR295" s="262" t="e">
        <f t="shared" si="239"/>
        <v>#N/A</v>
      </c>
      <c r="IS295" s="262" t="e">
        <f t="shared" si="240"/>
        <v>#N/A</v>
      </c>
      <c r="IT295" s="379"/>
      <c r="IU295" s="379"/>
      <c r="IV295" s="262" t="e">
        <f t="shared" si="241"/>
        <v>#N/A</v>
      </c>
      <c r="IW295" s="262" t="e">
        <f t="shared" si="242"/>
        <v>#N/A</v>
      </c>
      <c r="JN295" s="261" t="e">
        <f t="shared" si="243"/>
        <v>#N/A</v>
      </c>
      <c r="JO295" s="261" t="e">
        <f t="shared" si="244"/>
        <v>#N/A</v>
      </c>
      <c r="JR295" s="261" t="e">
        <f t="shared" si="249"/>
        <v>#N/A</v>
      </c>
      <c r="JS295" s="261" t="e">
        <f t="shared" si="250"/>
        <v>#N/A</v>
      </c>
      <c r="JV295" s="261" t="e">
        <f t="shared" si="245"/>
        <v>#N/A</v>
      </c>
      <c r="JW295" s="261" t="e">
        <f t="shared" si="246"/>
        <v>#N/A</v>
      </c>
      <c r="PS295" s="342">
        <v>281</v>
      </c>
      <c r="PT295" s="261" t="e">
        <f t="shared" si="247"/>
        <v>#N/A</v>
      </c>
      <c r="PU295" s="261" t="e">
        <f t="shared" si="248"/>
        <v>#N/A</v>
      </c>
    </row>
    <row r="296" spans="4:437" x14ac:dyDescent="0.5">
      <c r="HK296" s="342">
        <v>282</v>
      </c>
      <c r="HL296" s="235" t="e">
        <f t="shared" si="223"/>
        <v>#N/A</v>
      </c>
      <c r="HM296" s="235" t="e">
        <f t="shared" si="224"/>
        <v>#N/A</v>
      </c>
      <c r="HP296" s="235" t="e">
        <f t="shared" si="225"/>
        <v>#N/A</v>
      </c>
      <c r="HQ296" s="235" t="e">
        <f t="shared" si="226"/>
        <v>#N/A</v>
      </c>
      <c r="HT296" s="235" t="e">
        <f t="shared" si="227"/>
        <v>#N/A</v>
      </c>
      <c r="HU296" s="235" t="e">
        <f t="shared" si="228"/>
        <v>#N/A</v>
      </c>
      <c r="HX296" s="235" t="e">
        <f t="shared" si="229"/>
        <v>#N/A</v>
      </c>
      <c r="HY296" s="235" t="e">
        <f t="shared" si="230"/>
        <v>#N/A</v>
      </c>
      <c r="IB296" s="235" t="e">
        <f t="shared" si="231"/>
        <v>#N/A</v>
      </c>
      <c r="IC296" s="235" t="e">
        <f t="shared" si="232"/>
        <v>#N/A</v>
      </c>
      <c r="IE296" s="342">
        <v>282</v>
      </c>
      <c r="IF296" s="262" t="e">
        <f t="shared" si="233"/>
        <v>#N/A</v>
      </c>
      <c r="IG296" s="262" t="e">
        <f t="shared" si="234"/>
        <v>#N/A</v>
      </c>
      <c r="IH296" s="379"/>
      <c r="II296" s="379"/>
      <c r="IJ296" s="262" t="e">
        <f t="shared" si="235"/>
        <v>#N/A</v>
      </c>
      <c r="IK296" s="262" t="e">
        <f t="shared" si="236"/>
        <v>#N/A</v>
      </c>
      <c r="IL296" s="379"/>
      <c r="IM296" s="379"/>
      <c r="IN296" s="262" t="e">
        <f t="shared" si="237"/>
        <v>#N/A</v>
      </c>
      <c r="IO296" s="262" t="e">
        <f t="shared" si="238"/>
        <v>#N/A</v>
      </c>
      <c r="IP296" s="379"/>
      <c r="IQ296" s="379"/>
      <c r="IR296" s="262" t="e">
        <f t="shared" si="239"/>
        <v>#N/A</v>
      </c>
      <c r="IS296" s="262" t="e">
        <f t="shared" si="240"/>
        <v>#N/A</v>
      </c>
      <c r="IT296" s="379"/>
      <c r="IU296" s="379"/>
      <c r="IV296" s="262" t="e">
        <f t="shared" si="241"/>
        <v>#N/A</v>
      </c>
      <c r="IW296" s="262" t="e">
        <f t="shared" si="242"/>
        <v>#N/A</v>
      </c>
      <c r="JN296" s="261" t="e">
        <f t="shared" si="243"/>
        <v>#N/A</v>
      </c>
      <c r="JO296" s="261" t="e">
        <f t="shared" si="244"/>
        <v>#N/A</v>
      </c>
      <c r="JR296" s="261" t="e">
        <f t="shared" si="249"/>
        <v>#N/A</v>
      </c>
      <c r="JS296" s="261" t="e">
        <f t="shared" si="250"/>
        <v>#N/A</v>
      </c>
      <c r="JV296" s="261" t="e">
        <f t="shared" si="245"/>
        <v>#N/A</v>
      </c>
      <c r="JW296" s="261" t="e">
        <f t="shared" si="246"/>
        <v>#N/A</v>
      </c>
      <c r="PS296" s="342">
        <v>282</v>
      </c>
      <c r="PT296" s="261" t="e">
        <f t="shared" si="247"/>
        <v>#N/A</v>
      </c>
      <c r="PU296" s="261" t="e">
        <f t="shared" si="248"/>
        <v>#N/A</v>
      </c>
    </row>
    <row r="297" spans="4:437" x14ac:dyDescent="0.5">
      <c r="HK297" s="342">
        <v>283</v>
      </c>
      <c r="HL297" s="235" t="e">
        <f t="shared" si="223"/>
        <v>#N/A</v>
      </c>
      <c r="HM297" s="235" t="e">
        <f t="shared" si="224"/>
        <v>#N/A</v>
      </c>
      <c r="HP297" s="235" t="e">
        <f t="shared" si="225"/>
        <v>#N/A</v>
      </c>
      <c r="HQ297" s="235" t="e">
        <f t="shared" si="226"/>
        <v>#N/A</v>
      </c>
      <c r="HT297" s="235" t="e">
        <f t="shared" si="227"/>
        <v>#N/A</v>
      </c>
      <c r="HU297" s="235" t="e">
        <f t="shared" si="228"/>
        <v>#N/A</v>
      </c>
      <c r="HX297" s="235" t="e">
        <f t="shared" si="229"/>
        <v>#N/A</v>
      </c>
      <c r="HY297" s="235" t="e">
        <f t="shared" si="230"/>
        <v>#N/A</v>
      </c>
      <c r="IB297" s="235" t="e">
        <f t="shared" si="231"/>
        <v>#N/A</v>
      </c>
      <c r="IC297" s="235" t="e">
        <f t="shared" si="232"/>
        <v>#N/A</v>
      </c>
      <c r="IE297" s="342">
        <v>283</v>
      </c>
      <c r="IF297" s="262" t="e">
        <f t="shared" si="233"/>
        <v>#N/A</v>
      </c>
      <c r="IG297" s="262" t="e">
        <f t="shared" si="234"/>
        <v>#N/A</v>
      </c>
      <c r="IH297" s="379"/>
      <c r="II297" s="379"/>
      <c r="IJ297" s="262" t="e">
        <f t="shared" si="235"/>
        <v>#N/A</v>
      </c>
      <c r="IK297" s="262" t="e">
        <f t="shared" si="236"/>
        <v>#N/A</v>
      </c>
      <c r="IL297" s="379"/>
      <c r="IM297" s="379"/>
      <c r="IN297" s="262" t="e">
        <f t="shared" si="237"/>
        <v>#N/A</v>
      </c>
      <c r="IO297" s="262" t="e">
        <f t="shared" si="238"/>
        <v>#N/A</v>
      </c>
      <c r="IP297" s="379"/>
      <c r="IQ297" s="379"/>
      <c r="IR297" s="262" t="e">
        <f t="shared" si="239"/>
        <v>#N/A</v>
      </c>
      <c r="IS297" s="262" t="e">
        <f t="shared" si="240"/>
        <v>#N/A</v>
      </c>
      <c r="IT297" s="379"/>
      <c r="IU297" s="379"/>
      <c r="IV297" s="262" t="e">
        <f t="shared" si="241"/>
        <v>#N/A</v>
      </c>
      <c r="IW297" s="262" t="e">
        <f t="shared" si="242"/>
        <v>#N/A</v>
      </c>
      <c r="JN297" s="261" t="e">
        <f t="shared" si="243"/>
        <v>#N/A</v>
      </c>
      <c r="JO297" s="261" t="e">
        <f t="shared" si="244"/>
        <v>#N/A</v>
      </c>
      <c r="JR297" s="261" t="e">
        <f t="shared" si="249"/>
        <v>#N/A</v>
      </c>
      <c r="JS297" s="261" t="e">
        <f t="shared" si="250"/>
        <v>#N/A</v>
      </c>
      <c r="JV297" s="261" t="e">
        <f t="shared" si="245"/>
        <v>#N/A</v>
      </c>
      <c r="JW297" s="261" t="e">
        <f t="shared" si="246"/>
        <v>#N/A</v>
      </c>
      <c r="PS297" s="342">
        <v>283</v>
      </c>
      <c r="PT297" s="261" t="e">
        <f t="shared" si="247"/>
        <v>#N/A</v>
      </c>
      <c r="PU297" s="261" t="e">
        <f t="shared" si="248"/>
        <v>#N/A</v>
      </c>
    </row>
    <row r="298" spans="4:437" x14ac:dyDescent="0.5">
      <c r="HK298" s="342">
        <v>284</v>
      </c>
      <c r="HL298" s="235" t="e">
        <f t="shared" si="223"/>
        <v>#N/A</v>
      </c>
      <c r="HM298" s="235" t="e">
        <f t="shared" si="224"/>
        <v>#N/A</v>
      </c>
      <c r="HP298" s="235" t="e">
        <f t="shared" si="225"/>
        <v>#N/A</v>
      </c>
      <c r="HQ298" s="235" t="e">
        <f t="shared" si="226"/>
        <v>#N/A</v>
      </c>
      <c r="HT298" s="235" t="e">
        <f t="shared" si="227"/>
        <v>#N/A</v>
      </c>
      <c r="HU298" s="235" t="e">
        <f t="shared" si="228"/>
        <v>#N/A</v>
      </c>
      <c r="HX298" s="235" t="e">
        <f t="shared" si="229"/>
        <v>#N/A</v>
      </c>
      <c r="HY298" s="235" t="e">
        <f t="shared" si="230"/>
        <v>#N/A</v>
      </c>
      <c r="IB298" s="235" t="e">
        <f t="shared" si="231"/>
        <v>#N/A</v>
      </c>
      <c r="IC298" s="235" t="e">
        <f t="shared" si="232"/>
        <v>#N/A</v>
      </c>
      <c r="IE298" s="342">
        <v>284</v>
      </c>
      <c r="IF298" s="262" t="e">
        <f t="shared" si="233"/>
        <v>#N/A</v>
      </c>
      <c r="IG298" s="262" t="e">
        <f t="shared" si="234"/>
        <v>#N/A</v>
      </c>
      <c r="IH298" s="379"/>
      <c r="II298" s="379"/>
      <c r="IJ298" s="262" t="e">
        <f t="shared" si="235"/>
        <v>#N/A</v>
      </c>
      <c r="IK298" s="262" t="e">
        <f t="shared" si="236"/>
        <v>#N/A</v>
      </c>
      <c r="IL298" s="379"/>
      <c r="IM298" s="379"/>
      <c r="IN298" s="262" t="e">
        <f t="shared" si="237"/>
        <v>#N/A</v>
      </c>
      <c r="IO298" s="262" t="e">
        <f t="shared" si="238"/>
        <v>#N/A</v>
      </c>
      <c r="IP298" s="379"/>
      <c r="IQ298" s="379"/>
      <c r="IR298" s="262" t="e">
        <f t="shared" si="239"/>
        <v>#N/A</v>
      </c>
      <c r="IS298" s="262" t="e">
        <f t="shared" si="240"/>
        <v>#N/A</v>
      </c>
      <c r="IT298" s="379"/>
      <c r="IU298" s="379"/>
      <c r="IV298" s="262" t="e">
        <f t="shared" si="241"/>
        <v>#N/A</v>
      </c>
      <c r="IW298" s="262" t="e">
        <f t="shared" si="242"/>
        <v>#N/A</v>
      </c>
      <c r="JN298" s="261" t="e">
        <f t="shared" si="243"/>
        <v>#N/A</v>
      </c>
      <c r="JO298" s="261" t="e">
        <f t="shared" si="244"/>
        <v>#N/A</v>
      </c>
      <c r="JR298" s="261" t="e">
        <f t="shared" si="249"/>
        <v>#N/A</v>
      </c>
      <c r="JS298" s="261" t="e">
        <f t="shared" si="250"/>
        <v>#N/A</v>
      </c>
      <c r="JV298" s="261" t="e">
        <f t="shared" si="245"/>
        <v>#N/A</v>
      </c>
      <c r="JW298" s="261" t="e">
        <f t="shared" si="246"/>
        <v>#N/A</v>
      </c>
      <c r="PS298" s="342">
        <v>284</v>
      </c>
      <c r="PT298" s="261" t="e">
        <f t="shared" si="247"/>
        <v>#N/A</v>
      </c>
      <c r="PU298" s="261" t="e">
        <f t="shared" si="248"/>
        <v>#N/A</v>
      </c>
    </row>
    <row r="299" spans="4:437" x14ac:dyDescent="0.5">
      <c r="HK299" s="342">
        <v>285</v>
      </c>
      <c r="HL299" s="235" t="e">
        <f t="shared" si="223"/>
        <v>#N/A</v>
      </c>
      <c r="HM299" s="235" t="e">
        <f t="shared" si="224"/>
        <v>#N/A</v>
      </c>
      <c r="HP299" s="235" t="e">
        <f t="shared" si="225"/>
        <v>#N/A</v>
      </c>
      <c r="HQ299" s="235" t="e">
        <f t="shared" si="226"/>
        <v>#N/A</v>
      </c>
      <c r="HT299" s="235" t="e">
        <f t="shared" si="227"/>
        <v>#N/A</v>
      </c>
      <c r="HU299" s="235" t="e">
        <f t="shared" si="228"/>
        <v>#N/A</v>
      </c>
      <c r="HX299" s="235" t="e">
        <f t="shared" si="229"/>
        <v>#N/A</v>
      </c>
      <c r="HY299" s="235" t="e">
        <f t="shared" si="230"/>
        <v>#N/A</v>
      </c>
      <c r="IB299" s="235" t="e">
        <f t="shared" si="231"/>
        <v>#N/A</v>
      </c>
      <c r="IC299" s="235" t="e">
        <f t="shared" si="232"/>
        <v>#N/A</v>
      </c>
      <c r="IE299" s="342">
        <v>285</v>
      </c>
      <c r="IF299" s="262" t="e">
        <f t="shared" si="233"/>
        <v>#N/A</v>
      </c>
      <c r="IG299" s="262" t="e">
        <f t="shared" si="234"/>
        <v>#N/A</v>
      </c>
      <c r="IH299" s="379"/>
      <c r="II299" s="379"/>
      <c r="IJ299" s="262" t="e">
        <f t="shared" si="235"/>
        <v>#N/A</v>
      </c>
      <c r="IK299" s="262" t="e">
        <f t="shared" si="236"/>
        <v>#N/A</v>
      </c>
      <c r="IL299" s="379"/>
      <c r="IM299" s="379"/>
      <c r="IN299" s="262" t="e">
        <f t="shared" si="237"/>
        <v>#N/A</v>
      </c>
      <c r="IO299" s="262" t="e">
        <f t="shared" si="238"/>
        <v>#N/A</v>
      </c>
      <c r="IP299" s="379"/>
      <c r="IQ299" s="379"/>
      <c r="IR299" s="262" t="e">
        <f t="shared" si="239"/>
        <v>#N/A</v>
      </c>
      <c r="IS299" s="262" t="e">
        <f t="shared" si="240"/>
        <v>#N/A</v>
      </c>
      <c r="IT299" s="379"/>
      <c r="IU299" s="379"/>
      <c r="IV299" s="262" t="e">
        <f t="shared" si="241"/>
        <v>#N/A</v>
      </c>
      <c r="IW299" s="262" t="e">
        <f t="shared" si="242"/>
        <v>#N/A</v>
      </c>
      <c r="JN299" s="261" t="e">
        <f t="shared" si="243"/>
        <v>#N/A</v>
      </c>
      <c r="JO299" s="261" t="e">
        <f t="shared" si="244"/>
        <v>#N/A</v>
      </c>
      <c r="JR299" s="261" t="e">
        <f t="shared" si="249"/>
        <v>#N/A</v>
      </c>
      <c r="JS299" s="261" t="e">
        <f t="shared" si="250"/>
        <v>#N/A</v>
      </c>
      <c r="JV299" s="261" t="e">
        <f t="shared" si="245"/>
        <v>#N/A</v>
      </c>
      <c r="JW299" s="261" t="e">
        <f t="shared" si="246"/>
        <v>#N/A</v>
      </c>
      <c r="PS299" s="342">
        <v>285</v>
      </c>
      <c r="PT299" s="261" t="e">
        <f t="shared" si="247"/>
        <v>#N/A</v>
      </c>
      <c r="PU299" s="261" t="e">
        <f t="shared" si="248"/>
        <v>#N/A</v>
      </c>
    </row>
    <row r="300" spans="4:437" x14ac:dyDescent="0.5">
      <c r="HK300" s="342">
        <v>286</v>
      </c>
      <c r="HL300" s="235" t="e">
        <f t="shared" si="223"/>
        <v>#N/A</v>
      </c>
      <c r="HM300" s="235" t="e">
        <f t="shared" si="224"/>
        <v>#N/A</v>
      </c>
      <c r="HP300" s="235" t="e">
        <f t="shared" si="225"/>
        <v>#N/A</v>
      </c>
      <c r="HQ300" s="235" t="e">
        <f t="shared" si="226"/>
        <v>#N/A</v>
      </c>
      <c r="HT300" s="235" t="e">
        <f t="shared" si="227"/>
        <v>#N/A</v>
      </c>
      <c r="HU300" s="235" t="e">
        <f t="shared" si="228"/>
        <v>#N/A</v>
      </c>
      <c r="HX300" s="235" t="e">
        <f t="shared" si="229"/>
        <v>#N/A</v>
      </c>
      <c r="HY300" s="235" t="e">
        <f t="shared" si="230"/>
        <v>#N/A</v>
      </c>
      <c r="IB300" s="235" t="e">
        <f t="shared" si="231"/>
        <v>#N/A</v>
      </c>
      <c r="IC300" s="235" t="e">
        <f t="shared" si="232"/>
        <v>#N/A</v>
      </c>
      <c r="IE300" s="342">
        <v>286</v>
      </c>
      <c r="IF300" s="262" t="e">
        <f t="shared" si="233"/>
        <v>#N/A</v>
      </c>
      <c r="IG300" s="262" t="e">
        <f t="shared" si="234"/>
        <v>#N/A</v>
      </c>
      <c r="IH300" s="379"/>
      <c r="II300" s="379"/>
      <c r="IJ300" s="262" t="e">
        <f t="shared" si="235"/>
        <v>#N/A</v>
      </c>
      <c r="IK300" s="262" t="e">
        <f t="shared" si="236"/>
        <v>#N/A</v>
      </c>
      <c r="IL300" s="379"/>
      <c r="IM300" s="379"/>
      <c r="IN300" s="262" t="e">
        <f t="shared" si="237"/>
        <v>#N/A</v>
      </c>
      <c r="IO300" s="262" t="e">
        <f t="shared" si="238"/>
        <v>#N/A</v>
      </c>
      <c r="IP300" s="379"/>
      <c r="IQ300" s="379"/>
      <c r="IR300" s="262" t="e">
        <f t="shared" si="239"/>
        <v>#N/A</v>
      </c>
      <c r="IS300" s="262" t="e">
        <f t="shared" si="240"/>
        <v>#N/A</v>
      </c>
      <c r="IT300" s="379"/>
      <c r="IU300" s="379"/>
      <c r="IV300" s="262" t="e">
        <f t="shared" si="241"/>
        <v>#N/A</v>
      </c>
      <c r="IW300" s="262" t="e">
        <f t="shared" si="242"/>
        <v>#N/A</v>
      </c>
      <c r="JN300" s="261" t="e">
        <f t="shared" si="243"/>
        <v>#N/A</v>
      </c>
      <c r="JO300" s="261" t="e">
        <f t="shared" si="244"/>
        <v>#N/A</v>
      </c>
      <c r="JR300" s="261" t="e">
        <f t="shared" si="249"/>
        <v>#N/A</v>
      </c>
      <c r="JS300" s="261" t="e">
        <f t="shared" si="250"/>
        <v>#N/A</v>
      </c>
      <c r="JV300" s="261" t="e">
        <f t="shared" si="245"/>
        <v>#N/A</v>
      </c>
      <c r="JW300" s="261" t="e">
        <f t="shared" si="246"/>
        <v>#N/A</v>
      </c>
      <c r="PS300" s="342">
        <v>286</v>
      </c>
      <c r="PT300" s="261" t="e">
        <f t="shared" si="247"/>
        <v>#N/A</v>
      </c>
      <c r="PU300" s="261" t="e">
        <f t="shared" si="248"/>
        <v>#N/A</v>
      </c>
    </row>
    <row r="301" spans="4:437" x14ac:dyDescent="0.5">
      <c r="HK301" s="342">
        <v>287</v>
      </c>
      <c r="HL301" s="235" t="e">
        <f t="shared" si="223"/>
        <v>#N/A</v>
      </c>
      <c r="HM301" s="235" t="e">
        <f t="shared" si="224"/>
        <v>#N/A</v>
      </c>
      <c r="HP301" s="235" t="e">
        <f t="shared" si="225"/>
        <v>#N/A</v>
      </c>
      <c r="HQ301" s="235" t="e">
        <f t="shared" si="226"/>
        <v>#N/A</v>
      </c>
      <c r="HT301" s="235" t="e">
        <f t="shared" si="227"/>
        <v>#N/A</v>
      </c>
      <c r="HU301" s="235" t="e">
        <f t="shared" si="228"/>
        <v>#N/A</v>
      </c>
      <c r="HX301" s="235" t="e">
        <f t="shared" si="229"/>
        <v>#N/A</v>
      </c>
      <c r="HY301" s="235" t="e">
        <f t="shared" si="230"/>
        <v>#N/A</v>
      </c>
      <c r="IB301" s="235" t="e">
        <f t="shared" si="231"/>
        <v>#N/A</v>
      </c>
      <c r="IC301" s="235" t="e">
        <f t="shared" si="232"/>
        <v>#N/A</v>
      </c>
      <c r="IE301" s="342">
        <v>287</v>
      </c>
      <c r="IF301" s="262" t="e">
        <f t="shared" si="233"/>
        <v>#N/A</v>
      </c>
      <c r="IG301" s="262" t="e">
        <f t="shared" si="234"/>
        <v>#N/A</v>
      </c>
      <c r="IH301" s="379"/>
      <c r="II301" s="379"/>
      <c r="IJ301" s="262" t="e">
        <f t="shared" si="235"/>
        <v>#N/A</v>
      </c>
      <c r="IK301" s="262" t="e">
        <f t="shared" si="236"/>
        <v>#N/A</v>
      </c>
      <c r="IL301" s="379"/>
      <c r="IM301" s="379"/>
      <c r="IN301" s="262" t="e">
        <f t="shared" si="237"/>
        <v>#N/A</v>
      </c>
      <c r="IO301" s="262" t="e">
        <f t="shared" si="238"/>
        <v>#N/A</v>
      </c>
      <c r="IP301" s="379"/>
      <c r="IQ301" s="379"/>
      <c r="IR301" s="262" t="e">
        <f t="shared" si="239"/>
        <v>#N/A</v>
      </c>
      <c r="IS301" s="262" t="e">
        <f t="shared" si="240"/>
        <v>#N/A</v>
      </c>
      <c r="IT301" s="379"/>
      <c r="IU301" s="379"/>
      <c r="IV301" s="262" t="e">
        <f t="shared" si="241"/>
        <v>#N/A</v>
      </c>
      <c r="IW301" s="262" t="e">
        <f t="shared" si="242"/>
        <v>#N/A</v>
      </c>
      <c r="JN301" s="261" t="e">
        <f t="shared" si="243"/>
        <v>#N/A</v>
      </c>
      <c r="JO301" s="261" t="e">
        <f t="shared" si="244"/>
        <v>#N/A</v>
      </c>
      <c r="JR301" s="261" t="e">
        <f t="shared" si="249"/>
        <v>#N/A</v>
      </c>
      <c r="JS301" s="261" t="e">
        <f t="shared" si="250"/>
        <v>#N/A</v>
      </c>
      <c r="JV301" s="261" t="e">
        <f t="shared" si="245"/>
        <v>#N/A</v>
      </c>
      <c r="JW301" s="261" t="e">
        <f t="shared" si="246"/>
        <v>#N/A</v>
      </c>
      <c r="PS301" s="342">
        <v>287</v>
      </c>
      <c r="PT301" s="261" t="e">
        <f t="shared" si="247"/>
        <v>#N/A</v>
      </c>
      <c r="PU301" s="261" t="e">
        <f t="shared" si="248"/>
        <v>#N/A</v>
      </c>
    </row>
    <row r="302" spans="4:437" x14ac:dyDescent="0.5">
      <c r="HK302" s="342">
        <v>288</v>
      </c>
      <c r="HL302" s="235" t="e">
        <f t="shared" si="223"/>
        <v>#N/A</v>
      </c>
      <c r="HM302" s="235" t="e">
        <f t="shared" si="224"/>
        <v>#N/A</v>
      </c>
      <c r="HP302" s="235" t="e">
        <f t="shared" si="225"/>
        <v>#N/A</v>
      </c>
      <c r="HQ302" s="235" t="e">
        <f t="shared" si="226"/>
        <v>#N/A</v>
      </c>
      <c r="HT302" s="235" t="e">
        <f t="shared" si="227"/>
        <v>#N/A</v>
      </c>
      <c r="HU302" s="235" t="e">
        <f t="shared" si="228"/>
        <v>#N/A</v>
      </c>
      <c r="HX302" s="235" t="e">
        <f t="shared" si="229"/>
        <v>#N/A</v>
      </c>
      <c r="HY302" s="235" t="e">
        <f t="shared" si="230"/>
        <v>#N/A</v>
      </c>
      <c r="IB302" s="235" t="e">
        <f t="shared" si="231"/>
        <v>#N/A</v>
      </c>
      <c r="IC302" s="235" t="e">
        <f t="shared" si="232"/>
        <v>#N/A</v>
      </c>
      <c r="IE302" s="342">
        <v>288</v>
      </c>
      <c r="IF302" s="262" t="e">
        <f t="shared" si="233"/>
        <v>#N/A</v>
      </c>
      <c r="IG302" s="262" t="e">
        <f t="shared" si="234"/>
        <v>#N/A</v>
      </c>
      <c r="IH302" s="379"/>
      <c r="II302" s="379"/>
      <c r="IJ302" s="262" t="e">
        <f t="shared" si="235"/>
        <v>#N/A</v>
      </c>
      <c r="IK302" s="262" t="e">
        <f t="shared" si="236"/>
        <v>#N/A</v>
      </c>
      <c r="IL302" s="379"/>
      <c r="IM302" s="379"/>
      <c r="IN302" s="262" t="e">
        <f t="shared" si="237"/>
        <v>#N/A</v>
      </c>
      <c r="IO302" s="262" t="e">
        <f t="shared" si="238"/>
        <v>#N/A</v>
      </c>
      <c r="IP302" s="379"/>
      <c r="IQ302" s="379"/>
      <c r="IR302" s="262" t="e">
        <f t="shared" si="239"/>
        <v>#N/A</v>
      </c>
      <c r="IS302" s="262" t="e">
        <f t="shared" si="240"/>
        <v>#N/A</v>
      </c>
      <c r="IT302" s="379"/>
      <c r="IU302" s="379"/>
      <c r="IV302" s="262" t="e">
        <f t="shared" si="241"/>
        <v>#N/A</v>
      </c>
      <c r="IW302" s="262" t="e">
        <f t="shared" si="242"/>
        <v>#N/A</v>
      </c>
      <c r="JN302" s="261" t="e">
        <f t="shared" si="243"/>
        <v>#N/A</v>
      </c>
      <c r="JO302" s="261" t="e">
        <f t="shared" si="244"/>
        <v>#N/A</v>
      </c>
      <c r="JR302" s="261" t="e">
        <f t="shared" si="249"/>
        <v>#N/A</v>
      </c>
      <c r="JS302" s="261" t="e">
        <f t="shared" si="250"/>
        <v>#N/A</v>
      </c>
      <c r="JV302" s="261" t="e">
        <f t="shared" si="245"/>
        <v>#N/A</v>
      </c>
      <c r="JW302" s="261" t="e">
        <f t="shared" si="246"/>
        <v>#N/A</v>
      </c>
      <c r="PS302" s="342">
        <v>288</v>
      </c>
      <c r="PT302" s="261" t="e">
        <f t="shared" si="247"/>
        <v>#N/A</v>
      </c>
      <c r="PU302" s="261" t="e">
        <f t="shared" si="248"/>
        <v>#N/A</v>
      </c>
    </row>
    <row r="303" spans="4:437" x14ac:dyDescent="0.5">
      <c r="HK303" s="342">
        <v>289</v>
      </c>
      <c r="HL303" s="235" t="e">
        <f t="shared" si="223"/>
        <v>#N/A</v>
      </c>
      <c r="HM303" s="235" t="e">
        <f t="shared" si="224"/>
        <v>#N/A</v>
      </c>
      <c r="HP303" s="235" t="e">
        <f t="shared" si="225"/>
        <v>#N/A</v>
      </c>
      <c r="HQ303" s="235" t="e">
        <f t="shared" si="226"/>
        <v>#N/A</v>
      </c>
      <c r="HT303" s="235" t="e">
        <f t="shared" si="227"/>
        <v>#N/A</v>
      </c>
      <c r="HU303" s="235" t="e">
        <f t="shared" si="228"/>
        <v>#N/A</v>
      </c>
      <c r="HX303" s="235" t="e">
        <f t="shared" si="229"/>
        <v>#N/A</v>
      </c>
      <c r="HY303" s="235" t="e">
        <f t="shared" si="230"/>
        <v>#N/A</v>
      </c>
      <c r="IB303" s="235" t="e">
        <f t="shared" si="231"/>
        <v>#N/A</v>
      </c>
      <c r="IC303" s="235" t="e">
        <f t="shared" si="232"/>
        <v>#N/A</v>
      </c>
      <c r="IE303" s="342">
        <v>289</v>
      </c>
      <c r="IF303" s="262" t="e">
        <f t="shared" si="233"/>
        <v>#N/A</v>
      </c>
      <c r="IG303" s="262" t="e">
        <f t="shared" si="234"/>
        <v>#N/A</v>
      </c>
      <c r="IH303" s="379"/>
      <c r="II303" s="379"/>
      <c r="IJ303" s="262" t="e">
        <f t="shared" si="235"/>
        <v>#N/A</v>
      </c>
      <c r="IK303" s="262" t="e">
        <f t="shared" si="236"/>
        <v>#N/A</v>
      </c>
      <c r="IL303" s="379"/>
      <c r="IM303" s="379"/>
      <c r="IN303" s="262" t="e">
        <f t="shared" si="237"/>
        <v>#N/A</v>
      </c>
      <c r="IO303" s="262" t="e">
        <f t="shared" si="238"/>
        <v>#N/A</v>
      </c>
      <c r="IP303" s="379"/>
      <c r="IQ303" s="379"/>
      <c r="IR303" s="262" t="e">
        <f t="shared" si="239"/>
        <v>#N/A</v>
      </c>
      <c r="IS303" s="262" t="e">
        <f t="shared" si="240"/>
        <v>#N/A</v>
      </c>
      <c r="IT303" s="379"/>
      <c r="IU303" s="379"/>
      <c r="IV303" s="262" t="e">
        <f t="shared" si="241"/>
        <v>#N/A</v>
      </c>
      <c r="IW303" s="262" t="e">
        <f t="shared" si="242"/>
        <v>#N/A</v>
      </c>
      <c r="JN303" s="261" t="e">
        <f t="shared" si="243"/>
        <v>#N/A</v>
      </c>
      <c r="JO303" s="261" t="e">
        <f t="shared" si="244"/>
        <v>#N/A</v>
      </c>
      <c r="JR303" s="261" t="e">
        <f t="shared" si="249"/>
        <v>#N/A</v>
      </c>
      <c r="JS303" s="261" t="e">
        <f t="shared" si="250"/>
        <v>#N/A</v>
      </c>
      <c r="JV303" s="261" t="e">
        <f t="shared" si="245"/>
        <v>#N/A</v>
      </c>
      <c r="JW303" s="261" t="e">
        <f t="shared" si="246"/>
        <v>#N/A</v>
      </c>
      <c r="PS303" s="342">
        <v>289</v>
      </c>
      <c r="PT303" s="261" t="e">
        <f t="shared" si="247"/>
        <v>#N/A</v>
      </c>
      <c r="PU303" s="261" t="e">
        <f t="shared" si="248"/>
        <v>#N/A</v>
      </c>
    </row>
    <row r="304" spans="4:437" x14ac:dyDescent="0.5">
      <c r="HK304" s="342">
        <v>290</v>
      </c>
      <c r="HL304" s="235" t="e">
        <f t="shared" si="223"/>
        <v>#N/A</v>
      </c>
      <c r="HM304" s="235" t="e">
        <f t="shared" si="224"/>
        <v>#N/A</v>
      </c>
      <c r="HP304" s="235" t="e">
        <f t="shared" si="225"/>
        <v>#N/A</v>
      </c>
      <c r="HQ304" s="235" t="e">
        <f t="shared" si="226"/>
        <v>#N/A</v>
      </c>
      <c r="HT304" s="235" t="e">
        <f t="shared" si="227"/>
        <v>#N/A</v>
      </c>
      <c r="HU304" s="235" t="e">
        <f t="shared" si="228"/>
        <v>#N/A</v>
      </c>
      <c r="HX304" s="235" t="e">
        <f t="shared" si="229"/>
        <v>#N/A</v>
      </c>
      <c r="HY304" s="235" t="e">
        <f t="shared" si="230"/>
        <v>#N/A</v>
      </c>
      <c r="IB304" s="235" t="e">
        <f t="shared" si="231"/>
        <v>#N/A</v>
      </c>
      <c r="IC304" s="235" t="e">
        <f t="shared" si="232"/>
        <v>#N/A</v>
      </c>
      <c r="IE304" s="342">
        <v>290</v>
      </c>
      <c r="IF304" s="262" t="e">
        <f t="shared" si="233"/>
        <v>#N/A</v>
      </c>
      <c r="IG304" s="262" t="e">
        <f t="shared" si="234"/>
        <v>#N/A</v>
      </c>
      <c r="IH304" s="379"/>
      <c r="II304" s="379"/>
      <c r="IJ304" s="262" t="e">
        <f t="shared" si="235"/>
        <v>#N/A</v>
      </c>
      <c r="IK304" s="262" t="e">
        <f t="shared" si="236"/>
        <v>#N/A</v>
      </c>
      <c r="IL304" s="379"/>
      <c r="IM304" s="379"/>
      <c r="IN304" s="262" t="e">
        <f t="shared" si="237"/>
        <v>#N/A</v>
      </c>
      <c r="IO304" s="262" t="e">
        <f t="shared" si="238"/>
        <v>#N/A</v>
      </c>
      <c r="IP304" s="379"/>
      <c r="IQ304" s="379"/>
      <c r="IR304" s="262" t="e">
        <f t="shared" si="239"/>
        <v>#N/A</v>
      </c>
      <c r="IS304" s="262" t="e">
        <f t="shared" si="240"/>
        <v>#N/A</v>
      </c>
      <c r="IT304" s="379"/>
      <c r="IU304" s="379"/>
      <c r="IV304" s="262" t="e">
        <f t="shared" si="241"/>
        <v>#N/A</v>
      </c>
      <c r="IW304" s="262" t="e">
        <f t="shared" si="242"/>
        <v>#N/A</v>
      </c>
      <c r="JN304" s="261" t="e">
        <f t="shared" si="243"/>
        <v>#N/A</v>
      </c>
      <c r="JO304" s="261" t="e">
        <f t="shared" si="244"/>
        <v>#N/A</v>
      </c>
      <c r="JR304" s="261" t="e">
        <f t="shared" si="249"/>
        <v>#N/A</v>
      </c>
      <c r="JS304" s="261" t="e">
        <f t="shared" si="250"/>
        <v>#N/A</v>
      </c>
      <c r="JV304" s="261" t="e">
        <f t="shared" si="245"/>
        <v>#N/A</v>
      </c>
      <c r="JW304" s="261" t="e">
        <f t="shared" si="246"/>
        <v>#N/A</v>
      </c>
      <c r="PS304" s="342">
        <v>290</v>
      </c>
      <c r="PT304" s="261" t="e">
        <f t="shared" si="247"/>
        <v>#N/A</v>
      </c>
      <c r="PU304" s="261" t="e">
        <f t="shared" si="248"/>
        <v>#N/A</v>
      </c>
    </row>
    <row r="305" spans="219:437" x14ac:dyDescent="0.5">
      <c r="HK305" s="342">
        <v>291</v>
      </c>
      <c r="HL305" s="235" t="e">
        <f t="shared" si="223"/>
        <v>#N/A</v>
      </c>
      <c r="HM305" s="235" t="e">
        <f t="shared" si="224"/>
        <v>#N/A</v>
      </c>
      <c r="HP305" s="235" t="e">
        <f t="shared" si="225"/>
        <v>#N/A</v>
      </c>
      <c r="HQ305" s="235" t="e">
        <f t="shared" si="226"/>
        <v>#N/A</v>
      </c>
      <c r="HT305" s="235" t="e">
        <f t="shared" si="227"/>
        <v>#N/A</v>
      </c>
      <c r="HU305" s="235" t="e">
        <f t="shared" si="228"/>
        <v>#N/A</v>
      </c>
      <c r="HX305" s="235" t="e">
        <f t="shared" si="229"/>
        <v>#N/A</v>
      </c>
      <c r="HY305" s="235" t="e">
        <f t="shared" si="230"/>
        <v>#N/A</v>
      </c>
      <c r="IB305" s="235" t="e">
        <f t="shared" si="231"/>
        <v>#N/A</v>
      </c>
      <c r="IC305" s="235" t="e">
        <f t="shared" si="232"/>
        <v>#N/A</v>
      </c>
      <c r="IE305" s="342">
        <v>291</v>
      </c>
      <c r="IF305" s="262" t="e">
        <f t="shared" si="233"/>
        <v>#N/A</v>
      </c>
      <c r="IG305" s="262" t="e">
        <f t="shared" si="234"/>
        <v>#N/A</v>
      </c>
      <c r="IH305" s="379"/>
      <c r="II305" s="379"/>
      <c r="IJ305" s="262" t="e">
        <f t="shared" si="235"/>
        <v>#N/A</v>
      </c>
      <c r="IK305" s="262" t="e">
        <f t="shared" si="236"/>
        <v>#N/A</v>
      </c>
      <c r="IL305" s="379"/>
      <c r="IM305" s="379"/>
      <c r="IN305" s="262" t="e">
        <f t="shared" si="237"/>
        <v>#N/A</v>
      </c>
      <c r="IO305" s="262" t="e">
        <f t="shared" si="238"/>
        <v>#N/A</v>
      </c>
      <c r="IP305" s="379"/>
      <c r="IQ305" s="379"/>
      <c r="IR305" s="262" t="e">
        <f t="shared" si="239"/>
        <v>#N/A</v>
      </c>
      <c r="IS305" s="262" t="e">
        <f t="shared" si="240"/>
        <v>#N/A</v>
      </c>
      <c r="IT305" s="379"/>
      <c r="IU305" s="379"/>
      <c r="IV305" s="262" t="e">
        <f t="shared" si="241"/>
        <v>#N/A</v>
      </c>
      <c r="IW305" s="262" t="e">
        <f t="shared" si="242"/>
        <v>#N/A</v>
      </c>
      <c r="JN305" s="261" t="e">
        <f t="shared" si="243"/>
        <v>#N/A</v>
      </c>
      <c r="JO305" s="261" t="e">
        <f t="shared" si="244"/>
        <v>#N/A</v>
      </c>
      <c r="JR305" s="261" t="e">
        <f t="shared" si="249"/>
        <v>#N/A</v>
      </c>
      <c r="JS305" s="261" t="e">
        <f t="shared" si="250"/>
        <v>#N/A</v>
      </c>
      <c r="JV305" s="261" t="e">
        <f t="shared" si="245"/>
        <v>#N/A</v>
      </c>
      <c r="JW305" s="261" t="e">
        <f t="shared" si="246"/>
        <v>#N/A</v>
      </c>
      <c r="PS305" s="342">
        <v>291</v>
      </c>
      <c r="PT305" s="261" t="e">
        <f t="shared" si="247"/>
        <v>#N/A</v>
      </c>
      <c r="PU305" s="261" t="e">
        <f t="shared" si="248"/>
        <v>#N/A</v>
      </c>
    </row>
    <row r="306" spans="219:437" x14ac:dyDescent="0.5">
      <c r="HK306" s="342">
        <v>292</v>
      </c>
      <c r="HL306" s="235" t="e">
        <f t="shared" si="223"/>
        <v>#N/A</v>
      </c>
      <c r="HM306" s="235" t="e">
        <f t="shared" si="224"/>
        <v>#N/A</v>
      </c>
      <c r="HP306" s="235" t="e">
        <f t="shared" si="225"/>
        <v>#N/A</v>
      </c>
      <c r="HQ306" s="235" t="e">
        <f t="shared" si="226"/>
        <v>#N/A</v>
      </c>
      <c r="HT306" s="235" t="e">
        <f t="shared" si="227"/>
        <v>#N/A</v>
      </c>
      <c r="HU306" s="235" t="e">
        <f t="shared" si="228"/>
        <v>#N/A</v>
      </c>
      <c r="HX306" s="235" t="e">
        <f t="shared" si="229"/>
        <v>#N/A</v>
      </c>
      <c r="HY306" s="235" t="e">
        <f t="shared" si="230"/>
        <v>#N/A</v>
      </c>
      <c r="IB306" s="235" t="e">
        <f t="shared" si="231"/>
        <v>#N/A</v>
      </c>
      <c r="IC306" s="235" t="e">
        <f t="shared" si="232"/>
        <v>#N/A</v>
      </c>
      <c r="IE306" s="342">
        <v>292</v>
      </c>
      <c r="IF306" s="262" t="e">
        <f t="shared" si="233"/>
        <v>#N/A</v>
      </c>
      <c r="IG306" s="262" t="e">
        <f t="shared" si="234"/>
        <v>#N/A</v>
      </c>
      <c r="IH306" s="379"/>
      <c r="II306" s="379"/>
      <c r="IJ306" s="262" t="e">
        <f t="shared" si="235"/>
        <v>#N/A</v>
      </c>
      <c r="IK306" s="262" t="e">
        <f t="shared" si="236"/>
        <v>#N/A</v>
      </c>
      <c r="IL306" s="379"/>
      <c r="IM306" s="379"/>
      <c r="IN306" s="262" t="e">
        <f t="shared" si="237"/>
        <v>#N/A</v>
      </c>
      <c r="IO306" s="262" t="e">
        <f t="shared" si="238"/>
        <v>#N/A</v>
      </c>
      <c r="IP306" s="379"/>
      <c r="IQ306" s="379"/>
      <c r="IR306" s="262" t="e">
        <f t="shared" si="239"/>
        <v>#N/A</v>
      </c>
      <c r="IS306" s="262" t="e">
        <f t="shared" si="240"/>
        <v>#N/A</v>
      </c>
      <c r="IT306" s="379"/>
      <c r="IU306" s="379"/>
      <c r="IV306" s="262" t="e">
        <f t="shared" si="241"/>
        <v>#N/A</v>
      </c>
      <c r="IW306" s="262" t="e">
        <f t="shared" si="242"/>
        <v>#N/A</v>
      </c>
      <c r="JN306" s="261" t="e">
        <f t="shared" si="243"/>
        <v>#N/A</v>
      </c>
      <c r="JO306" s="261" t="e">
        <f t="shared" si="244"/>
        <v>#N/A</v>
      </c>
      <c r="JR306" s="261" t="e">
        <f t="shared" si="249"/>
        <v>#N/A</v>
      </c>
      <c r="JS306" s="261" t="e">
        <f t="shared" si="250"/>
        <v>#N/A</v>
      </c>
      <c r="JV306" s="261" t="e">
        <f t="shared" si="245"/>
        <v>#N/A</v>
      </c>
      <c r="JW306" s="261" t="e">
        <f t="shared" si="246"/>
        <v>#N/A</v>
      </c>
      <c r="PS306" s="342">
        <v>292</v>
      </c>
      <c r="PT306" s="261" t="e">
        <f t="shared" si="247"/>
        <v>#N/A</v>
      </c>
      <c r="PU306" s="261" t="e">
        <f t="shared" si="248"/>
        <v>#N/A</v>
      </c>
    </row>
    <row r="307" spans="219:437" x14ac:dyDescent="0.5">
      <c r="HK307" s="342">
        <v>293</v>
      </c>
      <c r="HL307" s="235" t="e">
        <f t="shared" si="223"/>
        <v>#N/A</v>
      </c>
      <c r="HM307" s="235" t="e">
        <f t="shared" si="224"/>
        <v>#N/A</v>
      </c>
      <c r="HP307" s="235" t="e">
        <f t="shared" si="225"/>
        <v>#N/A</v>
      </c>
      <c r="HQ307" s="235" t="e">
        <f t="shared" si="226"/>
        <v>#N/A</v>
      </c>
      <c r="HT307" s="235" t="e">
        <f t="shared" si="227"/>
        <v>#N/A</v>
      </c>
      <c r="HU307" s="235" t="e">
        <f t="shared" si="228"/>
        <v>#N/A</v>
      </c>
      <c r="HX307" s="235" t="e">
        <f t="shared" si="229"/>
        <v>#N/A</v>
      </c>
      <c r="HY307" s="235" t="e">
        <f t="shared" si="230"/>
        <v>#N/A</v>
      </c>
      <c r="IB307" s="235" t="e">
        <f t="shared" si="231"/>
        <v>#N/A</v>
      </c>
      <c r="IC307" s="235" t="e">
        <f t="shared" si="232"/>
        <v>#N/A</v>
      </c>
      <c r="IE307" s="342">
        <v>293</v>
      </c>
      <c r="IF307" s="262" t="e">
        <f t="shared" si="233"/>
        <v>#N/A</v>
      </c>
      <c r="IG307" s="262" t="e">
        <f t="shared" si="234"/>
        <v>#N/A</v>
      </c>
      <c r="IH307" s="379"/>
      <c r="II307" s="379"/>
      <c r="IJ307" s="262" t="e">
        <f t="shared" si="235"/>
        <v>#N/A</v>
      </c>
      <c r="IK307" s="262" t="e">
        <f t="shared" si="236"/>
        <v>#N/A</v>
      </c>
      <c r="IL307" s="379"/>
      <c r="IM307" s="379"/>
      <c r="IN307" s="262" t="e">
        <f t="shared" si="237"/>
        <v>#N/A</v>
      </c>
      <c r="IO307" s="262" t="e">
        <f t="shared" si="238"/>
        <v>#N/A</v>
      </c>
      <c r="IP307" s="379"/>
      <c r="IQ307" s="379"/>
      <c r="IR307" s="262" t="e">
        <f t="shared" si="239"/>
        <v>#N/A</v>
      </c>
      <c r="IS307" s="262" t="e">
        <f t="shared" si="240"/>
        <v>#N/A</v>
      </c>
      <c r="IT307" s="379"/>
      <c r="IU307" s="379"/>
      <c r="IV307" s="262" t="e">
        <f t="shared" si="241"/>
        <v>#N/A</v>
      </c>
      <c r="IW307" s="262" t="e">
        <f t="shared" si="242"/>
        <v>#N/A</v>
      </c>
      <c r="JN307" s="261" t="e">
        <f t="shared" si="243"/>
        <v>#N/A</v>
      </c>
      <c r="JO307" s="261" t="e">
        <f t="shared" si="244"/>
        <v>#N/A</v>
      </c>
      <c r="JR307" s="261" t="e">
        <f t="shared" si="249"/>
        <v>#N/A</v>
      </c>
      <c r="JS307" s="261" t="e">
        <f t="shared" si="250"/>
        <v>#N/A</v>
      </c>
      <c r="JV307" s="261" t="e">
        <f t="shared" si="245"/>
        <v>#N/A</v>
      </c>
      <c r="JW307" s="261" t="e">
        <f t="shared" si="246"/>
        <v>#N/A</v>
      </c>
      <c r="PS307" s="342">
        <v>293</v>
      </c>
      <c r="PT307" s="261" t="e">
        <f t="shared" si="247"/>
        <v>#N/A</v>
      </c>
      <c r="PU307" s="261" t="e">
        <f t="shared" si="248"/>
        <v>#N/A</v>
      </c>
    </row>
    <row r="308" spans="219:437" x14ac:dyDescent="0.5">
      <c r="HK308" s="342">
        <v>294</v>
      </c>
      <c r="HL308" s="235" t="e">
        <f t="shared" si="223"/>
        <v>#N/A</v>
      </c>
      <c r="HM308" s="235" t="e">
        <f t="shared" si="224"/>
        <v>#N/A</v>
      </c>
      <c r="HP308" s="235" t="e">
        <f t="shared" si="225"/>
        <v>#N/A</v>
      </c>
      <c r="HQ308" s="235" t="e">
        <f t="shared" si="226"/>
        <v>#N/A</v>
      </c>
      <c r="HT308" s="235" t="e">
        <f t="shared" si="227"/>
        <v>#N/A</v>
      </c>
      <c r="HU308" s="235" t="e">
        <f t="shared" si="228"/>
        <v>#N/A</v>
      </c>
      <c r="HX308" s="235" t="e">
        <f t="shared" si="229"/>
        <v>#N/A</v>
      </c>
      <c r="HY308" s="235" t="e">
        <f t="shared" si="230"/>
        <v>#N/A</v>
      </c>
      <c r="IB308" s="235" t="e">
        <f t="shared" si="231"/>
        <v>#N/A</v>
      </c>
      <c r="IC308" s="235" t="e">
        <f t="shared" si="232"/>
        <v>#N/A</v>
      </c>
      <c r="IE308" s="342">
        <v>294</v>
      </c>
      <c r="IF308" s="262" t="e">
        <f t="shared" si="233"/>
        <v>#N/A</v>
      </c>
      <c r="IG308" s="262" t="e">
        <f t="shared" si="234"/>
        <v>#N/A</v>
      </c>
      <c r="IH308" s="379"/>
      <c r="II308" s="379"/>
      <c r="IJ308" s="262" t="e">
        <f t="shared" si="235"/>
        <v>#N/A</v>
      </c>
      <c r="IK308" s="262" t="e">
        <f t="shared" si="236"/>
        <v>#N/A</v>
      </c>
      <c r="IL308" s="379"/>
      <c r="IM308" s="379"/>
      <c r="IN308" s="262" t="e">
        <f t="shared" si="237"/>
        <v>#N/A</v>
      </c>
      <c r="IO308" s="262" t="e">
        <f t="shared" si="238"/>
        <v>#N/A</v>
      </c>
      <c r="IP308" s="379"/>
      <c r="IQ308" s="379"/>
      <c r="IR308" s="262" t="e">
        <f t="shared" si="239"/>
        <v>#N/A</v>
      </c>
      <c r="IS308" s="262" t="e">
        <f t="shared" si="240"/>
        <v>#N/A</v>
      </c>
      <c r="IT308" s="379"/>
      <c r="IU308" s="379"/>
      <c r="IV308" s="262" t="e">
        <f t="shared" si="241"/>
        <v>#N/A</v>
      </c>
      <c r="IW308" s="262" t="e">
        <f t="shared" si="242"/>
        <v>#N/A</v>
      </c>
      <c r="JN308" s="261" t="e">
        <f t="shared" si="243"/>
        <v>#N/A</v>
      </c>
      <c r="JO308" s="261" t="e">
        <f t="shared" si="244"/>
        <v>#N/A</v>
      </c>
      <c r="JR308" s="261" t="e">
        <f t="shared" si="249"/>
        <v>#N/A</v>
      </c>
      <c r="JS308" s="261" t="e">
        <f t="shared" si="250"/>
        <v>#N/A</v>
      </c>
      <c r="JV308" s="261" t="e">
        <f t="shared" si="245"/>
        <v>#N/A</v>
      </c>
      <c r="JW308" s="261" t="e">
        <f t="shared" si="246"/>
        <v>#N/A</v>
      </c>
      <c r="PS308" s="342">
        <v>294</v>
      </c>
      <c r="PT308" s="261" t="e">
        <f t="shared" si="247"/>
        <v>#N/A</v>
      </c>
      <c r="PU308" s="261" t="e">
        <f t="shared" si="248"/>
        <v>#N/A</v>
      </c>
    </row>
    <row r="309" spans="219:437" x14ac:dyDescent="0.5">
      <c r="HK309" s="342">
        <v>295</v>
      </c>
      <c r="HL309" s="235" t="e">
        <f t="shared" si="223"/>
        <v>#N/A</v>
      </c>
      <c r="HM309" s="235" t="e">
        <f t="shared" si="224"/>
        <v>#N/A</v>
      </c>
      <c r="HP309" s="235" t="e">
        <f t="shared" si="225"/>
        <v>#N/A</v>
      </c>
      <c r="HQ309" s="235" t="e">
        <f t="shared" si="226"/>
        <v>#N/A</v>
      </c>
      <c r="HT309" s="235" t="e">
        <f t="shared" si="227"/>
        <v>#N/A</v>
      </c>
      <c r="HU309" s="235" t="e">
        <f t="shared" si="228"/>
        <v>#N/A</v>
      </c>
      <c r="HX309" s="235" t="e">
        <f t="shared" si="229"/>
        <v>#N/A</v>
      </c>
      <c r="HY309" s="235" t="e">
        <f t="shared" si="230"/>
        <v>#N/A</v>
      </c>
      <c r="IB309" s="235" t="e">
        <f t="shared" si="231"/>
        <v>#N/A</v>
      </c>
      <c r="IC309" s="235" t="e">
        <f t="shared" si="232"/>
        <v>#N/A</v>
      </c>
      <c r="IE309" s="342">
        <v>295</v>
      </c>
      <c r="IF309" s="262" t="e">
        <f t="shared" si="233"/>
        <v>#N/A</v>
      </c>
      <c r="IG309" s="262" t="e">
        <f t="shared" si="234"/>
        <v>#N/A</v>
      </c>
      <c r="IH309" s="379"/>
      <c r="II309" s="379"/>
      <c r="IJ309" s="262" t="e">
        <f t="shared" si="235"/>
        <v>#N/A</v>
      </c>
      <c r="IK309" s="262" t="e">
        <f t="shared" si="236"/>
        <v>#N/A</v>
      </c>
      <c r="IL309" s="379"/>
      <c r="IM309" s="379"/>
      <c r="IN309" s="262" t="e">
        <f t="shared" si="237"/>
        <v>#N/A</v>
      </c>
      <c r="IO309" s="262" t="e">
        <f t="shared" si="238"/>
        <v>#N/A</v>
      </c>
      <c r="IP309" s="379"/>
      <c r="IQ309" s="379"/>
      <c r="IR309" s="262" t="e">
        <f t="shared" si="239"/>
        <v>#N/A</v>
      </c>
      <c r="IS309" s="262" t="e">
        <f t="shared" si="240"/>
        <v>#N/A</v>
      </c>
      <c r="IT309" s="379"/>
      <c r="IU309" s="379"/>
      <c r="IV309" s="262" t="e">
        <f t="shared" si="241"/>
        <v>#N/A</v>
      </c>
      <c r="IW309" s="262" t="e">
        <f t="shared" si="242"/>
        <v>#N/A</v>
      </c>
      <c r="JN309" s="261" t="e">
        <f t="shared" si="243"/>
        <v>#N/A</v>
      </c>
      <c r="JO309" s="261" t="e">
        <f t="shared" si="244"/>
        <v>#N/A</v>
      </c>
      <c r="JR309" s="261" t="e">
        <f t="shared" si="249"/>
        <v>#N/A</v>
      </c>
      <c r="JS309" s="261" t="e">
        <f t="shared" si="250"/>
        <v>#N/A</v>
      </c>
      <c r="JV309" s="261" t="e">
        <f t="shared" si="245"/>
        <v>#N/A</v>
      </c>
      <c r="JW309" s="261" t="e">
        <f t="shared" si="246"/>
        <v>#N/A</v>
      </c>
      <c r="PS309" s="342">
        <v>295</v>
      </c>
      <c r="PT309" s="261" t="e">
        <f t="shared" si="247"/>
        <v>#N/A</v>
      </c>
      <c r="PU309" s="261" t="e">
        <f t="shared" si="248"/>
        <v>#N/A</v>
      </c>
    </row>
    <row r="310" spans="219:437" x14ac:dyDescent="0.5">
      <c r="HK310" s="342">
        <v>296</v>
      </c>
      <c r="HL310" s="235" t="e">
        <f t="shared" si="223"/>
        <v>#N/A</v>
      </c>
      <c r="HM310" s="235" t="e">
        <f t="shared" si="224"/>
        <v>#N/A</v>
      </c>
      <c r="HP310" s="235" t="e">
        <f t="shared" si="225"/>
        <v>#N/A</v>
      </c>
      <c r="HQ310" s="235" t="e">
        <f t="shared" si="226"/>
        <v>#N/A</v>
      </c>
      <c r="HT310" s="235" t="e">
        <f t="shared" si="227"/>
        <v>#N/A</v>
      </c>
      <c r="HU310" s="235" t="e">
        <f t="shared" si="228"/>
        <v>#N/A</v>
      </c>
      <c r="HX310" s="235" t="e">
        <f t="shared" si="229"/>
        <v>#N/A</v>
      </c>
      <c r="HY310" s="235" t="e">
        <f t="shared" si="230"/>
        <v>#N/A</v>
      </c>
      <c r="IB310" s="235" t="e">
        <f t="shared" si="231"/>
        <v>#N/A</v>
      </c>
      <c r="IC310" s="235" t="e">
        <f t="shared" si="232"/>
        <v>#N/A</v>
      </c>
      <c r="IE310" s="342">
        <v>296</v>
      </c>
      <c r="IF310" s="262" t="e">
        <f t="shared" si="233"/>
        <v>#N/A</v>
      </c>
      <c r="IG310" s="262" t="e">
        <f t="shared" si="234"/>
        <v>#N/A</v>
      </c>
      <c r="IH310" s="379"/>
      <c r="II310" s="379"/>
      <c r="IJ310" s="262" t="e">
        <f t="shared" si="235"/>
        <v>#N/A</v>
      </c>
      <c r="IK310" s="262" t="e">
        <f t="shared" si="236"/>
        <v>#N/A</v>
      </c>
      <c r="IL310" s="379"/>
      <c r="IM310" s="379"/>
      <c r="IN310" s="262" t="e">
        <f t="shared" si="237"/>
        <v>#N/A</v>
      </c>
      <c r="IO310" s="262" t="e">
        <f t="shared" si="238"/>
        <v>#N/A</v>
      </c>
      <c r="IP310" s="379"/>
      <c r="IQ310" s="379"/>
      <c r="IR310" s="262" t="e">
        <f t="shared" si="239"/>
        <v>#N/A</v>
      </c>
      <c r="IS310" s="262" t="e">
        <f t="shared" si="240"/>
        <v>#N/A</v>
      </c>
      <c r="IT310" s="379"/>
      <c r="IU310" s="379"/>
      <c r="IV310" s="262" t="e">
        <f t="shared" si="241"/>
        <v>#N/A</v>
      </c>
      <c r="IW310" s="262" t="e">
        <f t="shared" si="242"/>
        <v>#N/A</v>
      </c>
      <c r="JN310" s="261" t="e">
        <f t="shared" si="243"/>
        <v>#N/A</v>
      </c>
      <c r="JO310" s="261" t="e">
        <f t="shared" si="244"/>
        <v>#N/A</v>
      </c>
      <c r="JR310" s="261" t="e">
        <f t="shared" si="249"/>
        <v>#N/A</v>
      </c>
      <c r="JS310" s="261" t="e">
        <f t="shared" si="250"/>
        <v>#N/A</v>
      </c>
      <c r="JV310" s="261" t="e">
        <f t="shared" si="245"/>
        <v>#N/A</v>
      </c>
      <c r="JW310" s="261" t="e">
        <f t="shared" si="246"/>
        <v>#N/A</v>
      </c>
      <c r="PS310" s="342">
        <v>296</v>
      </c>
      <c r="PT310" s="261" t="e">
        <f t="shared" si="247"/>
        <v>#N/A</v>
      </c>
      <c r="PU310" s="261" t="e">
        <f t="shared" si="248"/>
        <v>#N/A</v>
      </c>
    </row>
    <row r="311" spans="219:437" x14ac:dyDescent="0.5">
      <c r="HK311" s="342">
        <v>297</v>
      </c>
      <c r="HL311" s="235" t="e">
        <f t="shared" si="223"/>
        <v>#N/A</v>
      </c>
      <c r="HM311" s="235" t="e">
        <f t="shared" si="224"/>
        <v>#N/A</v>
      </c>
      <c r="HP311" s="235" t="e">
        <f t="shared" si="225"/>
        <v>#N/A</v>
      </c>
      <c r="HQ311" s="235" t="e">
        <f t="shared" si="226"/>
        <v>#N/A</v>
      </c>
      <c r="HT311" s="235" t="e">
        <f t="shared" si="227"/>
        <v>#N/A</v>
      </c>
      <c r="HU311" s="235" t="e">
        <f t="shared" si="228"/>
        <v>#N/A</v>
      </c>
      <c r="HX311" s="235" t="e">
        <f t="shared" si="229"/>
        <v>#N/A</v>
      </c>
      <c r="HY311" s="235" t="e">
        <f t="shared" si="230"/>
        <v>#N/A</v>
      </c>
      <c r="IB311" s="235" t="e">
        <f t="shared" si="231"/>
        <v>#N/A</v>
      </c>
      <c r="IC311" s="235" t="e">
        <f t="shared" si="232"/>
        <v>#N/A</v>
      </c>
      <c r="IE311" s="342">
        <v>297</v>
      </c>
      <c r="IF311" s="262" t="e">
        <f t="shared" si="233"/>
        <v>#N/A</v>
      </c>
      <c r="IG311" s="262" t="e">
        <f t="shared" si="234"/>
        <v>#N/A</v>
      </c>
      <c r="IH311" s="379"/>
      <c r="II311" s="379"/>
      <c r="IJ311" s="262" t="e">
        <f t="shared" si="235"/>
        <v>#N/A</v>
      </c>
      <c r="IK311" s="262" t="e">
        <f t="shared" si="236"/>
        <v>#N/A</v>
      </c>
      <c r="IL311" s="379"/>
      <c r="IM311" s="379"/>
      <c r="IN311" s="262" t="e">
        <f t="shared" si="237"/>
        <v>#N/A</v>
      </c>
      <c r="IO311" s="262" t="e">
        <f t="shared" si="238"/>
        <v>#N/A</v>
      </c>
      <c r="IP311" s="379"/>
      <c r="IQ311" s="379"/>
      <c r="IR311" s="262" t="e">
        <f t="shared" si="239"/>
        <v>#N/A</v>
      </c>
      <c r="IS311" s="262" t="e">
        <f t="shared" si="240"/>
        <v>#N/A</v>
      </c>
      <c r="IT311" s="379"/>
      <c r="IU311" s="379"/>
      <c r="IV311" s="262" t="e">
        <f t="shared" si="241"/>
        <v>#N/A</v>
      </c>
      <c r="IW311" s="262" t="e">
        <f t="shared" si="242"/>
        <v>#N/A</v>
      </c>
      <c r="JN311" s="261" t="e">
        <f t="shared" si="243"/>
        <v>#N/A</v>
      </c>
      <c r="JO311" s="261" t="e">
        <f t="shared" si="244"/>
        <v>#N/A</v>
      </c>
      <c r="JR311" s="261" t="e">
        <f t="shared" si="249"/>
        <v>#N/A</v>
      </c>
      <c r="JS311" s="261" t="e">
        <f t="shared" si="250"/>
        <v>#N/A</v>
      </c>
      <c r="JV311" s="261" t="e">
        <f t="shared" si="245"/>
        <v>#N/A</v>
      </c>
      <c r="JW311" s="261" t="e">
        <f t="shared" si="246"/>
        <v>#N/A</v>
      </c>
      <c r="PS311" s="342">
        <v>297</v>
      </c>
      <c r="PT311" s="261" t="e">
        <f t="shared" si="247"/>
        <v>#N/A</v>
      </c>
      <c r="PU311" s="261" t="e">
        <f t="shared" si="248"/>
        <v>#N/A</v>
      </c>
    </row>
    <row r="312" spans="219:437" x14ac:dyDescent="0.5">
      <c r="HK312" s="342">
        <v>298</v>
      </c>
      <c r="HL312" s="235" t="e">
        <f t="shared" si="223"/>
        <v>#N/A</v>
      </c>
      <c r="HM312" s="235" t="e">
        <f t="shared" si="224"/>
        <v>#N/A</v>
      </c>
      <c r="HP312" s="235" t="e">
        <f t="shared" si="225"/>
        <v>#N/A</v>
      </c>
      <c r="HQ312" s="235" t="e">
        <f t="shared" si="226"/>
        <v>#N/A</v>
      </c>
      <c r="HT312" s="235" t="e">
        <f t="shared" si="227"/>
        <v>#N/A</v>
      </c>
      <c r="HU312" s="235" t="e">
        <f t="shared" si="228"/>
        <v>#N/A</v>
      </c>
      <c r="HX312" s="235" t="e">
        <f t="shared" si="229"/>
        <v>#N/A</v>
      </c>
      <c r="HY312" s="235" t="e">
        <f t="shared" si="230"/>
        <v>#N/A</v>
      </c>
      <c r="IB312" s="235" t="e">
        <f t="shared" si="231"/>
        <v>#N/A</v>
      </c>
      <c r="IC312" s="235" t="e">
        <f t="shared" si="232"/>
        <v>#N/A</v>
      </c>
      <c r="IE312" s="342">
        <v>298</v>
      </c>
      <c r="IF312" s="262" t="e">
        <f t="shared" si="233"/>
        <v>#N/A</v>
      </c>
      <c r="IG312" s="262" t="e">
        <f t="shared" si="234"/>
        <v>#N/A</v>
      </c>
      <c r="IH312" s="379"/>
      <c r="II312" s="379"/>
      <c r="IJ312" s="262" t="e">
        <f t="shared" si="235"/>
        <v>#N/A</v>
      </c>
      <c r="IK312" s="262" t="e">
        <f t="shared" si="236"/>
        <v>#N/A</v>
      </c>
      <c r="IL312" s="379"/>
      <c r="IM312" s="379"/>
      <c r="IN312" s="262" t="e">
        <f t="shared" si="237"/>
        <v>#N/A</v>
      </c>
      <c r="IO312" s="262" t="e">
        <f t="shared" si="238"/>
        <v>#N/A</v>
      </c>
      <c r="IP312" s="379"/>
      <c r="IQ312" s="379"/>
      <c r="IR312" s="262" t="e">
        <f t="shared" si="239"/>
        <v>#N/A</v>
      </c>
      <c r="IS312" s="262" t="e">
        <f t="shared" si="240"/>
        <v>#N/A</v>
      </c>
      <c r="IT312" s="379"/>
      <c r="IU312" s="379"/>
      <c r="IV312" s="262" t="e">
        <f t="shared" si="241"/>
        <v>#N/A</v>
      </c>
      <c r="IW312" s="262" t="e">
        <f t="shared" si="242"/>
        <v>#N/A</v>
      </c>
      <c r="JN312" s="261" t="e">
        <f t="shared" si="243"/>
        <v>#N/A</v>
      </c>
      <c r="JO312" s="261" t="e">
        <f t="shared" si="244"/>
        <v>#N/A</v>
      </c>
      <c r="JR312" s="261" t="e">
        <f t="shared" si="249"/>
        <v>#N/A</v>
      </c>
      <c r="JS312" s="261" t="e">
        <f t="shared" si="250"/>
        <v>#N/A</v>
      </c>
      <c r="JV312" s="261" t="e">
        <f t="shared" si="245"/>
        <v>#N/A</v>
      </c>
      <c r="JW312" s="261" t="e">
        <f t="shared" si="246"/>
        <v>#N/A</v>
      </c>
      <c r="PS312" s="342">
        <v>298</v>
      </c>
      <c r="PT312" s="261" t="e">
        <f t="shared" si="247"/>
        <v>#N/A</v>
      </c>
      <c r="PU312" s="261" t="e">
        <f t="shared" si="248"/>
        <v>#N/A</v>
      </c>
    </row>
    <row r="313" spans="219:437" x14ac:dyDescent="0.5">
      <c r="HK313" s="342">
        <v>299</v>
      </c>
      <c r="HL313" s="235" t="e">
        <f t="shared" si="223"/>
        <v>#N/A</v>
      </c>
      <c r="HM313" s="235" t="e">
        <f t="shared" si="224"/>
        <v>#N/A</v>
      </c>
      <c r="HP313" s="235" t="e">
        <f t="shared" si="225"/>
        <v>#N/A</v>
      </c>
      <c r="HQ313" s="235" t="e">
        <f t="shared" si="226"/>
        <v>#N/A</v>
      </c>
      <c r="HT313" s="235" t="e">
        <f t="shared" si="227"/>
        <v>#N/A</v>
      </c>
      <c r="HU313" s="235" t="e">
        <f t="shared" si="228"/>
        <v>#N/A</v>
      </c>
      <c r="HX313" s="235" t="e">
        <f t="shared" si="229"/>
        <v>#N/A</v>
      </c>
      <c r="HY313" s="235" t="e">
        <f t="shared" si="230"/>
        <v>#N/A</v>
      </c>
      <c r="IB313" s="235" t="e">
        <f t="shared" si="231"/>
        <v>#N/A</v>
      </c>
      <c r="IC313" s="235" t="e">
        <f t="shared" si="232"/>
        <v>#N/A</v>
      </c>
      <c r="IE313" s="342">
        <v>299</v>
      </c>
      <c r="IF313" s="262" t="e">
        <f t="shared" si="233"/>
        <v>#N/A</v>
      </c>
      <c r="IG313" s="262" t="e">
        <f t="shared" si="234"/>
        <v>#N/A</v>
      </c>
      <c r="IH313" s="379"/>
      <c r="II313" s="379"/>
      <c r="IJ313" s="262" t="e">
        <f t="shared" si="235"/>
        <v>#N/A</v>
      </c>
      <c r="IK313" s="262" t="e">
        <f t="shared" si="236"/>
        <v>#N/A</v>
      </c>
      <c r="IL313" s="379"/>
      <c r="IM313" s="379"/>
      <c r="IN313" s="262" t="e">
        <f t="shared" si="237"/>
        <v>#N/A</v>
      </c>
      <c r="IO313" s="262" t="e">
        <f t="shared" si="238"/>
        <v>#N/A</v>
      </c>
      <c r="IP313" s="379"/>
      <c r="IQ313" s="379"/>
      <c r="IR313" s="262" t="e">
        <f t="shared" si="239"/>
        <v>#N/A</v>
      </c>
      <c r="IS313" s="262" t="e">
        <f t="shared" si="240"/>
        <v>#N/A</v>
      </c>
      <c r="IT313" s="379"/>
      <c r="IU313" s="379"/>
      <c r="IV313" s="262" t="e">
        <f t="shared" si="241"/>
        <v>#N/A</v>
      </c>
      <c r="IW313" s="262" t="e">
        <f t="shared" si="242"/>
        <v>#N/A</v>
      </c>
      <c r="JN313" s="261" t="e">
        <f t="shared" si="243"/>
        <v>#N/A</v>
      </c>
      <c r="JO313" s="261" t="e">
        <f t="shared" si="244"/>
        <v>#N/A</v>
      </c>
      <c r="JR313" s="261" t="e">
        <f t="shared" si="249"/>
        <v>#N/A</v>
      </c>
      <c r="JS313" s="261" t="e">
        <f t="shared" si="250"/>
        <v>#N/A</v>
      </c>
      <c r="JV313" s="261" t="e">
        <f t="shared" si="245"/>
        <v>#N/A</v>
      </c>
      <c r="JW313" s="261" t="e">
        <f t="shared" si="246"/>
        <v>#N/A</v>
      </c>
      <c r="PS313" s="342">
        <v>299</v>
      </c>
      <c r="PT313" s="261" t="e">
        <f t="shared" si="247"/>
        <v>#N/A</v>
      </c>
      <c r="PU313" s="261" t="e">
        <f t="shared" si="248"/>
        <v>#N/A</v>
      </c>
    </row>
    <row r="314" spans="219:437" x14ac:dyDescent="0.5">
      <c r="HK314" s="342">
        <v>300</v>
      </c>
      <c r="HL314" s="235" t="e">
        <f t="shared" si="223"/>
        <v>#N/A</v>
      </c>
      <c r="HM314" s="235" t="e">
        <f t="shared" si="224"/>
        <v>#N/A</v>
      </c>
      <c r="HP314" s="235" t="e">
        <f t="shared" si="225"/>
        <v>#N/A</v>
      </c>
      <c r="HQ314" s="235" t="e">
        <f t="shared" si="226"/>
        <v>#N/A</v>
      </c>
      <c r="HT314" s="235" t="e">
        <f t="shared" si="227"/>
        <v>#N/A</v>
      </c>
      <c r="HU314" s="235" t="e">
        <f t="shared" si="228"/>
        <v>#N/A</v>
      </c>
      <c r="HX314" s="235" t="e">
        <f t="shared" si="229"/>
        <v>#N/A</v>
      </c>
      <c r="HY314" s="235" t="e">
        <f t="shared" si="230"/>
        <v>#N/A</v>
      </c>
      <c r="IB314" s="235" t="e">
        <f t="shared" si="231"/>
        <v>#N/A</v>
      </c>
      <c r="IC314" s="235" t="e">
        <f t="shared" si="232"/>
        <v>#N/A</v>
      </c>
      <c r="IE314" s="342">
        <v>300</v>
      </c>
      <c r="IF314" s="262" t="e">
        <f t="shared" si="233"/>
        <v>#N/A</v>
      </c>
      <c r="IG314" s="262" t="e">
        <f t="shared" si="234"/>
        <v>#N/A</v>
      </c>
      <c r="IH314" s="379"/>
      <c r="II314" s="379"/>
      <c r="IJ314" s="262" t="e">
        <f t="shared" si="235"/>
        <v>#N/A</v>
      </c>
      <c r="IK314" s="262" t="e">
        <f t="shared" si="236"/>
        <v>#N/A</v>
      </c>
      <c r="IL314" s="379"/>
      <c r="IM314" s="379"/>
      <c r="IN314" s="262" t="e">
        <f t="shared" si="237"/>
        <v>#N/A</v>
      </c>
      <c r="IO314" s="262" t="e">
        <f t="shared" si="238"/>
        <v>#N/A</v>
      </c>
      <c r="IP314" s="379"/>
      <c r="IQ314" s="379"/>
      <c r="IR314" s="262" t="e">
        <f t="shared" si="239"/>
        <v>#N/A</v>
      </c>
      <c r="IS314" s="262" t="e">
        <f t="shared" si="240"/>
        <v>#N/A</v>
      </c>
      <c r="IT314" s="379"/>
      <c r="IU314" s="379"/>
      <c r="IV314" s="262" t="e">
        <f t="shared" si="241"/>
        <v>#N/A</v>
      </c>
      <c r="IW314" s="262" t="e">
        <f t="shared" si="242"/>
        <v>#N/A</v>
      </c>
      <c r="JN314" s="261" t="e">
        <f t="shared" si="243"/>
        <v>#N/A</v>
      </c>
      <c r="JO314" s="261" t="e">
        <f t="shared" si="244"/>
        <v>#N/A</v>
      </c>
      <c r="JR314" s="261" t="e">
        <f t="shared" si="249"/>
        <v>#N/A</v>
      </c>
      <c r="JS314" s="261" t="e">
        <f t="shared" si="250"/>
        <v>#N/A</v>
      </c>
      <c r="JV314" s="261" t="e">
        <f t="shared" si="245"/>
        <v>#N/A</v>
      </c>
      <c r="JW314" s="261" t="e">
        <f t="shared" si="246"/>
        <v>#N/A</v>
      </c>
      <c r="PS314" s="342">
        <v>300</v>
      </c>
      <c r="PT314" s="261" t="e">
        <f t="shared" si="247"/>
        <v>#N/A</v>
      </c>
      <c r="PU314" s="261" t="e">
        <f t="shared" si="248"/>
        <v>#N/A</v>
      </c>
    </row>
    <row r="315" spans="219:437" x14ac:dyDescent="0.5">
      <c r="HK315" s="342">
        <v>301</v>
      </c>
      <c r="HL315" s="235" t="e">
        <f t="shared" si="223"/>
        <v>#N/A</v>
      </c>
      <c r="HM315" s="235" t="e">
        <f t="shared" si="224"/>
        <v>#N/A</v>
      </c>
      <c r="HP315" s="235" t="e">
        <f t="shared" si="225"/>
        <v>#N/A</v>
      </c>
      <c r="HQ315" s="235" t="e">
        <f t="shared" si="226"/>
        <v>#N/A</v>
      </c>
      <c r="HT315" s="235" t="e">
        <f t="shared" si="227"/>
        <v>#N/A</v>
      </c>
      <c r="HU315" s="235" t="e">
        <f t="shared" si="228"/>
        <v>#N/A</v>
      </c>
      <c r="HX315" s="235" t="e">
        <f t="shared" si="229"/>
        <v>#N/A</v>
      </c>
      <c r="HY315" s="235" t="e">
        <f t="shared" si="230"/>
        <v>#N/A</v>
      </c>
      <c r="IB315" s="235" t="e">
        <f t="shared" si="231"/>
        <v>#N/A</v>
      </c>
      <c r="IC315" s="235" t="e">
        <f t="shared" si="232"/>
        <v>#N/A</v>
      </c>
      <c r="IE315" s="342">
        <v>301</v>
      </c>
      <c r="IF315" s="262" t="e">
        <f t="shared" si="233"/>
        <v>#N/A</v>
      </c>
      <c r="IG315" s="262" t="e">
        <f t="shared" si="234"/>
        <v>#N/A</v>
      </c>
      <c r="IH315" s="379"/>
      <c r="II315" s="379"/>
      <c r="IJ315" s="262" t="e">
        <f t="shared" si="235"/>
        <v>#N/A</v>
      </c>
      <c r="IK315" s="262" t="e">
        <f t="shared" si="236"/>
        <v>#N/A</v>
      </c>
      <c r="IL315" s="379"/>
      <c r="IM315" s="379"/>
      <c r="IN315" s="262" t="e">
        <f t="shared" si="237"/>
        <v>#N/A</v>
      </c>
      <c r="IO315" s="262" t="e">
        <f t="shared" si="238"/>
        <v>#N/A</v>
      </c>
      <c r="IP315" s="379"/>
      <c r="IQ315" s="379"/>
      <c r="IR315" s="262" t="e">
        <f t="shared" si="239"/>
        <v>#N/A</v>
      </c>
      <c r="IS315" s="262" t="e">
        <f t="shared" si="240"/>
        <v>#N/A</v>
      </c>
      <c r="IT315" s="379"/>
      <c r="IU315" s="379"/>
      <c r="IV315" s="262" t="e">
        <f t="shared" si="241"/>
        <v>#N/A</v>
      </c>
      <c r="IW315" s="262" t="e">
        <f t="shared" si="242"/>
        <v>#N/A</v>
      </c>
      <c r="JN315" s="261" t="e">
        <f t="shared" si="243"/>
        <v>#N/A</v>
      </c>
      <c r="JO315" s="261" t="e">
        <f t="shared" si="244"/>
        <v>#N/A</v>
      </c>
      <c r="JR315" s="261" t="e">
        <f t="shared" si="249"/>
        <v>#N/A</v>
      </c>
      <c r="JS315" s="261" t="e">
        <f t="shared" si="250"/>
        <v>#N/A</v>
      </c>
      <c r="JV315" s="261" t="e">
        <f t="shared" si="245"/>
        <v>#N/A</v>
      </c>
      <c r="JW315" s="261" t="e">
        <f t="shared" si="246"/>
        <v>#N/A</v>
      </c>
      <c r="PS315" s="342">
        <v>301</v>
      </c>
      <c r="PT315" s="261" t="e">
        <f t="shared" si="247"/>
        <v>#N/A</v>
      </c>
      <c r="PU315" s="261" t="e">
        <f t="shared" si="248"/>
        <v>#N/A</v>
      </c>
    </row>
    <row r="316" spans="219:437" x14ac:dyDescent="0.5">
      <c r="HK316" s="342">
        <v>302</v>
      </c>
      <c r="HL316" s="235" t="e">
        <f t="shared" si="223"/>
        <v>#N/A</v>
      </c>
      <c r="HM316" s="235" t="e">
        <f t="shared" si="224"/>
        <v>#N/A</v>
      </c>
      <c r="HP316" s="235" t="e">
        <f t="shared" si="225"/>
        <v>#N/A</v>
      </c>
      <c r="HQ316" s="235" t="e">
        <f t="shared" si="226"/>
        <v>#N/A</v>
      </c>
      <c r="HT316" s="235" t="e">
        <f t="shared" si="227"/>
        <v>#N/A</v>
      </c>
      <c r="HU316" s="235" t="e">
        <f t="shared" si="228"/>
        <v>#N/A</v>
      </c>
      <c r="HX316" s="235" t="e">
        <f t="shared" si="229"/>
        <v>#N/A</v>
      </c>
      <c r="HY316" s="235" t="e">
        <f t="shared" si="230"/>
        <v>#N/A</v>
      </c>
      <c r="IB316" s="235" t="e">
        <f t="shared" si="231"/>
        <v>#N/A</v>
      </c>
      <c r="IC316" s="235" t="e">
        <f t="shared" si="232"/>
        <v>#N/A</v>
      </c>
      <c r="IE316" s="342">
        <v>302</v>
      </c>
      <c r="IF316" s="262" t="e">
        <f t="shared" si="233"/>
        <v>#N/A</v>
      </c>
      <c r="IG316" s="262" t="e">
        <f t="shared" si="234"/>
        <v>#N/A</v>
      </c>
      <c r="IH316" s="379"/>
      <c r="II316" s="379"/>
      <c r="IJ316" s="262" t="e">
        <f t="shared" si="235"/>
        <v>#N/A</v>
      </c>
      <c r="IK316" s="262" t="e">
        <f t="shared" si="236"/>
        <v>#N/A</v>
      </c>
      <c r="IL316" s="379"/>
      <c r="IM316" s="379"/>
      <c r="IN316" s="262" t="e">
        <f t="shared" si="237"/>
        <v>#N/A</v>
      </c>
      <c r="IO316" s="262" t="e">
        <f t="shared" si="238"/>
        <v>#N/A</v>
      </c>
      <c r="IP316" s="379"/>
      <c r="IQ316" s="379"/>
      <c r="IR316" s="262" t="e">
        <f t="shared" si="239"/>
        <v>#N/A</v>
      </c>
      <c r="IS316" s="262" t="e">
        <f t="shared" si="240"/>
        <v>#N/A</v>
      </c>
      <c r="IT316" s="379"/>
      <c r="IU316" s="379"/>
      <c r="IV316" s="262" t="e">
        <f t="shared" si="241"/>
        <v>#N/A</v>
      </c>
      <c r="IW316" s="262" t="e">
        <f t="shared" si="242"/>
        <v>#N/A</v>
      </c>
      <c r="JN316" s="261" t="e">
        <f t="shared" si="243"/>
        <v>#N/A</v>
      </c>
      <c r="JO316" s="261" t="e">
        <f t="shared" si="244"/>
        <v>#N/A</v>
      </c>
      <c r="JR316" s="261" t="e">
        <f t="shared" si="249"/>
        <v>#N/A</v>
      </c>
      <c r="JS316" s="261" t="e">
        <f t="shared" si="250"/>
        <v>#N/A</v>
      </c>
      <c r="JV316" s="261" t="e">
        <f t="shared" si="245"/>
        <v>#N/A</v>
      </c>
      <c r="JW316" s="261" t="e">
        <f t="shared" si="246"/>
        <v>#N/A</v>
      </c>
      <c r="PS316" s="342">
        <v>302</v>
      </c>
      <c r="PT316" s="261" t="e">
        <f t="shared" si="247"/>
        <v>#N/A</v>
      </c>
      <c r="PU316" s="261" t="e">
        <f t="shared" si="248"/>
        <v>#N/A</v>
      </c>
    </row>
    <row r="317" spans="219:437" x14ac:dyDescent="0.5">
      <c r="HK317" s="342">
        <v>303</v>
      </c>
      <c r="HL317" s="235" t="e">
        <f t="shared" si="223"/>
        <v>#N/A</v>
      </c>
      <c r="HM317" s="235" t="e">
        <f t="shared" si="224"/>
        <v>#N/A</v>
      </c>
      <c r="HP317" s="235" t="e">
        <f t="shared" si="225"/>
        <v>#N/A</v>
      </c>
      <c r="HQ317" s="235" t="e">
        <f t="shared" si="226"/>
        <v>#N/A</v>
      </c>
      <c r="HT317" s="235" t="e">
        <f t="shared" si="227"/>
        <v>#N/A</v>
      </c>
      <c r="HU317" s="235" t="e">
        <f t="shared" si="228"/>
        <v>#N/A</v>
      </c>
      <c r="HX317" s="235" t="e">
        <f t="shared" si="229"/>
        <v>#N/A</v>
      </c>
      <c r="HY317" s="235" t="e">
        <f t="shared" si="230"/>
        <v>#N/A</v>
      </c>
      <c r="IB317" s="235" t="e">
        <f t="shared" si="231"/>
        <v>#N/A</v>
      </c>
      <c r="IC317" s="235" t="e">
        <f t="shared" si="232"/>
        <v>#N/A</v>
      </c>
      <c r="IE317" s="342">
        <v>303</v>
      </c>
      <c r="IF317" s="262" t="e">
        <f t="shared" si="233"/>
        <v>#N/A</v>
      </c>
      <c r="IG317" s="262" t="e">
        <f t="shared" si="234"/>
        <v>#N/A</v>
      </c>
      <c r="IH317" s="379"/>
      <c r="II317" s="379"/>
      <c r="IJ317" s="262" t="e">
        <f t="shared" si="235"/>
        <v>#N/A</v>
      </c>
      <c r="IK317" s="262" t="e">
        <f t="shared" si="236"/>
        <v>#N/A</v>
      </c>
      <c r="IL317" s="379"/>
      <c r="IM317" s="379"/>
      <c r="IN317" s="262" t="e">
        <f t="shared" si="237"/>
        <v>#N/A</v>
      </c>
      <c r="IO317" s="262" t="e">
        <f t="shared" si="238"/>
        <v>#N/A</v>
      </c>
      <c r="IP317" s="379"/>
      <c r="IQ317" s="379"/>
      <c r="IR317" s="262" t="e">
        <f t="shared" si="239"/>
        <v>#N/A</v>
      </c>
      <c r="IS317" s="262" t="e">
        <f t="shared" si="240"/>
        <v>#N/A</v>
      </c>
      <c r="IT317" s="379"/>
      <c r="IU317" s="379"/>
      <c r="IV317" s="262" t="e">
        <f t="shared" si="241"/>
        <v>#N/A</v>
      </c>
      <c r="IW317" s="262" t="e">
        <f t="shared" si="242"/>
        <v>#N/A</v>
      </c>
      <c r="JN317" s="261" t="e">
        <f t="shared" si="243"/>
        <v>#N/A</v>
      </c>
      <c r="JO317" s="261" t="e">
        <f t="shared" si="244"/>
        <v>#N/A</v>
      </c>
      <c r="JR317" s="261" t="e">
        <f t="shared" si="249"/>
        <v>#N/A</v>
      </c>
      <c r="JS317" s="261" t="e">
        <f t="shared" si="250"/>
        <v>#N/A</v>
      </c>
      <c r="JV317" s="261" t="e">
        <f t="shared" si="245"/>
        <v>#N/A</v>
      </c>
      <c r="JW317" s="261" t="e">
        <f t="shared" si="246"/>
        <v>#N/A</v>
      </c>
      <c r="PS317" s="342">
        <v>303</v>
      </c>
      <c r="PT317" s="261" t="e">
        <f t="shared" si="247"/>
        <v>#N/A</v>
      </c>
      <c r="PU317" s="261" t="e">
        <f t="shared" si="248"/>
        <v>#N/A</v>
      </c>
    </row>
    <row r="318" spans="219:437" x14ac:dyDescent="0.5">
      <c r="HK318" s="342">
        <v>304</v>
      </c>
      <c r="HL318" s="235" t="e">
        <f t="shared" si="223"/>
        <v>#N/A</v>
      </c>
      <c r="HM318" s="235" t="e">
        <f t="shared" si="224"/>
        <v>#N/A</v>
      </c>
      <c r="HP318" s="235" t="e">
        <f t="shared" si="225"/>
        <v>#N/A</v>
      </c>
      <c r="HQ318" s="235" t="e">
        <f t="shared" si="226"/>
        <v>#N/A</v>
      </c>
      <c r="HT318" s="235" t="e">
        <f t="shared" si="227"/>
        <v>#N/A</v>
      </c>
      <c r="HU318" s="235" t="e">
        <f t="shared" si="228"/>
        <v>#N/A</v>
      </c>
      <c r="HX318" s="235" t="e">
        <f t="shared" si="229"/>
        <v>#N/A</v>
      </c>
      <c r="HY318" s="235" t="e">
        <f t="shared" si="230"/>
        <v>#N/A</v>
      </c>
      <c r="IB318" s="235" t="e">
        <f t="shared" si="231"/>
        <v>#N/A</v>
      </c>
      <c r="IC318" s="235" t="e">
        <f t="shared" si="232"/>
        <v>#N/A</v>
      </c>
      <c r="IE318" s="342">
        <v>304</v>
      </c>
      <c r="IF318" s="262" t="e">
        <f t="shared" si="233"/>
        <v>#N/A</v>
      </c>
      <c r="IG318" s="262" t="e">
        <f t="shared" si="234"/>
        <v>#N/A</v>
      </c>
      <c r="IH318" s="379"/>
      <c r="II318" s="379"/>
      <c r="IJ318" s="262" t="e">
        <f t="shared" si="235"/>
        <v>#N/A</v>
      </c>
      <c r="IK318" s="262" t="e">
        <f t="shared" si="236"/>
        <v>#N/A</v>
      </c>
      <c r="IL318" s="379"/>
      <c r="IM318" s="379"/>
      <c r="IN318" s="262" t="e">
        <f t="shared" si="237"/>
        <v>#N/A</v>
      </c>
      <c r="IO318" s="262" t="e">
        <f t="shared" si="238"/>
        <v>#N/A</v>
      </c>
      <c r="IP318" s="379"/>
      <c r="IQ318" s="379"/>
      <c r="IR318" s="262" t="e">
        <f t="shared" si="239"/>
        <v>#N/A</v>
      </c>
      <c r="IS318" s="262" t="e">
        <f t="shared" si="240"/>
        <v>#N/A</v>
      </c>
      <c r="IT318" s="379"/>
      <c r="IU318" s="379"/>
      <c r="IV318" s="262" t="e">
        <f t="shared" si="241"/>
        <v>#N/A</v>
      </c>
      <c r="IW318" s="262" t="e">
        <f t="shared" si="242"/>
        <v>#N/A</v>
      </c>
      <c r="JN318" s="261" t="e">
        <f t="shared" si="243"/>
        <v>#N/A</v>
      </c>
      <c r="JO318" s="261" t="e">
        <f t="shared" si="244"/>
        <v>#N/A</v>
      </c>
      <c r="JR318" s="261" t="e">
        <f t="shared" si="249"/>
        <v>#N/A</v>
      </c>
      <c r="JS318" s="261" t="e">
        <f t="shared" si="250"/>
        <v>#N/A</v>
      </c>
      <c r="JV318" s="261" t="e">
        <f t="shared" si="245"/>
        <v>#N/A</v>
      </c>
      <c r="JW318" s="261" t="e">
        <f t="shared" si="246"/>
        <v>#N/A</v>
      </c>
      <c r="PS318" s="342">
        <v>304</v>
      </c>
      <c r="PT318" s="261" t="e">
        <f t="shared" si="247"/>
        <v>#N/A</v>
      </c>
      <c r="PU318" s="261" t="e">
        <f t="shared" si="248"/>
        <v>#N/A</v>
      </c>
    </row>
    <row r="319" spans="219:437" x14ac:dyDescent="0.5">
      <c r="HK319" s="342">
        <v>305</v>
      </c>
      <c r="HL319" s="235" t="e">
        <f t="shared" si="223"/>
        <v>#N/A</v>
      </c>
      <c r="HM319" s="235" t="e">
        <f t="shared" si="224"/>
        <v>#N/A</v>
      </c>
      <c r="HP319" s="235" t="e">
        <f t="shared" si="225"/>
        <v>#N/A</v>
      </c>
      <c r="HQ319" s="235" t="e">
        <f t="shared" si="226"/>
        <v>#N/A</v>
      </c>
      <c r="HT319" s="235" t="e">
        <f t="shared" si="227"/>
        <v>#N/A</v>
      </c>
      <c r="HU319" s="235" t="e">
        <f t="shared" si="228"/>
        <v>#N/A</v>
      </c>
      <c r="HX319" s="235" t="e">
        <f t="shared" si="229"/>
        <v>#N/A</v>
      </c>
      <c r="HY319" s="235" t="e">
        <f t="shared" si="230"/>
        <v>#N/A</v>
      </c>
      <c r="IB319" s="235" t="e">
        <f t="shared" si="231"/>
        <v>#N/A</v>
      </c>
      <c r="IC319" s="235" t="e">
        <f t="shared" si="232"/>
        <v>#N/A</v>
      </c>
      <c r="IE319" s="342">
        <v>305</v>
      </c>
      <c r="IF319" s="262" t="e">
        <f t="shared" si="233"/>
        <v>#N/A</v>
      </c>
      <c r="IG319" s="262" t="e">
        <f t="shared" si="234"/>
        <v>#N/A</v>
      </c>
      <c r="IH319" s="379"/>
      <c r="II319" s="379"/>
      <c r="IJ319" s="262" t="e">
        <f t="shared" si="235"/>
        <v>#N/A</v>
      </c>
      <c r="IK319" s="262" t="e">
        <f t="shared" si="236"/>
        <v>#N/A</v>
      </c>
      <c r="IL319" s="379"/>
      <c r="IM319" s="379"/>
      <c r="IN319" s="262" t="e">
        <f t="shared" si="237"/>
        <v>#N/A</v>
      </c>
      <c r="IO319" s="262" t="e">
        <f t="shared" si="238"/>
        <v>#N/A</v>
      </c>
      <c r="IP319" s="379"/>
      <c r="IQ319" s="379"/>
      <c r="IR319" s="262" t="e">
        <f t="shared" si="239"/>
        <v>#N/A</v>
      </c>
      <c r="IS319" s="262" t="e">
        <f t="shared" si="240"/>
        <v>#N/A</v>
      </c>
      <c r="IT319" s="379"/>
      <c r="IU319" s="379"/>
      <c r="IV319" s="262" t="e">
        <f t="shared" si="241"/>
        <v>#N/A</v>
      </c>
      <c r="IW319" s="262" t="e">
        <f t="shared" si="242"/>
        <v>#N/A</v>
      </c>
      <c r="JN319" s="261" t="e">
        <f t="shared" si="243"/>
        <v>#N/A</v>
      </c>
      <c r="JO319" s="261" t="e">
        <f t="shared" si="244"/>
        <v>#N/A</v>
      </c>
      <c r="JR319" s="261" t="e">
        <f t="shared" si="249"/>
        <v>#N/A</v>
      </c>
      <c r="JS319" s="261" t="e">
        <f t="shared" si="250"/>
        <v>#N/A</v>
      </c>
      <c r="JV319" s="261" t="e">
        <f t="shared" si="245"/>
        <v>#N/A</v>
      </c>
      <c r="JW319" s="261" t="e">
        <f t="shared" si="246"/>
        <v>#N/A</v>
      </c>
      <c r="PS319" s="342">
        <v>305</v>
      </c>
      <c r="PT319" s="261" t="e">
        <f t="shared" si="247"/>
        <v>#N/A</v>
      </c>
      <c r="PU319" s="261" t="e">
        <f t="shared" si="248"/>
        <v>#N/A</v>
      </c>
    </row>
    <row r="320" spans="219:437" x14ac:dyDescent="0.5">
      <c r="HK320" s="342">
        <v>306</v>
      </c>
      <c r="HL320" s="235" t="e">
        <f t="shared" si="223"/>
        <v>#N/A</v>
      </c>
      <c r="HM320" s="235" t="e">
        <f t="shared" si="224"/>
        <v>#N/A</v>
      </c>
      <c r="HP320" s="235" t="e">
        <f t="shared" si="225"/>
        <v>#N/A</v>
      </c>
      <c r="HQ320" s="235" t="e">
        <f t="shared" si="226"/>
        <v>#N/A</v>
      </c>
      <c r="HT320" s="235" t="e">
        <f t="shared" si="227"/>
        <v>#N/A</v>
      </c>
      <c r="HU320" s="235" t="e">
        <f t="shared" si="228"/>
        <v>#N/A</v>
      </c>
      <c r="HX320" s="235" t="e">
        <f t="shared" si="229"/>
        <v>#N/A</v>
      </c>
      <c r="HY320" s="235" t="e">
        <f t="shared" si="230"/>
        <v>#N/A</v>
      </c>
      <c r="IB320" s="235" t="e">
        <f t="shared" si="231"/>
        <v>#N/A</v>
      </c>
      <c r="IC320" s="235" t="e">
        <f t="shared" si="232"/>
        <v>#N/A</v>
      </c>
      <c r="IE320" s="342">
        <v>306</v>
      </c>
      <c r="IF320" s="262" t="e">
        <f t="shared" si="233"/>
        <v>#N/A</v>
      </c>
      <c r="IG320" s="262" t="e">
        <f t="shared" si="234"/>
        <v>#N/A</v>
      </c>
      <c r="IH320" s="379"/>
      <c r="II320" s="379"/>
      <c r="IJ320" s="262" t="e">
        <f t="shared" si="235"/>
        <v>#N/A</v>
      </c>
      <c r="IK320" s="262" t="e">
        <f t="shared" si="236"/>
        <v>#N/A</v>
      </c>
      <c r="IL320" s="379"/>
      <c r="IM320" s="379"/>
      <c r="IN320" s="262" t="e">
        <f t="shared" si="237"/>
        <v>#N/A</v>
      </c>
      <c r="IO320" s="262" t="e">
        <f t="shared" si="238"/>
        <v>#N/A</v>
      </c>
      <c r="IP320" s="379"/>
      <c r="IQ320" s="379"/>
      <c r="IR320" s="262" t="e">
        <f t="shared" si="239"/>
        <v>#N/A</v>
      </c>
      <c r="IS320" s="262" t="e">
        <f t="shared" si="240"/>
        <v>#N/A</v>
      </c>
      <c r="IT320" s="379"/>
      <c r="IU320" s="379"/>
      <c r="IV320" s="262" t="e">
        <f t="shared" si="241"/>
        <v>#N/A</v>
      </c>
      <c r="IW320" s="262" t="e">
        <f t="shared" si="242"/>
        <v>#N/A</v>
      </c>
      <c r="JN320" s="261" t="e">
        <f t="shared" si="243"/>
        <v>#N/A</v>
      </c>
      <c r="JO320" s="261" t="e">
        <f t="shared" si="244"/>
        <v>#N/A</v>
      </c>
      <c r="JR320" s="261" t="e">
        <f t="shared" si="249"/>
        <v>#N/A</v>
      </c>
      <c r="JS320" s="261" t="e">
        <f t="shared" si="250"/>
        <v>#N/A</v>
      </c>
      <c r="JV320" s="261" t="e">
        <f t="shared" si="245"/>
        <v>#N/A</v>
      </c>
      <c r="JW320" s="261" t="e">
        <f t="shared" si="246"/>
        <v>#N/A</v>
      </c>
      <c r="PS320" s="342">
        <v>306</v>
      </c>
      <c r="PT320" s="261" t="e">
        <f t="shared" si="247"/>
        <v>#N/A</v>
      </c>
      <c r="PU320" s="261" t="e">
        <f t="shared" si="248"/>
        <v>#N/A</v>
      </c>
    </row>
    <row r="321" spans="219:437" x14ac:dyDescent="0.5">
      <c r="HK321" s="342">
        <v>307</v>
      </c>
      <c r="HL321" s="235" t="e">
        <f t="shared" si="223"/>
        <v>#N/A</v>
      </c>
      <c r="HM321" s="235" t="e">
        <f t="shared" si="224"/>
        <v>#N/A</v>
      </c>
      <c r="HP321" s="235" t="e">
        <f t="shared" si="225"/>
        <v>#N/A</v>
      </c>
      <c r="HQ321" s="235" t="e">
        <f t="shared" si="226"/>
        <v>#N/A</v>
      </c>
      <c r="HT321" s="235" t="e">
        <f t="shared" si="227"/>
        <v>#N/A</v>
      </c>
      <c r="HU321" s="235" t="e">
        <f t="shared" si="228"/>
        <v>#N/A</v>
      </c>
      <c r="HX321" s="235" t="e">
        <f t="shared" si="229"/>
        <v>#N/A</v>
      </c>
      <c r="HY321" s="235" t="e">
        <f t="shared" si="230"/>
        <v>#N/A</v>
      </c>
      <c r="IB321" s="235" t="e">
        <f t="shared" si="231"/>
        <v>#N/A</v>
      </c>
      <c r="IC321" s="235" t="e">
        <f t="shared" si="232"/>
        <v>#N/A</v>
      </c>
      <c r="IE321" s="342">
        <v>307</v>
      </c>
      <c r="IF321" s="262" t="e">
        <f t="shared" si="233"/>
        <v>#N/A</v>
      </c>
      <c r="IG321" s="262" t="e">
        <f t="shared" si="234"/>
        <v>#N/A</v>
      </c>
      <c r="IH321" s="379"/>
      <c r="II321" s="379"/>
      <c r="IJ321" s="262" t="e">
        <f t="shared" si="235"/>
        <v>#N/A</v>
      </c>
      <c r="IK321" s="262" t="e">
        <f t="shared" si="236"/>
        <v>#N/A</v>
      </c>
      <c r="IL321" s="379"/>
      <c r="IM321" s="379"/>
      <c r="IN321" s="262" t="e">
        <f t="shared" si="237"/>
        <v>#N/A</v>
      </c>
      <c r="IO321" s="262" t="e">
        <f t="shared" si="238"/>
        <v>#N/A</v>
      </c>
      <c r="IP321" s="379"/>
      <c r="IQ321" s="379"/>
      <c r="IR321" s="262" t="e">
        <f t="shared" si="239"/>
        <v>#N/A</v>
      </c>
      <c r="IS321" s="262" t="e">
        <f t="shared" si="240"/>
        <v>#N/A</v>
      </c>
      <c r="IT321" s="379"/>
      <c r="IU321" s="379"/>
      <c r="IV321" s="262" t="e">
        <f t="shared" si="241"/>
        <v>#N/A</v>
      </c>
      <c r="IW321" s="262" t="e">
        <f t="shared" si="242"/>
        <v>#N/A</v>
      </c>
      <c r="JN321" s="261" t="e">
        <f t="shared" si="243"/>
        <v>#N/A</v>
      </c>
      <c r="JO321" s="261" t="e">
        <f t="shared" si="244"/>
        <v>#N/A</v>
      </c>
      <c r="JR321" s="261" t="e">
        <f t="shared" si="249"/>
        <v>#N/A</v>
      </c>
      <c r="JS321" s="261" t="e">
        <f t="shared" si="250"/>
        <v>#N/A</v>
      </c>
      <c r="JV321" s="261" t="e">
        <f t="shared" si="245"/>
        <v>#N/A</v>
      </c>
      <c r="JW321" s="261" t="e">
        <f t="shared" si="246"/>
        <v>#N/A</v>
      </c>
      <c r="PS321" s="342">
        <v>307</v>
      </c>
      <c r="PT321" s="261" t="e">
        <f t="shared" si="247"/>
        <v>#N/A</v>
      </c>
      <c r="PU321" s="261" t="e">
        <f t="shared" si="248"/>
        <v>#N/A</v>
      </c>
    </row>
    <row r="322" spans="219:437" x14ac:dyDescent="0.5">
      <c r="HK322" s="342">
        <v>308</v>
      </c>
      <c r="HL322" s="235" t="e">
        <f t="shared" si="223"/>
        <v>#N/A</v>
      </c>
      <c r="HM322" s="235" t="e">
        <f t="shared" si="224"/>
        <v>#N/A</v>
      </c>
      <c r="HP322" s="235" t="e">
        <f t="shared" si="225"/>
        <v>#N/A</v>
      </c>
      <c r="HQ322" s="235" t="e">
        <f t="shared" si="226"/>
        <v>#N/A</v>
      </c>
      <c r="HT322" s="235" t="e">
        <f t="shared" si="227"/>
        <v>#N/A</v>
      </c>
      <c r="HU322" s="235" t="e">
        <f t="shared" si="228"/>
        <v>#N/A</v>
      </c>
      <c r="HX322" s="235" t="e">
        <f t="shared" si="229"/>
        <v>#N/A</v>
      </c>
      <c r="HY322" s="235" t="e">
        <f t="shared" si="230"/>
        <v>#N/A</v>
      </c>
      <c r="IB322" s="235" t="e">
        <f t="shared" si="231"/>
        <v>#N/A</v>
      </c>
      <c r="IC322" s="235" t="e">
        <f t="shared" si="232"/>
        <v>#N/A</v>
      </c>
      <c r="IE322" s="342">
        <v>308</v>
      </c>
      <c r="IF322" s="262" t="e">
        <f t="shared" si="233"/>
        <v>#N/A</v>
      </c>
      <c r="IG322" s="262" t="e">
        <f t="shared" si="234"/>
        <v>#N/A</v>
      </c>
      <c r="IH322" s="379"/>
      <c r="II322" s="379"/>
      <c r="IJ322" s="262" t="e">
        <f t="shared" si="235"/>
        <v>#N/A</v>
      </c>
      <c r="IK322" s="262" t="e">
        <f t="shared" si="236"/>
        <v>#N/A</v>
      </c>
      <c r="IL322" s="379"/>
      <c r="IM322" s="379"/>
      <c r="IN322" s="262" t="e">
        <f t="shared" si="237"/>
        <v>#N/A</v>
      </c>
      <c r="IO322" s="262" t="e">
        <f t="shared" si="238"/>
        <v>#N/A</v>
      </c>
      <c r="IP322" s="379"/>
      <c r="IQ322" s="379"/>
      <c r="IR322" s="262" t="e">
        <f t="shared" si="239"/>
        <v>#N/A</v>
      </c>
      <c r="IS322" s="262" t="e">
        <f t="shared" si="240"/>
        <v>#N/A</v>
      </c>
      <c r="IT322" s="379"/>
      <c r="IU322" s="379"/>
      <c r="IV322" s="262" t="e">
        <f t="shared" si="241"/>
        <v>#N/A</v>
      </c>
      <c r="IW322" s="262" t="e">
        <f t="shared" si="242"/>
        <v>#N/A</v>
      </c>
      <c r="JN322" s="261" t="e">
        <f t="shared" si="243"/>
        <v>#N/A</v>
      </c>
      <c r="JO322" s="261" t="e">
        <f t="shared" si="244"/>
        <v>#N/A</v>
      </c>
      <c r="JR322" s="261" t="e">
        <f t="shared" si="249"/>
        <v>#N/A</v>
      </c>
      <c r="JS322" s="261" t="e">
        <f t="shared" si="250"/>
        <v>#N/A</v>
      </c>
      <c r="JV322" s="261" t="e">
        <f t="shared" si="245"/>
        <v>#N/A</v>
      </c>
      <c r="JW322" s="261" t="e">
        <f t="shared" si="246"/>
        <v>#N/A</v>
      </c>
      <c r="PS322" s="342">
        <v>308</v>
      </c>
      <c r="PT322" s="261" t="e">
        <f t="shared" si="247"/>
        <v>#N/A</v>
      </c>
      <c r="PU322" s="261" t="e">
        <f t="shared" si="248"/>
        <v>#N/A</v>
      </c>
    </row>
    <row r="323" spans="219:437" x14ac:dyDescent="0.5">
      <c r="HK323" s="342">
        <v>309</v>
      </c>
      <c r="HL323" s="235" t="e">
        <f t="shared" si="223"/>
        <v>#N/A</v>
      </c>
      <c r="HM323" s="235" t="e">
        <f t="shared" si="224"/>
        <v>#N/A</v>
      </c>
      <c r="HP323" s="235" t="e">
        <f t="shared" si="225"/>
        <v>#N/A</v>
      </c>
      <c r="HQ323" s="235" t="e">
        <f t="shared" si="226"/>
        <v>#N/A</v>
      </c>
      <c r="HT323" s="235" t="e">
        <f t="shared" si="227"/>
        <v>#N/A</v>
      </c>
      <c r="HU323" s="235" t="e">
        <f t="shared" si="228"/>
        <v>#N/A</v>
      </c>
      <c r="HX323" s="235" t="e">
        <f t="shared" si="229"/>
        <v>#N/A</v>
      </c>
      <c r="HY323" s="235" t="e">
        <f t="shared" si="230"/>
        <v>#N/A</v>
      </c>
      <c r="IB323" s="235" t="e">
        <f t="shared" si="231"/>
        <v>#N/A</v>
      </c>
      <c r="IC323" s="235" t="e">
        <f t="shared" si="232"/>
        <v>#N/A</v>
      </c>
      <c r="IE323" s="342">
        <v>309</v>
      </c>
      <c r="IF323" s="262" t="e">
        <f t="shared" si="233"/>
        <v>#N/A</v>
      </c>
      <c r="IG323" s="262" t="e">
        <f t="shared" si="234"/>
        <v>#N/A</v>
      </c>
      <c r="IH323" s="379"/>
      <c r="II323" s="379"/>
      <c r="IJ323" s="262" t="e">
        <f t="shared" si="235"/>
        <v>#N/A</v>
      </c>
      <c r="IK323" s="262" t="e">
        <f t="shared" si="236"/>
        <v>#N/A</v>
      </c>
      <c r="IL323" s="379"/>
      <c r="IM323" s="379"/>
      <c r="IN323" s="262" t="e">
        <f t="shared" si="237"/>
        <v>#N/A</v>
      </c>
      <c r="IO323" s="262" t="e">
        <f t="shared" si="238"/>
        <v>#N/A</v>
      </c>
      <c r="IP323" s="379"/>
      <c r="IQ323" s="379"/>
      <c r="IR323" s="262" t="e">
        <f t="shared" si="239"/>
        <v>#N/A</v>
      </c>
      <c r="IS323" s="262" t="e">
        <f t="shared" si="240"/>
        <v>#N/A</v>
      </c>
      <c r="IT323" s="379"/>
      <c r="IU323" s="379"/>
      <c r="IV323" s="262" t="e">
        <f t="shared" si="241"/>
        <v>#N/A</v>
      </c>
      <c r="IW323" s="262" t="e">
        <f t="shared" si="242"/>
        <v>#N/A</v>
      </c>
      <c r="JN323" s="261" t="e">
        <f t="shared" si="243"/>
        <v>#N/A</v>
      </c>
      <c r="JO323" s="261" t="e">
        <f t="shared" si="244"/>
        <v>#N/A</v>
      </c>
      <c r="JR323" s="261" t="e">
        <f t="shared" si="249"/>
        <v>#N/A</v>
      </c>
      <c r="JS323" s="261" t="e">
        <f t="shared" si="250"/>
        <v>#N/A</v>
      </c>
      <c r="JV323" s="261" t="e">
        <f t="shared" si="245"/>
        <v>#N/A</v>
      </c>
      <c r="JW323" s="261" t="e">
        <f t="shared" si="246"/>
        <v>#N/A</v>
      </c>
      <c r="PS323" s="342">
        <v>309</v>
      </c>
      <c r="PT323" s="261" t="e">
        <f t="shared" si="247"/>
        <v>#N/A</v>
      </c>
      <c r="PU323" s="261" t="e">
        <f t="shared" si="248"/>
        <v>#N/A</v>
      </c>
    </row>
    <row r="324" spans="219:437" x14ac:dyDescent="0.5">
      <c r="HK324" s="342">
        <v>310</v>
      </c>
      <c r="HL324" s="235" t="e">
        <f t="shared" si="223"/>
        <v>#N/A</v>
      </c>
      <c r="HM324" s="235" t="e">
        <f t="shared" si="224"/>
        <v>#N/A</v>
      </c>
      <c r="HP324" s="235" t="e">
        <f t="shared" si="225"/>
        <v>#N/A</v>
      </c>
      <c r="HQ324" s="235" t="e">
        <f t="shared" si="226"/>
        <v>#N/A</v>
      </c>
      <c r="HT324" s="235" t="e">
        <f t="shared" si="227"/>
        <v>#N/A</v>
      </c>
      <c r="HU324" s="235" t="e">
        <f t="shared" si="228"/>
        <v>#N/A</v>
      </c>
      <c r="HX324" s="235" t="e">
        <f t="shared" si="229"/>
        <v>#N/A</v>
      </c>
      <c r="HY324" s="235" t="e">
        <f t="shared" si="230"/>
        <v>#N/A</v>
      </c>
      <c r="IB324" s="235" t="e">
        <f t="shared" si="231"/>
        <v>#N/A</v>
      </c>
      <c r="IC324" s="235" t="e">
        <f t="shared" si="232"/>
        <v>#N/A</v>
      </c>
      <c r="IE324" s="342">
        <v>310</v>
      </c>
      <c r="IF324" s="262" t="e">
        <f t="shared" si="233"/>
        <v>#N/A</v>
      </c>
      <c r="IG324" s="262" t="e">
        <f t="shared" si="234"/>
        <v>#N/A</v>
      </c>
      <c r="IH324" s="379"/>
      <c r="II324" s="379"/>
      <c r="IJ324" s="262" t="e">
        <f t="shared" si="235"/>
        <v>#N/A</v>
      </c>
      <c r="IK324" s="262" t="e">
        <f t="shared" si="236"/>
        <v>#N/A</v>
      </c>
      <c r="IL324" s="379"/>
      <c r="IM324" s="379"/>
      <c r="IN324" s="262" t="e">
        <f t="shared" si="237"/>
        <v>#N/A</v>
      </c>
      <c r="IO324" s="262" t="e">
        <f t="shared" si="238"/>
        <v>#N/A</v>
      </c>
      <c r="IP324" s="379"/>
      <c r="IQ324" s="379"/>
      <c r="IR324" s="262" t="e">
        <f t="shared" si="239"/>
        <v>#N/A</v>
      </c>
      <c r="IS324" s="262" t="e">
        <f t="shared" si="240"/>
        <v>#N/A</v>
      </c>
      <c r="IT324" s="379"/>
      <c r="IU324" s="379"/>
      <c r="IV324" s="262" t="e">
        <f t="shared" si="241"/>
        <v>#N/A</v>
      </c>
      <c r="IW324" s="262" t="e">
        <f t="shared" si="242"/>
        <v>#N/A</v>
      </c>
      <c r="JN324" s="261" t="e">
        <f t="shared" si="243"/>
        <v>#N/A</v>
      </c>
      <c r="JO324" s="261" t="e">
        <f t="shared" si="244"/>
        <v>#N/A</v>
      </c>
      <c r="JR324" s="261" t="e">
        <f t="shared" si="249"/>
        <v>#N/A</v>
      </c>
      <c r="JS324" s="261" t="e">
        <f t="shared" si="250"/>
        <v>#N/A</v>
      </c>
      <c r="JV324" s="261" t="e">
        <f t="shared" si="245"/>
        <v>#N/A</v>
      </c>
      <c r="JW324" s="261" t="e">
        <f t="shared" si="246"/>
        <v>#N/A</v>
      </c>
      <c r="PS324" s="342">
        <v>310</v>
      </c>
      <c r="PT324" s="261" t="e">
        <f t="shared" si="247"/>
        <v>#N/A</v>
      </c>
      <c r="PU324" s="261" t="e">
        <f t="shared" si="248"/>
        <v>#N/A</v>
      </c>
    </row>
    <row r="325" spans="219:437" x14ac:dyDescent="0.5">
      <c r="HK325" s="342">
        <v>311</v>
      </c>
      <c r="HL325" s="235" t="e">
        <f t="shared" si="223"/>
        <v>#N/A</v>
      </c>
      <c r="HM325" s="235" t="e">
        <f t="shared" si="224"/>
        <v>#N/A</v>
      </c>
      <c r="HP325" s="235" t="e">
        <f t="shared" si="225"/>
        <v>#N/A</v>
      </c>
      <c r="HQ325" s="235" t="e">
        <f t="shared" si="226"/>
        <v>#N/A</v>
      </c>
      <c r="HT325" s="235" t="e">
        <f t="shared" si="227"/>
        <v>#N/A</v>
      </c>
      <c r="HU325" s="235" t="e">
        <f t="shared" si="228"/>
        <v>#N/A</v>
      </c>
      <c r="HX325" s="235" t="e">
        <f t="shared" si="229"/>
        <v>#N/A</v>
      </c>
      <c r="HY325" s="235" t="e">
        <f t="shared" si="230"/>
        <v>#N/A</v>
      </c>
      <c r="IB325" s="235" t="e">
        <f t="shared" si="231"/>
        <v>#N/A</v>
      </c>
      <c r="IC325" s="235" t="e">
        <f t="shared" si="232"/>
        <v>#N/A</v>
      </c>
      <c r="IE325" s="342">
        <v>311</v>
      </c>
      <c r="IF325" s="262" t="e">
        <f t="shared" si="233"/>
        <v>#N/A</v>
      </c>
      <c r="IG325" s="262" t="e">
        <f t="shared" si="234"/>
        <v>#N/A</v>
      </c>
      <c r="IH325" s="379"/>
      <c r="II325" s="379"/>
      <c r="IJ325" s="262" t="e">
        <f t="shared" si="235"/>
        <v>#N/A</v>
      </c>
      <c r="IK325" s="262" t="e">
        <f t="shared" si="236"/>
        <v>#N/A</v>
      </c>
      <c r="IL325" s="379"/>
      <c r="IM325" s="379"/>
      <c r="IN325" s="262" t="e">
        <f t="shared" si="237"/>
        <v>#N/A</v>
      </c>
      <c r="IO325" s="262" t="e">
        <f t="shared" si="238"/>
        <v>#N/A</v>
      </c>
      <c r="IP325" s="379"/>
      <c r="IQ325" s="379"/>
      <c r="IR325" s="262" t="e">
        <f t="shared" si="239"/>
        <v>#N/A</v>
      </c>
      <c r="IS325" s="262" t="e">
        <f t="shared" si="240"/>
        <v>#N/A</v>
      </c>
      <c r="IT325" s="379"/>
      <c r="IU325" s="379"/>
      <c r="IV325" s="262" t="e">
        <f t="shared" si="241"/>
        <v>#N/A</v>
      </c>
      <c r="IW325" s="262" t="e">
        <f t="shared" si="242"/>
        <v>#N/A</v>
      </c>
      <c r="JN325" s="261" t="e">
        <f t="shared" si="243"/>
        <v>#N/A</v>
      </c>
      <c r="JO325" s="261" t="e">
        <f t="shared" si="244"/>
        <v>#N/A</v>
      </c>
      <c r="JR325" s="261" t="e">
        <f t="shared" si="249"/>
        <v>#N/A</v>
      </c>
      <c r="JS325" s="261" t="e">
        <f t="shared" si="250"/>
        <v>#N/A</v>
      </c>
      <c r="JV325" s="261" t="e">
        <f t="shared" si="245"/>
        <v>#N/A</v>
      </c>
      <c r="JW325" s="261" t="e">
        <f t="shared" si="246"/>
        <v>#N/A</v>
      </c>
      <c r="PS325" s="342">
        <v>311</v>
      </c>
      <c r="PT325" s="261" t="e">
        <f t="shared" si="247"/>
        <v>#N/A</v>
      </c>
      <c r="PU325" s="261" t="e">
        <f t="shared" si="248"/>
        <v>#N/A</v>
      </c>
    </row>
    <row r="326" spans="219:437" x14ac:dyDescent="0.5">
      <c r="HK326" s="342">
        <v>312</v>
      </c>
      <c r="HL326" s="235" t="e">
        <f t="shared" si="223"/>
        <v>#N/A</v>
      </c>
      <c r="HM326" s="235" t="e">
        <f t="shared" si="224"/>
        <v>#N/A</v>
      </c>
      <c r="HP326" s="235" t="e">
        <f t="shared" si="225"/>
        <v>#N/A</v>
      </c>
      <c r="HQ326" s="235" t="e">
        <f t="shared" si="226"/>
        <v>#N/A</v>
      </c>
      <c r="HT326" s="235" t="e">
        <f t="shared" si="227"/>
        <v>#N/A</v>
      </c>
      <c r="HU326" s="235" t="e">
        <f t="shared" si="228"/>
        <v>#N/A</v>
      </c>
      <c r="HX326" s="235" t="e">
        <f t="shared" si="229"/>
        <v>#N/A</v>
      </c>
      <c r="HY326" s="235" t="e">
        <f t="shared" si="230"/>
        <v>#N/A</v>
      </c>
      <c r="IB326" s="235" t="e">
        <f t="shared" si="231"/>
        <v>#N/A</v>
      </c>
      <c r="IC326" s="235" t="e">
        <f t="shared" si="232"/>
        <v>#N/A</v>
      </c>
      <c r="IE326" s="342">
        <v>312</v>
      </c>
      <c r="IF326" s="262" t="e">
        <f t="shared" si="233"/>
        <v>#N/A</v>
      </c>
      <c r="IG326" s="262" t="e">
        <f t="shared" si="234"/>
        <v>#N/A</v>
      </c>
      <c r="IH326" s="379"/>
      <c r="II326" s="379"/>
      <c r="IJ326" s="262" t="e">
        <f t="shared" si="235"/>
        <v>#N/A</v>
      </c>
      <c r="IK326" s="262" t="e">
        <f t="shared" si="236"/>
        <v>#N/A</v>
      </c>
      <c r="IL326" s="379"/>
      <c r="IM326" s="379"/>
      <c r="IN326" s="262" t="e">
        <f t="shared" si="237"/>
        <v>#N/A</v>
      </c>
      <c r="IO326" s="262" t="e">
        <f t="shared" si="238"/>
        <v>#N/A</v>
      </c>
      <c r="IP326" s="379"/>
      <c r="IQ326" s="379"/>
      <c r="IR326" s="262" t="e">
        <f t="shared" si="239"/>
        <v>#N/A</v>
      </c>
      <c r="IS326" s="262" t="e">
        <f t="shared" si="240"/>
        <v>#N/A</v>
      </c>
      <c r="IT326" s="379"/>
      <c r="IU326" s="379"/>
      <c r="IV326" s="262" t="e">
        <f t="shared" si="241"/>
        <v>#N/A</v>
      </c>
      <c r="IW326" s="262" t="e">
        <f t="shared" si="242"/>
        <v>#N/A</v>
      </c>
      <c r="JN326" s="261" t="e">
        <f t="shared" si="243"/>
        <v>#N/A</v>
      </c>
      <c r="JO326" s="261" t="e">
        <f t="shared" si="244"/>
        <v>#N/A</v>
      </c>
      <c r="JR326" s="261" t="e">
        <f t="shared" si="249"/>
        <v>#N/A</v>
      </c>
      <c r="JS326" s="261" t="e">
        <f t="shared" si="250"/>
        <v>#N/A</v>
      </c>
      <c r="JV326" s="261" t="e">
        <f t="shared" si="245"/>
        <v>#N/A</v>
      </c>
      <c r="JW326" s="261" t="e">
        <f t="shared" si="246"/>
        <v>#N/A</v>
      </c>
      <c r="PS326" s="342">
        <v>312</v>
      </c>
      <c r="PT326" s="261" t="e">
        <f t="shared" si="247"/>
        <v>#N/A</v>
      </c>
      <c r="PU326" s="261" t="e">
        <f t="shared" si="248"/>
        <v>#N/A</v>
      </c>
    </row>
    <row r="327" spans="219:437" x14ac:dyDescent="0.5">
      <c r="HK327" s="342">
        <v>313</v>
      </c>
      <c r="HL327" s="235" t="e">
        <f t="shared" si="223"/>
        <v>#N/A</v>
      </c>
      <c r="HM327" s="235" t="e">
        <f t="shared" si="224"/>
        <v>#N/A</v>
      </c>
      <c r="HP327" s="235" t="e">
        <f t="shared" si="225"/>
        <v>#N/A</v>
      </c>
      <c r="HQ327" s="235" t="e">
        <f t="shared" si="226"/>
        <v>#N/A</v>
      </c>
      <c r="HT327" s="235" t="e">
        <f t="shared" si="227"/>
        <v>#N/A</v>
      </c>
      <c r="HU327" s="235" t="e">
        <f t="shared" si="228"/>
        <v>#N/A</v>
      </c>
      <c r="HX327" s="235" t="e">
        <f t="shared" si="229"/>
        <v>#N/A</v>
      </c>
      <c r="HY327" s="235" t="e">
        <f t="shared" si="230"/>
        <v>#N/A</v>
      </c>
      <c r="IB327" s="235" t="e">
        <f t="shared" si="231"/>
        <v>#N/A</v>
      </c>
      <c r="IC327" s="235" t="e">
        <f t="shared" si="232"/>
        <v>#N/A</v>
      </c>
      <c r="IE327" s="342">
        <v>313</v>
      </c>
      <c r="IF327" s="262" t="e">
        <f t="shared" si="233"/>
        <v>#N/A</v>
      </c>
      <c r="IG327" s="262" t="e">
        <f t="shared" si="234"/>
        <v>#N/A</v>
      </c>
      <c r="IH327" s="379"/>
      <c r="II327" s="379"/>
      <c r="IJ327" s="262" t="e">
        <f t="shared" si="235"/>
        <v>#N/A</v>
      </c>
      <c r="IK327" s="262" t="e">
        <f t="shared" si="236"/>
        <v>#N/A</v>
      </c>
      <c r="IL327" s="379"/>
      <c r="IM327" s="379"/>
      <c r="IN327" s="262" t="e">
        <f t="shared" si="237"/>
        <v>#N/A</v>
      </c>
      <c r="IO327" s="262" t="e">
        <f t="shared" si="238"/>
        <v>#N/A</v>
      </c>
      <c r="IP327" s="379"/>
      <c r="IQ327" s="379"/>
      <c r="IR327" s="262" t="e">
        <f t="shared" si="239"/>
        <v>#N/A</v>
      </c>
      <c r="IS327" s="262" t="e">
        <f t="shared" si="240"/>
        <v>#N/A</v>
      </c>
      <c r="IT327" s="379"/>
      <c r="IU327" s="379"/>
      <c r="IV327" s="262" t="e">
        <f t="shared" si="241"/>
        <v>#N/A</v>
      </c>
      <c r="IW327" s="262" t="e">
        <f t="shared" si="242"/>
        <v>#N/A</v>
      </c>
      <c r="JN327" s="261" t="e">
        <f t="shared" si="243"/>
        <v>#N/A</v>
      </c>
      <c r="JO327" s="261" t="e">
        <f t="shared" si="244"/>
        <v>#N/A</v>
      </c>
      <c r="JR327" s="261" t="e">
        <f t="shared" si="249"/>
        <v>#N/A</v>
      </c>
      <c r="JS327" s="261" t="e">
        <f t="shared" si="250"/>
        <v>#N/A</v>
      </c>
      <c r="JV327" s="261" t="e">
        <f t="shared" si="245"/>
        <v>#N/A</v>
      </c>
      <c r="JW327" s="261" t="e">
        <f t="shared" si="246"/>
        <v>#N/A</v>
      </c>
      <c r="PS327" s="342">
        <v>313</v>
      </c>
      <c r="PT327" s="261" t="e">
        <f t="shared" si="247"/>
        <v>#N/A</v>
      </c>
      <c r="PU327" s="261" t="e">
        <f t="shared" si="248"/>
        <v>#N/A</v>
      </c>
    </row>
    <row r="328" spans="219:437" x14ac:dyDescent="0.5">
      <c r="HK328" s="342">
        <v>314</v>
      </c>
      <c r="HL328" s="235" t="e">
        <f t="shared" si="223"/>
        <v>#N/A</v>
      </c>
      <c r="HM328" s="235" t="e">
        <f t="shared" si="224"/>
        <v>#N/A</v>
      </c>
      <c r="HP328" s="235" t="e">
        <f t="shared" si="225"/>
        <v>#N/A</v>
      </c>
      <c r="HQ328" s="235" t="e">
        <f t="shared" si="226"/>
        <v>#N/A</v>
      </c>
      <c r="HT328" s="235" t="e">
        <f t="shared" si="227"/>
        <v>#N/A</v>
      </c>
      <c r="HU328" s="235" t="e">
        <f t="shared" si="228"/>
        <v>#N/A</v>
      </c>
      <c r="HX328" s="235" t="e">
        <f t="shared" si="229"/>
        <v>#N/A</v>
      </c>
      <c r="HY328" s="235" t="e">
        <f t="shared" si="230"/>
        <v>#N/A</v>
      </c>
      <c r="IB328" s="235" t="e">
        <f t="shared" si="231"/>
        <v>#N/A</v>
      </c>
      <c r="IC328" s="235" t="e">
        <f t="shared" si="232"/>
        <v>#N/A</v>
      </c>
      <c r="IE328" s="342">
        <v>314</v>
      </c>
      <c r="IF328" s="262" t="e">
        <f t="shared" si="233"/>
        <v>#N/A</v>
      </c>
      <c r="IG328" s="262" t="e">
        <f t="shared" si="234"/>
        <v>#N/A</v>
      </c>
      <c r="IH328" s="379"/>
      <c r="II328" s="379"/>
      <c r="IJ328" s="262" t="e">
        <f t="shared" si="235"/>
        <v>#N/A</v>
      </c>
      <c r="IK328" s="262" t="e">
        <f t="shared" si="236"/>
        <v>#N/A</v>
      </c>
      <c r="IL328" s="379"/>
      <c r="IM328" s="379"/>
      <c r="IN328" s="262" t="e">
        <f t="shared" si="237"/>
        <v>#N/A</v>
      </c>
      <c r="IO328" s="262" t="e">
        <f t="shared" si="238"/>
        <v>#N/A</v>
      </c>
      <c r="IP328" s="379"/>
      <c r="IQ328" s="379"/>
      <c r="IR328" s="262" t="e">
        <f t="shared" si="239"/>
        <v>#N/A</v>
      </c>
      <c r="IS328" s="262" t="e">
        <f t="shared" si="240"/>
        <v>#N/A</v>
      </c>
      <c r="IT328" s="379"/>
      <c r="IU328" s="379"/>
      <c r="IV328" s="262" t="e">
        <f t="shared" si="241"/>
        <v>#N/A</v>
      </c>
      <c r="IW328" s="262" t="e">
        <f t="shared" si="242"/>
        <v>#N/A</v>
      </c>
      <c r="JN328" s="261" t="e">
        <f t="shared" si="243"/>
        <v>#N/A</v>
      </c>
      <c r="JO328" s="261" t="e">
        <f t="shared" si="244"/>
        <v>#N/A</v>
      </c>
      <c r="JR328" s="261" t="e">
        <f t="shared" si="249"/>
        <v>#N/A</v>
      </c>
      <c r="JS328" s="261" t="e">
        <f t="shared" si="250"/>
        <v>#N/A</v>
      </c>
      <c r="JV328" s="261" t="e">
        <f t="shared" si="245"/>
        <v>#N/A</v>
      </c>
      <c r="JW328" s="261" t="e">
        <f t="shared" si="246"/>
        <v>#N/A</v>
      </c>
      <c r="PS328" s="342">
        <v>314</v>
      </c>
      <c r="PT328" s="261" t="e">
        <f t="shared" si="247"/>
        <v>#N/A</v>
      </c>
      <c r="PU328" s="261" t="e">
        <f t="shared" si="248"/>
        <v>#N/A</v>
      </c>
    </row>
    <row r="329" spans="219:437" x14ac:dyDescent="0.5">
      <c r="HK329" s="342">
        <v>315</v>
      </c>
      <c r="HL329" s="235" t="e">
        <f t="shared" si="223"/>
        <v>#N/A</v>
      </c>
      <c r="HM329" s="235" t="e">
        <f t="shared" si="224"/>
        <v>#N/A</v>
      </c>
      <c r="HP329" s="235" t="e">
        <f t="shared" si="225"/>
        <v>#N/A</v>
      </c>
      <c r="HQ329" s="235" t="e">
        <f t="shared" si="226"/>
        <v>#N/A</v>
      </c>
      <c r="HT329" s="235" t="e">
        <f t="shared" si="227"/>
        <v>#N/A</v>
      </c>
      <c r="HU329" s="235" t="e">
        <f t="shared" si="228"/>
        <v>#N/A</v>
      </c>
      <c r="HX329" s="235" t="e">
        <f t="shared" si="229"/>
        <v>#N/A</v>
      </c>
      <c r="HY329" s="235" t="e">
        <f t="shared" si="230"/>
        <v>#N/A</v>
      </c>
      <c r="IB329" s="235" t="e">
        <f t="shared" si="231"/>
        <v>#N/A</v>
      </c>
      <c r="IC329" s="235" t="e">
        <f t="shared" si="232"/>
        <v>#N/A</v>
      </c>
      <c r="IE329" s="342">
        <v>315</v>
      </c>
      <c r="IF329" s="262" t="e">
        <f t="shared" si="233"/>
        <v>#N/A</v>
      </c>
      <c r="IG329" s="262" t="e">
        <f t="shared" si="234"/>
        <v>#N/A</v>
      </c>
      <c r="IH329" s="379"/>
      <c r="II329" s="379"/>
      <c r="IJ329" s="262" t="e">
        <f t="shared" si="235"/>
        <v>#N/A</v>
      </c>
      <c r="IK329" s="262" t="e">
        <f t="shared" si="236"/>
        <v>#N/A</v>
      </c>
      <c r="IL329" s="379"/>
      <c r="IM329" s="379"/>
      <c r="IN329" s="262" t="e">
        <f t="shared" si="237"/>
        <v>#N/A</v>
      </c>
      <c r="IO329" s="262" t="e">
        <f t="shared" si="238"/>
        <v>#N/A</v>
      </c>
      <c r="IP329" s="379"/>
      <c r="IQ329" s="379"/>
      <c r="IR329" s="262" t="e">
        <f t="shared" si="239"/>
        <v>#N/A</v>
      </c>
      <c r="IS329" s="262" t="e">
        <f t="shared" si="240"/>
        <v>#N/A</v>
      </c>
      <c r="IT329" s="379"/>
      <c r="IU329" s="379"/>
      <c r="IV329" s="262" t="e">
        <f t="shared" si="241"/>
        <v>#N/A</v>
      </c>
      <c r="IW329" s="262" t="e">
        <f t="shared" si="242"/>
        <v>#N/A</v>
      </c>
      <c r="JN329" s="261" t="e">
        <f t="shared" si="243"/>
        <v>#N/A</v>
      </c>
      <c r="JO329" s="261" t="e">
        <f t="shared" si="244"/>
        <v>#N/A</v>
      </c>
      <c r="JR329" s="261" t="e">
        <f t="shared" si="249"/>
        <v>#N/A</v>
      </c>
      <c r="JS329" s="261" t="e">
        <f t="shared" si="250"/>
        <v>#N/A</v>
      </c>
      <c r="JV329" s="261" t="e">
        <f t="shared" si="245"/>
        <v>#N/A</v>
      </c>
      <c r="JW329" s="261" t="e">
        <f t="shared" si="246"/>
        <v>#N/A</v>
      </c>
      <c r="PS329" s="342">
        <v>315</v>
      </c>
      <c r="PT329" s="261" t="e">
        <f t="shared" si="247"/>
        <v>#N/A</v>
      </c>
      <c r="PU329" s="261" t="e">
        <f t="shared" si="248"/>
        <v>#N/A</v>
      </c>
    </row>
    <row r="330" spans="219:437" x14ac:dyDescent="0.5">
      <c r="HK330" s="342">
        <v>316</v>
      </c>
      <c r="HL330" s="235" t="e">
        <f t="shared" si="223"/>
        <v>#N/A</v>
      </c>
      <c r="HM330" s="235" t="e">
        <f t="shared" si="224"/>
        <v>#N/A</v>
      </c>
      <c r="HP330" s="235" t="e">
        <f t="shared" si="225"/>
        <v>#N/A</v>
      </c>
      <c r="HQ330" s="235" t="e">
        <f t="shared" si="226"/>
        <v>#N/A</v>
      </c>
      <c r="HT330" s="235" t="e">
        <f t="shared" si="227"/>
        <v>#N/A</v>
      </c>
      <c r="HU330" s="235" t="e">
        <f t="shared" si="228"/>
        <v>#N/A</v>
      </c>
      <c r="HX330" s="235" t="e">
        <f t="shared" si="229"/>
        <v>#N/A</v>
      </c>
      <c r="HY330" s="235" t="e">
        <f t="shared" si="230"/>
        <v>#N/A</v>
      </c>
      <c r="IB330" s="235" t="e">
        <f t="shared" si="231"/>
        <v>#N/A</v>
      </c>
      <c r="IC330" s="235" t="e">
        <f t="shared" si="232"/>
        <v>#N/A</v>
      </c>
      <c r="IE330" s="342">
        <v>316</v>
      </c>
      <c r="IF330" s="262" t="e">
        <f t="shared" si="233"/>
        <v>#N/A</v>
      </c>
      <c r="IG330" s="262" t="e">
        <f t="shared" si="234"/>
        <v>#N/A</v>
      </c>
      <c r="IH330" s="379"/>
      <c r="II330" s="379"/>
      <c r="IJ330" s="262" t="e">
        <f t="shared" si="235"/>
        <v>#N/A</v>
      </c>
      <c r="IK330" s="262" t="e">
        <f t="shared" si="236"/>
        <v>#N/A</v>
      </c>
      <c r="IL330" s="379"/>
      <c r="IM330" s="379"/>
      <c r="IN330" s="262" t="e">
        <f t="shared" si="237"/>
        <v>#N/A</v>
      </c>
      <c r="IO330" s="262" t="e">
        <f t="shared" si="238"/>
        <v>#N/A</v>
      </c>
      <c r="IP330" s="379"/>
      <c r="IQ330" s="379"/>
      <c r="IR330" s="262" t="e">
        <f t="shared" si="239"/>
        <v>#N/A</v>
      </c>
      <c r="IS330" s="262" t="e">
        <f t="shared" si="240"/>
        <v>#N/A</v>
      </c>
      <c r="IT330" s="379"/>
      <c r="IU330" s="379"/>
      <c r="IV330" s="262" t="e">
        <f t="shared" si="241"/>
        <v>#N/A</v>
      </c>
      <c r="IW330" s="262" t="e">
        <f t="shared" si="242"/>
        <v>#N/A</v>
      </c>
      <c r="JN330" s="261" t="e">
        <f t="shared" si="243"/>
        <v>#N/A</v>
      </c>
      <c r="JO330" s="261" t="e">
        <f t="shared" si="244"/>
        <v>#N/A</v>
      </c>
      <c r="JR330" s="261" t="e">
        <f t="shared" si="249"/>
        <v>#N/A</v>
      </c>
      <c r="JS330" s="261" t="e">
        <f t="shared" si="250"/>
        <v>#N/A</v>
      </c>
      <c r="JV330" s="261" t="e">
        <f t="shared" si="245"/>
        <v>#N/A</v>
      </c>
      <c r="JW330" s="261" t="e">
        <f t="shared" si="246"/>
        <v>#N/A</v>
      </c>
      <c r="PS330" s="342">
        <v>316</v>
      </c>
      <c r="PT330" s="261" t="e">
        <f t="shared" si="247"/>
        <v>#N/A</v>
      </c>
      <c r="PU330" s="261" t="e">
        <f t="shared" si="248"/>
        <v>#N/A</v>
      </c>
    </row>
    <row r="331" spans="219:437" x14ac:dyDescent="0.5">
      <c r="HK331" s="342">
        <v>317</v>
      </c>
      <c r="HL331" s="235" t="e">
        <f t="shared" si="223"/>
        <v>#N/A</v>
      </c>
      <c r="HM331" s="235" t="e">
        <f t="shared" si="224"/>
        <v>#N/A</v>
      </c>
      <c r="HP331" s="235" t="e">
        <f t="shared" si="225"/>
        <v>#N/A</v>
      </c>
      <c r="HQ331" s="235" t="e">
        <f t="shared" si="226"/>
        <v>#N/A</v>
      </c>
      <c r="HT331" s="235" t="e">
        <f t="shared" si="227"/>
        <v>#N/A</v>
      </c>
      <c r="HU331" s="235" t="e">
        <f t="shared" si="228"/>
        <v>#N/A</v>
      </c>
      <c r="HX331" s="235" t="e">
        <f t="shared" si="229"/>
        <v>#N/A</v>
      </c>
      <c r="HY331" s="235" t="e">
        <f t="shared" si="230"/>
        <v>#N/A</v>
      </c>
      <c r="IB331" s="235" t="e">
        <f t="shared" si="231"/>
        <v>#N/A</v>
      </c>
      <c r="IC331" s="235" t="e">
        <f t="shared" si="232"/>
        <v>#N/A</v>
      </c>
      <c r="IE331" s="342">
        <v>317</v>
      </c>
      <c r="IF331" s="262" t="e">
        <f t="shared" si="233"/>
        <v>#N/A</v>
      </c>
      <c r="IG331" s="262" t="e">
        <f t="shared" si="234"/>
        <v>#N/A</v>
      </c>
      <c r="IH331" s="379"/>
      <c r="II331" s="379"/>
      <c r="IJ331" s="262" t="e">
        <f t="shared" si="235"/>
        <v>#N/A</v>
      </c>
      <c r="IK331" s="262" t="e">
        <f t="shared" si="236"/>
        <v>#N/A</v>
      </c>
      <c r="IL331" s="379"/>
      <c r="IM331" s="379"/>
      <c r="IN331" s="262" t="e">
        <f t="shared" si="237"/>
        <v>#N/A</v>
      </c>
      <c r="IO331" s="262" t="e">
        <f t="shared" si="238"/>
        <v>#N/A</v>
      </c>
      <c r="IP331" s="379"/>
      <c r="IQ331" s="379"/>
      <c r="IR331" s="262" t="e">
        <f t="shared" si="239"/>
        <v>#N/A</v>
      </c>
      <c r="IS331" s="262" t="e">
        <f t="shared" si="240"/>
        <v>#N/A</v>
      </c>
      <c r="IT331" s="379"/>
      <c r="IU331" s="379"/>
      <c r="IV331" s="262" t="e">
        <f t="shared" si="241"/>
        <v>#N/A</v>
      </c>
      <c r="IW331" s="262" t="e">
        <f t="shared" si="242"/>
        <v>#N/A</v>
      </c>
      <c r="JN331" s="261" t="e">
        <f t="shared" si="243"/>
        <v>#N/A</v>
      </c>
      <c r="JO331" s="261" t="e">
        <f t="shared" si="244"/>
        <v>#N/A</v>
      </c>
      <c r="JR331" s="261" t="e">
        <f t="shared" si="249"/>
        <v>#N/A</v>
      </c>
      <c r="JS331" s="261" t="e">
        <f t="shared" si="250"/>
        <v>#N/A</v>
      </c>
      <c r="JV331" s="261" t="e">
        <f t="shared" si="245"/>
        <v>#N/A</v>
      </c>
      <c r="JW331" s="261" t="e">
        <f t="shared" si="246"/>
        <v>#N/A</v>
      </c>
      <c r="PS331" s="342">
        <v>317</v>
      </c>
      <c r="PT331" s="261" t="e">
        <f t="shared" si="247"/>
        <v>#N/A</v>
      </c>
      <c r="PU331" s="261" t="e">
        <f t="shared" si="248"/>
        <v>#N/A</v>
      </c>
    </row>
    <row r="332" spans="219:437" x14ac:dyDescent="0.5">
      <c r="HK332" s="342">
        <v>318</v>
      </c>
      <c r="HL332" s="235" t="e">
        <f t="shared" si="223"/>
        <v>#N/A</v>
      </c>
      <c r="HM332" s="235" t="e">
        <f t="shared" si="224"/>
        <v>#N/A</v>
      </c>
      <c r="HP332" s="235" t="e">
        <f t="shared" si="225"/>
        <v>#N/A</v>
      </c>
      <c r="HQ332" s="235" t="e">
        <f t="shared" si="226"/>
        <v>#N/A</v>
      </c>
      <c r="HT332" s="235" t="e">
        <f t="shared" si="227"/>
        <v>#N/A</v>
      </c>
      <c r="HU332" s="235" t="e">
        <f t="shared" si="228"/>
        <v>#N/A</v>
      </c>
      <c r="HX332" s="235" t="e">
        <f t="shared" si="229"/>
        <v>#N/A</v>
      </c>
      <c r="HY332" s="235" t="e">
        <f t="shared" si="230"/>
        <v>#N/A</v>
      </c>
      <c r="IB332" s="235" t="e">
        <f t="shared" si="231"/>
        <v>#N/A</v>
      </c>
      <c r="IC332" s="235" t="e">
        <f t="shared" si="232"/>
        <v>#N/A</v>
      </c>
      <c r="IE332" s="342">
        <v>318</v>
      </c>
      <c r="IF332" s="262" t="e">
        <f t="shared" si="233"/>
        <v>#N/A</v>
      </c>
      <c r="IG332" s="262" t="e">
        <f t="shared" si="234"/>
        <v>#N/A</v>
      </c>
      <c r="IH332" s="379"/>
      <c r="II332" s="379"/>
      <c r="IJ332" s="262" t="e">
        <f t="shared" si="235"/>
        <v>#N/A</v>
      </c>
      <c r="IK332" s="262" t="e">
        <f t="shared" si="236"/>
        <v>#N/A</v>
      </c>
      <c r="IL332" s="379"/>
      <c r="IM332" s="379"/>
      <c r="IN332" s="262" t="e">
        <f t="shared" si="237"/>
        <v>#N/A</v>
      </c>
      <c r="IO332" s="262" t="e">
        <f t="shared" si="238"/>
        <v>#N/A</v>
      </c>
      <c r="IP332" s="379"/>
      <c r="IQ332" s="379"/>
      <c r="IR332" s="262" t="e">
        <f t="shared" si="239"/>
        <v>#N/A</v>
      </c>
      <c r="IS332" s="262" t="e">
        <f t="shared" si="240"/>
        <v>#N/A</v>
      </c>
      <c r="IT332" s="379"/>
      <c r="IU332" s="379"/>
      <c r="IV332" s="262" t="e">
        <f t="shared" si="241"/>
        <v>#N/A</v>
      </c>
      <c r="IW332" s="262" t="e">
        <f t="shared" si="242"/>
        <v>#N/A</v>
      </c>
      <c r="JN332" s="261" t="e">
        <f t="shared" si="243"/>
        <v>#N/A</v>
      </c>
      <c r="JO332" s="261" t="e">
        <f t="shared" si="244"/>
        <v>#N/A</v>
      </c>
      <c r="JR332" s="261" t="e">
        <f t="shared" si="249"/>
        <v>#N/A</v>
      </c>
      <c r="JS332" s="261" t="e">
        <f t="shared" si="250"/>
        <v>#N/A</v>
      </c>
      <c r="JV332" s="261" t="e">
        <f t="shared" si="245"/>
        <v>#N/A</v>
      </c>
      <c r="JW332" s="261" t="e">
        <f t="shared" si="246"/>
        <v>#N/A</v>
      </c>
      <c r="PS332" s="342">
        <v>318</v>
      </c>
      <c r="PT332" s="261" t="e">
        <f t="shared" si="247"/>
        <v>#N/A</v>
      </c>
      <c r="PU332" s="261" t="e">
        <f t="shared" si="248"/>
        <v>#N/A</v>
      </c>
    </row>
    <row r="333" spans="219:437" x14ac:dyDescent="0.5">
      <c r="HK333" s="342">
        <v>319</v>
      </c>
      <c r="HL333" s="235" t="e">
        <f t="shared" si="223"/>
        <v>#N/A</v>
      </c>
      <c r="HM333" s="235" t="e">
        <f t="shared" si="224"/>
        <v>#N/A</v>
      </c>
      <c r="HP333" s="235" t="e">
        <f t="shared" si="225"/>
        <v>#N/A</v>
      </c>
      <c r="HQ333" s="235" t="e">
        <f t="shared" si="226"/>
        <v>#N/A</v>
      </c>
      <c r="HT333" s="235" t="e">
        <f t="shared" si="227"/>
        <v>#N/A</v>
      </c>
      <c r="HU333" s="235" t="e">
        <f t="shared" si="228"/>
        <v>#N/A</v>
      </c>
      <c r="HX333" s="235" t="e">
        <f t="shared" si="229"/>
        <v>#N/A</v>
      </c>
      <c r="HY333" s="235" t="e">
        <f t="shared" si="230"/>
        <v>#N/A</v>
      </c>
      <c r="IB333" s="235" t="e">
        <f t="shared" si="231"/>
        <v>#N/A</v>
      </c>
      <c r="IC333" s="235" t="e">
        <f t="shared" si="232"/>
        <v>#N/A</v>
      </c>
      <c r="IE333" s="342">
        <v>319</v>
      </c>
      <c r="IF333" s="262" t="e">
        <f t="shared" si="233"/>
        <v>#N/A</v>
      </c>
      <c r="IG333" s="262" t="e">
        <f t="shared" si="234"/>
        <v>#N/A</v>
      </c>
      <c r="IH333" s="379"/>
      <c r="II333" s="379"/>
      <c r="IJ333" s="262" t="e">
        <f t="shared" si="235"/>
        <v>#N/A</v>
      </c>
      <c r="IK333" s="262" t="e">
        <f t="shared" si="236"/>
        <v>#N/A</v>
      </c>
      <c r="IL333" s="379"/>
      <c r="IM333" s="379"/>
      <c r="IN333" s="262" t="e">
        <f t="shared" si="237"/>
        <v>#N/A</v>
      </c>
      <c r="IO333" s="262" t="e">
        <f t="shared" si="238"/>
        <v>#N/A</v>
      </c>
      <c r="IP333" s="379"/>
      <c r="IQ333" s="379"/>
      <c r="IR333" s="262" t="e">
        <f t="shared" si="239"/>
        <v>#N/A</v>
      </c>
      <c r="IS333" s="262" t="e">
        <f t="shared" si="240"/>
        <v>#N/A</v>
      </c>
      <c r="IT333" s="379"/>
      <c r="IU333" s="379"/>
      <c r="IV333" s="262" t="e">
        <f t="shared" si="241"/>
        <v>#N/A</v>
      </c>
      <c r="IW333" s="262" t="e">
        <f t="shared" si="242"/>
        <v>#N/A</v>
      </c>
      <c r="JN333" s="261" t="e">
        <f t="shared" si="243"/>
        <v>#N/A</v>
      </c>
      <c r="JO333" s="261" t="e">
        <f t="shared" si="244"/>
        <v>#N/A</v>
      </c>
      <c r="JR333" s="261" t="e">
        <f t="shared" si="249"/>
        <v>#N/A</v>
      </c>
      <c r="JS333" s="261" t="e">
        <f t="shared" si="250"/>
        <v>#N/A</v>
      </c>
      <c r="JV333" s="261" t="e">
        <f t="shared" si="245"/>
        <v>#N/A</v>
      </c>
      <c r="JW333" s="261" t="e">
        <f t="shared" si="246"/>
        <v>#N/A</v>
      </c>
      <c r="PS333" s="342">
        <v>319</v>
      </c>
      <c r="PT333" s="261" t="e">
        <f t="shared" si="247"/>
        <v>#N/A</v>
      </c>
      <c r="PU333" s="261" t="e">
        <f t="shared" si="248"/>
        <v>#N/A</v>
      </c>
    </row>
    <row r="334" spans="219:437" x14ac:dyDescent="0.5">
      <c r="HK334" s="342">
        <v>320</v>
      </c>
      <c r="HL334" s="235" t="e">
        <f t="shared" si="223"/>
        <v>#N/A</v>
      </c>
      <c r="HM334" s="235" t="e">
        <f t="shared" si="224"/>
        <v>#N/A</v>
      </c>
      <c r="HP334" s="235" t="e">
        <f t="shared" si="225"/>
        <v>#N/A</v>
      </c>
      <c r="HQ334" s="235" t="e">
        <f t="shared" si="226"/>
        <v>#N/A</v>
      </c>
      <c r="HT334" s="235" t="e">
        <f t="shared" si="227"/>
        <v>#N/A</v>
      </c>
      <c r="HU334" s="235" t="e">
        <f t="shared" si="228"/>
        <v>#N/A</v>
      </c>
      <c r="HX334" s="235" t="e">
        <f t="shared" si="229"/>
        <v>#N/A</v>
      </c>
      <c r="HY334" s="235" t="e">
        <f t="shared" si="230"/>
        <v>#N/A</v>
      </c>
      <c r="IB334" s="235" t="e">
        <f t="shared" si="231"/>
        <v>#N/A</v>
      </c>
      <c r="IC334" s="235" t="e">
        <f t="shared" si="232"/>
        <v>#N/A</v>
      </c>
      <c r="IE334" s="342">
        <v>320</v>
      </c>
      <c r="IF334" s="262" t="e">
        <f t="shared" si="233"/>
        <v>#N/A</v>
      </c>
      <c r="IG334" s="262" t="e">
        <f t="shared" si="234"/>
        <v>#N/A</v>
      </c>
      <c r="IH334" s="379"/>
      <c r="II334" s="379"/>
      <c r="IJ334" s="262" t="e">
        <f t="shared" si="235"/>
        <v>#N/A</v>
      </c>
      <c r="IK334" s="262" t="e">
        <f t="shared" si="236"/>
        <v>#N/A</v>
      </c>
      <c r="IL334" s="379"/>
      <c r="IM334" s="379"/>
      <c r="IN334" s="262" t="e">
        <f t="shared" si="237"/>
        <v>#N/A</v>
      </c>
      <c r="IO334" s="262" t="e">
        <f t="shared" si="238"/>
        <v>#N/A</v>
      </c>
      <c r="IP334" s="379"/>
      <c r="IQ334" s="379"/>
      <c r="IR334" s="262" t="e">
        <f t="shared" si="239"/>
        <v>#N/A</v>
      </c>
      <c r="IS334" s="262" t="e">
        <f t="shared" si="240"/>
        <v>#N/A</v>
      </c>
      <c r="IT334" s="379"/>
      <c r="IU334" s="379"/>
      <c r="IV334" s="262" t="e">
        <f t="shared" si="241"/>
        <v>#N/A</v>
      </c>
      <c r="IW334" s="262" t="e">
        <f t="shared" si="242"/>
        <v>#N/A</v>
      </c>
      <c r="JN334" s="261" t="e">
        <f t="shared" si="243"/>
        <v>#N/A</v>
      </c>
      <c r="JO334" s="261" t="e">
        <f t="shared" si="244"/>
        <v>#N/A</v>
      </c>
      <c r="JR334" s="261" t="e">
        <f t="shared" si="249"/>
        <v>#N/A</v>
      </c>
      <c r="JS334" s="261" t="e">
        <f t="shared" si="250"/>
        <v>#N/A</v>
      </c>
      <c r="JV334" s="261" t="e">
        <f t="shared" si="245"/>
        <v>#N/A</v>
      </c>
      <c r="JW334" s="261" t="e">
        <f t="shared" si="246"/>
        <v>#N/A</v>
      </c>
      <c r="PS334" s="342">
        <v>320</v>
      </c>
      <c r="PT334" s="261" t="e">
        <f t="shared" si="247"/>
        <v>#N/A</v>
      </c>
      <c r="PU334" s="261" t="e">
        <f t="shared" si="248"/>
        <v>#N/A</v>
      </c>
    </row>
    <row r="335" spans="219:437" x14ac:dyDescent="0.5">
      <c r="HK335" s="342">
        <v>321</v>
      </c>
      <c r="HL335" s="235" t="e">
        <f t="shared" ref="HL335:HL374" si="251">IF($HM$9=TRUE,$HL$11+$HL$12*COS(HK335*PI()/$HM$13),#N/A)</f>
        <v>#N/A</v>
      </c>
      <c r="HM335" s="235" t="e">
        <f t="shared" ref="HM335:HM374" si="252">IF($HM$9=TRUE,$HM$11+$HL$12*SIN(HK335*PI()/$HM$13),#N/A)</f>
        <v>#N/A</v>
      </c>
      <c r="HP335" s="235" t="e">
        <f t="shared" ref="HP335:HP374" si="253">IF($HQ$9=TRUE,$HP$11+$HP$12*COS(HK335*PI()/$HQ$13),#N/A)</f>
        <v>#N/A</v>
      </c>
      <c r="HQ335" s="235" t="e">
        <f t="shared" ref="HQ335:HQ374" si="254">IF($HQ$9=TRUE,$HQ$11+$HP$12*SIN(HK335*PI()/$HQ$13),#N/A)</f>
        <v>#N/A</v>
      </c>
      <c r="HT335" s="235" t="e">
        <f t="shared" ref="HT335:HT374" si="255">IF($HU$9=TRUE,$HT$11+$HT$12*COS(HK335*PI()/$HU$13),#N/A)</f>
        <v>#N/A</v>
      </c>
      <c r="HU335" s="235" t="e">
        <f t="shared" ref="HU335:HU374" si="256">IF($HU$9=TRUE,$HU$11+$HT$12*SIN(HK335*PI()/$HU$13),#N/A)</f>
        <v>#N/A</v>
      </c>
      <c r="HX335" s="235" t="e">
        <f t="shared" ref="HX335:HX374" si="257">IF($HY$9=TRUE,$HX$11+$HX$12*COS(HK335*PI()/$HY$13),#N/A)</f>
        <v>#N/A</v>
      </c>
      <c r="HY335" s="235" t="e">
        <f t="shared" ref="HY335:HY374" si="258">IF($HY$9=TRUE,$HY$11+$HX$12*SIN(HK335*PI()/$HY$13),#N/A)</f>
        <v>#N/A</v>
      </c>
      <c r="IB335" s="235" t="e">
        <f t="shared" ref="IB335:IB374" si="259">IF($IC$9=TRUE,$IB$11+$IB$12*COS(HK335*PI()/$IC$13),#N/A)</f>
        <v>#N/A</v>
      </c>
      <c r="IC335" s="235" t="e">
        <f t="shared" ref="IC335:IC374" si="260">IF($IC$9=TRUE,$IC$11+$IB$12*SIN(HK335*PI()/$IC$13),#N/A)</f>
        <v>#N/A</v>
      </c>
      <c r="IE335" s="342">
        <v>321</v>
      </c>
      <c r="IF335" s="262" t="e">
        <f t="shared" ref="IF335:IF374" si="261">IF($IG$9=TRUE,$IF$11+$IF$12*COS(IE335*PI()/$IG$13),#N/A)</f>
        <v>#N/A</v>
      </c>
      <c r="IG335" s="262" t="e">
        <f t="shared" ref="IG335:IG374" si="262">IF($IG$9=TRUE,$IG$11+$IF$12*SIN(IE335*PI()/$IG$13),#N/A)</f>
        <v>#N/A</v>
      </c>
      <c r="IH335" s="379"/>
      <c r="II335" s="379"/>
      <c r="IJ335" s="262" t="e">
        <f t="shared" ref="IJ335:IJ374" si="263">IF($IK$9=TRUE,$IJ$11+$IJ$12*COS(IE335*PI()/$IK$13),#N/A)</f>
        <v>#N/A</v>
      </c>
      <c r="IK335" s="262" t="e">
        <f t="shared" ref="IK335:IK374" si="264">IF($IK$9=TRUE,$IK$11+$IJ$12*SIN(IE335*PI()/$IK$13),#N/A)</f>
        <v>#N/A</v>
      </c>
      <c r="IL335" s="379"/>
      <c r="IM335" s="379"/>
      <c r="IN335" s="262" t="e">
        <f t="shared" ref="IN335:IN374" si="265">IF($IO$9=TRUE,$IN$11+$IN$12*COS(IE335*PI()/$IO$13),#N/A)</f>
        <v>#N/A</v>
      </c>
      <c r="IO335" s="262" t="e">
        <f t="shared" ref="IO335:IO374" si="266">IF($IO$9=TRUE,$IO$11+$IN$12*SIN(IE335*PI()/$IO$13),#N/A)</f>
        <v>#N/A</v>
      </c>
      <c r="IP335" s="379"/>
      <c r="IQ335" s="379"/>
      <c r="IR335" s="262" t="e">
        <f t="shared" ref="IR335:IR374" si="267">IF($IS$9=TRUE,$IR$11+$IR$12*COS(IE335*PI()/$IS$13),#N/A)</f>
        <v>#N/A</v>
      </c>
      <c r="IS335" s="262" t="e">
        <f t="shared" ref="IS335:IS374" si="268">IF($IS$9=TRUE,$IS$11+$IR$12*SIN(IE335*PI()/$IS$13),#N/A)</f>
        <v>#N/A</v>
      </c>
      <c r="IT335" s="379"/>
      <c r="IU335" s="379"/>
      <c r="IV335" s="262" t="e">
        <f t="shared" ref="IV335:IV374" si="269">IF($IW$9=TRUE,$IV$11+$IV$12*COS(IE335*PI()/$IW$13),#N/A)</f>
        <v>#N/A</v>
      </c>
      <c r="IW335" s="262" t="e">
        <f t="shared" ref="IW335:IW374" si="270">IF($IW$9=TRUE,$IW$11+$IV$12*SIN(IE335*PI()/$IW$13),#N/A)</f>
        <v>#N/A</v>
      </c>
      <c r="JN335" s="261" t="e">
        <f t="shared" ref="JN335:JN374" si="271">IF($JO$9=TRUE,$JN$11+$JN$12*COS(IE335*PI()/$JO$13),#N/A)</f>
        <v>#N/A</v>
      </c>
      <c r="JO335" s="261" t="e">
        <f t="shared" ref="JO335:JO374" si="272">IF($JO$9=TRUE,$JO$11+$JN$12*SIN(IE335*PI()/$JO$13),#N/A)</f>
        <v>#N/A</v>
      </c>
      <c r="JR335" s="261" t="e">
        <f t="shared" si="249"/>
        <v>#N/A</v>
      </c>
      <c r="JS335" s="261" t="e">
        <f t="shared" si="250"/>
        <v>#N/A</v>
      </c>
      <c r="JV335" s="261" t="e">
        <f t="shared" ref="JV335:JV374" si="273">IF($JW$9=TRUE,$JV$11+$JV$12*COS(IE335*PI()/$JW$13),#N/A)</f>
        <v>#N/A</v>
      </c>
      <c r="JW335" s="261" t="e">
        <f t="shared" ref="JW335:JW374" si="274">IF($JW$9=TRUE,$JW$11+$JV$12*SIN(IE335*PI()/$JW$13),#N/A)</f>
        <v>#N/A</v>
      </c>
      <c r="PS335" s="342">
        <v>321</v>
      </c>
      <c r="PT335" s="261" t="e">
        <f t="shared" ref="PT335:PT374" si="275">IF($PU$9=TRUE,$PT$11+$PT$12*COS(PS335*PI()/$PU$13),#N/A)</f>
        <v>#N/A</v>
      </c>
      <c r="PU335" s="261" t="e">
        <f t="shared" ref="PU335:PU374" si="276">IF($PU$9=TRUE,$PU$11+$PT$12*SIN(PS335*PI()/$PU$13),#N/A)</f>
        <v>#N/A</v>
      </c>
    </row>
    <row r="336" spans="219:437" x14ac:dyDescent="0.5">
      <c r="HK336" s="342">
        <v>322</v>
      </c>
      <c r="HL336" s="235" t="e">
        <f t="shared" si="251"/>
        <v>#N/A</v>
      </c>
      <c r="HM336" s="235" t="e">
        <f t="shared" si="252"/>
        <v>#N/A</v>
      </c>
      <c r="HP336" s="235" t="e">
        <f t="shared" si="253"/>
        <v>#N/A</v>
      </c>
      <c r="HQ336" s="235" t="e">
        <f t="shared" si="254"/>
        <v>#N/A</v>
      </c>
      <c r="HT336" s="235" t="e">
        <f t="shared" si="255"/>
        <v>#N/A</v>
      </c>
      <c r="HU336" s="235" t="e">
        <f t="shared" si="256"/>
        <v>#N/A</v>
      </c>
      <c r="HX336" s="235" t="e">
        <f t="shared" si="257"/>
        <v>#N/A</v>
      </c>
      <c r="HY336" s="235" t="e">
        <f t="shared" si="258"/>
        <v>#N/A</v>
      </c>
      <c r="IB336" s="235" t="e">
        <f t="shared" si="259"/>
        <v>#N/A</v>
      </c>
      <c r="IC336" s="235" t="e">
        <f t="shared" si="260"/>
        <v>#N/A</v>
      </c>
      <c r="IE336" s="342">
        <v>322</v>
      </c>
      <c r="IF336" s="262" t="e">
        <f t="shared" si="261"/>
        <v>#N/A</v>
      </c>
      <c r="IG336" s="262" t="e">
        <f t="shared" si="262"/>
        <v>#N/A</v>
      </c>
      <c r="IH336" s="379"/>
      <c r="II336" s="379"/>
      <c r="IJ336" s="262" t="e">
        <f t="shared" si="263"/>
        <v>#N/A</v>
      </c>
      <c r="IK336" s="262" t="e">
        <f t="shared" si="264"/>
        <v>#N/A</v>
      </c>
      <c r="IL336" s="379"/>
      <c r="IM336" s="379"/>
      <c r="IN336" s="262" t="e">
        <f t="shared" si="265"/>
        <v>#N/A</v>
      </c>
      <c r="IO336" s="262" t="e">
        <f t="shared" si="266"/>
        <v>#N/A</v>
      </c>
      <c r="IP336" s="379"/>
      <c r="IQ336" s="379"/>
      <c r="IR336" s="262" t="e">
        <f t="shared" si="267"/>
        <v>#N/A</v>
      </c>
      <c r="IS336" s="262" t="e">
        <f t="shared" si="268"/>
        <v>#N/A</v>
      </c>
      <c r="IT336" s="379"/>
      <c r="IU336" s="379"/>
      <c r="IV336" s="262" t="e">
        <f t="shared" si="269"/>
        <v>#N/A</v>
      </c>
      <c r="IW336" s="262" t="e">
        <f t="shared" si="270"/>
        <v>#N/A</v>
      </c>
      <c r="JN336" s="261" t="e">
        <f t="shared" si="271"/>
        <v>#N/A</v>
      </c>
      <c r="JO336" s="261" t="e">
        <f t="shared" si="272"/>
        <v>#N/A</v>
      </c>
      <c r="JR336" s="261" t="e">
        <f t="shared" ref="JR336:JR374" si="277">IF($JS$9=TRUE,$JR$11+$JR$12*COS(IE336*PI()/$JS$13),#N/A)</f>
        <v>#N/A</v>
      </c>
      <c r="JS336" s="261" t="e">
        <f t="shared" ref="JS336:JS374" si="278">IF($JS$9=TRUE,$JS$11+$JR$12*SIN(IE336*PI()/$JS$13),#N/A)</f>
        <v>#N/A</v>
      </c>
      <c r="JV336" s="261" t="e">
        <f t="shared" si="273"/>
        <v>#N/A</v>
      </c>
      <c r="JW336" s="261" t="e">
        <f t="shared" si="274"/>
        <v>#N/A</v>
      </c>
      <c r="PS336" s="342">
        <v>322</v>
      </c>
      <c r="PT336" s="261" t="e">
        <f t="shared" si="275"/>
        <v>#N/A</v>
      </c>
      <c r="PU336" s="261" t="e">
        <f t="shared" si="276"/>
        <v>#N/A</v>
      </c>
    </row>
    <row r="337" spans="219:437" x14ac:dyDescent="0.5">
      <c r="HK337" s="342">
        <v>323</v>
      </c>
      <c r="HL337" s="235" t="e">
        <f t="shared" si="251"/>
        <v>#N/A</v>
      </c>
      <c r="HM337" s="235" t="e">
        <f t="shared" si="252"/>
        <v>#N/A</v>
      </c>
      <c r="HP337" s="235" t="e">
        <f t="shared" si="253"/>
        <v>#N/A</v>
      </c>
      <c r="HQ337" s="235" t="e">
        <f t="shared" si="254"/>
        <v>#N/A</v>
      </c>
      <c r="HT337" s="235" t="e">
        <f t="shared" si="255"/>
        <v>#N/A</v>
      </c>
      <c r="HU337" s="235" t="e">
        <f t="shared" si="256"/>
        <v>#N/A</v>
      </c>
      <c r="HX337" s="235" t="e">
        <f t="shared" si="257"/>
        <v>#N/A</v>
      </c>
      <c r="HY337" s="235" t="e">
        <f t="shared" si="258"/>
        <v>#N/A</v>
      </c>
      <c r="IB337" s="235" t="e">
        <f t="shared" si="259"/>
        <v>#N/A</v>
      </c>
      <c r="IC337" s="235" t="e">
        <f t="shared" si="260"/>
        <v>#N/A</v>
      </c>
      <c r="IE337" s="342">
        <v>323</v>
      </c>
      <c r="IF337" s="262" t="e">
        <f t="shared" si="261"/>
        <v>#N/A</v>
      </c>
      <c r="IG337" s="262" t="e">
        <f t="shared" si="262"/>
        <v>#N/A</v>
      </c>
      <c r="IH337" s="379"/>
      <c r="II337" s="379"/>
      <c r="IJ337" s="262" t="e">
        <f t="shared" si="263"/>
        <v>#N/A</v>
      </c>
      <c r="IK337" s="262" t="e">
        <f t="shared" si="264"/>
        <v>#N/A</v>
      </c>
      <c r="IL337" s="379"/>
      <c r="IM337" s="379"/>
      <c r="IN337" s="262" t="e">
        <f t="shared" si="265"/>
        <v>#N/A</v>
      </c>
      <c r="IO337" s="262" t="e">
        <f t="shared" si="266"/>
        <v>#N/A</v>
      </c>
      <c r="IP337" s="379"/>
      <c r="IQ337" s="379"/>
      <c r="IR337" s="262" t="e">
        <f t="shared" si="267"/>
        <v>#N/A</v>
      </c>
      <c r="IS337" s="262" t="e">
        <f t="shared" si="268"/>
        <v>#N/A</v>
      </c>
      <c r="IT337" s="379"/>
      <c r="IU337" s="379"/>
      <c r="IV337" s="262" t="e">
        <f t="shared" si="269"/>
        <v>#N/A</v>
      </c>
      <c r="IW337" s="262" t="e">
        <f t="shared" si="270"/>
        <v>#N/A</v>
      </c>
      <c r="JN337" s="261" t="e">
        <f t="shared" si="271"/>
        <v>#N/A</v>
      </c>
      <c r="JO337" s="261" t="e">
        <f t="shared" si="272"/>
        <v>#N/A</v>
      </c>
      <c r="JR337" s="261" t="e">
        <f t="shared" si="277"/>
        <v>#N/A</v>
      </c>
      <c r="JS337" s="261" t="e">
        <f t="shared" si="278"/>
        <v>#N/A</v>
      </c>
      <c r="JV337" s="261" t="e">
        <f t="shared" si="273"/>
        <v>#N/A</v>
      </c>
      <c r="JW337" s="261" t="e">
        <f t="shared" si="274"/>
        <v>#N/A</v>
      </c>
      <c r="PS337" s="342">
        <v>323</v>
      </c>
      <c r="PT337" s="261" t="e">
        <f t="shared" si="275"/>
        <v>#N/A</v>
      </c>
      <c r="PU337" s="261" t="e">
        <f t="shared" si="276"/>
        <v>#N/A</v>
      </c>
    </row>
    <row r="338" spans="219:437" x14ac:dyDescent="0.5">
      <c r="HK338" s="342">
        <v>324</v>
      </c>
      <c r="HL338" s="235" t="e">
        <f t="shared" si="251"/>
        <v>#N/A</v>
      </c>
      <c r="HM338" s="235" t="e">
        <f t="shared" si="252"/>
        <v>#N/A</v>
      </c>
      <c r="HP338" s="235" t="e">
        <f t="shared" si="253"/>
        <v>#N/A</v>
      </c>
      <c r="HQ338" s="235" t="e">
        <f t="shared" si="254"/>
        <v>#N/A</v>
      </c>
      <c r="HT338" s="235" t="e">
        <f t="shared" si="255"/>
        <v>#N/A</v>
      </c>
      <c r="HU338" s="235" t="e">
        <f t="shared" si="256"/>
        <v>#N/A</v>
      </c>
      <c r="HX338" s="235" t="e">
        <f t="shared" si="257"/>
        <v>#N/A</v>
      </c>
      <c r="HY338" s="235" t="e">
        <f t="shared" si="258"/>
        <v>#N/A</v>
      </c>
      <c r="IB338" s="235" t="e">
        <f t="shared" si="259"/>
        <v>#N/A</v>
      </c>
      <c r="IC338" s="235" t="e">
        <f t="shared" si="260"/>
        <v>#N/A</v>
      </c>
      <c r="IE338" s="342">
        <v>324</v>
      </c>
      <c r="IF338" s="262" t="e">
        <f t="shared" si="261"/>
        <v>#N/A</v>
      </c>
      <c r="IG338" s="262" t="e">
        <f t="shared" si="262"/>
        <v>#N/A</v>
      </c>
      <c r="IH338" s="379"/>
      <c r="II338" s="379"/>
      <c r="IJ338" s="262" t="e">
        <f t="shared" si="263"/>
        <v>#N/A</v>
      </c>
      <c r="IK338" s="262" t="e">
        <f t="shared" si="264"/>
        <v>#N/A</v>
      </c>
      <c r="IL338" s="379"/>
      <c r="IM338" s="379"/>
      <c r="IN338" s="262" t="e">
        <f t="shared" si="265"/>
        <v>#N/A</v>
      </c>
      <c r="IO338" s="262" t="e">
        <f t="shared" si="266"/>
        <v>#N/A</v>
      </c>
      <c r="IP338" s="379"/>
      <c r="IQ338" s="379"/>
      <c r="IR338" s="262" t="e">
        <f t="shared" si="267"/>
        <v>#N/A</v>
      </c>
      <c r="IS338" s="262" t="e">
        <f t="shared" si="268"/>
        <v>#N/A</v>
      </c>
      <c r="IT338" s="379"/>
      <c r="IU338" s="379"/>
      <c r="IV338" s="262" t="e">
        <f t="shared" si="269"/>
        <v>#N/A</v>
      </c>
      <c r="IW338" s="262" t="e">
        <f t="shared" si="270"/>
        <v>#N/A</v>
      </c>
      <c r="JN338" s="261" t="e">
        <f t="shared" si="271"/>
        <v>#N/A</v>
      </c>
      <c r="JO338" s="261" t="e">
        <f t="shared" si="272"/>
        <v>#N/A</v>
      </c>
      <c r="JR338" s="261" t="e">
        <f t="shared" si="277"/>
        <v>#N/A</v>
      </c>
      <c r="JS338" s="261" t="e">
        <f t="shared" si="278"/>
        <v>#N/A</v>
      </c>
      <c r="JV338" s="261" t="e">
        <f t="shared" si="273"/>
        <v>#N/A</v>
      </c>
      <c r="JW338" s="261" t="e">
        <f t="shared" si="274"/>
        <v>#N/A</v>
      </c>
      <c r="PS338" s="342">
        <v>324</v>
      </c>
      <c r="PT338" s="261" t="e">
        <f t="shared" si="275"/>
        <v>#N/A</v>
      </c>
      <c r="PU338" s="261" t="e">
        <f t="shared" si="276"/>
        <v>#N/A</v>
      </c>
    </row>
    <row r="339" spans="219:437" x14ac:dyDescent="0.5">
      <c r="HK339" s="342">
        <v>325</v>
      </c>
      <c r="HL339" s="235" t="e">
        <f t="shared" si="251"/>
        <v>#N/A</v>
      </c>
      <c r="HM339" s="235" t="e">
        <f t="shared" si="252"/>
        <v>#N/A</v>
      </c>
      <c r="HP339" s="235" t="e">
        <f t="shared" si="253"/>
        <v>#N/A</v>
      </c>
      <c r="HQ339" s="235" t="e">
        <f t="shared" si="254"/>
        <v>#N/A</v>
      </c>
      <c r="HT339" s="235" t="e">
        <f t="shared" si="255"/>
        <v>#N/A</v>
      </c>
      <c r="HU339" s="235" t="e">
        <f t="shared" si="256"/>
        <v>#N/A</v>
      </c>
      <c r="HX339" s="235" t="e">
        <f t="shared" si="257"/>
        <v>#N/A</v>
      </c>
      <c r="HY339" s="235" t="e">
        <f t="shared" si="258"/>
        <v>#N/A</v>
      </c>
      <c r="IB339" s="235" t="e">
        <f t="shared" si="259"/>
        <v>#N/A</v>
      </c>
      <c r="IC339" s="235" t="e">
        <f t="shared" si="260"/>
        <v>#N/A</v>
      </c>
      <c r="IE339" s="342">
        <v>325</v>
      </c>
      <c r="IF339" s="262" t="e">
        <f t="shared" si="261"/>
        <v>#N/A</v>
      </c>
      <c r="IG339" s="262" t="e">
        <f t="shared" si="262"/>
        <v>#N/A</v>
      </c>
      <c r="IH339" s="379"/>
      <c r="II339" s="379"/>
      <c r="IJ339" s="262" t="e">
        <f t="shared" si="263"/>
        <v>#N/A</v>
      </c>
      <c r="IK339" s="262" t="e">
        <f t="shared" si="264"/>
        <v>#N/A</v>
      </c>
      <c r="IL339" s="379"/>
      <c r="IM339" s="379"/>
      <c r="IN339" s="262" t="e">
        <f t="shared" si="265"/>
        <v>#N/A</v>
      </c>
      <c r="IO339" s="262" t="e">
        <f t="shared" si="266"/>
        <v>#N/A</v>
      </c>
      <c r="IP339" s="379"/>
      <c r="IQ339" s="379"/>
      <c r="IR339" s="262" t="e">
        <f t="shared" si="267"/>
        <v>#N/A</v>
      </c>
      <c r="IS339" s="262" t="e">
        <f t="shared" si="268"/>
        <v>#N/A</v>
      </c>
      <c r="IT339" s="379"/>
      <c r="IU339" s="379"/>
      <c r="IV339" s="262" t="e">
        <f t="shared" si="269"/>
        <v>#N/A</v>
      </c>
      <c r="IW339" s="262" t="e">
        <f t="shared" si="270"/>
        <v>#N/A</v>
      </c>
      <c r="JN339" s="261" t="e">
        <f t="shared" si="271"/>
        <v>#N/A</v>
      </c>
      <c r="JO339" s="261" t="e">
        <f t="shared" si="272"/>
        <v>#N/A</v>
      </c>
      <c r="JR339" s="261" t="e">
        <f t="shared" si="277"/>
        <v>#N/A</v>
      </c>
      <c r="JS339" s="261" t="e">
        <f t="shared" si="278"/>
        <v>#N/A</v>
      </c>
      <c r="JV339" s="261" t="e">
        <f t="shared" si="273"/>
        <v>#N/A</v>
      </c>
      <c r="JW339" s="261" t="e">
        <f t="shared" si="274"/>
        <v>#N/A</v>
      </c>
      <c r="PS339" s="342">
        <v>325</v>
      </c>
      <c r="PT339" s="261" t="e">
        <f t="shared" si="275"/>
        <v>#N/A</v>
      </c>
      <c r="PU339" s="261" t="e">
        <f t="shared" si="276"/>
        <v>#N/A</v>
      </c>
    </row>
    <row r="340" spans="219:437" x14ac:dyDescent="0.5">
      <c r="HK340" s="342">
        <v>326</v>
      </c>
      <c r="HL340" s="235" t="e">
        <f t="shared" si="251"/>
        <v>#N/A</v>
      </c>
      <c r="HM340" s="235" t="e">
        <f t="shared" si="252"/>
        <v>#N/A</v>
      </c>
      <c r="HP340" s="235" t="e">
        <f t="shared" si="253"/>
        <v>#N/A</v>
      </c>
      <c r="HQ340" s="235" t="e">
        <f t="shared" si="254"/>
        <v>#N/A</v>
      </c>
      <c r="HT340" s="235" t="e">
        <f t="shared" si="255"/>
        <v>#N/A</v>
      </c>
      <c r="HU340" s="235" t="e">
        <f t="shared" si="256"/>
        <v>#N/A</v>
      </c>
      <c r="HX340" s="235" t="e">
        <f t="shared" si="257"/>
        <v>#N/A</v>
      </c>
      <c r="HY340" s="235" t="e">
        <f t="shared" si="258"/>
        <v>#N/A</v>
      </c>
      <c r="IB340" s="235" t="e">
        <f t="shared" si="259"/>
        <v>#N/A</v>
      </c>
      <c r="IC340" s="235" t="e">
        <f t="shared" si="260"/>
        <v>#N/A</v>
      </c>
      <c r="IE340" s="342">
        <v>326</v>
      </c>
      <c r="IF340" s="262" t="e">
        <f t="shared" si="261"/>
        <v>#N/A</v>
      </c>
      <c r="IG340" s="262" t="e">
        <f t="shared" si="262"/>
        <v>#N/A</v>
      </c>
      <c r="IH340" s="379"/>
      <c r="II340" s="379"/>
      <c r="IJ340" s="262" t="e">
        <f t="shared" si="263"/>
        <v>#N/A</v>
      </c>
      <c r="IK340" s="262" t="e">
        <f t="shared" si="264"/>
        <v>#N/A</v>
      </c>
      <c r="IL340" s="379"/>
      <c r="IM340" s="379"/>
      <c r="IN340" s="262" t="e">
        <f t="shared" si="265"/>
        <v>#N/A</v>
      </c>
      <c r="IO340" s="262" t="e">
        <f t="shared" si="266"/>
        <v>#N/A</v>
      </c>
      <c r="IP340" s="379"/>
      <c r="IQ340" s="379"/>
      <c r="IR340" s="262" t="e">
        <f t="shared" si="267"/>
        <v>#N/A</v>
      </c>
      <c r="IS340" s="262" t="e">
        <f t="shared" si="268"/>
        <v>#N/A</v>
      </c>
      <c r="IT340" s="379"/>
      <c r="IU340" s="379"/>
      <c r="IV340" s="262" t="e">
        <f t="shared" si="269"/>
        <v>#N/A</v>
      </c>
      <c r="IW340" s="262" t="e">
        <f t="shared" si="270"/>
        <v>#N/A</v>
      </c>
      <c r="JN340" s="261" t="e">
        <f t="shared" si="271"/>
        <v>#N/A</v>
      </c>
      <c r="JO340" s="261" t="e">
        <f t="shared" si="272"/>
        <v>#N/A</v>
      </c>
      <c r="JR340" s="261" t="e">
        <f t="shared" si="277"/>
        <v>#N/A</v>
      </c>
      <c r="JS340" s="261" t="e">
        <f t="shared" si="278"/>
        <v>#N/A</v>
      </c>
      <c r="JV340" s="261" t="e">
        <f t="shared" si="273"/>
        <v>#N/A</v>
      </c>
      <c r="JW340" s="261" t="e">
        <f t="shared" si="274"/>
        <v>#N/A</v>
      </c>
      <c r="PS340" s="342">
        <v>326</v>
      </c>
      <c r="PT340" s="261" t="e">
        <f t="shared" si="275"/>
        <v>#N/A</v>
      </c>
      <c r="PU340" s="261" t="e">
        <f t="shared" si="276"/>
        <v>#N/A</v>
      </c>
    </row>
    <row r="341" spans="219:437" x14ac:dyDescent="0.5">
      <c r="HK341" s="342">
        <v>327</v>
      </c>
      <c r="HL341" s="235" t="e">
        <f t="shared" si="251"/>
        <v>#N/A</v>
      </c>
      <c r="HM341" s="235" t="e">
        <f t="shared" si="252"/>
        <v>#N/A</v>
      </c>
      <c r="HP341" s="235" t="e">
        <f t="shared" si="253"/>
        <v>#N/A</v>
      </c>
      <c r="HQ341" s="235" t="e">
        <f t="shared" si="254"/>
        <v>#N/A</v>
      </c>
      <c r="HT341" s="235" t="e">
        <f t="shared" si="255"/>
        <v>#N/A</v>
      </c>
      <c r="HU341" s="235" t="e">
        <f t="shared" si="256"/>
        <v>#N/A</v>
      </c>
      <c r="HX341" s="235" t="e">
        <f t="shared" si="257"/>
        <v>#N/A</v>
      </c>
      <c r="HY341" s="235" t="e">
        <f t="shared" si="258"/>
        <v>#N/A</v>
      </c>
      <c r="IB341" s="235" t="e">
        <f t="shared" si="259"/>
        <v>#N/A</v>
      </c>
      <c r="IC341" s="235" t="e">
        <f t="shared" si="260"/>
        <v>#N/A</v>
      </c>
      <c r="IE341" s="342">
        <v>327</v>
      </c>
      <c r="IF341" s="262" t="e">
        <f t="shared" si="261"/>
        <v>#N/A</v>
      </c>
      <c r="IG341" s="262" t="e">
        <f t="shared" si="262"/>
        <v>#N/A</v>
      </c>
      <c r="IH341" s="379"/>
      <c r="II341" s="379"/>
      <c r="IJ341" s="262" t="e">
        <f t="shared" si="263"/>
        <v>#N/A</v>
      </c>
      <c r="IK341" s="262" t="e">
        <f t="shared" si="264"/>
        <v>#N/A</v>
      </c>
      <c r="IL341" s="379"/>
      <c r="IM341" s="379"/>
      <c r="IN341" s="262" t="e">
        <f t="shared" si="265"/>
        <v>#N/A</v>
      </c>
      <c r="IO341" s="262" t="e">
        <f t="shared" si="266"/>
        <v>#N/A</v>
      </c>
      <c r="IP341" s="379"/>
      <c r="IQ341" s="379"/>
      <c r="IR341" s="262" t="e">
        <f t="shared" si="267"/>
        <v>#N/A</v>
      </c>
      <c r="IS341" s="262" t="e">
        <f t="shared" si="268"/>
        <v>#N/A</v>
      </c>
      <c r="IT341" s="379"/>
      <c r="IU341" s="379"/>
      <c r="IV341" s="262" t="e">
        <f t="shared" si="269"/>
        <v>#N/A</v>
      </c>
      <c r="IW341" s="262" t="e">
        <f t="shared" si="270"/>
        <v>#N/A</v>
      </c>
      <c r="JN341" s="261" t="e">
        <f t="shared" si="271"/>
        <v>#N/A</v>
      </c>
      <c r="JO341" s="261" t="e">
        <f t="shared" si="272"/>
        <v>#N/A</v>
      </c>
      <c r="JR341" s="261" t="e">
        <f t="shared" si="277"/>
        <v>#N/A</v>
      </c>
      <c r="JS341" s="261" t="e">
        <f t="shared" si="278"/>
        <v>#N/A</v>
      </c>
      <c r="JV341" s="261" t="e">
        <f t="shared" si="273"/>
        <v>#N/A</v>
      </c>
      <c r="JW341" s="261" t="e">
        <f t="shared" si="274"/>
        <v>#N/A</v>
      </c>
      <c r="PS341" s="342">
        <v>327</v>
      </c>
      <c r="PT341" s="261" t="e">
        <f t="shared" si="275"/>
        <v>#N/A</v>
      </c>
      <c r="PU341" s="261" t="e">
        <f t="shared" si="276"/>
        <v>#N/A</v>
      </c>
    </row>
    <row r="342" spans="219:437" x14ac:dyDescent="0.5">
      <c r="HK342" s="342">
        <v>328</v>
      </c>
      <c r="HL342" s="235" t="e">
        <f t="shared" si="251"/>
        <v>#N/A</v>
      </c>
      <c r="HM342" s="235" t="e">
        <f t="shared" si="252"/>
        <v>#N/A</v>
      </c>
      <c r="HP342" s="235" t="e">
        <f t="shared" si="253"/>
        <v>#N/A</v>
      </c>
      <c r="HQ342" s="235" t="e">
        <f t="shared" si="254"/>
        <v>#N/A</v>
      </c>
      <c r="HT342" s="235" t="e">
        <f t="shared" si="255"/>
        <v>#N/A</v>
      </c>
      <c r="HU342" s="235" t="e">
        <f t="shared" si="256"/>
        <v>#N/A</v>
      </c>
      <c r="HX342" s="235" t="e">
        <f t="shared" si="257"/>
        <v>#N/A</v>
      </c>
      <c r="HY342" s="235" t="e">
        <f t="shared" si="258"/>
        <v>#N/A</v>
      </c>
      <c r="IB342" s="235" t="e">
        <f t="shared" si="259"/>
        <v>#N/A</v>
      </c>
      <c r="IC342" s="235" t="e">
        <f t="shared" si="260"/>
        <v>#N/A</v>
      </c>
      <c r="IE342" s="342">
        <v>328</v>
      </c>
      <c r="IF342" s="262" t="e">
        <f t="shared" si="261"/>
        <v>#N/A</v>
      </c>
      <c r="IG342" s="262" t="e">
        <f t="shared" si="262"/>
        <v>#N/A</v>
      </c>
      <c r="IH342" s="379"/>
      <c r="II342" s="379"/>
      <c r="IJ342" s="262" t="e">
        <f t="shared" si="263"/>
        <v>#N/A</v>
      </c>
      <c r="IK342" s="262" t="e">
        <f t="shared" si="264"/>
        <v>#N/A</v>
      </c>
      <c r="IL342" s="379"/>
      <c r="IM342" s="379"/>
      <c r="IN342" s="262" t="e">
        <f t="shared" si="265"/>
        <v>#N/A</v>
      </c>
      <c r="IO342" s="262" t="e">
        <f t="shared" si="266"/>
        <v>#N/A</v>
      </c>
      <c r="IP342" s="379"/>
      <c r="IQ342" s="379"/>
      <c r="IR342" s="262" t="e">
        <f t="shared" si="267"/>
        <v>#N/A</v>
      </c>
      <c r="IS342" s="262" t="e">
        <f t="shared" si="268"/>
        <v>#N/A</v>
      </c>
      <c r="IT342" s="379"/>
      <c r="IU342" s="379"/>
      <c r="IV342" s="262" t="e">
        <f t="shared" si="269"/>
        <v>#N/A</v>
      </c>
      <c r="IW342" s="262" t="e">
        <f t="shared" si="270"/>
        <v>#N/A</v>
      </c>
      <c r="JN342" s="261" t="e">
        <f t="shared" si="271"/>
        <v>#N/A</v>
      </c>
      <c r="JO342" s="261" t="e">
        <f t="shared" si="272"/>
        <v>#N/A</v>
      </c>
      <c r="JR342" s="261" t="e">
        <f t="shared" si="277"/>
        <v>#N/A</v>
      </c>
      <c r="JS342" s="261" t="e">
        <f t="shared" si="278"/>
        <v>#N/A</v>
      </c>
      <c r="JV342" s="261" t="e">
        <f t="shared" si="273"/>
        <v>#N/A</v>
      </c>
      <c r="JW342" s="261" t="e">
        <f t="shared" si="274"/>
        <v>#N/A</v>
      </c>
      <c r="PS342" s="342">
        <v>328</v>
      </c>
      <c r="PT342" s="261" t="e">
        <f t="shared" si="275"/>
        <v>#N/A</v>
      </c>
      <c r="PU342" s="261" t="e">
        <f t="shared" si="276"/>
        <v>#N/A</v>
      </c>
    </row>
    <row r="343" spans="219:437" x14ac:dyDescent="0.5">
      <c r="HK343" s="342">
        <v>329</v>
      </c>
      <c r="HL343" s="235" t="e">
        <f t="shared" si="251"/>
        <v>#N/A</v>
      </c>
      <c r="HM343" s="235" t="e">
        <f t="shared" si="252"/>
        <v>#N/A</v>
      </c>
      <c r="HP343" s="235" t="e">
        <f t="shared" si="253"/>
        <v>#N/A</v>
      </c>
      <c r="HQ343" s="235" t="e">
        <f t="shared" si="254"/>
        <v>#N/A</v>
      </c>
      <c r="HT343" s="235" t="e">
        <f t="shared" si="255"/>
        <v>#N/A</v>
      </c>
      <c r="HU343" s="235" t="e">
        <f t="shared" si="256"/>
        <v>#N/A</v>
      </c>
      <c r="HX343" s="235" t="e">
        <f t="shared" si="257"/>
        <v>#N/A</v>
      </c>
      <c r="HY343" s="235" t="e">
        <f t="shared" si="258"/>
        <v>#N/A</v>
      </c>
      <c r="IB343" s="235" t="e">
        <f t="shared" si="259"/>
        <v>#N/A</v>
      </c>
      <c r="IC343" s="235" t="e">
        <f t="shared" si="260"/>
        <v>#N/A</v>
      </c>
      <c r="IE343" s="342">
        <v>329</v>
      </c>
      <c r="IF343" s="262" t="e">
        <f t="shared" si="261"/>
        <v>#N/A</v>
      </c>
      <c r="IG343" s="262" t="e">
        <f t="shared" si="262"/>
        <v>#N/A</v>
      </c>
      <c r="IH343" s="379"/>
      <c r="II343" s="379"/>
      <c r="IJ343" s="262" t="e">
        <f t="shared" si="263"/>
        <v>#N/A</v>
      </c>
      <c r="IK343" s="262" t="e">
        <f t="shared" si="264"/>
        <v>#N/A</v>
      </c>
      <c r="IL343" s="379"/>
      <c r="IM343" s="379"/>
      <c r="IN343" s="262" t="e">
        <f t="shared" si="265"/>
        <v>#N/A</v>
      </c>
      <c r="IO343" s="262" t="e">
        <f t="shared" si="266"/>
        <v>#N/A</v>
      </c>
      <c r="IP343" s="379"/>
      <c r="IQ343" s="379"/>
      <c r="IR343" s="262" t="e">
        <f t="shared" si="267"/>
        <v>#N/A</v>
      </c>
      <c r="IS343" s="262" t="e">
        <f t="shared" si="268"/>
        <v>#N/A</v>
      </c>
      <c r="IT343" s="379"/>
      <c r="IU343" s="379"/>
      <c r="IV343" s="262" t="e">
        <f t="shared" si="269"/>
        <v>#N/A</v>
      </c>
      <c r="IW343" s="262" t="e">
        <f t="shared" si="270"/>
        <v>#N/A</v>
      </c>
      <c r="JN343" s="261" t="e">
        <f t="shared" si="271"/>
        <v>#N/A</v>
      </c>
      <c r="JO343" s="261" t="e">
        <f t="shared" si="272"/>
        <v>#N/A</v>
      </c>
      <c r="JR343" s="261" t="e">
        <f t="shared" si="277"/>
        <v>#N/A</v>
      </c>
      <c r="JS343" s="261" t="e">
        <f t="shared" si="278"/>
        <v>#N/A</v>
      </c>
      <c r="JV343" s="261" t="e">
        <f t="shared" si="273"/>
        <v>#N/A</v>
      </c>
      <c r="JW343" s="261" t="e">
        <f t="shared" si="274"/>
        <v>#N/A</v>
      </c>
      <c r="PS343" s="342">
        <v>329</v>
      </c>
      <c r="PT343" s="261" t="e">
        <f t="shared" si="275"/>
        <v>#N/A</v>
      </c>
      <c r="PU343" s="261" t="e">
        <f t="shared" si="276"/>
        <v>#N/A</v>
      </c>
    </row>
    <row r="344" spans="219:437" x14ac:dyDescent="0.5">
      <c r="HK344" s="342">
        <v>330</v>
      </c>
      <c r="HL344" s="235" t="e">
        <f t="shared" si="251"/>
        <v>#N/A</v>
      </c>
      <c r="HM344" s="235" t="e">
        <f t="shared" si="252"/>
        <v>#N/A</v>
      </c>
      <c r="HP344" s="235" t="e">
        <f t="shared" si="253"/>
        <v>#N/A</v>
      </c>
      <c r="HQ344" s="235" t="e">
        <f t="shared" si="254"/>
        <v>#N/A</v>
      </c>
      <c r="HT344" s="235" t="e">
        <f t="shared" si="255"/>
        <v>#N/A</v>
      </c>
      <c r="HU344" s="235" t="e">
        <f t="shared" si="256"/>
        <v>#N/A</v>
      </c>
      <c r="HX344" s="235" t="e">
        <f t="shared" si="257"/>
        <v>#N/A</v>
      </c>
      <c r="HY344" s="235" t="e">
        <f t="shared" si="258"/>
        <v>#N/A</v>
      </c>
      <c r="IB344" s="235" t="e">
        <f t="shared" si="259"/>
        <v>#N/A</v>
      </c>
      <c r="IC344" s="235" t="e">
        <f t="shared" si="260"/>
        <v>#N/A</v>
      </c>
      <c r="IE344" s="342">
        <v>330</v>
      </c>
      <c r="IF344" s="262" t="e">
        <f t="shared" si="261"/>
        <v>#N/A</v>
      </c>
      <c r="IG344" s="262" t="e">
        <f t="shared" si="262"/>
        <v>#N/A</v>
      </c>
      <c r="IH344" s="379"/>
      <c r="II344" s="379"/>
      <c r="IJ344" s="262" t="e">
        <f t="shared" si="263"/>
        <v>#N/A</v>
      </c>
      <c r="IK344" s="262" t="e">
        <f t="shared" si="264"/>
        <v>#N/A</v>
      </c>
      <c r="IL344" s="379"/>
      <c r="IM344" s="379"/>
      <c r="IN344" s="262" t="e">
        <f t="shared" si="265"/>
        <v>#N/A</v>
      </c>
      <c r="IO344" s="262" t="e">
        <f t="shared" si="266"/>
        <v>#N/A</v>
      </c>
      <c r="IP344" s="379"/>
      <c r="IQ344" s="379"/>
      <c r="IR344" s="262" t="e">
        <f t="shared" si="267"/>
        <v>#N/A</v>
      </c>
      <c r="IS344" s="262" t="e">
        <f t="shared" si="268"/>
        <v>#N/A</v>
      </c>
      <c r="IT344" s="379"/>
      <c r="IU344" s="379"/>
      <c r="IV344" s="262" t="e">
        <f t="shared" si="269"/>
        <v>#N/A</v>
      </c>
      <c r="IW344" s="262" t="e">
        <f t="shared" si="270"/>
        <v>#N/A</v>
      </c>
      <c r="JN344" s="261" t="e">
        <f t="shared" si="271"/>
        <v>#N/A</v>
      </c>
      <c r="JO344" s="261" t="e">
        <f t="shared" si="272"/>
        <v>#N/A</v>
      </c>
      <c r="JR344" s="261" t="e">
        <f t="shared" si="277"/>
        <v>#N/A</v>
      </c>
      <c r="JS344" s="261" t="e">
        <f t="shared" si="278"/>
        <v>#N/A</v>
      </c>
      <c r="JV344" s="261" t="e">
        <f t="shared" si="273"/>
        <v>#N/A</v>
      </c>
      <c r="JW344" s="261" t="e">
        <f t="shared" si="274"/>
        <v>#N/A</v>
      </c>
      <c r="PS344" s="342">
        <v>330</v>
      </c>
      <c r="PT344" s="261" t="e">
        <f t="shared" si="275"/>
        <v>#N/A</v>
      </c>
      <c r="PU344" s="261" t="e">
        <f t="shared" si="276"/>
        <v>#N/A</v>
      </c>
    </row>
    <row r="345" spans="219:437" x14ac:dyDescent="0.5">
      <c r="HK345" s="342">
        <v>331</v>
      </c>
      <c r="HL345" s="235" t="e">
        <f t="shared" si="251"/>
        <v>#N/A</v>
      </c>
      <c r="HM345" s="235" t="e">
        <f t="shared" si="252"/>
        <v>#N/A</v>
      </c>
      <c r="HP345" s="235" t="e">
        <f t="shared" si="253"/>
        <v>#N/A</v>
      </c>
      <c r="HQ345" s="235" t="e">
        <f t="shared" si="254"/>
        <v>#N/A</v>
      </c>
      <c r="HT345" s="235" t="e">
        <f t="shared" si="255"/>
        <v>#N/A</v>
      </c>
      <c r="HU345" s="235" t="e">
        <f t="shared" si="256"/>
        <v>#N/A</v>
      </c>
      <c r="HX345" s="235" t="e">
        <f t="shared" si="257"/>
        <v>#N/A</v>
      </c>
      <c r="HY345" s="235" t="e">
        <f t="shared" si="258"/>
        <v>#N/A</v>
      </c>
      <c r="IB345" s="235" t="e">
        <f t="shared" si="259"/>
        <v>#N/A</v>
      </c>
      <c r="IC345" s="235" t="e">
        <f t="shared" si="260"/>
        <v>#N/A</v>
      </c>
      <c r="IE345" s="342">
        <v>331</v>
      </c>
      <c r="IF345" s="262" t="e">
        <f t="shared" si="261"/>
        <v>#N/A</v>
      </c>
      <c r="IG345" s="262" t="e">
        <f t="shared" si="262"/>
        <v>#N/A</v>
      </c>
      <c r="IH345" s="379"/>
      <c r="II345" s="379"/>
      <c r="IJ345" s="262" t="e">
        <f t="shared" si="263"/>
        <v>#N/A</v>
      </c>
      <c r="IK345" s="262" t="e">
        <f t="shared" si="264"/>
        <v>#N/A</v>
      </c>
      <c r="IL345" s="379"/>
      <c r="IM345" s="379"/>
      <c r="IN345" s="262" t="e">
        <f t="shared" si="265"/>
        <v>#N/A</v>
      </c>
      <c r="IO345" s="262" t="e">
        <f t="shared" si="266"/>
        <v>#N/A</v>
      </c>
      <c r="IP345" s="379"/>
      <c r="IQ345" s="379"/>
      <c r="IR345" s="262" t="e">
        <f t="shared" si="267"/>
        <v>#N/A</v>
      </c>
      <c r="IS345" s="262" t="e">
        <f t="shared" si="268"/>
        <v>#N/A</v>
      </c>
      <c r="IT345" s="379"/>
      <c r="IU345" s="379"/>
      <c r="IV345" s="262" t="e">
        <f t="shared" si="269"/>
        <v>#N/A</v>
      </c>
      <c r="IW345" s="262" t="e">
        <f t="shared" si="270"/>
        <v>#N/A</v>
      </c>
      <c r="JN345" s="261" t="e">
        <f t="shared" si="271"/>
        <v>#N/A</v>
      </c>
      <c r="JO345" s="261" t="e">
        <f t="shared" si="272"/>
        <v>#N/A</v>
      </c>
      <c r="JR345" s="261" t="e">
        <f t="shared" si="277"/>
        <v>#N/A</v>
      </c>
      <c r="JS345" s="261" t="e">
        <f t="shared" si="278"/>
        <v>#N/A</v>
      </c>
      <c r="JV345" s="261" t="e">
        <f t="shared" si="273"/>
        <v>#N/A</v>
      </c>
      <c r="JW345" s="261" t="e">
        <f t="shared" si="274"/>
        <v>#N/A</v>
      </c>
      <c r="PS345" s="342">
        <v>331</v>
      </c>
      <c r="PT345" s="261" t="e">
        <f t="shared" si="275"/>
        <v>#N/A</v>
      </c>
      <c r="PU345" s="261" t="e">
        <f t="shared" si="276"/>
        <v>#N/A</v>
      </c>
    </row>
    <row r="346" spans="219:437" x14ac:dyDescent="0.5">
      <c r="HK346" s="342">
        <v>332</v>
      </c>
      <c r="HL346" s="235" t="e">
        <f t="shared" si="251"/>
        <v>#N/A</v>
      </c>
      <c r="HM346" s="235" t="e">
        <f t="shared" si="252"/>
        <v>#N/A</v>
      </c>
      <c r="HP346" s="235" t="e">
        <f t="shared" si="253"/>
        <v>#N/A</v>
      </c>
      <c r="HQ346" s="235" t="e">
        <f t="shared" si="254"/>
        <v>#N/A</v>
      </c>
      <c r="HT346" s="235" t="e">
        <f t="shared" si="255"/>
        <v>#N/A</v>
      </c>
      <c r="HU346" s="235" t="e">
        <f t="shared" si="256"/>
        <v>#N/A</v>
      </c>
      <c r="HX346" s="235" t="e">
        <f t="shared" si="257"/>
        <v>#N/A</v>
      </c>
      <c r="HY346" s="235" t="e">
        <f t="shared" si="258"/>
        <v>#N/A</v>
      </c>
      <c r="IB346" s="235" t="e">
        <f t="shared" si="259"/>
        <v>#N/A</v>
      </c>
      <c r="IC346" s="235" t="e">
        <f t="shared" si="260"/>
        <v>#N/A</v>
      </c>
      <c r="IE346" s="342">
        <v>332</v>
      </c>
      <c r="IF346" s="262" t="e">
        <f t="shared" si="261"/>
        <v>#N/A</v>
      </c>
      <c r="IG346" s="262" t="e">
        <f t="shared" si="262"/>
        <v>#N/A</v>
      </c>
      <c r="IH346" s="379"/>
      <c r="II346" s="379"/>
      <c r="IJ346" s="262" t="e">
        <f t="shared" si="263"/>
        <v>#N/A</v>
      </c>
      <c r="IK346" s="262" t="e">
        <f t="shared" si="264"/>
        <v>#N/A</v>
      </c>
      <c r="IL346" s="379"/>
      <c r="IM346" s="379"/>
      <c r="IN346" s="262" t="e">
        <f t="shared" si="265"/>
        <v>#N/A</v>
      </c>
      <c r="IO346" s="262" t="e">
        <f t="shared" si="266"/>
        <v>#N/A</v>
      </c>
      <c r="IP346" s="379"/>
      <c r="IQ346" s="379"/>
      <c r="IR346" s="262" t="e">
        <f t="shared" si="267"/>
        <v>#N/A</v>
      </c>
      <c r="IS346" s="262" t="e">
        <f t="shared" si="268"/>
        <v>#N/A</v>
      </c>
      <c r="IT346" s="379"/>
      <c r="IU346" s="379"/>
      <c r="IV346" s="262" t="e">
        <f t="shared" si="269"/>
        <v>#N/A</v>
      </c>
      <c r="IW346" s="262" t="e">
        <f t="shared" si="270"/>
        <v>#N/A</v>
      </c>
      <c r="JN346" s="261" t="e">
        <f t="shared" si="271"/>
        <v>#N/A</v>
      </c>
      <c r="JO346" s="261" t="e">
        <f t="shared" si="272"/>
        <v>#N/A</v>
      </c>
      <c r="JR346" s="261" t="e">
        <f t="shared" si="277"/>
        <v>#N/A</v>
      </c>
      <c r="JS346" s="261" t="e">
        <f t="shared" si="278"/>
        <v>#N/A</v>
      </c>
      <c r="JV346" s="261" t="e">
        <f t="shared" si="273"/>
        <v>#N/A</v>
      </c>
      <c r="JW346" s="261" t="e">
        <f t="shared" si="274"/>
        <v>#N/A</v>
      </c>
      <c r="PS346" s="342">
        <v>332</v>
      </c>
      <c r="PT346" s="261" t="e">
        <f t="shared" si="275"/>
        <v>#N/A</v>
      </c>
      <c r="PU346" s="261" t="e">
        <f t="shared" si="276"/>
        <v>#N/A</v>
      </c>
    </row>
    <row r="347" spans="219:437" x14ac:dyDescent="0.5">
      <c r="HK347" s="342">
        <v>333</v>
      </c>
      <c r="HL347" s="235" t="e">
        <f t="shared" si="251"/>
        <v>#N/A</v>
      </c>
      <c r="HM347" s="235" t="e">
        <f t="shared" si="252"/>
        <v>#N/A</v>
      </c>
      <c r="HP347" s="235" t="e">
        <f t="shared" si="253"/>
        <v>#N/A</v>
      </c>
      <c r="HQ347" s="235" t="e">
        <f t="shared" si="254"/>
        <v>#N/A</v>
      </c>
      <c r="HT347" s="235" t="e">
        <f t="shared" si="255"/>
        <v>#N/A</v>
      </c>
      <c r="HU347" s="235" t="e">
        <f t="shared" si="256"/>
        <v>#N/A</v>
      </c>
      <c r="HX347" s="235" t="e">
        <f t="shared" si="257"/>
        <v>#N/A</v>
      </c>
      <c r="HY347" s="235" t="e">
        <f t="shared" si="258"/>
        <v>#N/A</v>
      </c>
      <c r="IB347" s="235" t="e">
        <f t="shared" si="259"/>
        <v>#N/A</v>
      </c>
      <c r="IC347" s="235" t="e">
        <f t="shared" si="260"/>
        <v>#N/A</v>
      </c>
      <c r="IE347" s="342">
        <v>333</v>
      </c>
      <c r="IF347" s="262" t="e">
        <f t="shared" si="261"/>
        <v>#N/A</v>
      </c>
      <c r="IG347" s="262" t="e">
        <f t="shared" si="262"/>
        <v>#N/A</v>
      </c>
      <c r="IH347" s="379"/>
      <c r="II347" s="379"/>
      <c r="IJ347" s="262" t="e">
        <f t="shared" si="263"/>
        <v>#N/A</v>
      </c>
      <c r="IK347" s="262" t="e">
        <f t="shared" si="264"/>
        <v>#N/A</v>
      </c>
      <c r="IL347" s="379"/>
      <c r="IM347" s="379"/>
      <c r="IN347" s="262" t="e">
        <f t="shared" si="265"/>
        <v>#N/A</v>
      </c>
      <c r="IO347" s="262" t="e">
        <f t="shared" si="266"/>
        <v>#N/A</v>
      </c>
      <c r="IP347" s="379"/>
      <c r="IQ347" s="379"/>
      <c r="IR347" s="262" t="e">
        <f t="shared" si="267"/>
        <v>#N/A</v>
      </c>
      <c r="IS347" s="262" t="e">
        <f t="shared" si="268"/>
        <v>#N/A</v>
      </c>
      <c r="IT347" s="379"/>
      <c r="IU347" s="379"/>
      <c r="IV347" s="262" t="e">
        <f t="shared" si="269"/>
        <v>#N/A</v>
      </c>
      <c r="IW347" s="262" t="e">
        <f t="shared" si="270"/>
        <v>#N/A</v>
      </c>
      <c r="JN347" s="261" t="e">
        <f t="shared" si="271"/>
        <v>#N/A</v>
      </c>
      <c r="JO347" s="261" t="e">
        <f t="shared" si="272"/>
        <v>#N/A</v>
      </c>
      <c r="JR347" s="261" t="e">
        <f t="shared" si="277"/>
        <v>#N/A</v>
      </c>
      <c r="JS347" s="261" t="e">
        <f t="shared" si="278"/>
        <v>#N/A</v>
      </c>
      <c r="JV347" s="261" t="e">
        <f t="shared" si="273"/>
        <v>#N/A</v>
      </c>
      <c r="JW347" s="261" t="e">
        <f t="shared" si="274"/>
        <v>#N/A</v>
      </c>
      <c r="PS347" s="342">
        <v>333</v>
      </c>
      <c r="PT347" s="261" t="e">
        <f t="shared" si="275"/>
        <v>#N/A</v>
      </c>
      <c r="PU347" s="261" t="e">
        <f t="shared" si="276"/>
        <v>#N/A</v>
      </c>
    </row>
    <row r="348" spans="219:437" x14ac:dyDescent="0.5">
      <c r="HK348" s="342">
        <v>334</v>
      </c>
      <c r="HL348" s="235" t="e">
        <f t="shared" si="251"/>
        <v>#N/A</v>
      </c>
      <c r="HM348" s="235" t="e">
        <f t="shared" si="252"/>
        <v>#N/A</v>
      </c>
      <c r="HP348" s="235" t="e">
        <f t="shared" si="253"/>
        <v>#N/A</v>
      </c>
      <c r="HQ348" s="235" t="e">
        <f t="shared" si="254"/>
        <v>#N/A</v>
      </c>
      <c r="HT348" s="235" t="e">
        <f t="shared" si="255"/>
        <v>#N/A</v>
      </c>
      <c r="HU348" s="235" t="e">
        <f t="shared" si="256"/>
        <v>#N/A</v>
      </c>
      <c r="HX348" s="235" t="e">
        <f t="shared" si="257"/>
        <v>#N/A</v>
      </c>
      <c r="HY348" s="235" t="e">
        <f t="shared" si="258"/>
        <v>#N/A</v>
      </c>
      <c r="IB348" s="235" t="e">
        <f t="shared" si="259"/>
        <v>#N/A</v>
      </c>
      <c r="IC348" s="235" t="e">
        <f t="shared" si="260"/>
        <v>#N/A</v>
      </c>
      <c r="IE348" s="342">
        <v>334</v>
      </c>
      <c r="IF348" s="262" t="e">
        <f t="shared" si="261"/>
        <v>#N/A</v>
      </c>
      <c r="IG348" s="262" t="e">
        <f t="shared" si="262"/>
        <v>#N/A</v>
      </c>
      <c r="IH348" s="379"/>
      <c r="II348" s="379"/>
      <c r="IJ348" s="262" t="e">
        <f t="shared" si="263"/>
        <v>#N/A</v>
      </c>
      <c r="IK348" s="262" t="e">
        <f t="shared" si="264"/>
        <v>#N/A</v>
      </c>
      <c r="IL348" s="379"/>
      <c r="IM348" s="379"/>
      <c r="IN348" s="262" t="e">
        <f t="shared" si="265"/>
        <v>#N/A</v>
      </c>
      <c r="IO348" s="262" t="e">
        <f t="shared" si="266"/>
        <v>#N/A</v>
      </c>
      <c r="IP348" s="379"/>
      <c r="IQ348" s="379"/>
      <c r="IR348" s="262" t="e">
        <f t="shared" si="267"/>
        <v>#N/A</v>
      </c>
      <c r="IS348" s="262" t="e">
        <f t="shared" si="268"/>
        <v>#N/A</v>
      </c>
      <c r="IT348" s="379"/>
      <c r="IU348" s="379"/>
      <c r="IV348" s="262" t="e">
        <f t="shared" si="269"/>
        <v>#N/A</v>
      </c>
      <c r="IW348" s="262" t="e">
        <f t="shared" si="270"/>
        <v>#N/A</v>
      </c>
      <c r="JN348" s="261" t="e">
        <f t="shared" si="271"/>
        <v>#N/A</v>
      </c>
      <c r="JO348" s="261" t="e">
        <f t="shared" si="272"/>
        <v>#N/A</v>
      </c>
      <c r="JR348" s="261" t="e">
        <f t="shared" si="277"/>
        <v>#N/A</v>
      </c>
      <c r="JS348" s="261" t="e">
        <f t="shared" si="278"/>
        <v>#N/A</v>
      </c>
      <c r="JV348" s="261" t="e">
        <f t="shared" si="273"/>
        <v>#N/A</v>
      </c>
      <c r="JW348" s="261" t="e">
        <f t="shared" si="274"/>
        <v>#N/A</v>
      </c>
      <c r="PS348" s="342">
        <v>334</v>
      </c>
      <c r="PT348" s="261" t="e">
        <f t="shared" si="275"/>
        <v>#N/A</v>
      </c>
      <c r="PU348" s="261" t="e">
        <f t="shared" si="276"/>
        <v>#N/A</v>
      </c>
    </row>
    <row r="349" spans="219:437" x14ac:dyDescent="0.5">
      <c r="HK349" s="342">
        <v>335</v>
      </c>
      <c r="HL349" s="235" t="e">
        <f t="shared" si="251"/>
        <v>#N/A</v>
      </c>
      <c r="HM349" s="235" t="e">
        <f t="shared" si="252"/>
        <v>#N/A</v>
      </c>
      <c r="HP349" s="235" t="e">
        <f t="shared" si="253"/>
        <v>#N/A</v>
      </c>
      <c r="HQ349" s="235" t="e">
        <f t="shared" si="254"/>
        <v>#N/A</v>
      </c>
      <c r="HT349" s="235" t="e">
        <f t="shared" si="255"/>
        <v>#N/A</v>
      </c>
      <c r="HU349" s="235" t="e">
        <f t="shared" si="256"/>
        <v>#N/A</v>
      </c>
      <c r="HX349" s="235" t="e">
        <f t="shared" si="257"/>
        <v>#N/A</v>
      </c>
      <c r="HY349" s="235" t="e">
        <f t="shared" si="258"/>
        <v>#N/A</v>
      </c>
      <c r="IB349" s="235" t="e">
        <f t="shared" si="259"/>
        <v>#N/A</v>
      </c>
      <c r="IC349" s="235" t="e">
        <f t="shared" si="260"/>
        <v>#N/A</v>
      </c>
      <c r="IE349" s="342">
        <v>335</v>
      </c>
      <c r="IF349" s="262" t="e">
        <f t="shared" si="261"/>
        <v>#N/A</v>
      </c>
      <c r="IG349" s="262" t="e">
        <f t="shared" si="262"/>
        <v>#N/A</v>
      </c>
      <c r="IH349" s="379"/>
      <c r="II349" s="379"/>
      <c r="IJ349" s="262" t="e">
        <f t="shared" si="263"/>
        <v>#N/A</v>
      </c>
      <c r="IK349" s="262" t="e">
        <f t="shared" si="264"/>
        <v>#N/A</v>
      </c>
      <c r="IL349" s="379"/>
      <c r="IM349" s="379"/>
      <c r="IN349" s="262" t="e">
        <f t="shared" si="265"/>
        <v>#N/A</v>
      </c>
      <c r="IO349" s="262" t="e">
        <f t="shared" si="266"/>
        <v>#N/A</v>
      </c>
      <c r="IP349" s="379"/>
      <c r="IQ349" s="379"/>
      <c r="IR349" s="262" t="e">
        <f t="shared" si="267"/>
        <v>#N/A</v>
      </c>
      <c r="IS349" s="262" t="e">
        <f t="shared" si="268"/>
        <v>#N/A</v>
      </c>
      <c r="IT349" s="379"/>
      <c r="IU349" s="379"/>
      <c r="IV349" s="262" t="e">
        <f t="shared" si="269"/>
        <v>#N/A</v>
      </c>
      <c r="IW349" s="262" t="e">
        <f t="shared" si="270"/>
        <v>#N/A</v>
      </c>
      <c r="JN349" s="261" t="e">
        <f t="shared" si="271"/>
        <v>#N/A</v>
      </c>
      <c r="JO349" s="261" t="e">
        <f t="shared" si="272"/>
        <v>#N/A</v>
      </c>
      <c r="JR349" s="261" t="e">
        <f t="shared" si="277"/>
        <v>#N/A</v>
      </c>
      <c r="JS349" s="261" t="e">
        <f t="shared" si="278"/>
        <v>#N/A</v>
      </c>
      <c r="JV349" s="261" t="e">
        <f t="shared" si="273"/>
        <v>#N/A</v>
      </c>
      <c r="JW349" s="261" t="e">
        <f t="shared" si="274"/>
        <v>#N/A</v>
      </c>
      <c r="PS349" s="342">
        <v>335</v>
      </c>
      <c r="PT349" s="261" t="e">
        <f t="shared" si="275"/>
        <v>#N/A</v>
      </c>
      <c r="PU349" s="261" t="e">
        <f t="shared" si="276"/>
        <v>#N/A</v>
      </c>
    </row>
    <row r="350" spans="219:437" x14ac:dyDescent="0.5">
      <c r="HK350" s="342">
        <v>336</v>
      </c>
      <c r="HL350" s="235" t="e">
        <f t="shared" si="251"/>
        <v>#N/A</v>
      </c>
      <c r="HM350" s="235" t="e">
        <f t="shared" si="252"/>
        <v>#N/A</v>
      </c>
      <c r="HP350" s="235" t="e">
        <f t="shared" si="253"/>
        <v>#N/A</v>
      </c>
      <c r="HQ350" s="235" t="e">
        <f t="shared" si="254"/>
        <v>#N/A</v>
      </c>
      <c r="HT350" s="235" t="e">
        <f t="shared" si="255"/>
        <v>#N/A</v>
      </c>
      <c r="HU350" s="235" t="e">
        <f t="shared" si="256"/>
        <v>#N/A</v>
      </c>
      <c r="HX350" s="235" t="e">
        <f t="shared" si="257"/>
        <v>#N/A</v>
      </c>
      <c r="HY350" s="235" t="e">
        <f t="shared" si="258"/>
        <v>#N/A</v>
      </c>
      <c r="IB350" s="235" t="e">
        <f t="shared" si="259"/>
        <v>#N/A</v>
      </c>
      <c r="IC350" s="235" t="e">
        <f t="shared" si="260"/>
        <v>#N/A</v>
      </c>
      <c r="IE350" s="342">
        <v>336</v>
      </c>
      <c r="IF350" s="262" t="e">
        <f t="shared" si="261"/>
        <v>#N/A</v>
      </c>
      <c r="IG350" s="262" t="e">
        <f t="shared" si="262"/>
        <v>#N/A</v>
      </c>
      <c r="IH350" s="379"/>
      <c r="II350" s="379"/>
      <c r="IJ350" s="262" t="e">
        <f t="shared" si="263"/>
        <v>#N/A</v>
      </c>
      <c r="IK350" s="262" t="e">
        <f t="shared" si="264"/>
        <v>#N/A</v>
      </c>
      <c r="IL350" s="379"/>
      <c r="IM350" s="379"/>
      <c r="IN350" s="262" t="e">
        <f t="shared" si="265"/>
        <v>#N/A</v>
      </c>
      <c r="IO350" s="262" t="e">
        <f t="shared" si="266"/>
        <v>#N/A</v>
      </c>
      <c r="IP350" s="379"/>
      <c r="IQ350" s="379"/>
      <c r="IR350" s="262" t="e">
        <f t="shared" si="267"/>
        <v>#N/A</v>
      </c>
      <c r="IS350" s="262" t="e">
        <f t="shared" si="268"/>
        <v>#N/A</v>
      </c>
      <c r="IT350" s="379"/>
      <c r="IU350" s="379"/>
      <c r="IV350" s="262" t="e">
        <f t="shared" si="269"/>
        <v>#N/A</v>
      </c>
      <c r="IW350" s="262" t="e">
        <f t="shared" si="270"/>
        <v>#N/A</v>
      </c>
      <c r="JN350" s="261" t="e">
        <f t="shared" si="271"/>
        <v>#N/A</v>
      </c>
      <c r="JO350" s="261" t="e">
        <f t="shared" si="272"/>
        <v>#N/A</v>
      </c>
      <c r="JR350" s="261" t="e">
        <f t="shared" si="277"/>
        <v>#N/A</v>
      </c>
      <c r="JS350" s="261" t="e">
        <f t="shared" si="278"/>
        <v>#N/A</v>
      </c>
      <c r="JV350" s="261" t="e">
        <f t="shared" si="273"/>
        <v>#N/A</v>
      </c>
      <c r="JW350" s="261" t="e">
        <f t="shared" si="274"/>
        <v>#N/A</v>
      </c>
      <c r="PS350" s="342">
        <v>336</v>
      </c>
      <c r="PT350" s="261" t="e">
        <f t="shared" si="275"/>
        <v>#N/A</v>
      </c>
      <c r="PU350" s="261" t="e">
        <f t="shared" si="276"/>
        <v>#N/A</v>
      </c>
    </row>
    <row r="351" spans="219:437" x14ac:dyDescent="0.5">
      <c r="HK351" s="342">
        <v>337</v>
      </c>
      <c r="HL351" s="235" t="e">
        <f t="shared" si="251"/>
        <v>#N/A</v>
      </c>
      <c r="HM351" s="235" t="e">
        <f t="shared" si="252"/>
        <v>#N/A</v>
      </c>
      <c r="HP351" s="235" t="e">
        <f t="shared" si="253"/>
        <v>#N/A</v>
      </c>
      <c r="HQ351" s="235" t="e">
        <f t="shared" si="254"/>
        <v>#N/A</v>
      </c>
      <c r="HT351" s="235" t="e">
        <f t="shared" si="255"/>
        <v>#N/A</v>
      </c>
      <c r="HU351" s="235" t="e">
        <f t="shared" si="256"/>
        <v>#N/A</v>
      </c>
      <c r="HX351" s="235" t="e">
        <f t="shared" si="257"/>
        <v>#N/A</v>
      </c>
      <c r="HY351" s="235" t="e">
        <f t="shared" si="258"/>
        <v>#N/A</v>
      </c>
      <c r="IB351" s="235" t="e">
        <f t="shared" si="259"/>
        <v>#N/A</v>
      </c>
      <c r="IC351" s="235" t="e">
        <f t="shared" si="260"/>
        <v>#N/A</v>
      </c>
      <c r="IE351" s="342">
        <v>337</v>
      </c>
      <c r="IF351" s="262" t="e">
        <f t="shared" si="261"/>
        <v>#N/A</v>
      </c>
      <c r="IG351" s="262" t="e">
        <f t="shared" si="262"/>
        <v>#N/A</v>
      </c>
      <c r="IH351" s="379"/>
      <c r="II351" s="379"/>
      <c r="IJ351" s="262" t="e">
        <f t="shared" si="263"/>
        <v>#N/A</v>
      </c>
      <c r="IK351" s="262" t="e">
        <f t="shared" si="264"/>
        <v>#N/A</v>
      </c>
      <c r="IL351" s="379"/>
      <c r="IM351" s="379"/>
      <c r="IN351" s="262" t="e">
        <f t="shared" si="265"/>
        <v>#N/A</v>
      </c>
      <c r="IO351" s="262" t="e">
        <f t="shared" si="266"/>
        <v>#N/A</v>
      </c>
      <c r="IP351" s="379"/>
      <c r="IQ351" s="379"/>
      <c r="IR351" s="262" t="e">
        <f t="shared" si="267"/>
        <v>#N/A</v>
      </c>
      <c r="IS351" s="262" t="e">
        <f t="shared" si="268"/>
        <v>#N/A</v>
      </c>
      <c r="IT351" s="379"/>
      <c r="IU351" s="379"/>
      <c r="IV351" s="262" t="e">
        <f t="shared" si="269"/>
        <v>#N/A</v>
      </c>
      <c r="IW351" s="262" t="e">
        <f t="shared" si="270"/>
        <v>#N/A</v>
      </c>
      <c r="JN351" s="261" t="e">
        <f t="shared" si="271"/>
        <v>#N/A</v>
      </c>
      <c r="JO351" s="261" t="e">
        <f t="shared" si="272"/>
        <v>#N/A</v>
      </c>
      <c r="JR351" s="261" t="e">
        <f t="shared" si="277"/>
        <v>#N/A</v>
      </c>
      <c r="JS351" s="261" t="e">
        <f t="shared" si="278"/>
        <v>#N/A</v>
      </c>
      <c r="JV351" s="261" t="e">
        <f t="shared" si="273"/>
        <v>#N/A</v>
      </c>
      <c r="JW351" s="261" t="e">
        <f t="shared" si="274"/>
        <v>#N/A</v>
      </c>
      <c r="PS351" s="342">
        <v>337</v>
      </c>
      <c r="PT351" s="261" t="e">
        <f t="shared" si="275"/>
        <v>#N/A</v>
      </c>
      <c r="PU351" s="261" t="e">
        <f t="shared" si="276"/>
        <v>#N/A</v>
      </c>
    </row>
    <row r="352" spans="219:437" x14ac:dyDescent="0.5">
      <c r="HK352" s="342">
        <v>338</v>
      </c>
      <c r="HL352" s="235" t="e">
        <f t="shared" si="251"/>
        <v>#N/A</v>
      </c>
      <c r="HM352" s="235" t="e">
        <f t="shared" si="252"/>
        <v>#N/A</v>
      </c>
      <c r="HP352" s="235" t="e">
        <f t="shared" si="253"/>
        <v>#N/A</v>
      </c>
      <c r="HQ352" s="235" t="e">
        <f t="shared" si="254"/>
        <v>#N/A</v>
      </c>
      <c r="HT352" s="235" t="e">
        <f t="shared" si="255"/>
        <v>#N/A</v>
      </c>
      <c r="HU352" s="235" t="e">
        <f t="shared" si="256"/>
        <v>#N/A</v>
      </c>
      <c r="HX352" s="235" t="e">
        <f t="shared" si="257"/>
        <v>#N/A</v>
      </c>
      <c r="HY352" s="235" t="e">
        <f t="shared" si="258"/>
        <v>#N/A</v>
      </c>
      <c r="IB352" s="235" t="e">
        <f t="shared" si="259"/>
        <v>#N/A</v>
      </c>
      <c r="IC352" s="235" t="e">
        <f t="shared" si="260"/>
        <v>#N/A</v>
      </c>
      <c r="IE352" s="342">
        <v>338</v>
      </c>
      <c r="IF352" s="262" t="e">
        <f t="shared" si="261"/>
        <v>#N/A</v>
      </c>
      <c r="IG352" s="262" t="e">
        <f t="shared" si="262"/>
        <v>#N/A</v>
      </c>
      <c r="IH352" s="379"/>
      <c r="II352" s="379"/>
      <c r="IJ352" s="262" t="e">
        <f t="shared" si="263"/>
        <v>#N/A</v>
      </c>
      <c r="IK352" s="262" t="e">
        <f t="shared" si="264"/>
        <v>#N/A</v>
      </c>
      <c r="IL352" s="379"/>
      <c r="IM352" s="379"/>
      <c r="IN352" s="262" t="e">
        <f t="shared" si="265"/>
        <v>#N/A</v>
      </c>
      <c r="IO352" s="262" t="e">
        <f t="shared" si="266"/>
        <v>#N/A</v>
      </c>
      <c r="IP352" s="379"/>
      <c r="IQ352" s="379"/>
      <c r="IR352" s="262" t="e">
        <f t="shared" si="267"/>
        <v>#N/A</v>
      </c>
      <c r="IS352" s="262" t="e">
        <f t="shared" si="268"/>
        <v>#N/A</v>
      </c>
      <c r="IT352" s="379"/>
      <c r="IU352" s="379"/>
      <c r="IV352" s="262" t="e">
        <f t="shared" si="269"/>
        <v>#N/A</v>
      </c>
      <c r="IW352" s="262" t="e">
        <f t="shared" si="270"/>
        <v>#N/A</v>
      </c>
      <c r="JN352" s="261" t="e">
        <f t="shared" si="271"/>
        <v>#N/A</v>
      </c>
      <c r="JO352" s="261" t="e">
        <f t="shared" si="272"/>
        <v>#N/A</v>
      </c>
      <c r="JR352" s="261" t="e">
        <f t="shared" si="277"/>
        <v>#N/A</v>
      </c>
      <c r="JS352" s="261" t="e">
        <f t="shared" si="278"/>
        <v>#N/A</v>
      </c>
      <c r="JV352" s="261" t="e">
        <f t="shared" si="273"/>
        <v>#N/A</v>
      </c>
      <c r="JW352" s="261" t="e">
        <f t="shared" si="274"/>
        <v>#N/A</v>
      </c>
      <c r="PS352" s="342">
        <v>338</v>
      </c>
      <c r="PT352" s="261" t="e">
        <f t="shared" si="275"/>
        <v>#N/A</v>
      </c>
      <c r="PU352" s="261" t="e">
        <f t="shared" si="276"/>
        <v>#N/A</v>
      </c>
    </row>
    <row r="353" spans="219:437" x14ac:dyDescent="0.5">
      <c r="HK353" s="342">
        <v>339</v>
      </c>
      <c r="HL353" s="235" t="e">
        <f t="shared" si="251"/>
        <v>#N/A</v>
      </c>
      <c r="HM353" s="235" t="e">
        <f t="shared" si="252"/>
        <v>#N/A</v>
      </c>
      <c r="HP353" s="235" t="e">
        <f t="shared" si="253"/>
        <v>#N/A</v>
      </c>
      <c r="HQ353" s="235" t="e">
        <f t="shared" si="254"/>
        <v>#N/A</v>
      </c>
      <c r="HT353" s="235" t="e">
        <f t="shared" si="255"/>
        <v>#N/A</v>
      </c>
      <c r="HU353" s="235" t="e">
        <f t="shared" si="256"/>
        <v>#N/A</v>
      </c>
      <c r="HX353" s="235" t="e">
        <f t="shared" si="257"/>
        <v>#N/A</v>
      </c>
      <c r="HY353" s="235" t="e">
        <f t="shared" si="258"/>
        <v>#N/A</v>
      </c>
      <c r="IB353" s="235" t="e">
        <f t="shared" si="259"/>
        <v>#N/A</v>
      </c>
      <c r="IC353" s="235" t="e">
        <f t="shared" si="260"/>
        <v>#N/A</v>
      </c>
      <c r="IE353" s="342">
        <v>339</v>
      </c>
      <c r="IF353" s="262" t="e">
        <f t="shared" si="261"/>
        <v>#N/A</v>
      </c>
      <c r="IG353" s="262" t="e">
        <f t="shared" si="262"/>
        <v>#N/A</v>
      </c>
      <c r="IH353" s="379"/>
      <c r="II353" s="379"/>
      <c r="IJ353" s="262" t="e">
        <f t="shared" si="263"/>
        <v>#N/A</v>
      </c>
      <c r="IK353" s="262" t="e">
        <f t="shared" si="264"/>
        <v>#N/A</v>
      </c>
      <c r="IL353" s="379"/>
      <c r="IM353" s="379"/>
      <c r="IN353" s="262" t="e">
        <f t="shared" si="265"/>
        <v>#N/A</v>
      </c>
      <c r="IO353" s="262" t="e">
        <f t="shared" si="266"/>
        <v>#N/A</v>
      </c>
      <c r="IP353" s="379"/>
      <c r="IQ353" s="379"/>
      <c r="IR353" s="262" t="e">
        <f t="shared" si="267"/>
        <v>#N/A</v>
      </c>
      <c r="IS353" s="262" t="e">
        <f t="shared" si="268"/>
        <v>#N/A</v>
      </c>
      <c r="IT353" s="379"/>
      <c r="IU353" s="379"/>
      <c r="IV353" s="262" t="e">
        <f t="shared" si="269"/>
        <v>#N/A</v>
      </c>
      <c r="IW353" s="262" t="e">
        <f t="shared" si="270"/>
        <v>#N/A</v>
      </c>
      <c r="JN353" s="261" t="e">
        <f t="shared" si="271"/>
        <v>#N/A</v>
      </c>
      <c r="JO353" s="261" t="e">
        <f t="shared" si="272"/>
        <v>#N/A</v>
      </c>
      <c r="JR353" s="261" t="e">
        <f t="shared" si="277"/>
        <v>#N/A</v>
      </c>
      <c r="JS353" s="261" t="e">
        <f t="shared" si="278"/>
        <v>#N/A</v>
      </c>
      <c r="JV353" s="261" t="e">
        <f t="shared" si="273"/>
        <v>#N/A</v>
      </c>
      <c r="JW353" s="261" t="e">
        <f t="shared" si="274"/>
        <v>#N/A</v>
      </c>
      <c r="PS353" s="342">
        <v>339</v>
      </c>
      <c r="PT353" s="261" t="e">
        <f t="shared" si="275"/>
        <v>#N/A</v>
      </c>
      <c r="PU353" s="261" t="e">
        <f t="shared" si="276"/>
        <v>#N/A</v>
      </c>
    </row>
    <row r="354" spans="219:437" x14ac:dyDescent="0.5">
      <c r="HK354" s="342">
        <v>340</v>
      </c>
      <c r="HL354" s="235" t="e">
        <f t="shared" si="251"/>
        <v>#N/A</v>
      </c>
      <c r="HM354" s="235" t="e">
        <f t="shared" si="252"/>
        <v>#N/A</v>
      </c>
      <c r="HP354" s="235" t="e">
        <f t="shared" si="253"/>
        <v>#N/A</v>
      </c>
      <c r="HQ354" s="235" t="e">
        <f t="shared" si="254"/>
        <v>#N/A</v>
      </c>
      <c r="HT354" s="235" t="e">
        <f t="shared" si="255"/>
        <v>#N/A</v>
      </c>
      <c r="HU354" s="235" t="e">
        <f t="shared" si="256"/>
        <v>#N/A</v>
      </c>
      <c r="HX354" s="235" t="e">
        <f t="shared" si="257"/>
        <v>#N/A</v>
      </c>
      <c r="HY354" s="235" t="e">
        <f t="shared" si="258"/>
        <v>#N/A</v>
      </c>
      <c r="IB354" s="235" t="e">
        <f t="shared" si="259"/>
        <v>#N/A</v>
      </c>
      <c r="IC354" s="235" t="e">
        <f t="shared" si="260"/>
        <v>#N/A</v>
      </c>
      <c r="IE354" s="342">
        <v>340</v>
      </c>
      <c r="IF354" s="262" t="e">
        <f t="shared" si="261"/>
        <v>#N/A</v>
      </c>
      <c r="IG354" s="262" t="e">
        <f t="shared" si="262"/>
        <v>#N/A</v>
      </c>
      <c r="IH354" s="379"/>
      <c r="II354" s="379"/>
      <c r="IJ354" s="262" t="e">
        <f t="shared" si="263"/>
        <v>#N/A</v>
      </c>
      <c r="IK354" s="262" t="e">
        <f t="shared" si="264"/>
        <v>#N/A</v>
      </c>
      <c r="IL354" s="379"/>
      <c r="IM354" s="379"/>
      <c r="IN354" s="262" t="e">
        <f t="shared" si="265"/>
        <v>#N/A</v>
      </c>
      <c r="IO354" s="262" t="e">
        <f t="shared" si="266"/>
        <v>#N/A</v>
      </c>
      <c r="IP354" s="379"/>
      <c r="IQ354" s="379"/>
      <c r="IR354" s="262" t="e">
        <f t="shared" si="267"/>
        <v>#N/A</v>
      </c>
      <c r="IS354" s="262" t="e">
        <f t="shared" si="268"/>
        <v>#N/A</v>
      </c>
      <c r="IT354" s="379"/>
      <c r="IU354" s="379"/>
      <c r="IV354" s="262" t="e">
        <f t="shared" si="269"/>
        <v>#N/A</v>
      </c>
      <c r="IW354" s="262" t="e">
        <f t="shared" si="270"/>
        <v>#N/A</v>
      </c>
      <c r="JN354" s="261" t="e">
        <f t="shared" si="271"/>
        <v>#N/A</v>
      </c>
      <c r="JO354" s="261" t="e">
        <f t="shared" si="272"/>
        <v>#N/A</v>
      </c>
      <c r="JR354" s="261" t="e">
        <f t="shared" si="277"/>
        <v>#N/A</v>
      </c>
      <c r="JS354" s="261" t="e">
        <f t="shared" si="278"/>
        <v>#N/A</v>
      </c>
      <c r="JV354" s="261" t="e">
        <f t="shared" si="273"/>
        <v>#N/A</v>
      </c>
      <c r="JW354" s="261" t="e">
        <f t="shared" si="274"/>
        <v>#N/A</v>
      </c>
      <c r="PS354" s="342">
        <v>340</v>
      </c>
      <c r="PT354" s="261" t="e">
        <f t="shared" si="275"/>
        <v>#N/A</v>
      </c>
      <c r="PU354" s="261" t="e">
        <f t="shared" si="276"/>
        <v>#N/A</v>
      </c>
    </row>
    <row r="355" spans="219:437" x14ac:dyDescent="0.5">
      <c r="HK355" s="342">
        <v>341</v>
      </c>
      <c r="HL355" s="235" t="e">
        <f t="shared" si="251"/>
        <v>#N/A</v>
      </c>
      <c r="HM355" s="235" t="e">
        <f t="shared" si="252"/>
        <v>#N/A</v>
      </c>
      <c r="HP355" s="235" t="e">
        <f t="shared" si="253"/>
        <v>#N/A</v>
      </c>
      <c r="HQ355" s="235" t="e">
        <f t="shared" si="254"/>
        <v>#N/A</v>
      </c>
      <c r="HT355" s="235" t="e">
        <f t="shared" si="255"/>
        <v>#N/A</v>
      </c>
      <c r="HU355" s="235" t="e">
        <f t="shared" si="256"/>
        <v>#N/A</v>
      </c>
      <c r="HX355" s="235" t="e">
        <f t="shared" si="257"/>
        <v>#N/A</v>
      </c>
      <c r="HY355" s="235" t="e">
        <f t="shared" si="258"/>
        <v>#N/A</v>
      </c>
      <c r="IB355" s="235" t="e">
        <f t="shared" si="259"/>
        <v>#N/A</v>
      </c>
      <c r="IC355" s="235" t="e">
        <f t="shared" si="260"/>
        <v>#N/A</v>
      </c>
      <c r="IE355" s="342">
        <v>341</v>
      </c>
      <c r="IF355" s="262" t="e">
        <f t="shared" si="261"/>
        <v>#N/A</v>
      </c>
      <c r="IG355" s="262" t="e">
        <f t="shared" si="262"/>
        <v>#N/A</v>
      </c>
      <c r="IH355" s="379"/>
      <c r="II355" s="379"/>
      <c r="IJ355" s="262" t="e">
        <f t="shared" si="263"/>
        <v>#N/A</v>
      </c>
      <c r="IK355" s="262" t="e">
        <f t="shared" si="264"/>
        <v>#N/A</v>
      </c>
      <c r="IL355" s="379"/>
      <c r="IM355" s="379"/>
      <c r="IN355" s="262" t="e">
        <f t="shared" si="265"/>
        <v>#N/A</v>
      </c>
      <c r="IO355" s="262" t="e">
        <f t="shared" si="266"/>
        <v>#N/A</v>
      </c>
      <c r="IP355" s="379"/>
      <c r="IQ355" s="379"/>
      <c r="IR355" s="262" t="e">
        <f t="shared" si="267"/>
        <v>#N/A</v>
      </c>
      <c r="IS355" s="262" t="e">
        <f t="shared" si="268"/>
        <v>#N/A</v>
      </c>
      <c r="IT355" s="379"/>
      <c r="IU355" s="379"/>
      <c r="IV355" s="262" t="e">
        <f t="shared" si="269"/>
        <v>#N/A</v>
      </c>
      <c r="IW355" s="262" t="e">
        <f t="shared" si="270"/>
        <v>#N/A</v>
      </c>
      <c r="JN355" s="261" t="e">
        <f t="shared" si="271"/>
        <v>#N/A</v>
      </c>
      <c r="JO355" s="261" t="e">
        <f t="shared" si="272"/>
        <v>#N/A</v>
      </c>
      <c r="JR355" s="261" t="e">
        <f t="shared" si="277"/>
        <v>#N/A</v>
      </c>
      <c r="JS355" s="261" t="e">
        <f t="shared" si="278"/>
        <v>#N/A</v>
      </c>
      <c r="JV355" s="261" t="e">
        <f t="shared" si="273"/>
        <v>#N/A</v>
      </c>
      <c r="JW355" s="261" t="e">
        <f t="shared" si="274"/>
        <v>#N/A</v>
      </c>
      <c r="PS355" s="342">
        <v>341</v>
      </c>
      <c r="PT355" s="261" t="e">
        <f t="shared" si="275"/>
        <v>#N/A</v>
      </c>
      <c r="PU355" s="261" t="e">
        <f t="shared" si="276"/>
        <v>#N/A</v>
      </c>
    </row>
    <row r="356" spans="219:437" x14ac:dyDescent="0.5">
      <c r="HK356" s="342">
        <v>342</v>
      </c>
      <c r="HL356" s="235" t="e">
        <f t="shared" si="251"/>
        <v>#N/A</v>
      </c>
      <c r="HM356" s="235" t="e">
        <f t="shared" si="252"/>
        <v>#N/A</v>
      </c>
      <c r="HP356" s="235" t="e">
        <f t="shared" si="253"/>
        <v>#N/A</v>
      </c>
      <c r="HQ356" s="235" t="e">
        <f t="shared" si="254"/>
        <v>#N/A</v>
      </c>
      <c r="HT356" s="235" t="e">
        <f t="shared" si="255"/>
        <v>#N/A</v>
      </c>
      <c r="HU356" s="235" t="e">
        <f t="shared" si="256"/>
        <v>#N/A</v>
      </c>
      <c r="HX356" s="235" t="e">
        <f t="shared" si="257"/>
        <v>#N/A</v>
      </c>
      <c r="HY356" s="235" t="e">
        <f t="shared" si="258"/>
        <v>#N/A</v>
      </c>
      <c r="IB356" s="235" t="e">
        <f t="shared" si="259"/>
        <v>#N/A</v>
      </c>
      <c r="IC356" s="235" t="e">
        <f t="shared" si="260"/>
        <v>#N/A</v>
      </c>
      <c r="IE356" s="342">
        <v>342</v>
      </c>
      <c r="IF356" s="262" t="e">
        <f t="shared" si="261"/>
        <v>#N/A</v>
      </c>
      <c r="IG356" s="262" t="e">
        <f t="shared" si="262"/>
        <v>#N/A</v>
      </c>
      <c r="IH356" s="379"/>
      <c r="II356" s="379"/>
      <c r="IJ356" s="262" t="e">
        <f t="shared" si="263"/>
        <v>#N/A</v>
      </c>
      <c r="IK356" s="262" t="e">
        <f t="shared" si="264"/>
        <v>#N/A</v>
      </c>
      <c r="IL356" s="379"/>
      <c r="IM356" s="379"/>
      <c r="IN356" s="262" t="e">
        <f t="shared" si="265"/>
        <v>#N/A</v>
      </c>
      <c r="IO356" s="262" t="e">
        <f t="shared" si="266"/>
        <v>#N/A</v>
      </c>
      <c r="IP356" s="379"/>
      <c r="IQ356" s="379"/>
      <c r="IR356" s="262" t="e">
        <f t="shared" si="267"/>
        <v>#N/A</v>
      </c>
      <c r="IS356" s="262" t="e">
        <f t="shared" si="268"/>
        <v>#N/A</v>
      </c>
      <c r="IT356" s="379"/>
      <c r="IU356" s="379"/>
      <c r="IV356" s="262" t="e">
        <f t="shared" si="269"/>
        <v>#N/A</v>
      </c>
      <c r="IW356" s="262" t="e">
        <f t="shared" si="270"/>
        <v>#N/A</v>
      </c>
      <c r="JN356" s="261" t="e">
        <f t="shared" si="271"/>
        <v>#N/A</v>
      </c>
      <c r="JO356" s="261" t="e">
        <f t="shared" si="272"/>
        <v>#N/A</v>
      </c>
      <c r="JR356" s="261" t="e">
        <f t="shared" si="277"/>
        <v>#N/A</v>
      </c>
      <c r="JS356" s="261" t="e">
        <f t="shared" si="278"/>
        <v>#N/A</v>
      </c>
      <c r="JV356" s="261" t="e">
        <f t="shared" si="273"/>
        <v>#N/A</v>
      </c>
      <c r="JW356" s="261" t="e">
        <f t="shared" si="274"/>
        <v>#N/A</v>
      </c>
      <c r="PS356" s="342">
        <v>342</v>
      </c>
      <c r="PT356" s="261" t="e">
        <f t="shared" si="275"/>
        <v>#N/A</v>
      </c>
      <c r="PU356" s="261" t="e">
        <f t="shared" si="276"/>
        <v>#N/A</v>
      </c>
    </row>
    <row r="357" spans="219:437" x14ac:dyDescent="0.5">
      <c r="HK357" s="342">
        <v>343</v>
      </c>
      <c r="HL357" s="235" t="e">
        <f t="shared" si="251"/>
        <v>#N/A</v>
      </c>
      <c r="HM357" s="235" t="e">
        <f t="shared" si="252"/>
        <v>#N/A</v>
      </c>
      <c r="HP357" s="235" t="e">
        <f t="shared" si="253"/>
        <v>#N/A</v>
      </c>
      <c r="HQ357" s="235" t="e">
        <f t="shared" si="254"/>
        <v>#N/A</v>
      </c>
      <c r="HT357" s="235" t="e">
        <f t="shared" si="255"/>
        <v>#N/A</v>
      </c>
      <c r="HU357" s="235" t="e">
        <f t="shared" si="256"/>
        <v>#N/A</v>
      </c>
      <c r="HX357" s="235" t="e">
        <f t="shared" si="257"/>
        <v>#N/A</v>
      </c>
      <c r="HY357" s="235" t="e">
        <f t="shared" si="258"/>
        <v>#N/A</v>
      </c>
      <c r="IB357" s="235" t="e">
        <f t="shared" si="259"/>
        <v>#N/A</v>
      </c>
      <c r="IC357" s="235" t="e">
        <f t="shared" si="260"/>
        <v>#N/A</v>
      </c>
      <c r="IE357" s="342">
        <v>343</v>
      </c>
      <c r="IF357" s="262" t="e">
        <f t="shared" si="261"/>
        <v>#N/A</v>
      </c>
      <c r="IG357" s="262" t="e">
        <f t="shared" si="262"/>
        <v>#N/A</v>
      </c>
      <c r="IH357" s="379"/>
      <c r="II357" s="379"/>
      <c r="IJ357" s="262" t="e">
        <f t="shared" si="263"/>
        <v>#N/A</v>
      </c>
      <c r="IK357" s="262" t="e">
        <f t="shared" si="264"/>
        <v>#N/A</v>
      </c>
      <c r="IL357" s="379"/>
      <c r="IM357" s="379"/>
      <c r="IN357" s="262" t="e">
        <f t="shared" si="265"/>
        <v>#N/A</v>
      </c>
      <c r="IO357" s="262" t="e">
        <f t="shared" si="266"/>
        <v>#N/A</v>
      </c>
      <c r="IP357" s="379"/>
      <c r="IQ357" s="379"/>
      <c r="IR357" s="262" t="e">
        <f t="shared" si="267"/>
        <v>#N/A</v>
      </c>
      <c r="IS357" s="262" t="e">
        <f t="shared" si="268"/>
        <v>#N/A</v>
      </c>
      <c r="IT357" s="379"/>
      <c r="IU357" s="379"/>
      <c r="IV357" s="262" t="e">
        <f t="shared" si="269"/>
        <v>#N/A</v>
      </c>
      <c r="IW357" s="262" t="e">
        <f t="shared" si="270"/>
        <v>#N/A</v>
      </c>
      <c r="JN357" s="261" t="e">
        <f t="shared" si="271"/>
        <v>#N/A</v>
      </c>
      <c r="JO357" s="261" t="e">
        <f t="shared" si="272"/>
        <v>#N/A</v>
      </c>
      <c r="JR357" s="261" t="e">
        <f t="shared" si="277"/>
        <v>#N/A</v>
      </c>
      <c r="JS357" s="261" t="e">
        <f t="shared" si="278"/>
        <v>#N/A</v>
      </c>
      <c r="JV357" s="261" t="e">
        <f t="shared" si="273"/>
        <v>#N/A</v>
      </c>
      <c r="JW357" s="261" t="e">
        <f t="shared" si="274"/>
        <v>#N/A</v>
      </c>
      <c r="PS357" s="342">
        <v>343</v>
      </c>
      <c r="PT357" s="261" t="e">
        <f t="shared" si="275"/>
        <v>#N/A</v>
      </c>
      <c r="PU357" s="261" t="e">
        <f t="shared" si="276"/>
        <v>#N/A</v>
      </c>
    </row>
    <row r="358" spans="219:437" x14ac:dyDescent="0.5">
      <c r="HK358" s="342">
        <v>344</v>
      </c>
      <c r="HL358" s="235" t="e">
        <f t="shared" si="251"/>
        <v>#N/A</v>
      </c>
      <c r="HM358" s="235" t="e">
        <f t="shared" si="252"/>
        <v>#N/A</v>
      </c>
      <c r="HP358" s="235" t="e">
        <f t="shared" si="253"/>
        <v>#N/A</v>
      </c>
      <c r="HQ358" s="235" t="e">
        <f t="shared" si="254"/>
        <v>#N/A</v>
      </c>
      <c r="HT358" s="235" t="e">
        <f t="shared" si="255"/>
        <v>#N/A</v>
      </c>
      <c r="HU358" s="235" t="e">
        <f t="shared" si="256"/>
        <v>#N/A</v>
      </c>
      <c r="HX358" s="235" t="e">
        <f t="shared" si="257"/>
        <v>#N/A</v>
      </c>
      <c r="HY358" s="235" t="e">
        <f t="shared" si="258"/>
        <v>#N/A</v>
      </c>
      <c r="IB358" s="235" t="e">
        <f t="shared" si="259"/>
        <v>#N/A</v>
      </c>
      <c r="IC358" s="235" t="e">
        <f t="shared" si="260"/>
        <v>#N/A</v>
      </c>
      <c r="IE358" s="342">
        <v>344</v>
      </c>
      <c r="IF358" s="262" t="e">
        <f t="shared" si="261"/>
        <v>#N/A</v>
      </c>
      <c r="IG358" s="262" t="e">
        <f t="shared" si="262"/>
        <v>#N/A</v>
      </c>
      <c r="IH358" s="379"/>
      <c r="II358" s="379"/>
      <c r="IJ358" s="262" t="e">
        <f t="shared" si="263"/>
        <v>#N/A</v>
      </c>
      <c r="IK358" s="262" t="e">
        <f t="shared" si="264"/>
        <v>#N/A</v>
      </c>
      <c r="IL358" s="379"/>
      <c r="IM358" s="379"/>
      <c r="IN358" s="262" t="e">
        <f t="shared" si="265"/>
        <v>#N/A</v>
      </c>
      <c r="IO358" s="262" t="e">
        <f t="shared" si="266"/>
        <v>#N/A</v>
      </c>
      <c r="IP358" s="379"/>
      <c r="IQ358" s="379"/>
      <c r="IR358" s="262" t="e">
        <f t="shared" si="267"/>
        <v>#N/A</v>
      </c>
      <c r="IS358" s="262" t="e">
        <f t="shared" si="268"/>
        <v>#N/A</v>
      </c>
      <c r="IT358" s="379"/>
      <c r="IU358" s="379"/>
      <c r="IV358" s="262" t="e">
        <f t="shared" si="269"/>
        <v>#N/A</v>
      </c>
      <c r="IW358" s="262" t="e">
        <f t="shared" si="270"/>
        <v>#N/A</v>
      </c>
      <c r="JN358" s="261" t="e">
        <f t="shared" si="271"/>
        <v>#N/A</v>
      </c>
      <c r="JO358" s="261" t="e">
        <f t="shared" si="272"/>
        <v>#N/A</v>
      </c>
      <c r="JR358" s="261" t="e">
        <f t="shared" si="277"/>
        <v>#N/A</v>
      </c>
      <c r="JS358" s="261" t="e">
        <f t="shared" si="278"/>
        <v>#N/A</v>
      </c>
      <c r="JV358" s="261" t="e">
        <f t="shared" si="273"/>
        <v>#N/A</v>
      </c>
      <c r="JW358" s="261" t="e">
        <f t="shared" si="274"/>
        <v>#N/A</v>
      </c>
      <c r="PS358" s="342">
        <v>344</v>
      </c>
      <c r="PT358" s="261" t="e">
        <f t="shared" si="275"/>
        <v>#N/A</v>
      </c>
      <c r="PU358" s="261" t="e">
        <f t="shared" si="276"/>
        <v>#N/A</v>
      </c>
    </row>
    <row r="359" spans="219:437" x14ac:dyDescent="0.5">
      <c r="HK359" s="342">
        <v>345</v>
      </c>
      <c r="HL359" s="235" t="e">
        <f t="shared" si="251"/>
        <v>#N/A</v>
      </c>
      <c r="HM359" s="235" t="e">
        <f t="shared" si="252"/>
        <v>#N/A</v>
      </c>
      <c r="HP359" s="235" t="e">
        <f t="shared" si="253"/>
        <v>#N/A</v>
      </c>
      <c r="HQ359" s="235" t="e">
        <f t="shared" si="254"/>
        <v>#N/A</v>
      </c>
      <c r="HT359" s="235" t="e">
        <f t="shared" si="255"/>
        <v>#N/A</v>
      </c>
      <c r="HU359" s="235" t="e">
        <f t="shared" si="256"/>
        <v>#N/A</v>
      </c>
      <c r="HX359" s="235" t="e">
        <f t="shared" si="257"/>
        <v>#N/A</v>
      </c>
      <c r="HY359" s="235" t="e">
        <f t="shared" si="258"/>
        <v>#N/A</v>
      </c>
      <c r="IB359" s="235" t="e">
        <f t="shared" si="259"/>
        <v>#N/A</v>
      </c>
      <c r="IC359" s="235" t="e">
        <f t="shared" si="260"/>
        <v>#N/A</v>
      </c>
      <c r="IE359" s="342">
        <v>345</v>
      </c>
      <c r="IF359" s="262" t="e">
        <f t="shared" si="261"/>
        <v>#N/A</v>
      </c>
      <c r="IG359" s="262" t="e">
        <f t="shared" si="262"/>
        <v>#N/A</v>
      </c>
      <c r="IH359" s="379"/>
      <c r="II359" s="379"/>
      <c r="IJ359" s="262" t="e">
        <f t="shared" si="263"/>
        <v>#N/A</v>
      </c>
      <c r="IK359" s="262" t="e">
        <f t="shared" si="264"/>
        <v>#N/A</v>
      </c>
      <c r="IL359" s="379"/>
      <c r="IM359" s="379"/>
      <c r="IN359" s="262" t="e">
        <f t="shared" si="265"/>
        <v>#N/A</v>
      </c>
      <c r="IO359" s="262" t="e">
        <f t="shared" si="266"/>
        <v>#N/A</v>
      </c>
      <c r="IP359" s="379"/>
      <c r="IQ359" s="379"/>
      <c r="IR359" s="262" t="e">
        <f t="shared" si="267"/>
        <v>#N/A</v>
      </c>
      <c r="IS359" s="262" t="e">
        <f t="shared" si="268"/>
        <v>#N/A</v>
      </c>
      <c r="IT359" s="379"/>
      <c r="IU359" s="379"/>
      <c r="IV359" s="262" t="e">
        <f t="shared" si="269"/>
        <v>#N/A</v>
      </c>
      <c r="IW359" s="262" t="e">
        <f t="shared" si="270"/>
        <v>#N/A</v>
      </c>
      <c r="JN359" s="261" t="e">
        <f t="shared" si="271"/>
        <v>#N/A</v>
      </c>
      <c r="JO359" s="261" t="e">
        <f t="shared" si="272"/>
        <v>#N/A</v>
      </c>
      <c r="JR359" s="261" t="e">
        <f t="shared" si="277"/>
        <v>#N/A</v>
      </c>
      <c r="JS359" s="261" t="e">
        <f t="shared" si="278"/>
        <v>#N/A</v>
      </c>
      <c r="JV359" s="261" t="e">
        <f t="shared" si="273"/>
        <v>#N/A</v>
      </c>
      <c r="JW359" s="261" t="e">
        <f t="shared" si="274"/>
        <v>#N/A</v>
      </c>
      <c r="PS359" s="342">
        <v>345</v>
      </c>
      <c r="PT359" s="261" t="e">
        <f t="shared" si="275"/>
        <v>#N/A</v>
      </c>
      <c r="PU359" s="261" t="e">
        <f t="shared" si="276"/>
        <v>#N/A</v>
      </c>
    </row>
    <row r="360" spans="219:437" x14ac:dyDescent="0.5">
      <c r="HK360" s="342">
        <v>346</v>
      </c>
      <c r="HL360" s="235" t="e">
        <f t="shared" si="251"/>
        <v>#N/A</v>
      </c>
      <c r="HM360" s="235" t="e">
        <f t="shared" si="252"/>
        <v>#N/A</v>
      </c>
      <c r="HP360" s="235" t="e">
        <f t="shared" si="253"/>
        <v>#N/A</v>
      </c>
      <c r="HQ360" s="235" t="e">
        <f t="shared" si="254"/>
        <v>#N/A</v>
      </c>
      <c r="HT360" s="235" t="e">
        <f t="shared" si="255"/>
        <v>#N/A</v>
      </c>
      <c r="HU360" s="235" t="e">
        <f t="shared" si="256"/>
        <v>#N/A</v>
      </c>
      <c r="HX360" s="235" t="e">
        <f t="shared" si="257"/>
        <v>#N/A</v>
      </c>
      <c r="HY360" s="235" t="e">
        <f t="shared" si="258"/>
        <v>#N/A</v>
      </c>
      <c r="IB360" s="235" t="e">
        <f t="shared" si="259"/>
        <v>#N/A</v>
      </c>
      <c r="IC360" s="235" t="e">
        <f t="shared" si="260"/>
        <v>#N/A</v>
      </c>
      <c r="IE360" s="342">
        <v>346</v>
      </c>
      <c r="IF360" s="262" t="e">
        <f t="shared" si="261"/>
        <v>#N/A</v>
      </c>
      <c r="IG360" s="262" t="e">
        <f t="shared" si="262"/>
        <v>#N/A</v>
      </c>
      <c r="IH360" s="379"/>
      <c r="II360" s="379"/>
      <c r="IJ360" s="262" t="e">
        <f t="shared" si="263"/>
        <v>#N/A</v>
      </c>
      <c r="IK360" s="262" t="e">
        <f t="shared" si="264"/>
        <v>#N/A</v>
      </c>
      <c r="IL360" s="379"/>
      <c r="IM360" s="379"/>
      <c r="IN360" s="262" t="e">
        <f t="shared" si="265"/>
        <v>#N/A</v>
      </c>
      <c r="IO360" s="262" t="e">
        <f t="shared" si="266"/>
        <v>#N/A</v>
      </c>
      <c r="IP360" s="379"/>
      <c r="IQ360" s="379"/>
      <c r="IR360" s="262" t="e">
        <f t="shared" si="267"/>
        <v>#N/A</v>
      </c>
      <c r="IS360" s="262" t="e">
        <f t="shared" si="268"/>
        <v>#N/A</v>
      </c>
      <c r="IT360" s="379"/>
      <c r="IU360" s="379"/>
      <c r="IV360" s="262" t="e">
        <f t="shared" si="269"/>
        <v>#N/A</v>
      </c>
      <c r="IW360" s="262" t="e">
        <f t="shared" si="270"/>
        <v>#N/A</v>
      </c>
      <c r="JN360" s="261" t="e">
        <f t="shared" si="271"/>
        <v>#N/A</v>
      </c>
      <c r="JO360" s="261" t="e">
        <f t="shared" si="272"/>
        <v>#N/A</v>
      </c>
      <c r="JR360" s="261" t="e">
        <f t="shared" si="277"/>
        <v>#N/A</v>
      </c>
      <c r="JS360" s="261" t="e">
        <f t="shared" si="278"/>
        <v>#N/A</v>
      </c>
      <c r="JV360" s="261" t="e">
        <f t="shared" si="273"/>
        <v>#N/A</v>
      </c>
      <c r="JW360" s="261" t="e">
        <f t="shared" si="274"/>
        <v>#N/A</v>
      </c>
      <c r="PS360" s="342">
        <v>346</v>
      </c>
      <c r="PT360" s="261" t="e">
        <f t="shared" si="275"/>
        <v>#N/A</v>
      </c>
      <c r="PU360" s="261" t="e">
        <f t="shared" si="276"/>
        <v>#N/A</v>
      </c>
    </row>
    <row r="361" spans="219:437" x14ac:dyDescent="0.5">
      <c r="HK361" s="342">
        <v>347</v>
      </c>
      <c r="HL361" s="235" t="e">
        <f t="shared" si="251"/>
        <v>#N/A</v>
      </c>
      <c r="HM361" s="235" t="e">
        <f t="shared" si="252"/>
        <v>#N/A</v>
      </c>
      <c r="HP361" s="235" t="e">
        <f t="shared" si="253"/>
        <v>#N/A</v>
      </c>
      <c r="HQ361" s="235" t="e">
        <f t="shared" si="254"/>
        <v>#N/A</v>
      </c>
      <c r="HT361" s="235" t="e">
        <f t="shared" si="255"/>
        <v>#N/A</v>
      </c>
      <c r="HU361" s="235" t="e">
        <f t="shared" si="256"/>
        <v>#N/A</v>
      </c>
      <c r="HX361" s="235" t="e">
        <f t="shared" si="257"/>
        <v>#N/A</v>
      </c>
      <c r="HY361" s="235" t="e">
        <f t="shared" si="258"/>
        <v>#N/A</v>
      </c>
      <c r="IB361" s="235" t="e">
        <f t="shared" si="259"/>
        <v>#N/A</v>
      </c>
      <c r="IC361" s="235" t="e">
        <f t="shared" si="260"/>
        <v>#N/A</v>
      </c>
      <c r="IE361" s="342">
        <v>347</v>
      </c>
      <c r="IF361" s="262" t="e">
        <f t="shared" si="261"/>
        <v>#N/A</v>
      </c>
      <c r="IG361" s="262" t="e">
        <f t="shared" si="262"/>
        <v>#N/A</v>
      </c>
      <c r="IH361" s="379"/>
      <c r="II361" s="379"/>
      <c r="IJ361" s="262" t="e">
        <f t="shared" si="263"/>
        <v>#N/A</v>
      </c>
      <c r="IK361" s="262" t="e">
        <f t="shared" si="264"/>
        <v>#N/A</v>
      </c>
      <c r="IL361" s="379"/>
      <c r="IM361" s="379"/>
      <c r="IN361" s="262" t="e">
        <f t="shared" si="265"/>
        <v>#N/A</v>
      </c>
      <c r="IO361" s="262" t="e">
        <f t="shared" si="266"/>
        <v>#N/A</v>
      </c>
      <c r="IP361" s="379"/>
      <c r="IQ361" s="379"/>
      <c r="IR361" s="262" t="e">
        <f t="shared" si="267"/>
        <v>#N/A</v>
      </c>
      <c r="IS361" s="262" t="e">
        <f t="shared" si="268"/>
        <v>#N/A</v>
      </c>
      <c r="IT361" s="379"/>
      <c r="IU361" s="379"/>
      <c r="IV361" s="262" t="e">
        <f t="shared" si="269"/>
        <v>#N/A</v>
      </c>
      <c r="IW361" s="262" t="e">
        <f t="shared" si="270"/>
        <v>#N/A</v>
      </c>
      <c r="JN361" s="261" t="e">
        <f t="shared" si="271"/>
        <v>#N/A</v>
      </c>
      <c r="JO361" s="261" t="e">
        <f t="shared" si="272"/>
        <v>#N/A</v>
      </c>
      <c r="JR361" s="261" t="e">
        <f t="shared" si="277"/>
        <v>#N/A</v>
      </c>
      <c r="JS361" s="261" t="e">
        <f t="shared" si="278"/>
        <v>#N/A</v>
      </c>
      <c r="JV361" s="261" t="e">
        <f t="shared" si="273"/>
        <v>#N/A</v>
      </c>
      <c r="JW361" s="261" t="e">
        <f t="shared" si="274"/>
        <v>#N/A</v>
      </c>
      <c r="PS361" s="342">
        <v>347</v>
      </c>
      <c r="PT361" s="261" t="e">
        <f t="shared" si="275"/>
        <v>#N/A</v>
      </c>
      <c r="PU361" s="261" t="e">
        <f t="shared" si="276"/>
        <v>#N/A</v>
      </c>
    </row>
    <row r="362" spans="219:437" x14ac:dyDescent="0.5">
      <c r="HK362" s="342">
        <v>348</v>
      </c>
      <c r="HL362" s="235" t="e">
        <f t="shared" si="251"/>
        <v>#N/A</v>
      </c>
      <c r="HM362" s="235" t="e">
        <f t="shared" si="252"/>
        <v>#N/A</v>
      </c>
      <c r="HP362" s="235" t="e">
        <f t="shared" si="253"/>
        <v>#N/A</v>
      </c>
      <c r="HQ362" s="235" t="e">
        <f t="shared" si="254"/>
        <v>#N/A</v>
      </c>
      <c r="HT362" s="235" t="e">
        <f t="shared" si="255"/>
        <v>#N/A</v>
      </c>
      <c r="HU362" s="235" t="e">
        <f t="shared" si="256"/>
        <v>#N/A</v>
      </c>
      <c r="HX362" s="235" t="e">
        <f t="shared" si="257"/>
        <v>#N/A</v>
      </c>
      <c r="HY362" s="235" t="e">
        <f t="shared" si="258"/>
        <v>#N/A</v>
      </c>
      <c r="IB362" s="235" t="e">
        <f t="shared" si="259"/>
        <v>#N/A</v>
      </c>
      <c r="IC362" s="235" t="e">
        <f t="shared" si="260"/>
        <v>#N/A</v>
      </c>
      <c r="IE362" s="342">
        <v>348</v>
      </c>
      <c r="IF362" s="262" t="e">
        <f t="shared" si="261"/>
        <v>#N/A</v>
      </c>
      <c r="IG362" s="262" t="e">
        <f t="shared" si="262"/>
        <v>#N/A</v>
      </c>
      <c r="IH362" s="379"/>
      <c r="II362" s="379"/>
      <c r="IJ362" s="262" t="e">
        <f t="shared" si="263"/>
        <v>#N/A</v>
      </c>
      <c r="IK362" s="262" t="e">
        <f t="shared" si="264"/>
        <v>#N/A</v>
      </c>
      <c r="IL362" s="379"/>
      <c r="IM362" s="379"/>
      <c r="IN362" s="262" t="e">
        <f t="shared" si="265"/>
        <v>#N/A</v>
      </c>
      <c r="IO362" s="262" t="e">
        <f t="shared" si="266"/>
        <v>#N/A</v>
      </c>
      <c r="IP362" s="379"/>
      <c r="IQ362" s="379"/>
      <c r="IR362" s="262" t="e">
        <f t="shared" si="267"/>
        <v>#N/A</v>
      </c>
      <c r="IS362" s="262" t="e">
        <f t="shared" si="268"/>
        <v>#N/A</v>
      </c>
      <c r="IT362" s="379"/>
      <c r="IU362" s="379"/>
      <c r="IV362" s="262" t="e">
        <f t="shared" si="269"/>
        <v>#N/A</v>
      </c>
      <c r="IW362" s="262" t="e">
        <f t="shared" si="270"/>
        <v>#N/A</v>
      </c>
      <c r="JN362" s="261" t="e">
        <f t="shared" si="271"/>
        <v>#N/A</v>
      </c>
      <c r="JO362" s="261" t="e">
        <f t="shared" si="272"/>
        <v>#N/A</v>
      </c>
      <c r="JR362" s="261" t="e">
        <f t="shared" si="277"/>
        <v>#N/A</v>
      </c>
      <c r="JS362" s="261" t="e">
        <f t="shared" si="278"/>
        <v>#N/A</v>
      </c>
      <c r="JV362" s="261" t="e">
        <f t="shared" si="273"/>
        <v>#N/A</v>
      </c>
      <c r="JW362" s="261" t="e">
        <f t="shared" si="274"/>
        <v>#N/A</v>
      </c>
      <c r="PS362" s="342">
        <v>348</v>
      </c>
      <c r="PT362" s="261" t="e">
        <f t="shared" si="275"/>
        <v>#N/A</v>
      </c>
      <c r="PU362" s="261" t="e">
        <f t="shared" si="276"/>
        <v>#N/A</v>
      </c>
    </row>
    <row r="363" spans="219:437" x14ac:dyDescent="0.5">
      <c r="HK363" s="342">
        <v>349</v>
      </c>
      <c r="HL363" s="235" t="e">
        <f t="shared" si="251"/>
        <v>#N/A</v>
      </c>
      <c r="HM363" s="235" t="e">
        <f t="shared" si="252"/>
        <v>#N/A</v>
      </c>
      <c r="HP363" s="235" t="e">
        <f t="shared" si="253"/>
        <v>#N/A</v>
      </c>
      <c r="HQ363" s="235" t="e">
        <f t="shared" si="254"/>
        <v>#N/A</v>
      </c>
      <c r="HT363" s="235" t="e">
        <f t="shared" si="255"/>
        <v>#N/A</v>
      </c>
      <c r="HU363" s="235" t="e">
        <f t="shared" si="256"/>
        <v>#N/A</v>
      </c>
      <c r="HX363" s="235" t="e">
        <f t="shared" si="257"/>
        <v>#N/A</v>
      </c>
      <c r="HY363" s="235" t="e">
        <f t="shared" si="258"/>
        <v>#N/A</v>
      </c>
      <c r="IB363" s="235" t="e">
        <f t="shared" si="259"/>
        <v>#N/A</v>
      </c>
      <c r="IC363" s="235" t="e">
        <f t="shared" si="260"/>
        <v>#N/A</v>
      </c>
      <c r="IE363" s="342">
        <v>349</v>
      </c>
      <c r="IF363" s="262" t="e">
        <f t="shared" si="261"/>
        <v>#N/A</v>
      </c>
      <c r="IG363" s="262" t="e">
        <f t="shared" si="262"/>
        <v>#N/A</v>
      </c>
      <c r="IH363" s="379"/>
      <c r="II363" s="379"/>
      <c r="IJ363" s="262" t="e">
        <f t="shared" si="263"/>
        <v>#N/A</v>
      </c>
      <c r="IK363" s="262" t="e">
        <f t="shared" si="264"/>
        <v>#N/A</v>
      </c>
      <c r="IL363" s="379"/>
      <c r="IM363" s="379"/>
      <c r="IN363" s="262" t="e">
        <f t="shared" si="265"/>
        <v>#N/A</v>
      </c>
      <c r="IO363" s="262" t="e">
        <f t="shared" si="266"/>
        <v>#N/A</v>
      </c>
      <c r="IP363" s="379"/>
      <c r="IQ363" s="379"/>
      <c r="IR363" s="262" t="e">
        <f t="shared" si="267"/>
        <v>#N/A</v>
      </c>
      <c r="IS363" s="262" t="e">
        <f t="shared" si="268"/>
        <v>#N/A</v>
      </c>
      <c r="IT363" s="379"/>
      <c r="IU363" s="379"/>
      <c r="IV363" s="262" t="e">
        <f t="shared" si="269"/>
        <v>#N/A</v>
      </c>
      <c r="IW363" s="262" t="e">
        <f t="shared" si="270"/>
        <v>#N/A</v>
      </c>
      <c r="JN363" s="261" t="e">
        <f t="shared" si="271"/>
        <v>#N/A</v>
      </c>
      <c r="JO363" s="261" t="e">
        <f t="shared" si="272"/>
        <v>#N/A</v>
      </c>
      <c r="JR363" s="261" t="e">
        <f t="shared" si="277"/>
        <v>#N/A</v>
      </c>
      <c r="JS363" s="261" t="e">
        <f t="shared" si="278"/>
        <v>#N/A</v>
      </c>
      <c r="JV363" s="261" t="e">
        <f t="shared" si="273"/>
        <v>#N/A</v>
      </c>
      <c r="JW363" s="261" t="e">
        <f t="shared" si="274"/>
        <v>#N/A</v>
      </c>
      <c r="PS363" s="342">
        <v>349</v>
      </c>
      <c r="PT363" s="261" t="e">
        <f t="shared" si="275"/>
        <v>#N/A</v>
      </c>
      <c r="PU363" s="261" t="e">
        <f t="shared" si="276"/>
        <v>#N/A</v>
      </c>
    </row>
    <row r="364" spans="219:437" x14ac:dyDescent="0.5">
      <c r="HK364" s="342">
        <v>350</v>
      </c>
      <c r="HL364" s="235" t="e">
        <f t="shared" si="251"/>
        <v>#N/A</v>
      </c>
      <c r="HM364" s="235" t="e">
        <f t="shared" si="252"/>
        <v>#N/A</v>
      </c>
      <c r="HP364" s="235" t="e">
        <f t="shared" si="253"/>
        <v>#N/A</v>
      </c>
      <c r="HQ364" s="235" t="e">
        <f t="shared" si="254"/>
        <v>#N/A</v>
      </c>
      <c r="HT364" s="235" t="e">
        <f t="shared" si="255"/>
        <v>#N/A</v>
      </c>
      <c r="HU364" s="235" t="e">
        <f t="shared" si="256"/>
        <v>#N/A</v>
      </c>
      <c r="HX364" s="235" t="e">
        <f t="shared" si="257"/>
        <v>#N/A</v>
      </c>
      <c r="HY364" s="235" t="e">
        <f t="shared" si="258"/>
        <v>#N/A</v>
      </c>
      <c r="IB364" s="235" t="e">
        <f t="shared" si="259"/>
        <v>#N/A</v>
      </c>
      <c r="IC364" s="235" t="e">
        <f t="shared" si="260"/>
        <v>#N/A</v>
      </c>
      <c r="IE364" s="342">
        <v>350</v>
      </c>
      <c r="IF364" s="262" t="e">
        <f t="shared" si="261"/>
        <v>#N/A</v>
      </c>
      <c r="IG364" s="262" t="e">
        <f t="shared" si="262"/>
        <v>#N/A</v>
      </c>
      <c r="IH364" s="379"/>
      <c r="II364" s="379"/>
      <c r="IJ364" s="262" t="e">
        <f t="shared" si="263"/>
        <v>#N/A</v>
      </c>
      <c r="IK364" s="262" t="e">
        <f t="shared" si="264"/>
        <v>#N/A</v>
      </c>
      <c r="IL364" s="379"/>
      <c r="IM364" s="379"/>
      <c r="IN364" s="262" t="e">
        <f t="shared" si="265"/>
        <v>#N/A</v>
      </c>
      <c r="IO364" s="262" t="e">
        <f t="shared" si="266"/>
        <v>#N/A</v>
      </c>
      <c r="IP364" s="379"/>
      <c r="IQ364" s="379"/>
      <c r="IR364" s="262" t="e">
        <f t="shared" si="267"/>
        <v>#N/A</v>
      </c>
      <c r="IS364" s="262" t="e">
        <f t="shared" si="268"/>
        <v>#N/A</v>
      </c>
      <c r="IT364" s="379"/>
      <c r="IU364" s="379"/>
      <c r="IV364" s="262" t="e">
        <f t="shared" si="269"/>
        <v>#N/A</v>
      </c>
      <c r="IW364" s="262" t="e">
        <f t="shared" si="270"/>
        <v>#N/A</v>
      </c>
      <c r="JN364" s="261" t="e">
        <f t="shared" si="271"/>
        <v>#N/A</v>
      </c>
      <c r="JO364" s="261" t="e">
        <f t="shared" si="272"/>
        <v>#N/A</v>
      </c>
      <c r="JR364" s="261" t="e">
        <f t="shared" si="277"/>
        <v>#N/A</v>
      </c>
      <c r="JS364" s="261" t="e">
        <f t="shared" si="278"/>
        <v>#N/A</v>
      </c>
      <c r="JV364" s="261" t="e">
        <f t="shared" si="273"/>
        <v>#N/A</v>
      </c>
      <c r="JW364" s="261" t="e">
        <f t="shared" si="274"/>
        <v>#N/A</v>
      </c>
      <c r="PS364" s="342">
        <v>350</v>
      </c>
      <c r="PT364" s="261" t="e">
        <f t="shared" si="275"/>
        <v>#N/A</v>
      </c>
      <c r="PU364" s="261" t="e">
        <f t="shared" si="276"/>
        <v>#N/A</v>
      </c>
    </row>
    <row r="365" spans="219:437" x14ac:dyDescent="0.5">
      <c r="HK365" s="342">
        <v>351</v>
      </c>
      <c r="HL365" s="235" t="e">
        <f t="shared" si="251"/>
        <v>#N/A</v>
      </c>
      <c r="HM365" s="235" t="e">
        <f t="shared" si="252"/>
        <v>#N/A</v>
      </c>
      <c r="HP365" s="235" t="e">
        <f t="shared" si="253"/>
        <v>#N/A</v>
      </c>
      <c r="HQ365" s="235" t="e">
        <f t="shared" si="254"/>
        <v>#N/A</v>
      </c>
      <c r="HT365" s="235" t="e">
        <f t="shared" si="255"/>
        <v>#N/A</v>
      </c>
      <c r="HU365" s="235" t="e">
        <f t="shared" si="256"/>
        <v>#N/A</v>
      </c>
      <c r="HX365" s="235" t="e">
        <f t="shared" si="257"/>
        <v>#N/A</v>
      </c>
      <c r="HY365" s="235" t="e">
        <f t="shared" si="258"/>
        <v>#N/A</v>
      </c>
      <c r="IB365" s="235" t="e">
        <f t="shared" si="259"/>
        <v>#N/A</v>
      </c>
      <c r="IC365" s="235" t="e">
        <f t="shared" si="260"/>
        <v>#N/A</v>
      </c>
      <c r="IE365" s="342">
        <v>351</v>
      </c>
      <c r="IF365" s="262" t="e">
        <f t="shared" si="261"/>
        <v>#N/A</v>
      </c>
      <c r="IG365" s="262" t="e">
        <f t="shared" si="262"/>
        <v>#N/A</v>
      </c>
      <c r="IH365" s="379"/>
      <c r="II365" s="379"/>
      <c r="IJ365" s="262" t="e">
        <f t="shared" si="263"/>
        <v>#N/A</v>
      </c>
      <c r="IK365" s="262" t="e">
        <f t="shared" si="264"/>
        <v>#N/A</v>
      </c>
      <c r="IL365" s="379"/>
      <c r="IM365" s="379"/>
      <c r="IN365" s="262" t="e">
        <f t="shared" si="265"/>
        <v>#N/A</v>
      </c>
      <c r="IO365" s="262" t="e">
        <f t="shared" si="266"/>
        <v>#N/A</v>
      </c>
      <c r="IP365" s="379"/>
      <c r="IQ365" s="379"/>
      <c r="IR365" s="262" t="e">
        <f t="shared" si="267"/>
        <v>#N/A</v>
      </c>
      <c r="IS365" s="262" t="e">
        <f t="shared" si="268"/>
        <v>#N/A</v>
      </c>
      <c r="IT365" s="379"/>
      <c r="IU365" s="379"/>
      <c r="IV365" s="262" t="e">
        <f t="shared" si="269"/>
        <v>#N/A</v>
      </c>
      <c r="IW365" s="262" t="e">
        <f t="shared" si="270"/>
        <v>#N/A</v>
      </c>
      <c r="JN365" s="261" t="e">
        <f t="shared" si="271"/>
        <v>#N/A</v>
      </c>
      <c r="JO365" s="261" t="e">
        <f t="shared" si="272"/>
        <v>#N/A</v>
      </c>
      <c r="JR365" s="261" t="e">
        <f t="shared" si="277"/>
        <v>#N/A</v>
      </c>
      <c r="JS365" s="261" t="e">
        <f t="shared" si="278"/>
        <v>#N/A</v>
      </c>
      <c r="JV365" s="261" t="e">
        <f t="shared" si="273"/>
        <v>#N/A</v>
      </c>
      <c r="JW365" s="261" t="e">
        <f t="shared" si="274"/>
        <v>#N/A</v>
      </c>
      <c r="PS365" s="342">
        <v>351</v>
      </c>
      <c r="PT365" s="261" t="e">
        <f t="shared" si="275"/>
        <v>#N/A</v>
      </c>
      <c r="PU365" s="261" t="e">
        <f t="shared" si="276"/>
        <v>#N/A</v>
      </c>
    </row>
    <row r="366" spans="219:437" x14ac:dyDescent="0.5">
      <c r="HK366" s="342">
        <v>352</v>
      </c>
      <c r="HL366" s="235" t="e">
        <f t="shared" si="251"/>
        <v>#N/A</v>
      </c>
      <c r="HM366" s="235" t="e">
        <f t="shared" si="252"/>
        <v>#N/A</v>
      </c>
      <c r="HP366" s="235" t="e">
        <f t="shared" si="253"/>
        <v>#N/A</v>
      </c>
      <c r="HQ366" s="235" t="e">
        <f t="shared" si="254"/>
        <v>#N/A</v>
      </c>
      <c r="HT366" s="235" t="e">
        <f t="shared" si="255"/>
        <v>#N/A</v>
      </c>
      <c r="HU366" s="235" t="e">
        <f t="shared" si="256"/>
        <v>#N/A</v>
      </c>
      <c r="HX366" s="235" t="e">
        <f t="shared" si="257"/>
        <v>#N/A</v>
      </c>
      <c r="HY366" s="235" t="e">
        <f t="shared" si="258"/>
        <v>#N/A</v>
      </c>
      <c r="IB366" s="235" t="e">
        <f t="shared" si="259"/>
        <v>#N/A</v>
      </c>
      <c r="IC366" s="235" t="e">
        <f t="shared" si="260"/>
        <v>#N/A</v>
      </c>
      <c r="IE366" s="342">
        <v>352</v>
      </c>
      <c r="IF366" s="262" t="e">
        <f t="shared" si="261"/>
        <v>#N/A</v>
      </c>
      <c r="IG366" s="262" t="e">
        <f t="shared" si="262"/>
        <v>#N/A</v>
      </c>
      <c r="IH366" s="379"/>
      <c r="II366" s="379"/>
      <c r="IJ366" s="262" t="e">
        <f t="shared" si="263"/>
        <v>#N/A</v>
      </c>
      <c r="IK366" s="262" t="e">
        <f t="shared" si="264"/>
        <v>#N/A</v>
      </c>
      <c r="IL366" s="379"/>
      <c r="IM366" s="379"/>
      <c r="IN366" s="262" t="e">
        <f t="shared" si="265"/>
        <v>#N/A</v>
      </c>
      <c r="IO366" s="262" t="e">
        <f t="shared" si="266"/>
        <v>#N/A</v>
      </c>
      <c r="IP366" s="379"/>
      <c r="IQ366" s="379"/>
      <c r="IR366" s="262" t="e">
        <f t="shared" si="267"/>
        <v>#N/A</v>
      </c>
      <c r="IS366" s="262" t="e">
        <f t="shared" si="268"/>
        <v>#N/A</v>
      </c>
      <c r="IT366" s="379"/>
      <c r="IU366" s="379"/>
      <c r="IV366" s="262" t="e">
        <f t="shared" si="269"/>
        <v>#N/A</v>
      </c>
      <c r="IW366" s="262" t="e">
        <f t="shared" si="270"/>
        <v>#N/A</v>
      </c>
      <c r="JN366" s="261" t="e">
        <f t="shared" si="271"/>
        <v>#N/A</v>
      </c>
      <c r="JO366" s="261" t="e">
        <f t="shared" si="272"/>
        <v>#N/A</v>
      </c>
      <c r="JR366" s="261" t="e">
        <f t="shared" si="277"/>
        <v>#N/A</v>
      </c>
      <c r="JS366" s="261" t="e">
        <f t="shared" si="278"/>
        <v>#N/A</v>
      </c>
      <c r="JV366" s="261" t="e">
        <f t="shared" si="273"/>
        <v>#N/A</v>
      </c>
      <c r="JW366" s="261" t="e">
        <f t="shared" si="274"/>
        <v>#N/A</v>
      </c>
      <c r="PS366" s="342">
        <v>352</v>
      </c>
      <c r="PT366" s="261" t="e">
        <f t="shared" si="275"/>
        <v>#N/A</v>
      </c>
      <c r="PU366" s="261" t="e">
        <f t="shared" si="276"/>
        <v>#N/A</v>
      </c>
    </row>
    <row r="367" spans="219:437" x14ac:dyDescent="0.5">
      <c r="HK367" s="342">
        <v>353</v>
      </c>
      <c r="HL367" s="235" t="e">
        <f t="shared" si="251"/>
        <v>#N/A</v>
      </c>
      <c r="HM367" s="235" t="e">
        <f t="shared" si="252"/>
        <v>#N/A</v>
      </c>
      <c r="HP367" s="235" t="e">
        <f t="shared" si="253"/>
        <v>#N/A</v>
      </c>
      <c r="HQ367" s="235" t="e">
        <f t="shared" si="254"/>
        <v>#N/A</v>
      </c>
      <c r="HT367" s="235" t="e">
        <f t="shared" si="255"/>
        <v>#N/A</v>
      </c>
      <c r="HU367" s="235" t="e">
        <f t="shared" si="256"/>
        <v>#N/A</v>
      </c>
      <c r="HX367" s="235" t="e">
        <f t="shared" si="257"/>
        <v>#N/A</v>
      </c>
      <c r="HY367" s="235" t="e">
        <f t="shared" si="258"/>
        <v>#N/A</v>
      </c>
      <c r="IB367" s="235" t="e">
        <f t="shared" si="259"/>
        <v>#N/A</v>
      </c>
      <c r="IC367" s="235" t="e">
        <f t="shared" si="260"/>
        <v>#N/A</v>
      </c>
      <c r="IE367" s="342">
        <v>353</v>
      </c>
      <c r="IF367" s="262" t="e">
        <f t="shared" si="261"/>
        <v>#N/A</v>
      </c>
      <c r="IG367" s="262" t="e">
        <f t="shared" si="262"/>
        <v>#N/A</v>
      </c>
      <c r="IH367" s="379"/>
      <c r="II367" s="379"/>
      <c r="IJ367" s="262" t="e">
        <f t="shared" si="263"/>
        <v>#N/A</v>
      </c>
      <c r="IK367" s="262" t="e">
        <f t="shared" si="264"/>
        <v>#N/A</v>
      </c>
      <c r="IL367" s="379"/>
      <c r="IM367" s="379"/>
      <c r="IN367" s="262" t="e">
        <f t="shared" si="265"/>
        <v>#N/A</v>
      </c>
      <c r="IO367" s="262" t="e">
        <f t="shared" si="266"/>
        <v>#N/A</v>
      </c>
      <c r="IP367" s="379"/>
      <c r="IQ367" s="379"/>
      <c r="IR367" s="262" t="e">
        <f t="shared" si="267"/>
        <v>#N/A</v>
      </c>
      <c r="IS367" s="262" t="e">
        <f t="shared" si="268"/>
        <v>#N/A</v>
      </c>
      <c r="IT367" s="379"/>
      <c r="IU367" s="379"/>
      <c r="IV367" s="262" t="e">
        <f t="shared" si="269"/>
        <v>#N/A</v>
      </c>
      <c r="IW367" s="262" t="e">
        <f t="shared" si="270"/>
        <v>#N/A</v>
      </c>
      <c r="JN367" s="261" t="e">
        <f t="shared" si="271"/>
        <v>#N/A</v>
      </c>
      <c r="JO367" s="261" t="e">
        <f t="shared" si="272"/>
        <v>#N/A</v>
      </c>
      <c r="JR367" s="261" t="e">
        <f t="shared" si="277"/>
        <v>#N/A</v>
      </c>
      <c r="JS367" s="261" t="e">
        <f t="shared" si="278"/>
        <v>#N/A</v>
      </c>
      <c r="JV367" s="261" t="e">
        <f t="shared" si="273"/>
        <v>#N/A</v>
      </c>
      <c r="JW367" s="261" t="e">
        <f t="shared" si="274"/>
        <v>#N/A</v>
      </c>
      <c r="PS367" s="342">
        <v>353</v>
      </c>
      <c r="PT367" s="261" t="e">
        <f t="shared" si="275"/>
        <v>#N/A</v>
      </c>
      <c r="PU367" s="261" t="e">
        <f t="shared" si="276"/>
        <v>#N/A</v>
      </c>
    </row>
    <row r="368" spans="219:437" x14ac:dyDescent="0.5">
      <c r="HK368" s="342">
        <v>354</v>
      </c>
      <c r="HL368" s="235" t="e">
        <f t="shared" si="251"/>
        <v>#N/A</v>
      </c>
      <c r="HM368" s="235" t="e">
        <f t="shared" si="252"/>
        <v>#N/A</v>
      </c>
      <c r="HP368" s="235" t="e">
        <f t="shared" si="253"/>
        <v>#N/A</v>
      </c>
      <c r="HQ368" s="235" t="e">
        <f t="shared" si="254"/>
        <v>#N/A</v>
      </c>
      <c r="HT368" s="235" t="e">
        <f t="shared" si="255"/>
        <v>#N/A</v>
      </c>
      <c r="HU368" s="235" t="e">
        <f t="shared" si="256"/>
        <v>#N/A</v>
      </c>
      <c r="HX368" s="235" t="e">
        <f t="shared" si="257"/>
        <v>#N/A</v>
      </c>
      <c r="HY368" s="235" t="e">
        <f t="shared" si="258"/>
        <v>#N/A</v>
      </c>
      <c r="IB368" s="235" t="e">
        <f t="shared" si="259"/>
        <v>#N/A</v>
      </c>
      <c r="IC368" s="235" t="e">
        <f t="shared" si="260"/>
        <v>#N/A</v>
      </c>
      <c r="IE368" s="342">
        <v>354</v>
      </c>
      <c r="IF368" s="262" t="e">
        <f t="shared" si="261"/>
        <v>#N/A</v>
      </c>
      <c r="IG368" s="262" t="e">
        <f t="shared" si="262"/>
        <v>#N/A</v>
      </c>
      <c r="IH368" s="379"/>
      <c r="II368" s="379"/>
      <c r="IJ368" s="262" t="e">
        <f t="shared" si="263"/>
        <v>#N/A</v>
      </c>
      <c r="IK368" s="262" t="e">
        <f t="shared" si="264"/>
        <v>#N/A</v>
      </c>
      <c r="IL368" s="379"/>
      <c r="IM368" s="379"/>
      <c r="IN368" s="262" t="e">
        <f t="shared" si="265"/>
        <v>#N/A</v>
      </c>
      <c r="IO368" s="262" t="e">
        <f t="shared" si="266"/>
        <v>#N/A</v>
      </c>
      <c r="IP368" s="379"/>
      <c r="IQ368" s="379"/>
      <c r="IR368" s="262" t="e">
        <f t="shared" si="267"/>
        <v>#N/A</v>
      </c>
      <c r="IS368" s="262" t="e">
        <f t="shared" si="268"/>
        <v>#N/A</v>
      </c>
      <c r="IT368" s="379"/>
      <c r="IU368" s="379"/>
      <c r="IV368" s="262" t="e">
        <f t="shared" si="269"/>
        <v>#N/A</v>
      </c>
      <c r="IW368" s="262" t="e">
        <f t="shared" si="270"/>
        <v>#N/A</v>
      </c>
      <c r="JN368" s="261" t="e">
        <f t="shared" si="271"/>
        <v>#N/A</v>
      </c>
      <c r="JO368" s="261" t="e">
        <f t="shared" si="272"/>
        <v>#N/A</v>
      </c>
      <c r="JR368" s="261" t="e">
        <f t="shared" si="277"/>
        <v>#N/A</v>
      </c>
      <c r="JS368" s="261" t="e">
        <f t="shared" si="278"/>
        <v>#N/A</v>
      </c>
      <c r="JV368" s="261" t="e">
        <f t="shared" si="273"/>
        <v>#N/A</v>
      </c>
      <c r="JW368" s="261" t="e">
        <f t="shared" si="274"/>
        <v>#N/A</v>
      </c>
      <c r="PS368" s="342">
        <v>354</v>
      </c>
      <c r="PT368" s="261" t="e">
        <f t="shared" si="275"/>
        <v>#N/A</v>
      </c>
      <c r="PU368" s="261" t="e">
        <f t="shared" si="276"/>
        <v>#N/A</v>
      </c>
    </row>
    <row r="369" spans="219:437" x14ac:dyDescent="0.5">
      <c r="HK369" s="342">
        <v>355</v>
      </c>
      <c r="HL369" s="235" t="e">
        <f t="shared" si="251"/>
        <v>#N/A</v>
      </c>
      <c r="HM369" s="235" t="e">
        <f t="shared" si="252"/>
        <v>#N/A</v>
      </c>
      <c r="HP369" s="235" t="e">
        <f t="shared" si="253"/>
        <v>#N/A</v>
      </c>
      <c r="HQ369" s="235" t="e">
        <f t="shared" si="254"/>
        <v>#N/A</v>
      </c>
      <c r="HT369" s="235" t="e">
        <f t="shared" si="255"/>
        <v>#N/A</v>
      </c>
      <c r="HU369" s="235" t="e">
        <f t="shared" si="256"/>
        <v>#N/A</v>
      </c>
      <c r="HX369" s="235" t="e">
        <f t="shared" si="257"/>
        <v>#N/A</v>
      </c>
      <c r="HY369" s="235" t="e">
        <f t="shared" si="258"/>
        <v>#N/A</v>
      </c>
      <c r="IB369" s="235" t="e">
        <f t="shared" si="259"/>
        <v>#N/A</v>
      </c>
      <c r="IC369" s="235" t="e">
        <f t="shared" si="260"/>
        <v>#N/A</v>
      </c>
      <c r="IE369" s="342">
        <v>355</v>
      </c>
      <c r="IF369" s="262" t="e">
        <f t="shared" si="261"/>
        <v>#N/A</v>
      </c>
      <c r="IG369" s="262" t="e">
        <f t="shared" si="262"/>
        <v>#N/A</v>
      </c>
      <c r="IH369" s="379"/>
      <c r="II369" s="379"/>
      <c r="IJ369" s="262" t="e">
        <f t="shared" si="263"/>
        <v>#N/A</v>
      </c>
      <c r="IK369" s="262" t="e">
        <f t="shared" si="264"/>
        <v>#N/A</v>
      </c>
      <c r="IL369" s="379"/>
      <c r="IM369" s="379"/>
      <c r="IN369" s="262" t="e">
        <f t="shared" si="265"/>
        <v>#N/A</v>
      </c>
      <c r="IO369" s="262" t="e">
        <f t="shared" si="266"/>
        <v>#N/A</v>
      </c>
      <c r="IP369" s="379"/>
      <c r="IQ369" s="379"/>
      <c r="IR369" s="262" t="e">
        <f t="shared" si="267"/>
        <v>#N/A</v>
      </c>
      <c r="IS369" s="262" t="e">
        <f t="shared" si="268"/>
        <v>#N/A</v>
      </c>
      <c r="IT369" s="379"/>
      <c r="IU369" s="379"/>
      <c r="IV369" s="262" t="e">
        <f t="shared" si="269"/>
        <v>#N/A</v>
      </c>
      <c r="IW369" s="262" t="e">
        <f t="shared" si="270"/>
        <v>#N/A</v>
      </c>
      <c r="JN369" s="261" t="e">
        <f t="shared" si="271"/>
        <v>#N/A</v>
      </c>
      <c r="JO369" s="261" t="e">
        <f t="shared" si="272"/>
        <v>#N/A</v>
      </c>
      <c r="JR369" s="261" t="e">
        <f t="shared" si="277"/>
        <v>#N/A</v>
      </c>
      <c r="JS369" s="261" t="e">
        <f t="shared" si="278"/>
        <v>#N/A</v>
      </c>
      <c r="JV369" s="261" t="e">
        <f t="shared" si="273"/>
        <v>#N/A</v>
      </c>
      <c r="JW369" s="261" t="e">
        <f t="shared" si="274"/>
        <v>#N/A</v>
      </c>
      <c r="PS369" s="342">
        <v>355</v>
      </c>
      <c r="PT369" s="261" t="e">
        <f t="shared" si="275"/>
        <v>#N/A</v>
      </c>
      <c r="PU369" s="261" t="e">
        <f t="shared" si="276"/>
        <v>#N/A</v>
      </c>
    </row>
    <row r="370" spans="219:437" x14ac:dyDescent="0.5">
      <c r="HK370" s="342">
        <v>356</v>
      </c>
      <c r="HL370" s="235" t="e">
        <f t="shared" si="251"/>
        <v>#N/A</v>
      </c>
      <c r="HM370" s="235" t="e">
        <f t="shared" si="252"/>
        <v>#N/A</v>
      </c>
      <c r="HP370" s="235" t="e">
        <f t="shared" si="253"/>
        <v>#N/A</v>
      </c>
      <c r="HQ370" s="235" t="e">
        <f t="shared" si="254"/>
        <v>#N/A</v>
      </c>
      <c r="HT370" s="235" t="e">
        <f t="shared" si="255"/>
        <v>#N/A</v>
      </c>
      <c r="HU370" s="235" t="e">
        <f t="shared" si="256"/>
        <v>#N/A</v>
      </c>
      <c r="HX370" s="235" t="e">
        <f t="shared" si="257"/>
        <v>#N/A</v>
      </c>
      <c r="HY370" s="235" t="e">
        <f t="shared" si="258"/>
        <v>#N/A</v>
      </c>
      <c r="IB370" s="235" t="e">
        <f t="shared" si="259"/>
        <v>#N/A</v>
      </c>
      <c r="IC370" s="235" t="e">
        <f t="shared" si="260"/>
        <v>#N/A</v>
      </c>
      <c r="IE370" s="342">
        <v>356</v>
      </c>
      <c r="IF370" s="262" t="e">
        <f t="shared" si="261"/>
        <v>#N/A</v>
      </c>
      <c r="IG370" s="262" t="e">
        <f t="shared" si="262"/>
        <v>#N/A</v>
      </c>
      <c r="IH370" s="379"/>
      <c r="II370" s="379"/>
      <c r="IJ370" s="262" t="e">
        <f t="shared" si="263"/>
        <v>#N/A</v>
      </c>
      <c r="IK370" s="262" t="e">
        <f t="shared" si="264"/>
        <v>#N/A</v>
      </c>
      <c r="IL370" s="379"/>
      <c r="IM370" s="379"/>
      <c r="IN370" s="262" t="e">
        <f t="shared" si="265"/>
        <v>#N/A</v>
      </c>
      <c r="IO370" s="262" t="e">
        <f t="shared" si="266"/>
        <v>#N/A</v>
      </c>
      <c r="IP370" s="379"/>
      <c r="IQ370" s="379"/>
      <c r="IR370" s="262" t="e">
        <f t="shared" si="267"/>
        <v>#N/A</v>
      </c>
      <c r="IS370" s="262" t="e">
        <f t="shared" si="268"/>
        <v>#N/A</v>
      </c>
      <c r="IT370" s="379"/>
      <c r="IU370" s="379"/>
      <c r="IV370" s="262" t="e">
        <f t="shared" si="269"/>
        <v>#N/A</v>
      </c>
      <c r="IW370" s="262" t="e">
        <f t="shared" si="270"/>
        <v>#N/A</v>
      </c>
      <c r="JN370" s="261" t="e">
        <f t="shared" si="271"/>
        <v>#N/A</v>
      </c>
      <c r="JO370" s="261" t="e">
        <f t="shared" si="272"/>
        <v>#N/A</v>
      </c>
      <c r="JR370" s="261" t="e">
        <f t="shared" si="277"/>
        <v>#N/A</v>
      </c>
      <c r="JS370" s="261" t="e">
        <f t="shared" si="278"/>
        <v>#N/A</v>
      </c>
      <c r="JV370" s="261" t="e">
        <f t="shared" si="273"/>
        <v>#N/A</v>
      </c>
      <c r="JW370" s="261" t="e">
        <f t="shared" si="274"/>
        <v>#N/A</v>
      </c>
      <c r="PS370" s="342">
        <v>356</v>
      </c>
      <c r="PT370" s="261" t="e">
        <f t="shared" si="275"/>
        <v>#N/A</v>
      </c>
      <c r="PU370" s="261" t="e">
        <f t="shared" si="276"/>
        <v>#N/A</v>
      </c>
    </row>
    <row r="371" spans="219:437" x14ac:dyDescent="0.5">
      <c r="HK371" s="342">
        <v>357</v>
      </c>
      <c r="HL371" s="235" t="e">
        <f t="shared" si="251"/>
        <v>#N/A</v>
      </c>
      <c r="HM371" s="235" t="e">
        <f t="shared" si="252"/>
        <v>#N/A</v>
      </c>
      <c r="HP371" s="235" t="e">
        <f t="shared" si="253"/>
        <v>#N/A</v>
      </c>
      <c r="HQ371" s="235" t="e">
        <f t="shared" si="254"/>
        <v>#N/A</v>
      </c>
      <c r="HT371" s="235" t="e">
        <f t="shared" si="255"/>
        <v>#N/A</v>
      </c>
      <c r="HU371" s="235" t="e">
        <f t="shared" si="256"/>
        <v>#N/A</v>
      </c>
      <c r="HX371" s="235" t="e">
        <f t="shared" si="257"/>
        <v>#N/A</v>
      </c>
      <c r="HY371" s="235" t="e">
        <f t="shared" si="258"/>
        <v>#N/A</v>
      </c>
      <c r="IB371" s="235" t="e">
        <f t="shared" si="259"/>
        <v>#N/A</v>
      </c>
      <c r="IC371" s="235" t="e">
        <f t="shared" si="260"/>
        <v>#N/A</v>
      </c>
      <c r="IE371" s="342">
        <v>357</v>
      </c>
      <c r="IF371" s="262" t="e">
        <f t="shared" si="261"/>
        <v>#N/A</v>
      </c>
      <c r="IG371" s="262" t="e">
        <f t="shared" si="262"/>
        <v>#N/A</v>
      </c>
      <c r="IH371" s="379"/>
      <c r="II371" s="379"/>
      <c r="IJ371" s="262" t="e">
        <f t="shared" si="263"/>
        <v>#N/A</v>
      </c>
      <c r="IK371" s="262" t="e">
        <f t="shared" si="264"/>
        <v>#N/A</v>
      </c>
      <c r="IL371" s="379"/>
      <c r="IM371" s="379"/>
      <c r="IN371" s="262" t="e">
        <f t="shared" si="265"/>
        <v>#N/A</v>
      </c>
      <c r="IO371" s="262" t="e">
        <f t="shared" si="266"/>
        <v>#N/A</v>
      </c>
      <c r="IP371" s="379"/>
      <c r="IQ371" s="379"/>
      <c r="IR371" s="262" t="e">
        <f t="shared" si="267"/>
        <v>#N/A</v>
      </c>
      <c r="IS371" s="262" t="e">
        <f t="shared" si="268"/>
        <v>#N/A</v>
      </c>
      <c r="IT371" s="379"/>
      <c r="IU371" s="379"/>
      <c r="IV371" s="262" t="e">
        <f t="shared" si="269"/>
        <v>#N/A</v>
      </c>
      <c r="IW371" s="262" t="e">
        <f t="shared" si="270"/>
        <v>#N/A</v>
      </c>
      <c r="JN371" s="261" t="e">
        <f t="shared" si="271"/>
        <v>#N/A</v>
      </c>
      <c r="JO371" s="261" t="e">
        <f t="shared" si="272"/>
        <v>#N/A</v>
      </c>
      <c r="JR371" s="261" t="e">
        <f t="shared" si="277"/>
        <v>#N/A</v>
      </c>
      <c r="JS371" s="261" t="e">
        <f t="shared" si="278"/>
        <v>#N/A</v>
      </c>
      <c r="JV371" s="261" t="e">
        <f t="shared" si="273"/>
        <v>#N/A</v>
      </c>
      <c r="JW371" s="261" t="e">
        <f t="shared" si="274"/>
        <v>#N/A</v>
      </c>
      <c r="PS371" s="342">
        <v>357</v>
      </c>
      <c r="PT371" s="261" t="e">
        <f t="shared" si="275"/>
        <v>#N/A</v>
      </c>
      <c r="PU371" s="261" t="e">
        <f t="shared" si="276"/>
        <v>#N/A</v>
      </c>
    </row>
    <row r="372" spans="219:437" x14ac:dyDescent="0.5">
      <c r="HK372" s="342">
        <v>358</v>
      </c>
      <c r="HL372" s="235" t="e">
        <f t="shared" si="251"/>
        <v>#N/A</v>
      </c>
      <c r="HM372" s="235" t="e">
        <f t="shared" si="252"/>
        <v>#N/A</v>
      </c>
      <c r="HP372" s="235" t="e">
        <f t="shared" si="253"/>
        <v>#N/A</v>
      </c>
      <c r="HQ372" s="235" t="e">
        <f t="shared" si="254"/>
        <v>#N/A</v>
      </c>
      <c r="HT372" s="235" t="e">
        <f t="shared" si="255"/>
        <v>#N/A</v>
      </c>
      <c r="HU372" s="235" t="e">
        <f t="shared" si="256"/>
        <v>#N/A</v>
      </c>
      <c r="HX372" s="235" t="e">
        <f t="shared" si="257"/>
        <v>#N/A</v>
      </c>
      <c r="HY372" s="235" t="e">
        <f t="shared" si="258"/>
        <v>#N/A</v>
      </c>
      <c r="IB372" s="235" t="e">
        <f t="shared" si="259"/>
        <v>#N/A</v>
      </c>
      <c r="IC372" s="235" t="e">
        <f t="shared" si="260"/>
        <v>#N/A</v>
      </c>
      <c r="IE372" s="342">
        <v>358</v>
      </c>
      <c r="IF372" s="262" t="e">
        <f t="shared" si="261"/>
        <v>#N/A</v>
      </c>
      <c r="IG372" s="262" t="e">
        <f t="shared" si="262"/>
        <v>#N/A</v>
      </c>
      <c r="IH372" s="379"/>
      <c r="II372" s="379"/>
      <c r="IJ372" s="262" t="e">
        <f t="shared" si="263"/>
        <v>#N/A</v>
      </c>
      <c r="IK372" s="262" t="e">
        <f t="shared" si="264"/>
        <v>#N/A</v>
      </c>
      <c r="IL372" s="379"/>
      <c r="IM372" s="379"/>
      <c r="IN372" s="262" t="e">
        <f t="shared" si="265"/>
        <v>#N/A</v>
      </c>
      <c r="IO372" s="262" t="e">
        <f t="shared" si="266"/>
        <v>#N/A</v>
      </c>
      <c r="IP372" s="379"/>
      <c r="IQ372" s="379"/>
      <c r="IR372" s="262" t="e">
        <f t="shared" si="267"/>
        <v>#N/A</v>
      </c>
      <c r="IS372" s="262" t="e">
        <f t="shared" si="268"/>
        <v>#N/A</v>
      </c>
      <c r="IT372" s="379"/>
      <c r="IU372" s="379"/>
      <c r="IV372" s="262" t="e">
        <f t="shared" si="269"/>
        <v>#N/A</v>
      </c>
      <c r="IW372" s="262" t="e">
        <f t="shared" si="270"/>
        <v>#N/A</v>
      </c>
      <c r="JN372" s="261" t="e">
        <f t="shared" si="271"/>
        <v>#N/A</v>
      </c>
      <c r="JO372" s="261" t="e">
        <f t="shared" si="272"/>
        <v>#N/A</v>
      </c>
      <c r="JR372" s="261" t="e">
        <f t="shared" si="277"/>
        <v>#N/A</v>
      </c>
      <c r="JS372" s="261" t="e">
        <f t="shared" si="278"/>
        <v>#N/A</v>
      </c>
      <c r="JV372" s="261" t="e">
        <f t="shared" si="273"/>
        <v>#N/A</v>
      </c>
      <c r="JW372" s="261" t="e">
        <f t="shared" si="274"/>
        <v>#N/A</v>
      </c>
      <c r="PS372" s="342">
        <v>358</v>
      </c>
      <c r="PT372" s="261" t="e">
        <f t="shared" si="275"/>
        <v>#N/A</v>
      </c>
      <c r="PU372" s="261" t="e">
        <f t="shared" si="276"/>
        <v>#N/A</v>
      </c>
    </row>
    <row r="373" spans="219:437" x14ac:dyDescent="0.5">
      <c r="HK373" s="342">
        <v>359</v>
      </c>
      <c r="HL373" s="235" t="e">
        <f t="shared" si="251"/>
        <v>#N/A</v>
      </c>
      <c r="HM373" s="235" t="e">
        <f t="shared" si="252"/>
        <v>#N/A</v>
      </c>
      <c r="HP373" s="235" t="e">
        <f t="shared" si="253"/>
        <v>#N/A</v>
      </c>
      <c r="HQ373" s="235" t="e">
        <f t="shared" si="254"/>
        <v>#N/A</v>
      </c>
      <c r="HT373" s="235" t="e">
        <f t="shared" si="255"/>
        <v>#N/A</v>
      </c>
      <c r="HU373" s="235" t="e">
        <f t="shared" si="256"/>
        <v>#N/A</v>
      </c>
      <c r="HX373" s="235" t="e">
        <f t="shared" si="257"/>
        <v>#N/A</v>
      </c>
      <c r="HY373" s="235" t="e">
        <f t="shared" si="258"/>
        <v>#N/A</v>
      </c>
      <c r="IB373" s="235" t="e">
        <f t="shared" si="259"/>
        <v>#N/A</v>
      </c>
      <c r="IC373" s="235" t="e">
        <f t="shared" si="260"/>
        <v>#N/A</v>
      </c>
      <c r="IE373" s="342">
        <v>359</v>
      </c>
      <c r="IF373" s="262" t="e">
        <f t="shared" si="261"/>
        <v>#N/A</v>
      </c>
      <c r="IG373" s="262" t="e">
        <f t="shared" si="262"/>
        <v>#N/A</v>
      </c>
      <c r="IH373" s="379"/>
      <c r="II373" s="379"/>
      <c r="IJ373" s="262" t="e">
        <f t="shared" si="263"/>
        <v>#N/A</v>
      </c>
      <c r="IK373" s="262" t="e">
        <f t="shared" si="264"/>
        <v>#N/A</v>
      </c>
      <c r="IL373" s="379"/>
      <c r="IM373" s="379"/>
      <c r="IN373" s="262" t="e">
        <f t="shared" si="265"/>
        <v>#N/A</v>
      </c>
      <c r="IO373" s="262" t="e">
        <f t="shared" si="266"/>
        <v>#N/A</v>
      </c>
      <c r="IP373" s="379"/>
      <c r="IQ373" s="379"/>
      <c r="IR373" s="262" t="e">
        <f t="shared" si="267"/>
        <v>#N/A</v>
      </c>
      <c r="IS373" s="262" t="e">
        <f t="shared" si="268"/>
        <v>#N/A</v>
      </c>
      <c r="IT373" s="379"/>
      <c r="IU373" s="379"/>
      <c r="IV373" s="262" t="e">
        <f t="shared" si="269"/>
        <v>#N/A</v>
      </c>
      <c r="IW373" s="262" t="e">
        <f t="shared" si="270"/>
        <v>#N/A</v>
      </c>
      <c r="JN373" s="261" t="e">
        <f t="shared" si="271"/>
        <v>#N/A</v>
      </c>
      <c r="JO373" s="261" t="e">
        <f t="shared" si="272"/>
        <v>#N/A</v>
      </c>
      <c r="JR373" s="261" t="e">
        <f t="shared" si="277"/>
        <v>#N/A</v>
      </c>
      <c r="JS373" s="261" t="e">
        <f t="shared" si="278"/>
        <v>#N/A</v>
      </c>
      <c r="JV373" s="261" t="e">
        <f t="shared" si="273"/>
        <v>#N/A</v>
      </c>
      <c r="JW373" s="261" t="e">
        <f t="shared" si="274"/>
        <v>#N/A</v>
      </c>
      <c r="PS373" s="342">
        <v>359</v>
      </c>
      <c r="PT373" s="261" t="e">
        <f t="shared" si="275"/>
        <v>#N/A</v>
      </c>
      <c r="PU373" s="261" t="e">
        <f t="shared" si="276"/>
        <v>#N/A</v>
      </c>
    </row>
    <row r="374" spans="219:437" x14ac:dyDescent="0.5">
      <c r="HK374" s="342">
        <v>360</v>
      </c>
      <c r="HL374" s="235" t="e">
        <f t="shared" si="251"/>
        <v>#N/A</v>
      </c>
      <c r="HM374" s="235" t="e">
        <f t="shared" si="252"/>
        <v>#N/A</v>
      </c>
      <c r="HP374" s="235" t="e">
        <f t="shared" si="253"/>
        <v>#N/A</v>
      </c>
      <c r="HQ374" s="235" t="e">
        <f t="shared" si="254"/>
        <v>#N/A</v>
      </c>
      <c r="HT374" s="235" t="e">
        <f t="shared" si="255"/>
        <v>#N/A</v>
      </c>
      <c r="HU374" s="235" t="e">
        <f t="shared" si="256"/>
        <v>#N/A</v>
      </c>
      <c r="HX374" s="235" t="e">
        <f t="shared" si="257"/>
        <v>#N/A</v>
      </c>
      <c r="HY374" s="235" t="e">
        <f t="shared" si="258"/>
        <v>#N/A</v>
      </c>
      <c r="IB374" s="235" t="e">
        <f t="shared" si="259"/>
        <v>#N/A</v>
      </c>
      <c r="IC374" s="235" t="e">
        <f t="shared" si="260"/>
        <v>#N/A</v>
      </c>
      <c r="IE374" s="342">
        <v>360</v>
      </c>
      <c r="IF374" s="262" t="e">
        <f t="shared" si="261"/>
        <v>#N/A</v>
      </c>
      <c r="IG374" s="262" t="e">
        <f t="shared" si="262"/>
        <v>#N/A</v>
      </c>
      <c r="IH374" s="379"/>
      <c r="II374" s="379"/>
      <c r="IJ374" s="262" t="e">
        <f t="shared" si="263"/>
        <v>#N/A</v>
      </c>
      <c r="IK374" s="262" t="e">
        <f t="shared" si="264"/>
        <v>#N/A</v>
      </c>
      <c r="IL374" s="379"/>
      <c r="IM374" s="379"/>
      <c r="IN374" s="262" t="e">
        <f t="shared" si="265"/>
        <v>#N/A</v>
      </c>
      <c r="IO374" s="262" t="e">
        <f t="shared" si="266"/>
        <v>#N/A</v>
      </c>
      <c r="IP374" s="379"/>
      <c r="IQ374" s="379"/>
      <c r="IR374" s="262" t="e">
        <f t="shared" si="267"/>
        <v>#N/A</v>
      </c>
      <c r="IS374" s="262" t="e">
        <f t="shared" si="268"/>
        <v>#N/A</v>
      </c>
      <c r="IT374" s="379"/>
      <c r="IU374" s="379"/>
      <c r="IV374" s="262" t="e">
        <f t="shared" si="269"/>
        <v>#N/A</v>
      </c>
      <c r="IW374" s="262" t="e">
        <f t="shared" si="270"/>
        <v>#N/A</v>
      </c>
      <c r="JN374" s="261" t="e">
        <f t="shared" si="271"/>
        <v>#N/A</v>
      </c>
      <c r="JO374" s="261" t="e">
        <f t="shared" si="272"/>
        <v>#N/A</v>
      </c>
      <c r="JR374" s="261" t="e">
        <f t="shared" si="277"/>
        <v>#N/A</v>
      </c>
      <c r="JS374" s="261" t="e">
        <f t="shared" si="278"/>
        <v>#N/A</v>
      </c>
      <c r="JV374" s="261" t="e">
        <f t="shared" si="273"/>
        <v>#N/A</v>
      </c>
      <c r="JW374" s="261" t="e">
        <f t="shared" si="274"/>
        <v>#N/A</v>
      </c>
      <c r="PS374" s="342">
        <v>360</v>
      </c>
      <c r="PT374" s="261" t="e">
        <f t="shared" si="275"/>
        <v>#N/A</v>
      </c>
      <c r="PU374" s="261" t="e">
        <f t="shared" si="276"/>
        <v>#N/A</v>
      </c>
    </row>
  </sheetData>
  <sheetProtection algorithmName="SHA-512" hashValue="1sywErgsfAMtHKXLWfm4AL8uRW+YW+U636VKIjjj7gk709vEzY0yePXzntlBAhSJQsXV9qaDhjxaM14MBkMH4Q==" saltValue="9JdnF571gb3loStSJDMpog==" spinCount="100000" sheet="1" objects="1" scenarios="1"/>
  <mergeCells count="370">
    <mergeCell ref="RY27:RZ27"/>
    <mergeCell ref="QP36:QR36"/>
    <mergeCell ref="QF34:QG34"/>
    <mergeCell ref="QF33:QG33"/>
    <mergeCell ref="QN27:QO27"/>
    <mergeCell ref="QR27:QS27"/>
    <mergeCell ref="QN28:QO29"/>
    <mergeCell ref="QP28:QP29"/>
    <mergeCell ref="QQ28:QQ29"/>
    <mergeCell ref="QR28:QS29"/>
    <mergeCell ref="QF28:QG29"/>
    <mergeCell ref="QF27:QG27"/>
    <mergeCell ref="QF31:QG32"/>
    <mergeCell ref="QH28:QH29"/>
    <mergeCell ref="QH31:QH32"/>
    <mergeCell ref="RD11:RH11"/>
    <mergeCell ref="QN31:QO32"/>
    <mergeCell ref="QP31:QP32"/>
    <mergeCell ref="QQ31:QQ32"/>
    <mergeCell ref="QR31:QS32"/>
    <mergeCell ref="QT31:QT32"/>
    <mergeCell ref="QM19:QN19"/>
    <mergeCell ref="QR34:QS34"/>
    <mergeCell ref="QR33:QS33"/>
    <mergeCell ref="QT28:QT29"/>
    <mergeCell ref="RA10:RB10"/>
    <mergeCell ref="QA19:QB19"/>
    <mergeCell ref="QB28:QC29"/>
    <mergeCell ref="QB31:QC32"/>
    <mergeCell ref="QB27:QC27"/>
    <mergeCell ref="QD28:QD29"/>
    <mergeCell ref="QD31:QD32"/>
    <mergeCell ref="NA20:NB20"/>
    <mergeCell ref="MU17:MV17"/>
    <mergeCell ref="MW17:MX17"/>
    <mergeCell ref="MY17:MZ17"/>
    <mergeCell ref="OX21:OY21"/>
    <mergeCell ref="QE28:QE29"/>
    <mergeCell ref="QE31:QE32"/>
    <mergeCell ref="PA21:PB21"/>
    <mergeCell ref="OM22:ON22"/>
    <mergeCell ref="MU22:MV22"/>
    <mergeCell ref="MW22:MX22"/>
    <mergeCell ref="MU23:MV23"/>
    <mergeCell ref="MW23:MX23"/>
    <mergeCell ref="MU24:MV24"/>
    <mergeCell ref="MW24:MX24"/>
    <mergeCell ref="MU25:MV25"/>
    <mergeCell ref="MW25:MX25"/>
    <mergeCell ref="MU10:MV10"/>
    <mergeCell ref="MW10:MX10"/>
    <mergeCell ref="MY10:MZ10"/>
    <mergeCell ref="MU20:MV20"/>
    <mergeCell ref="MW20:MX20"/>
    <mergeCell ref="MY20:MZ20"/>
    <mergeCell ref="Q8:R8"/>
    <mergeCell ref="HK6:IC6"/>
    <mergeCell ref="IE6:IW6"/>
    <mergeCell ref="IY6:JD6"/>
    <mergeCell ref="FG6:GQ6"/>
    <mergeCell ref="LH6:MQ6"/>
    <mergeCell ref="KN10:KQ10"/>
    <mergeCell ref="KS10:KV10"/>
    <mergeCell ref="KN8:KW8"/>
    <mergeCell ref="JF6:JK6"/>
    <mergeCell ref="Q12:R12"/>
    <mergeCell ref="Q16:S16"/>
    <mergeCell ref="R17:S17"/>
    <mergeCell ref="R18:S18"/>
    <mergeCell ref="R19:S19"/>
    <mergeCell ref="R20:S20"/>
    <mergeCell ref="CN17:CN21"/>
    <mergeCell ref="GE45:GE46"/>
    <mergeCell ref="GE48:GE49"/>
    <mergeCell ref="FX43:FY43"/>
    <mergeCell ref="FR43:FS43"/>
    <mergeCell ref="LH48:MQ48"/>
    <mergeCell ref="G56:H56"/>
    <mergeCell ref="P1:T4"/>
    <mergeCell ref="GY45:GY46"/>
    <mergeCell ref="HE45:HE46"/>
    <mergeCell ref="J50:K50"/>
    <mergeCell ref="M46:N46"/>
    <mergeCell ref="M47:N47"/>
    <mergeCell ref="M48:N48"/>
    <mergeCell ref="R50:T50"/>
    <mergeCell ref="R52:S52"/>
    <mergeCell ref="GX51:GX52"/>
    <mergeCell ref="GX54:GX55"/>
    <mergeCell ref="J20:L20"/>
    <mergeCell ref="M20:O20"/>
    <mergeCell ref="H21:I21"/>
    <mergeCell ref="J21:L21"/>
    <mergeCell ref="M21:O21"/>
    <mergeCell ref="M9:O9"/>
    <mergeCell ref="FQ22:FR22"/>
    <mergeCell ref="J22:L22"/>
    <mergeCell ref="M22:O22"/>
    <mergeCell ref="J24:L24"/>
    <mergeCell ref="M24:O24"/>
    <mergeCell ref="H25:J25"/>
    <mergeCell ref="L25:N25"/>
    <mergeCell ref="G16:I16"/>
    <mergeCell ref="M16:O16"/>
    <mergeCell ref="J23:L23"/>
    <mergeCell ref="M23:O23"/>
    <mergeCell ref="H20:I20"/>
    <mergeCell ref="G18:I18"/>
    <mergeCell ref="J18:L18"/>
    <mergeCell ref="Q24:R24"/>
    <mergeCell ref="J48:K48"/>
    <mergeCell ref="J49:K49"/>
    <mergeCell ref="M26:N26"/>
    <mergeCell ref="M32:N32"/>
    <mergeCell ref="G61:H61"/>
    <mergeCell ref="G62:I62"/>
    <mergeCell ref="L62:M62"/>
    <mergeCell ref="N62:O62"/>
    <mergeCell ref="J61:K61"/>
    <mergeCell ref="G58:H58"/>
    <mergeCell ref="I57:I58"/>
    <mergeCell ref="G57:H57"/>
    <mergeCell ref="M49:N49"/>
    <mergeCell ref="M50:N50"/>
    <mergeCell ref="J51:K51"/>
    <mergeCell ref="M51:N51"/>
    <mergeCell ref="G52:H52"/>
    <mergeCell ref="G55:H55"/>
    <mergeCell ref="G60:I60"/>
    <mergeCell ref="I55:I56"/>
    <mergeCell ref="H38:I38"/>
    <mergeCell ref="G54:H54"/>
    <mergeCell ref="H31:I31"/>
    <mergeCell ref="M69:O69"/>
    <mergeCell ref="M70:O70"/>
    <mergeCell ref="AR63:AS63"/>
    <mergeCell ref="AR72:AS72"/>
    <mergeCell ref="BI52:BJ52"/>
    <mergeCell ref="BK52:BL52"/>
    <mergeCell ref="BM52:BN52"/>
    <mergeCell ref="M56:O56"/>
    <mergeCell ref="J63:K63"/>
    <mergeCell ref="J55:K56"/>
    <mergeCell ref="J57:K58"/>
    <mergeCell ref="J52:K52"/>
    <mergeCell ref="L55:L56"/>
    <mergeCell ref="L57:L58"/>
    <mergeCell ref="M58:O58"/>
    <mergeCell ref="J54:K54"/>
    <mergeCell ref="L60:M60"/>
    <mergeCell ref="N60:O60"/>
    <mergeCell ref="D70:K70"/>
    <mergeCell ref="P62:T62"/>
    <mergeCell ref="FV43:FW43"/>
    <mergeCell ref="FZ43:GA43"/>
    <mergeCell ref="GA23:GB23"/>
    <mergeCell ref="FU22:FV22"/>
    <mergeCell ref="FS22:FT22"/>
    <mergeCell ref="BD91:BF91"/>
    <mergeCell ref="BG91:BI91"/>
    <mergeCell ref="DR77:DS77"/>
    <mergeCell ref="CJ54:CK54"/>
    <mergeCell ref="DU75:DV75"/>
    <mergeCell ref="CJ29:CK29"/>
    <mergeCell ref="DZ24:EA24"/>
    <mergeCell ref="CV48:CX48"/>
    <mergeCell ref="DU44:DV44"/>
    <mergeCell ref="BO52:BP52"/>
    <mergeCell ref="CP47:CR47"/>
    <mergeCell ref="BM44:BN44"/>
    <mergeCell ref="BC52:BD52"/>
    <mergeCell ref="BF52:BH52"/>
    <mergeCell ref="CN22:CN24"/>
    <mergeCell ref="A63:C63"/>
    <mergeCell ref="G63:H63"/>
    <mergeCell ref="L63:M63"/>
    <mergeCell ref="D39:E39"/>
    <mergeCell ref="M39:O39"/>
    <mergeCell ref="D40:E40"/>
    <mergeCell ref="G40:L41"/>
    <mergeCell ref="M40:N40"/>
    <mergeCell ref="D41:E41"/>
    <mergeCell ref="M41:N41"/>
    <mergeCell ref="A49:B49"/>
    <mergeCell ref="M54:O54"/>
    <mergeCell ref="D42:E42"/>
    <mergeCell ref="D43:E43"/>
    <mergeCell ref="M43:N43"/>
    <mergeCell ref="M44:N44"/>
    <mergeCell ref="M45:N45"/>
    <mergeCell ref="J43:K43"/>
    <mergeCell ref="J45:K45"/>
    <mergeCell ref="J46:K46"/>
    <mergeCell ref="J47:K47"/>
    <mergeCell ref="J31:K31"/>
    <mergeCell ref="M31:N31"/>
    <mergeCell ref="H32:I32"/>
    <mergeCell ref="J32:K32"/>
    <mergeCell ref="J33:K33"/>
    <mergeCell ref="M33:N33"/>
    <mergeCell ref="H33:I33"/>
    <mergeCell ref="H36:I36"/>
    <mergeCell ref="M38:N38"/>
    <mergeCell ref="L1:O1"/>
    <mergeCell ref="L2:O2"/>
    <mergeCell ref="L3:O3"/>
    <mergeCell ref="A6:O6"/>
    <mergeCell ref="G7:J7"/>
    <mergeCell ref="M7:O7"/>
    <mergeCell ref="J10:K10"/>
    <mergeCell ref="J11:K11"/>
    <mergeCell ref="J15:K15"/>
    <mergeCell ref="G11:I11"/>
    <mergeCell ref="M11:O11"/>
    <mergeCell ref="G12:J12"/>
    <mergeCell ref="L12:L13"/>
    <mergeCell ref="M12:N12"/>
    <mergeCell ref="G13:I13"/>
    <mergeCell ref="M13:N13"/>
    <mergeCell ref="M8:N8"/>
    <mergeCell ref="G9:J9"/>
    <mergeCell ref="G10:I10"/>
    <mergeCell ref="M10:O10"/>
    <mergeCell ref="B1:I1"/>
    <mergeCell ref="B2:I2"/>
    <mergeCell ref="B3:J3"/>
    <mergeCell ref="G15:I15"/>
    <mergeCell ref="H30:I30"/>
    <mergeCell ref="M30:N30"/>
    <mergeCell ref="K7:L7"/>
    <mergeCell ref="G14:L14"/>
    <mergeCell ref="M14:O15"/>
    <mergeCell ref="GV51:GV52"/>
    <mergeCell ref="G8:I8"/>
    <mergeCell ref="A5:O5"/>
    <mergeCell ref="GJ23:GK23"/>
    <mergeCell ref="GM23:GN23"/>
    <mergeCell ref="GC23:GD23"/>
    <mergeCell ref="H22:I22"/>
    <mergeCell ref="H27:I27"/>
    <mergeCell ref="H19:I19"/>
    <mergeCell ref="H26:I26"/>
    <mergeCell ref="H23:I23"/>
    <mergeCell ref="H28:I28"/>
    <mergeCell ref="G24:I24"/>
    <mergeCell ref="H29:I29"/>
    <mergeCell ref="M27:N27"/>
    <mergeCell ref="M18:O18"/>
    <mergeCell ref="J26:K26"/>
    <mergeCell ref="M36:N36"/>
    <mergeCell ref="J44:K44"/>
    <mergeCell ref="J29:K29"/>
    <mergeCell ref="J30:K30"/>
    <mergeCell ref="GB43:GC43"/>
    <mergeCell ref="M17:N17"/>
    <mergeCell ref="J16:K16"/>
    <mergeCell ref="J27:K27"/>
    <mergeCell ref="J28:K28"/>
    <mergeCell ref="J19:L19"/>
    <mergeCell ref="M19:O19"/>
    <mergeCell ref="S41:T41"/>
    <mergeCell ref="Q31:R31"/>
    <mergeCell ref="M28:N28"/>
    <mergeCell ref="J36:K36"/>
    <mergeCell ref="J38:K38"/>
    <mergeCell ref="M29:N29"/>
    <mergeCell ref="FY22:FZ22"/>
    <mergeCell ref="FW22:FX22"/>
    <mergeCell ref="EV17:EW17"/>
    <mergeCell ref="EX17:EY17"/>
    <mergeCell ref="EZ17:FA17"/>
    <mergeCell ref="FB17:FC17"/>
    <mergeCell ref="FD17:FE17"/>
    <mergeCell ref="BA32:BA34"/>
    <mergeCell ref="FT43:FU43"/>
    <mergeCell ref="GX57:GX58"/>
    <mergeCell ref="GX60:GX61"/>
    <mergeCell ref="GZ43:HA43"/>
    <mergeCell ref="GW57:GW58"/>
    <mergeCell ref="GW60:GW61"/>
    <mergeCell ref="GE54:GE55"/>
    <mergeCell ref="GT45:GT46"/>
    <mergeCell ref="GT48:GT49"/>
    <mergeCell ref="GT51:GT52"/>
    <mergeCell ref="GT54:GT55"/>
    <mergeCell ref="GU45:GU46"/>
    <mergeCell ref="GU48:GU49"/>
    <mergeCell ref="GU51:GU52"/>
    <mergeCell ref="GU54:GU55"/>
    <mergeCell ref="GV45:GV46"/>
    <mergeCell ref="GV48:GV49"/>
    <mergeCell ref="GE57:GE58"/>
    <mergeCell ref="GE60:GE61"/>
    <mergeCell ref="GV54:GV55"/>
    <mergeCell ref="GW45:GW46"/>
    <mergeCell ref="GW48:GW49"/>
    <mergeCell ref="GW51:GW52"/>
    <mergeCell ref="GW54:GW55"/>
    <mergeCell ref="GE51:GE52"/>
    <mergeCell ref="HB43:HC43"/>
    <mergeCell ref="LB9:LB10"/>
    <mergeCell ref="LB12:LB13"/>
    <mergeCell ref="LB15:LB16"/>
    <mergeCell ref="LB18:LB19"/>
    <mergeCell ref="KN35:KR35"/>
    <mergeCell ref="KT35:KX35"/>
    <mergeCell ref="GX45:GX46"/>
    <mergeCell ref="GX48:GX49"/>
    <mergeCell ref="HE51:HE52"/>
    <mergeCell ref="HE54:HE55"/>
    <mergeCell ref="HF45:HF46"/>
    <mergeCell ref="HF48:HF49"/>
    <mergeCell ref="HF51:HF52"/>
    <mergeCell ref="HF54:HF55"/>
    <mergeCell ref="GY48:GY49"/>
    <mergeCell ref="GY51:GY52"/>
    <mergeCell ref="GY54:GY55"/>
    <mergeCell ref="HE48:HE49"/>
    <mergeCell ref="NT7:NU7"/>
    <mergeCell ref="NV7:NW7"/>
    <mergeCell ref="OA7:OB7"/>
    <mergeCell ref="OC7:OD7"/>
    <mergeCell ref="OA9:OA10"/>
    <mergeCell ref="OB9:OB10"/>
    <mergeCell ref="OC9:OC10"/>
    <mergeCell ref="OD9:OD10"/>
    <mergeCell ref="OA12:OA13"/>
    <mergeCell ref="OB12:OB13"/>
    <mergeCell ref="OC12:OC13"/>
    <mergeCell ref="OD12:OD13"/>
    <mergeCell ref="OE39:OE40"/>
    <mergeCell ref="OF39:OF40"/>
    <mergeCell ref="OG39:OG40"/>
    <mergeCell ref="NT37:NU37"/>
    <mergeCell ref="NV37:NW37"/>
    <mergeCell ref="NR39:NR40"/>
    <mergeCell ref="NR42:NR43"/>
    <mergeCell ref="NT41:NU41"/>
    <mergeCell ref="NV41:NW41"/>
    <mergeCell ref="OA37:OB37"/>
    <mergeCell ref="OC37:OD37"/>
    <mergeCell ref="OA39:OA40"/>
    <mergeCell ref="OB39:OB40"/>
    <mergeCell ref="OC39:OC40"/>
    <mergeCell ref="OD39:OD40"/>
    <mergeCell ref="OA42:OA43"/>
    <mergeCell ref="R21:S21"/>
    <mergeCell ref="R22:S22"/>
    <mergeCell ref="QV9:QX9"/>
    <mergeCell ref="RG22:RI22"/>
    <mergeCell ref="J60:K60"/>
    <mergeCell ref="J62:K62"/>
    <mergeCell ref="HG45:HG46"/>
    <mergeCell ref="HG48:HG49"/>
    <mergeCell ref="HG51:HG52"/>
    <mergeCell ref="HG54:HG55"/>
    <mergeCell ref="NS45:NT45"/>
    <mergeCell ref="NW45:NX45"/>
    <mergeCell ref="OB42:OB43"/>
    <mergeCell ref="OC42:OC43"/>
    <mergeCell ref="OD42:OD43"/>
    <mergeCell ref="OE42:OE43"/>
    <mergeCell ref="OF42:OF43"/>
    <mergeCell ref="OG42:OG43"/>
    <mergeCell ref="OE9:OE10"/>
    <mergeCell ref="OE12:OE13"/>
    <mergeCell ref="OF9:OF10"/>
    <mergeCell ref="OF12:OF13"/>
    <mergeCell ref="OG9:OG10"/>
    <mergeCell ref="OG12:OG13"/>
  </mergeCells>
  <phoneticPr fontId="31" type="noConversion"/>
  <conditionalFormatting sqref="O26">
    <cfRule type="expression" dxfId="136" priority="147">
      <formula>$BG$25</formula>
    </cfRule>
    <cfRule type="expression" dxfId="135" priority="151">
      <formula>$BF$25</formula>
    </cfRule>
  </conditionalFormatting>
  <conditionalFormatting sqref="O27">
    <cfRule type="expression" dxfId="134" priority="146">
      <formula>$BG$26</formula>
    </cfRule>
    <cfRule type="expression" dxfId="133" priority="150">
      <formula>$BF$26</formula>
    </cfRule>
  </conditionalFormatting>
  <conditionalFormatting sqref="O28">
    <cfRule type="expression" dxfId="132" priority="145">
      <formula>$BG$27</formula>
    </cfRule>
    <cfRule type="expression" dxfId="131" priority="149">
      <formula>$BF$27</formula>
    </cfRule>
  </conditionalFormatting>
  <conditionalFormatting sqref="O29">
    <cfRule type="expression" dxfId="130" priority="144">
      <formula>$BG$28</formula>
    </cfRule>
    <cfRule type="expression" dxfId="129" priority="148">
      <formula>$BF$28</formula>
    </cfRule>
  </conditionalFormatting>
  <conditionalFormatting sqref="AX69:BA69 AX71:BA71">
    <cfRule type="cellIs" dxfId="128" priority="142" operator="equal">
      <formula>$EZ$14</formula>
    </cfRule>
    <cfRule type="cellIs" dxfId="127" priority="143" operator="equal">
      <formula>$EZ$13</formula>
    </cfRule>
  </conditionalFormatting>
  <conditionalFormatting sqref="J55">
    <cfRule type="expression" dxfId="126" priority="141">
      <formula>$AX$57</formula>
    </cfRule>
  </conditionalFormatting>
  <conditionalFormatting sqref="J57">
    <cfRule type="expression" dxfId="125" priority="140">
      <formula>$AX$58</formula>
    </cfRule>
  </conditionalFormatting>
  <conditionalFormatting sqref="L55:L56">
    <cfRule type="expression" dxfId="124" priority="139">
      <formula>$AX$57</formula>
    </cfRule>
  </conditionalFormatting>
  <conditionalFormatting sqref="L57:L58">
    <cfRule type="expression" dxfId="123" priority="138">
      <formula>$AX$58</formula>
    </cfRule>
  </conditionalFormatting>
  <conditionalFormatting sqref="J55 L55:L56">
    <cfRule type="expression" dxfId="122" priority="137">
      <formula>$AW$57</formula>
    </cfRule>
  </conditionalFormatting>
  <conditionalFormatting sqref="J57 L57:L58">
    <cfRule type="expression" dxfId="121" priority="136">
      <formula>$AW$58</formula>
    </cfRule>
  </conditionalFormatting>
  <conditionalFormatting sqref="O52">
    <cfRule type="expression" dxfId="120" priority="134">
      <formula>$AR$48</formula>
    </cfRule>
    <cfRule type="expression" dxfId="119" priority="135">
      <formula>$AQ$48</formula>
    </cfRule>
  </conditionalFormatting>
  <conditionalFormatting sqref="A66:B66">
    <cfRule type="expression" dxfId="118" priority="132">
      <formula>$HE$57</formula>
    </cfRule>
    <cfRule type="expression" dxfId="117" priority="133">
      <formula>$HF$57</formula>
    </cfRule>
  </conditionalFormatting>
  <conditionalFormatting sqref="L61:M61">
    <cfRule type="expression" dxfId="116" priority="13">
      <formula>$BS$68</formula>
    </cfRule>
    <cfRule type="expression" dxfId="115" priority="125">
      <formula>$AU$73</formula>
    </cfRule>
    <cfRule type="expression" dxfId="114" priority="131">
      <formula>$AT$73</formula>
    </cfRule>
  </conditionalFormatting>
  <conditionalFormatting sqref="M61">
    <cfRule type="expression" dxfId="113" priority="124">
      <formula>$AU$73</formula>
    </cfRule>
    <cfRule type="expression" dxfId="112" priority="130">
      <formula>$AT$73</formula>
    </cfRule>
  </conditionalFormatting>
  <conditionalFormatting sqref="N61:O61">
    <cfRule type="expression" dxfId="111" priority="12">
      <formula>$BS$69</formula>
    </cfRule>
    <cfRule type="expression" dxfId="110" priority="123">
      <formula>$AU$74</formula>
    </cfRule>
    <cfRule type="expression" dxfId="109" priority="129">
      <formula>$AT$74</formula>
    </cfRule>
  </conditionalFormatting>
  <conditionalFormatting sqref="O61">
    <cfRule type="expression" dxfId="108" priority="122">
      <formula>$AU$74</formula>
    </cfRule>
    <cfRule type="expression" dxfId="107" priority="128">
      <formula>$AT$74</formula>
    </cfRule>
  </conditionalFormatting>
  <conditionalFormatting sqref="N63:O63">
    <cfRule type="expression" dxfId="106" priority="11">
      <formula>$BS$70</formula>
    </cfRule>
    <cfRule type="expression" dxfId="105" priority="15">
      <formula>$RX$18</formula>
    </cfRule>
    <cfRule type="expression" dxfId="104" priority="121">
      <formula>$AU$75</formula>
    </cfRule>
    <cfRule type="expression" dxfId="103" priority="127">
      <formula>$AT$75</formula>
    </cfRule>
  </conditionalFormatting>
  <conditionalFormatting sqref="O63">
    <cfRule type="expression" dxfId="102" priority="14">
      <formula>$RX$18</formula>
    </cfRule>
    <cfRule type="expression" dxfId="101" priority="120">
      <formula>$AU$75</formula>
    </cfRule>
    <cfRule type="expression" dxfId="100" priority="126">
      <formula>$AT$75</formula>
    </cfRule>
  </conditionalFormatting>
  <conditionalFormatting sqref="G44:J44 L44:O44">
    <cfRule type="expression" dxfId="99" priority="119">
      <formula>$BM$7</formula>
    </cfRule>
  </conditionalFormatting>
  <conditionalFormatting sqref="G45:J45 L45:O45">
    <cfRule type="expression" dxfId="98" priority="118">
      <formula>$BM$8</formula>
    </cfRule>
  </conditionalFormatting>
  <conditionalFormatting sqref="G46:J46 L46:O46">
    <cfRule type="expression" dxfId="97" priority="117">
      <formula>$BM$9</formula>
    </cfRule>
  </conditionalFormatting>
  <conditionalFormatting sqref="G47:J47 L47:O47">
    <cfRule type="expression" dxfId="96" priority="116">
      <formula>$BM$10</formula>
    </cfRule>
  </conditionalFormatting>
  <conditionalFormatting sqref="G48:J48 L48:O48">
    <cfRule type="expression" dxfId="95" priority="115">
      <formula>$BM$11</formula>
    </cfRule>
  </conditionalFormatting>
  <conditionalFormatting sqref="L26">
    <cfRule type="expression" dxfId="94" priority="180">
      <formula>$BB$25</formula>
    </cfRule>
    <cfRule type="expression" dxfId="93" priority="181">
      <formula>$BA$25</formula>
    </cfRule>
  </conditionalFormatting>
  <conditionalFormatting sqref="L27">
    <cfRule type="expression" dxfId="92" priority="182">
      <formula>$BB$26</formula>
    </cfRule>
    <cfRule type="expression" dxfId="91" priority="183">
      <formula>$BA$26</formula>
    </cfRule>
  </conditionalFormatting>
  <conditionalFormatting sqref="L28">
    <cfRule type="expression" dxfId="90" priority="184">
      <formula>$BB$27</formula>
    </cfRule>
    <cfRule type="expression" dxfId="89" priority="185">
      <formula>$BA$27</formula>
    </cfRule>
  </conditionalFormatting>
  <conditionalFormatting sqref="L29">
    <cfRule type="expression" dxfId="88" priority="186">
      <formula>$BB$28</formula>
    </cfRule>
    <cfRule type="expression" dxfId="87" priority="187">
      <formula>$BA$28</formula>
    </cfRule>
  </conditionalFormatting>
  <conditionalFormatting sqref="M26">
    <cfRule type="expression" dxfId="86" priority="188">
      <formula>$BD$25</formula>
    </cfRule>
    <cfRule type="expression" dxfId="85" priority="189">
      <formula>$BC$25</formula>
    </cfRule>
  </conditionalFormatting>
  <conditionalFormatting sqref="M27">
    <cfRule type="expression" dxfId="84" priority="190">
      <formula>$BD$26</formula>
    </cfRule>
    <cfRule type="expression" dxfId="83" priority="191">
      <formula>$BC$26</formula>
    </cfRule>
  </conditionalFormatting>
  <conditionalFormatting sqref="M28">
    <cfRule type="expression" dxfId="82" priority="192">
      <formula>$BD$27</formula>
    </cfRule>
    <cfRule type="expression" dxfId="81" priority="193">
      <formula>$BC$27</formula>
    </cfRule>
  </conditionalFormatting>
  <conditionalFormatting sqref="M29">
    <cfRule type="expression" dxfId="80" priority="194">
      <formula>$BD$28</formula>
    </cfRule>
    <cfRule type="expression" dxfId="79" priority="195">
      <formula>$BC$28</formula>
    </cfRule>
  </conditionalFormatting>
  <conditionalFormatting sqref="G44:O44">
    <cfRule type="expression" dxfId="78" priority="5">
      <formula>$SC$29</formula>
    </cfRule>
    <cfRule type="expression" dxfId="77" priority="90">
      <formula>$BD$43</formula>
    </cfRule>
    <cfRule type="expression" dxfId="76" priority="98">
      <formula>$BC$43</formula>
    </cfRule>
  </conditionalFormatting>
  <conditionalFormatting sqref="G45:O45">
    <cfRule type="expression" dxfId="75" priority="4">
      <formula>$SC$30</formula>
    </cfRule>
    <cfRule type="expression" dxfId="74" priority="89">
      <formula>$BD$44</formula>
    </cfRule>
    <cfRule type="expression" dxfId="73" priority="97">
      <formula>$BC$44</formula>
    </cfRule>
  </conditionalFormatting>
  <conditionalFormatting sqref="G46:O46">
    <cfRule type="expression" dxfId="72" priority="3">
      <formula>$SC$31</formula>
    </cfRule>
    <cfRule type="expression" dxfId="71" priority="88">
      <formula>$BD$45</formula>
    </cfRule>
    <cfRule type="expression" dxfId="70" priority="96">
      <formula>$BC$45</formula>
    </cfRule>
  </conditionalFormatting>
  <conditionalFormatting sqref="G47:O47">
    <cfRule type="expression" dxfId="69" priority="2">
      <formula>$SC$32</formula>
    </cfRule>
    <cfRule type="expression" dxfId="68" priority="87">
      <formula>$BD$46</formula>
    </cfRule>
    <cfRule type="expression" dxfId="67" priority="95">
      <formula>$BC$46</formula>
    </cfRule>
  </conditionalFormatting>
  <conditionalFormatting sqref="O44">
    <cfRule type="expression" dxfId="66" priority="86">
      <formula>$BD$43</formula>
    </cfRule>
    <cfRule type="expression" dxfId="65" priority="94">
      <formula>$BC$43</formula>
    </cfRule>
  </conditionalFormatting>
  <conditionalFormatting sqref="O45">
    <cfRule type="expression" dxfId="64" priority="85">
      <formula>$BD$44</formula>
    </cfRule>
    <cfRule type="expression" dxfId="63" priority="93">
      <formula>$BC$44</formula>
    </cfRule>
  </conditionalFormatting>
  <conditionalFormatting sqref="O46">
    <cfRule type="expression" dxfId="62" priority="84">
      <formula>$BD$45</formula>
    </cfRule>
    <cfRule type="expression" dxfId="61" priority="92">
      <formula>$BC$45</formula>
    </cfRule>
  </conditionalFormatting>
  <conditionalFormatting sqref="O47">
    <cfRule type="expression" dxfId="60" priority="83">
      <formula>$BD$46</formula>
    </cfRule>
    <cfRule type="expression" dxfId="59" priority="91">
      <formula>$BC$46</formula>
    </cfRule>
  </conditionalFormatting>
  <conditionalFormatting sqref="A65:B65">
    <cfRule type="expression" dxfId="58" priority="82">
      <formula>$BC$48</formula>
    </cfRule>
  </conditionalFormatting>
  <conditionalFormatting sqref="A67:B67">
    <cfRule type="expression" dxfId="57" priority="81">
      <formula>$BG$46</formula>
    </cfRule>
  </conditionalFormatting>
  <conditionalFormatting sqref="A68:B68">
    <cfRule type="expression" dxfId="56" priority="80">
      <formula>$BM$44</formula>
    </cfRule>
  </conditionalFormatting>
  <conditionalFormatting sqref="M36:N36">
    <cfRule type="expression" dxfId="55" priority="75">
      <formula>$AW$9</formula>
    </cfRule>
    <cfRule type="expression" dxfId="54" priority="79">
      <formula>$AV$9</formula>
    </cfRule>
  </conditionalFormatting>
  <conditionalFormatting sqref="M38:N38">
    <cfRule type="expression" dxfId="53" priority="74">
      <formula>$AW$10</formula>
    </cfRule>
    <cfRule type="expression" dxfId="52" priority="78">
      <formula>$AV$10</formula>
    </cfRule>
  </conditionalFormatting>
  <conditionalFormatting sqref="O36">
    <cfRule type="expression" dxfId="51" priority="73">
      <formula>$AW$9</formula>
    </cfRule>
    <cfRule type="expression" dxfId="50" priority="77">
      <formula>$AV$9</formula>
    </cfRule>
  </conditionalFormatting>
  <conditionalFormatting sqref="O38">
    <cfRule type="expression" dxfId="49" priority="72">
      <formula>$AW$10</formula>
    </cfRule>
    <cfRule type="expression" dxfId="48" priority="76">
      <formula>$AV$10</formula>
    </cfRule>
  </conditionalFormatting>
  <conditionalFormatting sqref="L30:O30">
    <cfRule type="expression" dxfId="47" priority="71">
      <formula>$BC$29</formula>
    </cfRule>
  </conditionalFormatting>
  <conditionalFormatting sqref="G48:O48">
    <cfRule type="expression" dxfId="46" priority="1">
      <formula>"SC33"</formula>
    </cfRule>
    <cfRule type="expression" dxfId="45" priority="70">
      <formula>$BM$11</formula>
    </cfRule>
  </conditionalFormatting>
  <conditionalFormatting sqref="O48">
    <cfRule type="expression" dxfId="44" priority="69">
      <formula>$BM$11</formula>
    </cfRule>
  </conditionalFormatting>
  <conditionalFormatting sqref="Q41:R41">
    <cfRule type="expression" dxfId="43" priority="33">
      <formula>$FN$24</formula>
    </cfRule>
    <cfRule type="expression" dxfId="42" priority="48">
      <formula>$FM$24</formula>
    </cfRule>
    <cfRule type="expression" dxfId="41" priority="56">
      <formula>$FK$24</formula>
    </cfRule>
  </conditionalFormatting>
  <conditionalFormatting sqref="Q42:R42">
    <cfRule type="expression" dxfId="40" priority="34">
      <formula>$FN$25</formula>
    </cfRule>
    <cfRule type="expression" dxfId="39" priority="47">
      <formula>$FM$25</formula>
    </cfRule>
    <cfRule type="expression" dxfId="38" priority="55">
      <formula>$FK$25</formula>
    </cfRule>
  </conditionalFormatting>
  <conditionalFormatting sqref="Q43:R43">
    <cfRule type="expression" dxfId="37" priority="35">
      <formula>$FN$26</formula>
    </cfRule>
    <cfRule type="expression" dxfId="36" priority="46">
      <formula>$FM$26</formula>
    </cfRule>
    <cfRule type="expression" dxfId="35" priority="54">
      <formula>$FK$26</formula>
    </cfRule>
  </conditionalFormatting>
  <conditionalFormatting sqref="Q44:R44">
    <cfRule type="expression" dxfId="34" priority="36">
      <formula>$FN$27</formula>
    </cfRule>
    <cfRule type="expression" dxfId="33" priority="45">
      <formula>$FM$27</formula>
    </cfRule>
    <cfRule type="expression" dxfId="32" priority="53">
      <formula>$FK$27</formula>
    </cfRule>
  </conditionalFormatting>
  <conditionalFormatting sqref="Q45:R45">
    <cfRule type="expression" dxfId="31" priority="37">
      <formula>$FN$28</formula>
    </cfRule>
    <cfRule type="expression" dxfId="30" priority="44">
      <formula>$FM$28</formula>
    </cfRule>
    <cfRule type="expression" dxfId="29" priority="52">
      <formula>$FK$28</formula>
    </cfRule>
  </conditionalFormatting>
  <conditionalFormatting sqref="Q46:R46">
    <cfRule type="expression" dxfId="28" priority="38">
      <formula>$FN$29</formula>
    </cfRule>
    <cfRule type="expression" dxfId="27" priority="43">
      <formula>$FM$29</formula>
    </cfRule>
    <cfRule type="expression" dxfId="26" priority="51">
      <formula>$FK$29</formula>
    </cfRule>
  </conditionalFormatting>
  <conditionalFormatting sqref="Q47:R47">
    <cfRule type="expression" dxfId="25" priority="39">
      <formula>$FN$30</formula>
    </cfRule>
    <cfRule type="expression" dxfId="24" priority="42">
      <formula>$FM$30</formula>
    </cfRule>
    <cfRule type="expression" dxfId="23" priority="50">
      <formula>$FK$30</formula>
    </cfRule>
  </conditionalFormatting>
  <conditionalFormatting sqref="Q48:R48">
    <cfRule type="expression" dxfId="22" priority="40">
      <formula>$FN$31</formula>
    </cfRule>
    <cfRule type="expression" dxfId="21" priority="41">
      <formula>$FM$31</formula>
    </cfRule>
    <cfRule type="expression" dxfId="20" priority="49">
      <formula>$FK$31</formula>
    </cfRule>
  </conditionalFormatting>
  <conditionalFormatting sqref="J15:L15">
    <cfRule type="expression" dxfId="19" priority="27">
      <formula>$BV$9</formula>
    </cfRule>
    <cfRule type="expression" dxfId="18" priority="30">
      <formula>$BW$9</formula>
    </cfRule>
  </conditionalFormatting>
  <conditionalFormatting sqref="J16:L16">
    <cfRule type="expression" dxfId="17" priority="28">
      <formula>$BV$8</formula>
    </cfRule>
    <cfRule type="expression" dxfId="16" priority="29">
      <formula>$BW$8</formula>
    </cfRule>
  </conditionalFormatting>
  <conditionalFormatting sqref="C40 F40">
    <cfRule type="expression" dxfId="15" priority="21">
      <formula>$HF$45</formula>
    </cfRule>
    <cfRule type="expression" dxfId="14" priority="25">
      <formula>$HE$45</formula>
    </cfRule>
  </conditionalFormatting>
  <conditionalFormatting sqref="C41 F41">
    <cfRule type="expression" dxfId="13" priority="20">
      <formula>$HF$48</formula>
    </cfRule>
    <cfRule type="expression" dxfId="12" priority="24">
      <formula>$HE$48</formula>
    </cfRule>
  </conditionalFormatting>
  <conditionalFormatting sqref="C42 F42">
    <cfRule type="expression" dxfId="11" priority="19">
      <formula>$HF$51</formula>
    </cfRule>
    <cfRule type="expression" dxfId="10" priority="23">
      <formula>$HE$51</formula>
    </cfRule>
  </conditionalFormatting>
  <conditionalFormatting sqref="C43 F43">
    <cfRule type="expression" dxfId="9" priority="18">
      <formula>$HF$54</formula>
    </cfRule>
    <cfRule type="expression" dxfId="8" priority="22">
      <formula>$HE$54</formula>
    </cfRule>
  </conditionalFormatting>
  <conditionalFormatting sqref="P40:R40">
    <cfRule type="expression" dxfId="7" priority="198">
      <formula>$FJ$24</formula>
    </cfRule>
  </conditionalFormatting>
  <conditionalFormatting sqref="G7:O7 G9:K9 M9:O9 G12:K12 L12:L13 G14:L14 M14:O15 G17:N17 G25:O25 G34:O34">
    <cfRule type="expression" dxfId="6" priority="17">
      <formula>$AS$8</formula>
    </cfRule>
  </conditionalFormatting>
  <conditionalFormatting sqref="A69:B69">
    <cfRule type="expression" dxfId="5" priority="16">
      <formula>$BM$48</formula>
    </cfRule>
  </conditionalFormatting>
  <conditionalFormatting sqref="G26:O26">
    <cfRule type="expression" dxfId="4" priority="10">
      <formula>$SC$29</formula>
    </cfRule>
  </conditionalFormatting>
  <conditionalFormatting sqref="G27:O27">
    <cfRule type="expression" dxfId="3" priority="9">
      <formula>$SC$30</formula>
    </cfRule>
  </conditionalFormatting>
  <conditionalFormatting sqref="G28:O28">
    <cfRule type="expression" dxfId="2" priority="8">
      <formula>$SC$31</formula>
    </cfRule>
  </conditionalFormatting>
  <conditionalFormatting sqref="G29:O29">
    <cfRule type="expression" dxfId="1" priority="7">
      <formula>$SC$32</formula>
    </cfRule>
  </conditionalFormatting>
  <conditionalFormatting sqref="G30:O30">
    <cfRule type="expression" dxfId="0" priority="6">
      <formula>$SC$33</formula>
    </cfRule>
  </conditionalFormatting>
  <dataValidations disablePrompts="1" count="1">
    <dataValidation type="list" allowBlank="1" showInputMessage="1" showErrorMessage="1" sqref="D63" xr:uid="{06A11F8F-6088-4365-91BE-84A537C9369D}">
      <formula1>"1,2,3,4,5,6,7,8,9,10"</formula1>
    </dataValidation>
  </dataValidations>
  <pageMargins left="0.85" right="0" top="0.25" bottom="0" header="0" footer="0"/>
  <pageSetup scale="69" orientation="portrait" r:id="rId1"/>
  <drawing r:id="rId2"/>
  <legacyDrawing r:id="rId3"/>
  <controls>
    <mc:AlternateContent xmlns:mc="http://schemas.openxmlformats.org/markup-compatibility/2006">
      <mc:Choice Requires="x14">
        <control shapeId="1084" r:id="rId4" name="AttachButton">
          <controlPr locked="0" defaultSize="0" autoLine="0" autoPict="0" r:id="rId5">
            <anchor moveWithCells="1">
              <from>
                <xdr:col>20</xdr:col>
                <xdr:colOff>257175</xdr:colOff>
                <xdr:row>50</xdr:row>
                <xdr:rowOff>0</xdr:rowOff>
              </from>
              <to>
                <xdr:col>28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084" r:id="rId4" name="AttachButton"/>
      </mc:Fallback>
    </mc:AlternateContent>
    <mc:AlternateContent xmlns:mc="http://schemas.openxmlformats.org/markup-compatibility/2006">
      <mc:Choice Requires="x14">
        <control shapeId="1079" r:id="rId6" name="TextBox3">
          <controlPr locked="0" defaultSize="0" autoLine="0" r:id="rId7">
            <anchor moveWithCells="1">
              <from>
                <xdr:col>20</xdr:col>
                <xdr:colOff>257175</xdr:colOff>
                <xdr:row>48</xdr:row>
                <xdr:rowOff>0</xdr:rowOff>
              </from>
              <to>
                <xdr:col>28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1079" r:id="rId6" name="TextBox3"/>
      </mc:Fallback>
    </mc:AlternateContent>
    <mc:AlternateContent xmlns:mc="http://schemas.openxmlformats.org/markup-compatibility/2006">
      <mc:Choice Requires="x14">
        <control shapeId="1078" r:id="rId8" name="CommentSent">
          <controlPr locked="0" defaultSize="0" autoLine="0" r:id="rId9">
            <anchor moveWithCells="1">
              <from>
                <xdr:col>28</xdr:col>
                <xdr:colOff>0</xdr:colOff>
                <xdr:row>48</xdr:row>
                <xdr:rowOff>0</xdr:rowOff>
              </from>
              <to>
                <xdr:col>30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078" r:id="rId8" name="CommentSent"/>
      </mc:Fallback>
    </mc:AlternateContent>
    <mc:AlternateContent xmlns:mc="http://schemas.openxmlformats.org/markup-compatibility/2006">
      <mc:Choice Requires="x14">
        <control shapeId="1076" r:id="rId10" name="TextBox2">
          <controlPr defaultSize="0" autoLine="0" autoPict="0" r:id="rId11">
            <anchor moveWithCells="1">
              <from>
                <xdr:col>20</xdr:col>
                <xdr:colOff>257175</xdr:colOff>
                <xdr:row>42</xdr:row>
                <xdr:rowOff>0</xdr:rowOff>
              </from>
              <to>
                <xdr:col>30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1076" r:id="rId10" name="TextBox2"/>
      </mc:Fallback>
    </mc:AlternateContent>
    <mc:AlternateContent xmlns:mc="http://schemas.openxmlformats.org/markup-compatibility/2006">
      <mc:Choice Requires="x14">
        <control shapeId="1073" r:id="rId12" name="TextBox1">
          <controlPr defaultSize="0" autoLine="0" autoPict="0" r:id="rId13">
            <anchor moveWithCells="1">
              <from>
                <xdr:col>20</xdr:col>
                <xdr:colOff>257175</xdr:colOff>
                <xdr:row>16</xdr:row>
                <xdr:rowOff>114300</xdr:rowOff>
              </from>
              <to>
                <xdr:col>30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1073" r:id="rId12" name="TextBox1"/>
      </mc:Fallback>
    </mc:AlternateContent>
    <mc:AlternateContent xmlns:mc="http://schemas.openxmlformats.org/markup-compatibility/2006">
      <mc:Choice Requires="x14">
        <control shapeId="1034" r:id="rId14" name="Drop Down 10">
          <controlPr locked="0" defaultSize="0" autoLine="0" autoPict="0">
            <anchor moveWithCells="1">
              <from>
                <xdr:col>15</xdr:col>
                <xdr:colOff>28575</xdr:colOff>
                <xdr:row>54</xdr:row>
                <xdr:rowOff>19050</xdr:rowOff>
              </from>
              <to>
                <xdr:col>16</xdr:col>
                <xdr:colOff>285750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5" name="Drop Down 11">
          <controlPr locked="0" defaultSize="0" autoLine="0" autoPict="0">
            <anchor moveWithCells="1">
              <from>
                <xdr:col>15</xdr:col>
                <xdr:colOff>28575</xdr:colOff>
                <xdr:row>56</xdr:row>
                <xdr:rowOff>19050</xdr:rowOff>
              </from>
              <to>
                <xdr:col>16</xdr:col>
                <xdr:colOff>285750</xdr:colOff>
                <xdr:row>56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6" name="Drop Down 17">
          <controlPr locked="0" defaultSize="0" autoLine="0" autoPict="0">
            <anchor moveWithCells="1">
              <from>
                <xdr:col>17</xdr:col>
                <xdr:colOff>0</xdr:colOff>
                <xdr:row>12</xdr:row>
                <xdr:rowOff>0</xdr:rowOff>
              </from>
              <to>
                <xdr:col>18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7" name="Check Box 18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63</xdr:row>
                <xdr:rowOff>9525</xdr:rowOff>
              </from>
              <to>
                <xdr:col>16</xdr:col>
                <xdr:colOff>0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8" name="Check Box 21">
          <controlPr locked="0" defaultSize="0" autoFill="0" autoLine="0" autoPict="0">
            <anchor moveWithCells="1">
              <from>
                <xdr:col>16</xdr:col>
                <xdr:colOff>19050</xdr:colOff>
                <xdr:row>40</xdr:row>
                <xdr:rowOff>66675</xdr:rowOff>
              </from>
              <to>
                <xdr:col>16</xdr:col>
                <xdr:colOff>276225</xdr:colOff>
                <xdr:row>40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9" name="Check Box 22">
          <controlPr locked="0" defaultSize="0" autoFill="0" autoLine="0" autoPict="0">
            <anchor moveWithCells="1">
              <from>
                <xdr:col>16</xdr:col>
                <xdr:colOff>19050</xdr:colOff>
                <xdr:row>41</xdr:row>
                <xdr:rowOff>57150</xdr:rowOff>
              </from>
              <to>
                <xdr:col>16</xdr:col>
                <xdr:colOff>276225</xdr:colOff>
                <xdr:row>41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0" name="Check Box 23">
          <controlPr locked="0" defaultSize="0" autoFill="0" autoLine="0" autoPict="0">
            <anchor moveWithCells="1">
              <from>
                <xdr:col>16</xdr:col>
                <xdr:colOff>9525</xdr:colOff>
                <xdr:row>42</xdr:row>
                <xdr:rowOff>57150</xdr:rowOff>
              </from>
              <to>
                <xdr:col>16</xdr:col>
                <xdr:colOff>266700</xdr:colOff>
                <xdr:row>42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1" name="Check Box 24">
          <controlPr locked="0" defaultSize="0" autoFill="0" autoLine="0" autoPict="0">
            <anchor moveWithCells="1">
              <from>
                <xdr:col>16</xdr:col>
                <xdr:colOff>9525</xdr:colOff>
                <xdr:row>43</xdr:row>
                <xdr:rowOff>47625</xdr:rowOff>
              </from>
              <to>
                <xdr:col>16</xdr:col>
                <xdr:colOff>266700</xdr:colOff>
                <xdr:row>43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2" name="Check Box 25">
          <controlPr locked="0" defaultSize="0" autoFill="0" autoLine="0" autoPict="0">
            <anchor moveWithCells="1">
              <from>
                <xdr:col>16</xdr:col>
                <xdr:colOff>9525</xdr:colOff>
                <xdr:row>44</xdr:row>
                <xdr:rowOff>57150</xdr:rowOff>
              </from>
              <to>
                <xdr:col>16</xdr:col>
                <xdr:colOff>266700</xdr:colOff>
                <xdr:row>44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23" name="Check Box 26">
          <controlPr locked="0" defaultSize="0" autoFill="0" autoLine="0" autoPict="0">
            <anchor moveWithCells="1">
              <from>
                <xdr:col>16</xdr:col>
                <xdr:colOff>9525</xdr:colOff>
                <xdr:row>45</xdr:row>
                <xdr:rowOff>57150</xdr:rowOff>
              </from>
              <to>
                <xdr:col>16</xdr:col>
                <xdr:colOff>266700</xdr:colOff>
                <xdr:row>45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24" name="Check Box 29">
          <controlPr locked="0" defaultSize="0" autoFill="0" autoLine="0" autoPict="0">
            <anchor moveWithCells="1">
              <from>
                <xdr:col>15</xdr:col>
                <xdr:colOff>333375</xdr:colOff>
                <xdr:row>39</xdr:row>
                <xdr:rowOff>57150</xdr:rowOff>
              </from>
              <to>
                <xdr:col>15</xdr:col>
                <xdr:colOff>590550</xdr:colOff>
                <xdr:row>39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25" name="Drop Down 30">
          <controlPr locked="0" defaultSize="0" autoLine="0" autoPict="0">
            <anchor moveWithCells="1">
              <from>
                <xdr:col>18</xdr:col>
                <xdr:colOff>0</xdr:colOff>
                <xdr:row>39</xdr:row>
                <xdr:rowOff>0</xdr:rowOff>
              </from>
              <to>
                <xdr:col>20</xdr:col>
                <xdr:colOff>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6" name="CLEAR_BT">
          <controlPr locked="0" defaultSize="0" print="0" autoFill="0" autoPict="0" macro="[0]!CLEAR_BT_">
            <anchor moveWithCells="1" sizeWithCells="1">
              <from>
                <xdr:col>18</xdr:col>
                <xdr:colOff>0</xdr:colOff>
                <xdr:row>43</xdr:row>
                <xdr:rowOff>0</xdr:rowOff>
              </from>
              <to>
                <xdr:col>20</xdr:col>
                <xdr:colOff>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27" name="Check Box 32">
          <controlPr locked="0" defaultSize="0" autoFill="0" autoLine="0" autoPict="0">
            <anchor moveWithCells="1">
              <from>
                <xdr:col>16</xdr:col>
                <xdr:colOff>85725</xdr:colOff>
                <xdr:row>30</xdr:row>
                <xdr:rowOff>0</xdr:rowOff>
              </from>
              <to>
                <xdr:col>16</xdr:col>
                <xdr:colOff>552450</xdr:colOff>
                <xdr:row>31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Drop Down 34">
          <controlPr locked="0" defaultSize="0" autoLine="0" autoPict="0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20</xdr:col>
                <xdr:colOff>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Drop Down 35">
          <controlPr locked="0" defaultSize="0" autoLine="0" autoPict="0">
            <anchor moveWithCells="1">
              <from>
                <xdr:col>16</xdr:col>
                <xdr:colOff>0</xdr:colOff>
                <xdr:row>4</xdr:row>
                <xdr:rowOff>85725</xdr:rowOff>
              </from>
              <to>
                <xdr:col>17</xdr:col>
                <xdr:colOff>390525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Check Box 36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64</xdr:row>
                <xdr:rowOff>57150</xdr:rowOff>
              </from>
              <to>
                <xdr:col>16</xdr:col>
                <xdr:colOff>0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1" name="Check Box 37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65</xdr:row>
                <xdr:rowOff>57150</xdr:rowOff>
              </from>
              <to>
                <xdr:col>16</xdr:col>
                <xdr:colOff>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2" name="Check Box 38">
          <controlPr locked="0" defaultSize="0" autoFill="0" autoLine="0" autoPict="0" macro="[0]!HelpCenter">
            <anchor moveWithCells="1">
              <from>
                <xdr:col>15</xdr:col>
                <xdr:colOff>333375</xdr:colOff>
                <xdr:row>66</xdr:row>
                <xdr:rowOff>57150</xdr:rowOff>
              </from>
              <to>
                <xdr:col>16</xdr:col>
                <xdr:colOff>0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3" name="Button 41">
          <controlPr defaultSize="0" print="0" autoFill="0" autoPict="0" macro="[0]!ErrorReCheck">
            <anchor moveWithCells="1" sizeWithCells="1">
              <from>
                <xdr:col>42</xdr:col>
                <xdr:colOff>0</xdr:colOff>
                <xdr:row>0</xdr:row>
                <xdr:rowOff>0</xdr:rowOff>
              </from>
              <to>
                <xdr:col>45</xdr:col>
                <xdr:colOff>0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4" name="Button 42">
          <controlPr defaultSize="0" print="0" autoFill="0" autoPict="0" macro="[0]!StartChartDataHighlight">
            <anchor moveWithCells="1" sizeWithCells="1">
              <from>
                <xdr:col>45</xdr:col>
                <xdr:colOff>0</xdr:colOff>
                <xdr:row>0</xdr:row>
                <xdr:rowOff>0</xdr:rowOff>
              </from>
              <to>
                <xdr:col>48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5" name="PCX-01">
          <controlPr locked="0" defaultSize="0" autoFill="0" autoLine="0" autoPict="0">
            <anchor moveWithCells="1">
              <from>
                <xdr:col>17</xdr:col>
                <xdr:colOff>85725</xdr:colOff>
                <xdr:row>17</xdr:row>
                <xdr:rowOff>0</xdr:rowOff>
              </from>
              <to>
                <xdr:col>17</xdr:col>
                <xdr:colOff>552450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36" name="PCX-02">
          <controlPr locked="0" defaultSize="0" autoFill="0" autoLine="0" autoPict="0">
            <anchor moveWithCells="1">
              <from>
                <xdr:col>17</xdr:col>
                <xdr:colOff>85725</xdr:colOff>
                <xdr:row>18</xdr:row>
                <xdr:rowOff>0</xdr:rowOff>
              </from>
              <to>
                <xdr:col>17</xdr:col>
                <xdr:colOff>552450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37" name="PCX-03">
          <controlPr locked="0" defaultSize="0" autoFill="0" autoLine="0" autoPict="0">
            <anchor moveWithCells="1">
              <from>
                <xdr:col>17</xdr:col>
                <xdr:colOff>85725</xdr:colOff>
                <xdr:row>19</xdr:row>
                <xdr:rowOff>0</xdr:rowOff>
              </from>
              <to>
                <xdr:col>17</xdr:col>
                <xdr:colOff>552450</xdr:colOff>
                <xdr:row>20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38" name="PCX-04">
          <controlPr locked="0" defaultSize="0" autoFill="0" autoLine="0" autoPict="0">
            <anchor moveWithCells="1">
              <from>
                <xdr:col>17</xdr:col>
                <xdr:colOff>85725</xdr:colOff>
                <xdr:row>20</xdr:row>
                <xdr:rowOff>0</xdr:rowOff>
              </from>
              <to>
                <xdr:col>17</xdr:col>
                <xdr:colOff>552450</xdr:colOff>
                <xdr:row>21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39" name="PCX-05">
          <controlPr locked="0" defaultSize="0" autoFill="0" autoLine="0" autoPict="0">
            <anchor moveWithCells="1">
              <from>
                <xdr:col>17</xdr:col>
                <xdr:colOff>85725</xdr:colOff>
                <xdr:row>21</xdr:row>
                <xdr:rowOff>0</xdr:rowOff>
              </from>
              <to>
                <xdr:col>17</xdr:col>
                <xdr:colOff>552450</xdr:colOff>
                <xdr:row>22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40" name="Button 48">
          <controlPr defaultSize="0" print="0" autoFill="0" autoPict="0" macro="[0]!FindZeroInDrawingChartSeries">
            <anchor moveWithCells="1" sizeWithCells="1">
              <from>
                <xdr:col>48</xdr:col>
                <xdr:colOff>0</xdr:colOff>
                <xdr:row>0</xdr:row>
                <xdr:rowOff>0</xdr:rowOff>
              </from>
              <to>
                <xdr:col>50</xdr:col>
                <xdr:colOff>523875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41" name="Button 50">
          <controlPr locked="0" defaultSize="0" print="0" autoFill="0" autoPict="0" macro="[0]!RefreshSheetProfessionalNews">
            <anchor moveWithCells="1" sizeWithCells="1">
              <from>
                <xdr:col>25</xdr:col>
                <xdr:colOff>0</xdr:colOff>
                <xdr:row>52</xdr:row>
                <xdr:rowOff>0</xdr:rowOff>
              </from>
              <to>
                <xdr:col>30</xdr:col>
                <xdr:colOff>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42" name="Button 51">
          <controlPr locked="0" defaultSize="0" print="0" autoFill="0" autoPict="0" macro="[0]!OpenKnowledgeCenter">
            <anchor moveWithCells="1" sizeWithCells="1">
              <from>
                <xdr:col>20</xdr:col>
                <xdr:colOff>247650</xdr:colOff>
                <xdr:row>52</xdr:row>
                <xdr:rowOff>0</xdr:rowOff>
              </from>
              <to>
                <xdr:col>25</xdr:col>
                <xdr:colOff>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43" name="Button 61">
          <controlPr locked="0" defaultSize="0" print="0" autoFill="0" autoPict="0" macro="[0]!ClearPierCoordinate">
            <anchor moveWithCells="1" sizeWithCells="1">
              <from>
                <xdr:col>18</xdr:col>
                <xdr:colOff>0</xdr:colOff>
                <xdr:row>6</xdr:row>
                <xdr:rowOff>190500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44" name="Button 63">
          <controlPr locked="0" defaultSize="0" print="0" autoFill="0" autoPict="0" macro="[0]!ClearPileRunNumber">
            <anchor moveWithCells="1" sizeWithCells="1">
              <from>
                <xdr:col>19</xdr:col>
                <xdr:colOff>0</xdr:colOff>
                <xdr:row>15</xdr:row>
                <xdr:rowOff>0</xdr:rowOff>
              </from>
              <to>
                <xdr:col>20</xdr:col>
                <xdr:colOff>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45" name="Button 64">
          <controlPr locked="0" defaultSize="0" print="0" autoFill="0" autoPict="0" macro="[0]!ClearPileCoordinateInput">
            <anchor moveWithCells="1" siz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46" name="Button 65">
          <controlPr locked="0" defaultSize="0" print="0" autoFill="0" autoPict="0" macro="[0]!ClearAdditionalPileCoordinate">
            <anchor moveWithCells="1" siz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47" name="Drop Down 66">
          <controlPr locked="0" defaultSize="0" autoLine="0" autoPict="0" macro="[0]!PileInputModeChanged">
            <anchor moveWithCells="1">
              <from>
                <xdr:col>16</xdr:col>
                <xdr:colOff>0</xdr:colOff>
                <xdr:row>5</xdr:row>
                <xdr:rowOff>0</xdr:rowOff>
              </from>
              <to>
                <xdr:col>19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48" name="Drop Down 1">
          <controlPr locked="0" defaultSize="0" autoLine="0" autoPict="0" macro="[0]!UpdatePileStatus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10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49" name="Drop Down 2">
          <controlPr locked="0" defaultSize="0" autoLine="0" autoPict="0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50" name="Drop Down 3">
          <controlPr locked="0" defaultSize="0" autoLine="0" autoPict="0">
            <anchor moveWithCells="1">
              <from>
                <xdr:col>9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51" name="Check Box 4">
          <controlPr locked="0" defaultSize="0" autoFill="0" autoLine="0" autoPict="0">
            <anchor moveWithCells="1">
              <from>
                <xdr:col>0</xdr:col>
                <xdr:colOff>66675</xdr:colOff>
                <xdr:row>6</xdr:row>
                <xdr:rowOff>85725</xdr:rowOff>
              </from>
              <to>
                <xdr:col>1</xdr:col>
                <xdr:colOff>333375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52" name="Check Box 5">
          <controlPr locked="0" defaultSize="0" autoFill="0" autoLine="0" autoPict="0">
            <anchor moveWithCells="1">
              <from>
                <xdr:col>0</xdr:col>
                <xdr:colOff>66675</xdr:colOff>
                <xdr:row>7</xdr:row>
                <xdr:rowOff>133350</xdr:rowOff>
              </from>
              <to>
                <xdr:col>1</xdr:col>
                <xdr:colOff>333375</xdr:colOff>
                <xdr:row>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53" name="Drop Down 12">
          <controlPr locked="0" defaultSize="0" autoLine="0" autoPict="0">
            <anchor moveWithCells="1">
              <from>
                <xdr:col>4</xdr:col>
                <xdr:colOff>0</xdr:colOff>
                <xdr:row>62</xdr:row>
                <xdr:rowOff>0</xdr:rowOff>
              </from>
              <to>
                <xdr:col>6</xdr:col>
                <xdr:colOff>0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54" name="Check Box 13">
          <controlPr locked="0" defaultSize="0" autoFill="0" autoLine="0" autoPict="0">
            <anchor moveWithCells="1">
              <from>
                <xdr:col>0</xdr:col>
                <xdr:colOff>0</xdr:colOff>
                <xdr:row>62</xdr:row>
                <xdr:rowOff>9525</xdr:rowOff>
              </from>
              <to>
                <xdr:col>3</xdr:col>
                <xdr:colOff>0</xdr:colOff>
                <xdr:row>62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55" name="Check Box 33">
          <controlPr locked="0"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2</xdr:col>
                <xdr:colOff>247650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6" name="Check Box 40">
          <controlPr locked="0" defaultSize="0" autoFill="0" autoLine="0" autoPict="0">
            <anchor moveWithCells="1">
              <from>
                <xdr:col>2</xdr:col>
                <xdr:colOff>647700</xdr:colOff>
                <xdr:row>22</xdr:row>
                <xdr:rowOff>0</xdr:rowOff>
              </from>
              <to>
                <xdr:col>6</xdr:col>
                <xdr:colOff>0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57" name="Check Box 15">
          <controlPr locked="0"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2</xdr:col>
                <xdr:colOff>247650</xdr:colOff>
                <xdr:row>23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DEBEA-895C-43C0-9763-8B4097D8045B}">
  <sheetPr codeName="Sheet2"/>
  <dimension ref="A1"/>
  <sheetViews>
    <sheetView showGridLines="0" showRowColHeaders="0" tabSelected="1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3.25" x14ac:dyDescent="0.5"/>
  <sheetData/>
  <sheetProtection algorithmName="SHA-512" hashValue="Fm3qHzQ0YCnz7jRePw/c62jtCKiYlRWm3iaDcFUQA+YO6LlIqowHyGyFKxv1gAgrLyr86AilxNLtdf1Mmn6Qrw==" saltValue="kTzs6h4Q77y8y4acDIbArw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6455A-34B5-4764-95B1-C68171321771}">
  <sheetPr codeName="Sheet1"/>
  <dimension ref="A1:N30"/>
  <sheetViews>
    <sheetView workbookViewId="0">
      <selection activeCell="G8" sqref="G8"/>
    </sheetView>
  </sheetViews>
  <sheetFormatPr defaultRowHeight="23.25" x14ac:dyDescent="0.5"/>
  <cols>
    <col min="1" max="1" width="30.85546875" customWidth="1"/>
    <col min="2" max="2" width="38.140625" style="202" customWidth="1"/>
    <col min="3" max="3" width="28" style="202" customWidth="1"/>
    <col min="4" max="5" width="38.42578125" style="202" customWidth="1"/>
    <col min="6" max="6" width="14.28515625" bestFit="1" customWidth="1"/>
    <col min="8" max="9" width="12.140625" customWidth="1"/>
    <col min="12" max="12" width="27.28515625" customWidth="1"/>
    <col min="13" max="13" width="35" customWidth="1"/>
    <col min="14" max="14" width="30.42578125" customWidth="1"/>
  </cols>
  <sheetData>
    <row r="1" spans="1:14" x14ac:dyDescent="0.5">
      <c r="A1" s="495"/>
      <c r="B1" s="496"/>
      <c r="C1" s="496"/>
      <c r="D1" s="496"/>
      <c r="E1" s="496"/>
      <c r="F1" s="495"/>
      <c r="G1" s="495"/>
      <c r="H1" s="495"/>
      <c r="I1" s="495"/>
      <c r="J1" s="495"/>
      <c r="K1" s="495"/>
      <c r="L1" s="495"/>
      <c r="M1" s="495"/>
      <c r="N1" s="495"/>
    </row>
    <row r="2" spans="1:14" x14ac:dyDescent="0.5">
      <c r="A2" s="495"/>
      <c r="B2" s="203" t="s">
        <v>591</v>
      </c>
      <c r="C2" s="203" t="s">
        <v>592</v>
      </c>
      <c r="D2" s="203" t="s">
        <v>594</v>
      </c>
      <c r="E2" s="203" t="s">
        <v>596</v>
      </c>
      <c r="F2" s="495"/>
      <c r="G2" s="495"/>
      <c r="H2" s="495"/>
      <c r="I2" s="495"/>
      <c r="J2" s="495"/>
      <c r="K2" s="495"/>
      <c r="L2" s="495"/>
      <c r="M2" s="495"/>
      <c r="N2" s="495"/>
    </row>
    <row r="3" spans="1:14" x14ac:dyDescent="0.5">
      <c r="A3" s="500" t="s">
        <v>583</v>
      </c>
      <c r="B3" s="501"/>
      <c r="C3" s="204"/>
      <c r="D3" s="204" t="b">
        <f>IF(B3&lt;&gt;"",TRUE,FALSE)</f>
        <v>0</v>
      </c>
      <c r="E3" s="204"/>
      <c r="F3" s="495"/>
      <c r="G3" s="495"/>
      <c r="H3" s="495"/>
      <c r="I3" s="495"/>
      <c r="J3" s="495"/>
      <c r="K3" s="495"/>
      <c r="L3" s="495"/>
      <c r="M3" s="495"/>
      <c r="N3" s="495" t="b">
        <v>1</v>
      </c>
    </row>
    <row r="4" spans="1:14" x14ac:dyDescent="0.5">
      <c r="A4" s="500" t="s">
        <v>584</v>
      </c>
      <c r="B4" s="501"/>
      <c r="C4" s="204"/>
      <c r="D4" s="204" t="b">
        <f t="shared" ref="D4:D6" si="0">IF(B4&lt;&gt;"",TRUE,FALSE)</f>
        <v>0</v>
      </c>
      <c r="E4" s="204" t="b">
        <f t="shared" ref="E4:E6" si="1">IF(AND(D4=TRUE,B4=C4),TRUE,FALSE)</f>
        <v>0</v>
      </c>
      <c r="F4" s="498"/>
      <c r="G4" s="495"/>
      <c r="H4" s="495"/>
      <c r="I4" s="495"/>
      <c r="J4" s="495"/>
      <c r="K4" s="495"/>
      <c r="L4" s="495"/>
      <c r="M4" s="495"/>
      <c r="N4" s="495"/>
    </row>
    <row r="5" spans="1:14" x14ac:dyDescent="0.5">
      <c r="A5" s="500" t="s">
        <v>585</v>
      </c>
      <c r="B5" s="502"/>
      <c r="C5" s="204"/>
      <c r="D5" s="204" t="b">
        <f t="shared" si="0"/>
        <v>0</v>
      </c>
      <c r="E5" s="204" t="b">
        <f t="shared" si="1"/>
        <v>0</v>
      </c>
      <c r="F5" s="498"/>
      <c r="G5" s="495"/>
      <c r="H5" s="495"/>
      <c r="I5" s="495"/>
      <c r="J5" s="495"/>
      <c r="K5" s="495"/>
      <c r="L5" s="495"/>
      <c r="M5" s="495"/>
      <c r="N5" s="495"/>
    </row>
    <row r="6" spans="1:14" x14ac:dyDescent="0.5">
      <c r="A6" s="500" t="s">
        <v>586</v>
      </c>
      <c r="B6" s="502"/>
      <c r="C6" s="204"/>
      <c r="D6" s="204" t="b">
        <f t="shared" si="0"/>
        <v>0</v>
      </c>
      <c r="E6" s="204" t="b">
        <f t="shared" si="1"/>
        <v>0</v>
      </c>
      <c r="F6" s="495"/>
      <c r="G6" s="495"/>
      <c r="H6" s="495"/>
      <c r="I6" s="495"/>
      <c r="J6" s="495"/>
      <c r="K6" s="495"/>
      <c r="L6" s="495"/>
      <c r="M6" s="495"/>
      <c r="N6" s="495"/>
    </row>
    <row r="7" spans="1:14" x14ac:dyDescent="0.5">
      <c r="A7" s="500" t="s">
        <v>587</v>
      </c>
      <c r="B7" s="501"/>
      <c r="C7" s="204"/>
      <c r="D7" s="204"/>
      <c r="E7" s="204"/>
      <c r="F7" s="495"/>
      <c r="G7" s="495"/>
      <c r="H7" s="495"/>
      <c r="I7" s="495"/>
      <c r="J7" s="495"/>
      <c r="K7" s="495"/>
      <c r="L7" s="495"/>
      <c r="M7" s="495"/>
      <c r="N7" s="495"/>
    </row>
    <row r="8" spans="1:14" x14ac:dyDescent="0.5">
      <c r="A8" s="500" t="s">
        <v>588</v>
      </c>
      <c r="B8" s="501"/>
      <c r="C8" s="204"/>
      <c r="D8" s="204"/>
      <c r="E8" s="204"/>
      <c r="F8" s="495"/>
      <c r="G8" s="495"/>
      <c r="H8" s="495"/>
      <c r="I8" s="495"/>
      <c r="J8" s="495"/>
      <c r="K8" s="495"/>
      <c r="L8" s="495"/>
      <c r="M8" s="495"/>
      <c r="N8" s="495"/>
    </row>
    <row r="9" spans="1:14" x14ac:dyDescent="0.5">
      <c r="A9" s="500" t="s">
        <v>589</v>
      </c>
      <c r="B9" s="501"/>
      <c r="C9" s="204"/>
      <c r="D9" s="204"/>
      <c r="E9" s="204"/>
      <c r="F9" s="495"/>
      <c r="G9" s="495"/>
      <c r="H9" s="495"/>
      <c r="I9" s="495"/>
      <c r="J9" s="495"/>
      <c r="K9" s="495"/>
      <c r="L9" s="495"/>
      <c r="M9" s="495"/>
      <c r="N9" s="495"/>
    </row>
    <row r="10" spans="1:14" x14ac:dyDescent="0.5">
      <c r="A10" s="495"/>
      <c r="B10" s="499"/>
      <c r="C10" s="204" t="s">
        <v>595</v>
      </c>
      <c r="D10" s="204" t="b">
        <v>1</v>
      </c>
      <c r="E10" s="204" t="b">
        <f>IF(COUNTIF(E3:E9,TRUE)=3,TRUE,FALSE)</f>
        <v>0</v>
      </c>
      <c r="F10" s="495"/>
      <c r="G10" s="495"/>
      <c r="H10" s="495"/>
      <c r="I10" s="495"/>
      <c r="J10" s="495"/>
      <c r="K10" s="495"/>
      <c r="L10" s="495"/>
      <c r="M10" s="495"/>
      <c r="N10" s="495"/>
    </row>
    <row r="11" spans="1:14" x14ac:dyDescent="0.5">
      <c r="A11" s="495"/>
      <c r="B11" s="497"/>
      <c r="C11" s="497"/>
      <c r="D11" s="497"/>
      <c r="E11" s="497"/>
      <c r="F11" s="495"/>
      <c r="G11" s="495"/>
      <c r="H11" s="495"/>
      <c r="I11" s="495"/>
      <c r="J11" s="495"/>
      <c r="K11" s="495"/>
      <c r="L11" s="495"/>
      <c r="M11" s="495"/>
      <c r="N11" s="495"/>
    </row>
    <row r="12" spans="1:14" x14ac:dyDescent="0.5">
      <c r="A12" s="495"/>
      <c r="B12" s="203" t="s">
        <v>591</v>
      </c>
      <c r="C12" s="203" t="s">
        <v>592</v>
      </c>
      <c r="D12" s="203" t="s">
        <v>594</v>
      </c>
      <c r="F12" s="495"/>
      <c r="G12" s="495"/>
      <c r="H12" s="495"/>
      <c r="I12" s="495"/>
      <c r="J12" s="495"/>
      <c r="K12" s="495"/>
      <c r="L12" s="495"/>
      <c r="M12" s="495"/>
      <c r="N12" s="495"/>
    </row>
    <row r="13" spans="1:14" x14ac:dyDescent="0.5">
      <c r="A13" s="500" t="s">
        <v>590</v>
      </c>
      <c r="B13" s="501" t="s">
        <v>561</v>
      </c>
      <c r="C13" s="204" t="s">
        <v>561</v>
      </c>
      <c r="D13" s="204" t="b">
        <f>IF(B13=C13,TRUE,FALSE)</f>
        <v>1</v>
      </c>
    </row>
    <row r="14" spans="1:14" x14ac:dyDescent="0.5">
      <c r="A14" s="500" t="s">
        <v>593</v>
      </c>
      <c r="B14" s="501" t="s">
        <v>562</v>
      </c>
      <c r="C14" s="204" t="s">
        <v>562</v>
      </c>
      <c r="D14" s="204" t="b">
        <f>IF(B14=C14,TRUE,FALSE)</f>
        <v>1</v>
      </c>
    </row>
    <row r="15" spans="1:14" x14ac:dyDescent="0.5">
      <c r="C15" s="204" t="s">
        <v>595</v>
      </c>
      <c r="D15" s="503" t="b">
        <f>IF(COUNTIF(D13:D14,TRUE)=2,TRUE,FALSE)</f>
        <v>1</v>
      </c>
    </row>
    <row r="19" spans="1:2" x14ac:dyDescent="0.5">
      <c r="A19" s="504" t="s">
        <v>600</v>
      </c>
      <c r="B19" s="504" t="s">
        <v>601</v>
      </c>
    </row>
    <row r="20" spans="1:2" x14ac:dyDescent="0.5">
      <c r="A20" s="507" t="s">
        <v>602</v>
      </c>
      <c r="B20" s="505" t="s">
        <v>597</v>
      </c>
    </row>
    <row r="21" spans="1:2" x14ac:dyDescent="0.5">
      <c r="A21" s="507" t="s">
        <v>603</v>
      </c>
      <c r="B21" s="505" t="s">
        <v>598</v>
      </c>
    </row>
    <row r="22" spans="1:2" x14ac:dyDescent="0.5">
      <c r="A22" s="507" t="s">
        <v>604</v>
      </c>
      <c r="B22" s="505" t="s">
        <v>620</v>
      </c>
    </row>
    <row r="23" spans="1:2" x14ac:dyDescent="0.5">
      <c r="A23" s="507" t="s">
        <v>605</v>
      </c>
      <c r="B23" s="505" t="s">
        <v>606</v>
      </c>
    </row>
    <row r="24" spans="1:2" ht="46.5" x14ac:dyDescent="0.5">
      <c r="A24" s="507" t="s">
        <v>607</v>
      </c>
      <c r="B24" s="505" t="s">
        <v>608</v>
      </c>
    </row>
    <row r="25" spans="1:2" ht="46.5" x14ac:dyDescent="0.5">
      <c r="A25" s="507" t="s">
        <v>609</v>
      </c>
      <c r="B25" s="505" t="s">
        <v>610</v>
      </c>
    </row>
    <row r="26" spans="1:2" x14ac:dyDescent="0.5">
      <c r="A26" s="507" t="s">
        <v>611</v>
      </c>
      <c r="B26" s="506" t="s">
        <v>612</v>
      </c>
    </row>
    <row r="27" spans="1:2" ht="46.5" x14ac:dyDescent="0.5">
      <c r="A27" s="507" t="s">
        <v>613</v>
      </c>
      <c r="B27" s="506" t="s">
        <v>614</v>
      </c>
    </row>
    <row r="28" spans="1:2" ht="69.75" x14ac:dyDescent="0.5">
      <c r="A28" s="507" t="s">
        <v>615</v>
      </c>
      <c r="B28" s="506" t="s">
        <v>616</v>
      </c>
    </row>
    <row r="29" spans="1:2" x14ac:dyDescent="0.5">
      <c r="A29" s="507" t="s">
        <v>617</v>
      </c>
      <c r="B29" s="505" t="s">
        <v>618</v>
      </c>
    </row>
    <row r="30" spans="1:2" ht="46.5" x14ac:dyDescent="0.5">
      <c r="A30" s="507" t="s">
        <v>619</v>
      </c>
      <c r="B30" s="505" t="s">
        <v>599</v>
      </c>
    </row>
  </sheetData>
  <hyperlinks>
    <hyperlink ref="B26" r:id="rId1" display="http://www.adtspreadsheet.com/" xr:uid="{B5FCF038-9214-494E-A066-B19517653BBB}"/>
    <hyperlink ref="B27" r:id="rId2" display="https://www.facebook.com/kaengdrawing" xr:uid="{885380C1-CF45-4B42-BC61-2C8CD5FC6569}"/>
    <hyperlink ref="B28" r:id="rId3" display="https://www.youtube.com/@ADTSpreadsheet" xr:uid="{6CE39C8D-310C-4792-B13C-6587B18B7FE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</vt:i4>
      </vt:variant>
      <vt:variant>
        <vt:lpstr>ช่วงที่มีชื่อ</vt:lpstr>
      </vt:variant>
      <vt:variant>
        <vt:i4>1</vt:i4>
      </vt:variant>
    </vt:vector>
  </HeadingPairs>
  <TitlesOfParts>
    <vt:vector size="2" baseType="lpstr">
      <vt:lpstr>Sheet3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Arnon Saenseeda</dc:creator>
  <cp:lastModifiedBy>Arnon Saenseeda</cp:lastModifiedBy>
  <cp:lastPrinted>2026-09-23T10:09:38Z</cp:lastPrinted>
  <dcterms:created xsi:type="dcterms:W3CDTF">2026-06-26T11:40:35Z</dcterms:created>
  <dcterms:modified xsi:type="dcterms:W3CDTF">2026-10-06T08:58:08Z</dcterms:modified>
</cp:coreProperties>
</file>