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dados" sheetId="1" r:id="rId4"/>
    <sheet state="visible" name="Siglas e cores" sheetId="2" r:id="rId5"/>
    <sheet state="visible" name="Obs" sheetId="3" r:id="rId6"/>
    <sheet state="visible" name="T" sheetId="4" r:id="rId7"/>
  </sheets>
  <definedNames>
    <definedName name="_xlchart.v1.10">'Banco de dados'!$O$4:$O$721</definedName>
    <definedName name="_xlchart.v1.2">'Banco de dados'!$H$4:$H$721</definedName>
    <definedName name="_xlchart.v1.11">'Banco de dados'!$S$4:$S$721</definedName>
    <definedName name="_xlchart.v1.4">'Banco de dados'!$K$4:$K$721</definedName>
    <definedName name="_xlchart.v1.5">'Banco de dados'!$J$4:$J$721</definedName>
    <definedName name="_xlchart.v1.7">'Banco de dados'!$M$4:$M$721</definedName>
    <definedName name="_xlchart.v1.8">'Banco de dados'!$L$4:$L$721</definedName>
    <definedName name="_xlchart.v1.1">'Banco de dados'!$I$4:$I$721</definedName>
    <definedName name="_xlchart.v1.6">'Banco de dados'!$Q$4:$Q$721</definedName>
    <definedName name="_xlchart.v1.0">'Banco de dados'!$G$4:$G$721</definedName>
    <definedName name="_xlchart.v1.9">'Banco de dados'!$P$4:$P$721</definedName>
    <definedName name="_xlchart.v1.3">'Banco de dados'!$N$4:$N$721</definedName>
    <definedName hidden="1" localSheetId="0" name="_xlnm._FilterDatabase">'Banco de dados'!$A$3:$AX$721</definedName>
    <definedName hidden="1" localSheetId="3" name="_xlnm._FilterDatabase">T!$A$1:$N$582</definedName>
  </definedNames>
  <calcPr/>
  <extLst>
    <ext uri="GoogleSheetsCustomDataVersion2">
      <go:sheetsCustomData xmlns:go="http://customooxmlschemas.google.com/" r:id="rId8" roundtripDataChecksum="PK6CVxh1qesAAjcYpXlo25gUVTFA/jU8DVgjlGZ8qc8="/>
    </ext>
  </extLst>
</workbook>
</file>

<file path=xl/sharedStrings.xml><?xml version="1.0" encoding="utf-8"?>
<sst xmlns="http://schemas.openxmlformats.org/spreadsheetml/2006/main" count="4415" uniqueCount="171">
  <si>
    <t>Input</t>
  </si>
  <si>
    <t>Output</t>
  </si>
  <si>
    <t>Autor, ano publicação</t>
  </si>
  <si>
    <t>Dados exp ou simulação</t>
  </si>
  <si>
    <t>Tipo de gaseificador</t>
  </si>
  <si>
    <t>Agente de gaseificação</t>
  </si>
  <si>
    <t>Biomassa</t>
  </si>
  <si>
    <t>C [%wt db]</t>
  </si>
  <si>
    <t>H [%wt db]</t>
  </si>
  <si>
    <t>O [%wt db]</t>
  </si>
  <si>
    <t>N [%wt db]</t>
  </si>
  <si>
    <t>S [%wt db]</t>
  </si>
  <si>
    <t>Fixed Carbon (FC) [%]</t>
  </si>
  <si>
    <t>Volatile matter (VM) [%]</t>
  </si>
  <si>
    <t>Moisture content (MC) [%wt]</t>
  </si>
  <si>
    <t>Ash [%wt]</t>
  </si>
  <si>
    <t>ER [-]</t>
  </si>
  <si>
    <t>T [ºC]</t>
  </si>
  <si>
    <t>Bed material</t>
  </si>
  <si>
    <t>Steam/ Biomass</t>
  </si>
  <si>
    <t>LHVfuel [MJ/kg]</t>
  </si>
  <si>
    <t>H2 [%vol]</t>
  </si>
  <si>
    <t>CO [%vol]</t>
  </si>
  <si>
    <t>CO2 [%vol]</t>
  </si>
  <si>
    <t>CH4 [%vol]</t>
  </si>
  <si>
    <t>N2 [%vol]</t>
  </si>
  <si>
    <r>
      <rPr>
        <rFont val="Calibri"/>
        <b/>
        <color rgb="FFFF0000"/>
        <sz val="11.0"/>
      </rPr>
      <t>GY</t>
    </r>
    <r>
      <rPr>
        <rFont val="Calibri"/>
        <b/>
        <color rgb="FFFF0000"/>
        <sz val="11.0"/>
      </rPr>
      <t xml:space="preserve"> [Nm3/kg]</t>
    </r>
  </si>
  <si>
    <t>CGE [%]</t>
  </si>
  <si>
    <t>CCE [%]</t>
  </si>
  <si>
    <r>
      <rPr>
        <rFont val="Calibri"/>
        <b/>
        <color rgb="FFFF0000"/>
        <sz val="11.0"/>
      </rPr>
      <t>LHVgas</t>
    </r>
    <r>
      <rPr>
        <rFont val="Calibri"/>
        <b/>
        <color rgb="FFFF0000"/>
        <sz val="11.0"/>
      </rPr>
      <t xml:space="preserve"> [kJ/Nm3]</t>
    </r>
  </si>
  <si>
    <t>LHVp [kJ/Nm3]</t>
  </si>
  <si>
    <r>
      <rPr>
        <rFont val="Calibri"/>
        <b/>
        <color theme="1"/>
        <sz val="11.0"/>
      </rPr>
      <t>GY</t>
    </r>
    <r>
      <rPr>
        <rFont val="Calibri"/>
        <b/>
        <color rgb="FFFF0000"/>
        <sz val="11.0"/>
      </rPr>
      <t xml:space="preserve"> [mmol/g]</t>
    </r>
  </si>
  <si>
    <r>
      <rPr>
        <rFont val="Calibri"/>
        <b/>
        <color theme="1"/>
        <sz val="11.0"/>
      </rPr>
      <t>GY</t>
    </r>
    <r>
      <rPr>
        <rFont val="Calibri"/>
        <b/>
        <color rgb="FFFF0000"/>
        <sz val="11.0"/>
      </rPr>
      <t xml:space="preserve"> [kg/Nm3]</t>
    </r>
  </si>
  <si>
    <r>
      <rPr>
        <rFont val="Calibri"/>
        <b/>
        <color theme="1"/>
        <sz val="11.0"/>
      </rPr>
      <t>LHVgas</t>
    </r>
    <r>
      <rPr>
        <rFont val="Calibri"/>
        <b/>
        <color rgb="FFFF0000"/>
        <sz val="11.0"/>
      </rPr>
      <t xml:space="preserve"> [MJ/Nm3]</t>
    </r>
  </si>
  <si>
    <t>Composição total</t>
  </si>
  <si>
    <t>nN2</t>
  </si>
  <si>
    <t>ns</t>
  </si>
  <si>
    <t>nT</t>
  </si>
  <si>
    <t>H2' [%vol]</t>
  </si>
  <si>
    <t>CO' [%vol]</t>
  </si>
  <si>
    <t>CO2' [%vol]</t>
  </si>
  <si>
    <t>CH4' [%vol]</t>
  </si>
  <si>
    <t>N2' [%vol]</t>
  </si>
  <si>
    <t>Soma</t>
  </si>
  <si>
    <t>LHVgas' [kJ/Nm3]</t>
  </si>
  <si>
    <t>Serrano, 2020</t>
  </si>
  <si>
    <t>Experimental</t>
  </si>
  <si>
    <t>Bubbling fluidized bed gasifier</t>
  </si>
  <si>
    <t>Air</t>
  </si>
  <si>
    <t>Pine Sawdust</t>
  </si>
  <si>
    <t>Silica sand</t>
  </si>
  <si>
    <t>-</t>
  </si>
  <si>
    <t>Rubber wood chip</t>
  </si>
  <si>
    <t>Air-steam</t>
  </si>
  <si>
    <t>Poultry Litter</t>
  </si>
  <si>
    <t>Rice husk</t>
  </si>
  <si>
    <t>Palm empty fruit bunch</t>
  </si>
  <si>
    <t>Sawdust</t>
  </si>
  <si>
    <t>Olive waste</t>
  </si>
  <si>
    <t>Ofite</t>
  </si>
  <si>
    <t>Alumina</t>
  </si>
  <si>
    <t>Cynara cardunculus L.</t>
  </si>
  <si>
    <t>Olivine</t>
  </si>
  <si>
    <t>Rubber woodchip</t>
  </si>
  <si>
    <t>Wood (pine)</t>
  </si>
  <si>
    <t>Wood (oak + maple)</t>
  </si>
  <si>
    <t>Seed corn</t>
  </si>
  <si>
    <t>Sunflower</t>
  </si>
  <si>
    <t xml:space="preserve"> Willow</t>
  </si>
  <si>
    <t>Pine chips</t>
  </si>
  <si>
    <t>Ozonoh, 2019</t>
  </si>
  <si>
    <t>Vários (entrained, fluidised, and fixed bed)</t>
  </si>
  <si>
    <t>Biomass, coal and their blends</t>
  </si>
  <si>
    <t>Loha, 2011</t>
  </si>
  <si>
    <t>Fluidized bed gasifier</t>
  </si>
  <si>
    <t>Steam</t>
  </si>
  <si>
    <t>Bassyouni, 2014</t>
  </si>
  <si>
    <t>Downdraft gasifier</t>
  </si>
  <si>
    <t>Date palm leaves (DPL) waste</t>
  </si>
  <si>
    <t>Rapagnà, 2000</t>
  </si>
  <si>
    <t>Bubbling fluidised-bed gasifier</t>
  </si>
  <si>
    <t>Sand</t>
  </si>
  <si>
    <t>Dolomite</t>
  </si>
  <si>
    <t>Guo, 2001</t>
  </si>
  <si>
    <t>Poplar sawdust</t>
  </si>
  <si>
    <t>Pine sawdust</t>
  </si>
  <si>
    <t>Sugar cane bagasse</t>
  </si>
  <si>
    <t>Cotton stem</t>
  </si>
  <si>
    <t>Sreejith, 2013</t>
  </si>
  <si>
    <t>Fluidised bed gasifier</t>
  </si>
  <si>
    <t>Wood sawdust</t>
  </si>
  <si>
    <r>
      <rPr>
        <rFont val="Calibri"/>
        <b/>
        <color theme="1"/>
        <sz val="11.0"/>
      </rPr>
      <t>Sreejith, 2013</t>
    </r>
    <r>
      <rPr>
        <rFont val="Calibri"/>
        <color theme="1"/>
        <sz val="11.0"/>
      </rPr>
      <t>, mas citando dados de Chang et al.</t>
    </r>
  </si>
  <si>
    <t>Bubbling fluidised bed gasifier</t>
  </si>
  <si>
    <t>Cellulose</t>
  </si>
  <si>
    <t>Cellulose particles</t>
  </si>
  <si>
    <r>
      <rPr>
        <rFont val="Calibri"/>
        <b/>
        <color theme="1"/>
        <sz val="11.0"/>
      </rPr>
      <t>Sreejith, 2013</t>
    </r>
    <r>
      <rPr>
        <rFont val="Calibri"/>
        <color theme="1"/>
        <sz val="11.0"/>
      </rPr>
      <t>, mas citando dados de Hernandez et al.</t>
    </r>
  </si>
  <si>
    <t>Entrained flow</t>
  </si>
  <si>
    <t>Grape residues</t>
  </si>
  <si>
    <t>Shahbaz, 2017</t>
  </si>
  <si>
    <t>Fluidized-bed gasifier and fixed-bed reactor</t>
  </si>
  <si>
    <t>Palm oil waste</t>
  </si>
  <si>
    <t>Khan, 2014</t>
  </si>
  <si>
    <t>Palm kernel shell</t>
  </si>
  <si>
    <t>Han, 2011</t>
  </si>
  <si>
    <t>Bubbling fluidized bed</t>
  </si>
  <si>
    <t>Li, 2009</t>
  </si>
  <si>
    <t>Fixed bed</t>
  </si>
  <si>
    <t>Palm oil wastes (shell)</t>
  </si>
  <si>
    <t>Palm oil wastes (fiber)</t>
  </si>
  <si>
    <t>Palm oil wastes (EFB)</t>
  </si>
  <si>
    <t>Calcined dolomite</t>
  </si>
  <si>
    <t>nano-NiLaFe/g-Al2O3 catalyst</t>
  </si>
  <si>
    <t>Chang, 2011</t>
  </si>
  <si>
    <t>Fluidised bed</t>
  </si>
  <si>
    <t>alfa-cellulose</t>
  </si>
  <si>
    <t>Air-Steam</t>
  </si>
  <si>
    <t>Lv, 2007</t>
  </si>
  <si>
    <t>Fluidized bed</t>
  </si>
  <si>
    <t>Xu, 2009</t>
  </si>
  <si>
    <t>Dried coffee grounds</t>
  </si>
  <si>
    <t>Pfeifer, 2009</t>
  </si>
  <si>
    <t>Wood pellets</t>
  </si>
  <si>
    <t>Calcite</t>
  </si>
  <si>
    <t>Weerachanchai, 2009</t>
  </si>
  <si>
    <t>Larch wood</t>
  </si>
  <si>
    <t>Calcined limestone</t>
  </si>
  <si>
    <t>Calcined waste concrete</t>
  </si>
  <si>
    <t>Calcined limestone (100% N2)</t>
  </si>
  <si>
    <t xml:space="preserve">Mixed bed material </t>
  </si>
  <si>
    <t>Ngo, 2011</t>
  </si>
  <si>
    <t>Circulating fluidized bed</t>
  </si>
  <si>
    <t>Pine wood chips</t>
  </si>
  <si>
    <t>GY</t>
  </si>
  <si>
    <t>Gas yield</t>
  </si>
  <si>
    <t>CGE</t>
  </si>
  <si>
    <t>Cold Gas Efficiency</t>
  </si>
  <si>
    <t>CCE</t>
  </si>
  <si>
    <t>Carbon Conversion Efficiency</t>
  </si>
  <si>
    <t>LHV</t>
  </si>
  <si>
    <t>Lower Heating Value</t>
  </si>
  <si>
    <t>db</t>
  </si>
  <si>
    <t>dry basis</t>
  </si>
  <si>
    <t>LHVfuel</t>
  </si>
  <si>
    <t>fuel: Biomass, coal, &amp; coal + biomass</t>
  </si>
  <si>
    <t>Ozonoh</t>
  </si>
  <si>
    <t>LHVp</t>
  </si>
  <si>
    <r>
      <rPr>
        <rFont val="Calibri"/>
        <b/>
        <color theme="1"/>
        <sz val="11.0"/>
      </rPr>
      <t>Pandey</t>
    </r>
    <r>
      <rPr>
        <rFont val="Calibri"/>
        <color theme="1"/>
        <sz val="11.0"/>
      </rPr>
      <t xml:space="preserve">: LHV of gasification products including tars and entrained char | </t>
    </r>
    <r>
      <rPr>
        <rFont val="Calibri"/>
        <b/>
        <color theme="1"/>
        <sz val="11.0"/>
      </rPr>
      <t>Ngo</t>
    </r>
    <r>
      <rPr>
        <rFont val="Calibri"/>
        <color theme="1"/>
        <sz val="11.0"/>
      </rPr>
      <t>: product consists of CO, CO2, CH4, H2, and H2O.</t>
    </r>
  </si>
  <si>
    <t>Número de mols do syngas livre de N2</t>
  </si>
  <si>
    <t>H2', CO', CO2' e CH4'</t>
  </si>
  <si>
    <t>% calculado dos gases considerando não são livres de Nitrogênio (antes eram)</t>
  </si>
  <si>
    <t>Valor de LHV calculado (tabela Perry)</t>
  </si>
  <si>
    <t>Valor de N2 quando H2, CO, CO2, CH4 não são livres de N2 (cálculo: subtrair de 100%)</t>
  </si>
  <si>
    <t>Valor de N2 quando H2, CO, CO2, CH4 são livres de N2 (cálculo diferenciado)</t>
  </si>
  <si>
    <t>ER preenchido por mim (zero quando agente de gaseificação é vapor)</t>
  </si>
  <si>
    <t>Steam/biomass preenchido por mim (zero quando agente de gaseificação é ar)</t>
  </si>
  <si>
    <t>Observações:</t>
  </si>
  <si>
    <r>
      <rPr>
        <rFont val="Calibri"/>
        <b/>
        <color theme="1"/>
        <sz val="11.0"/>
      </rPr>
      <t>1.</t>
    </r>
    <r>
      <rPr>
        <rFont val="Calibri"/>
        <color theme="1"/>
        <sz val="11.0"/>
      </rPr>
      <t xml:space="preserve"> Unidade do GY no Ozonoh estava como kg/Nm3, por isso inverti os valores do banco de dados (unidade Nm3/kg em Serrano e Pandey, bem como na tabela).</t>
    </r>
  </si>
  <si>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>Em Serrano, o GY está em daf (dry ash free).</t>
    </r>
  </si>
  <si>
    <r>
      <rPr>
        <rFont val="Calibri"/>
        <b/>
        <color theme="1"/>
        <sz val="11.0"/>
      </rPr>
      <t xml:space="preserve">3. </t>
    </r>
    <r>
      <rPr>
        <rFont val="Calibri"/>
        <color theme="1"/>
        <sz val="11.0"/>
      </rPr>
      <t>Em Serrano, CH4, CO2 e CO estão como %vol N2 free.</t>
    </r>
  </si>
  <si>
    <r>
      <rPr>
        <rFont val="Calibri"/>
        <b/>
        <color theme="1"/>
        <sz val="11.0"/>
      </rPr>
      <t>4.</t>
    </r>
    <r>
      <rPr>
        <rFont val="Calibri"/>
        <color theme="1"/>
        <sz val="11.0"/>
      </rPr>
      <t xml:space="preserve"> Pandey </t>
    </r>
    <r>
      <rPr>
        <rFont val="Calibri"/>
        <b/>
        <color theme="1"/>
        <sz val="11.0"/>
      </rPr>
      <t>não</t>
    </r>
    <r>
      <rPr>
        <rFont val="Calibri"/>
        <color theme="1"/>
        <sz val="11.0"/>
      </rPr>
      <t xml:space="preserve"> especifica se C, H, O, N, S e ash estão em dry basis, mas mantive db na tabela (Serrano e Ozonoh especificam que esses parâmetros estão em base seca).</t>
    </r>
  </si>
  <si>
    <r>
      <rPr>
        <rFont val="Calibri"/>
        <b/>
        <color theme="1"/>
        <sz val="11.0"/>
      </rPr>
      <t>5.</t>
    </r>
    <r>
      <rPr>
        <rFont val="Calibri"/>
        <color theme="1"/>
        <sz val="11.0"/>
      </rPr>
      <t xml:space="preserve"> Moisture: Em Serrano está como %wt ar (as received), em Ozonoh está como %wt dry basis e em Pandey está como %wt.</t>
    </r>
  </si>
  <si>
    <r>
      <rPr>
        <rFont val="Calibri"/>
        <b/>
        <color theme="1"/>
        <sz val="11.0"/>
      </rPr>
      <t>6.</t>
    </r>
    <r>
      <rPr>
        <rFont val="Calibri"/>
        <color theme="1"/>
        <sz val="11.0"/>
      </rPr>
      <t xml:space="preserve"> LHV em Ozonoh está como [MJ/Nm3] e em Pandey está como [kJ/Nm3]. Coloquei na tabela como [kJ/Nm3] e, portanto, já converti os valores do banco de dados de Ozonoh.</t>
    </r>
  </si>
  <si>
    <r>
      <rPr>
        <rFont val="Calibri"/>
        <b/>
        <color theme="1"/>
        <sz val="11.0"/>
      </rPr>
      <t>7.</t>
    </r>
    <r>
      <rPr>
        <rFont val="Calibri"/>
        <color theme="1"/>
        <sz val="11.0"/>
      </rPr>
      <t xml:space="preserve"> LHVfuel, em Ozonoh, não indica a unidade.</t>
    </r>
  </si>
  <si>
    <r>
      <rPr>
        <rFont val="Calibri"/>
        <b/>
        <color theme="1"/>
        <sz val="11.0"/>
      </rPr>
      <t xml:space="preserve">8. </t>
    </r>
    <r>
      <rPr>
        <rFont val="Calibri"/>
        <color theme="1"/>
        <sz val="11.0"/>
      </rPr>
      <t>Calculei LHV do Serrano (e outros em rosa) com dados da tabela do Perry.</t>
    </r>
  </si>
  <si>
    <r>
      <rPr>
        <rFont val="Calibri"/>
        <b/>
        <color theme="1"/>
        <sz val="11.0"/>
      </rPr>
      <t>9.</t>
    </r>
    <r>
      <rPr>
        <rFont val="Calibri"/>
        <color theme="1"/>
        <sz val="11.0"/>
      </rPr>
      <t xml:space="preserve"> Loha, 2013, fornece % do N2. A soma de N2, H2, CH4, CO E CO2 resulta em 100% em Loha. </t>
    </r>
  </si>
  <si>
    <r>
      <rPr>
        <rFont val="Calibri"/>
        <b/>
        <color theme="1"/>
        <sz val="11.0"/>
      </rPr>
      <t>10.</t>
    </r>
    <r>
      <rPr>
        <rFont val="Calibri"/>
        <color theme="1"/>
        <sz val="11.0"/>
      </rPr>
      <t xml:space="preserve"> Loha (2010), Bassyouni (2014), Rupesh (2015), Rapagnà (2000), Sreejith (2013), Shahbaz (2017), Han (2011) e Li (2009): extraí dados dos gráficos dos artigos utilizando o WebPlotDigitizer.</t>
    </r>
  </si>
  <si>
    <r>
      <rPr>
        <rFont val="Calibri"/>
        <b/>
        <color theme="1"/>
        <sz val="11.0"/>
      </rPr>
      <t>11.</t>
    </r>
    <r>
      <rPr>
        <rFont val="Calibri"/>
        <color theme="1"/>
        <sz val="11.0"/>
      </rPr>
      <t xml:space="preserve"> Em Guo, os dados exp dos gases H2, CH4, CO e CO2 foram fornecidos por meio de gráfico "Gas production rate (m^3/h) x time (h)". A partir desses dados, calculei os valores em %vol.</t>
    </r>
  </si>
  <si>
    <r>
      <rPr>
        <rFont val="Calibri"/>
        <b/>
        <color theme="1"/>
        <sz val="11.0"/>
      </rPr>
      <t>12.</t>
    </r>
    <r>
      <rPr>
        <rFont val="Calibri"/>
        <color theme="1"/>
        <sz val="11.0"/>
      </rPr>
      <t xml:space="preserve"> Em Guo, os dados da biomassa (moisture, FC, VM, ash, C, H, O, N, S) estão como "as received basis".</t>
    </r>
  </si>
  <si>
    <r>
      <rPr>
        <rFont val="Calibri"/>
        <b/>
        <color theme="1"/>
        <sz val="11.0"/>
      </rPr>
      <t xml:space="preserve">13. </t>
    </r>
    <r>
      <rPr>
        <rFont val="Calibri"/>
        <color theme="1"/>
        <sz val="11.0"/>
      </rPr>
      <t>Em Sreejith, C, H, O e N em wt% in dry and ash free; e FC, moisture, volatiles e ash como as received basis.</t>
    </r>
  </si>
  <si>
    <r>
      <rPr>
        <rFont val="Calibri"/>
        <b/>
        <color theme="1"/>
        <sz val="11.0"/>
      </rPr>
      <t>14.</t>
    </r>
    <r>
      <rPr>
        <rFont val="Calibri"/>
        <color theme="1"/>
        <sz val="11.0"/>
      </rPr>
      <t xml:space="preserve"> Sreejith fornece composição do gás produto em %mole fraction. Mas estamos assumindo que %mol=%vol.</t>
    </r>
  </si>
  <si>
    <r>
      <rPr>
        <rFont val="Calibri"/>
        <b/>
        <color theme="1"/>
        <sz val="11.0"/>
      </rPr>
      <t>15.</t>
    </r>
    <r>
      <rPr>
        <rFont val="Calibri"/>
        <color theme="1"/>
        <sz val="11.0"/>
      </rPr>
      <t xml:space="preserve"> Sreejith: colhi as informações experimentais - fig. 10, 11, 14 a 17 e tabelas 5, 9, 10 e 11).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</si>
</sst>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#,##0.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FF0000"/>
      <name val="Calibri"/>
    </font>
    <font>
      <sz val="11.0"/>
      <color rgb="FFC00000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7030A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DC1"/>
        <bgColor rgb="FFFFCDC1"/>
      </patternFill>
    </fill>
    <fill>
      <patternFill patternType="solid">
        <fgColor rgb="FFFFD1FF"/>
        <bgColor rgb="FFFFD1FF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4" fillId="4" fontId="2" numFmtId="0" xfId="0" applyAlignment="1" applyBorder="1" applyFill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center" vertical="center"/>
    </xf>
    <xf borderId="4" fillId="5" fontId="2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7" fontId="2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8" fontId="1" numFmtId="0" xfId="0" applyBorder="1" applyFill="1" applyFont="1"/>
    <xf borderId="9" fillId="0" fontId="2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4" fillId="9" fontId="1" numFmtId="2" xfId="0" applyAlignment="1" applyBorder="1" applyFill="1" applyFont="1" applyNumberFormat="1">
      <alignment horizontal="center" vertical="center"/>
    </xf>
    <xf borderId="4" fillId="0" fontId="1" numFmtId="2" xfId="0" applyAlignment="1" applyBorder="1" applyFont="1" applyNumberFormat="1">
      <alignment horizontal="center" vertical="center"/>
    </xf>
    <xf borderId="4" fillId="9" fontId="5" numFmtId="2" xfId="0" applyAlignment="1" applyBorder="1" applyFont="1" applyNumberFormat="1">
      <alignment horizontal="center" vertical="center"/>
    </xf>
    <xf borderId="4" fillId="0" fontId="5" numFmtId="2" xfId="0" applyAlignment="1" applyBorder="1" applyFont="1" applyNumberFormat="1">
      <alignment horizontal="center" vertical="center"/>
    </xf>
    <xf borderId="4" fillId="9" fontId="1" numFmtId="1" xfId="0" applyAlignment="1" applyBorder="1" applyFont="1" applyNumberFormat="1">
      <alignment horizontal="center" vertical="center"/>
    </xf>
    <xf borderId="10" fillId="9" fontId="1" numFmtId="164" xfId="0" applyAlignment="1" applyBorder="1" applyFont="1" applyNumberFormat="1">
      <alignment horizontal="center" vertical="center"/>
    </xf>
    <xf borderId="10" fillId="9" fontId="1" numFmtId="2" xfId="0" applyAlignment="1" applyBorder="1" applyFont="1" applyNumberFormat="1">
      <alignment horizontal="center" vertical="center"/>
    </xf>
    <xf borderId="10" fillId="10" fontId="1" numFmtId="2" xfId="0" applyAlignment="1" applyBorder="1" applyFill="1" applyFont="1" applyNumberFormat="1">
      <alignment horizontal="center" vertical="center"/>
    </xf>
    <xf borderId="4" fillId="11" fontId="1" numFmtId="2" xfId="0" applyAlignment="1" applyBorder="1" applyFill="1" applyFont="1" applyNumberFormat="1">
      <alignment horizontal="center" vertical="center"/>
    </xf>
    <xf borderId="0" fillId="0" fontId="6" numFmtId="0" xfId="0" applyFont="1"/>
    <xf borderId="0" fillId="0" fontId="1" numFmtId="2" xfId="0" applyAlignment="1" applyFont="1" applyNumberFormat="1">
      <alignment horizontal="center" vertical="center"/>
    </xf>
    <xf borderId="0" fillId="0" fontId="7" numFmtId="2" xfId="0" applyAlignment="1" applyFont="1" applyNumberFormat="1">
      <alignment horizontal="center" vertical="center"/>
    </xf>
    <xf borderId="7" fillId="0" fontId="2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4" fillId="9" fontId="8" numFmtId="2" xfId="0" applyAlignment="1" applyBorder="1" applyFont="1" applyNumberFormat="1">
      <alignment horizontal="center" vertical="center"/>
    </xf>
    <xf borderId="4" fillId="0" fontId="8" numFmtId="0" xfId="0" applyAlignment="1" applyBorder="1" applyFont="1">
      <alignment horizontal="center" vertical="center"/>
    </xf>
    <xf borderId="10" fillId="9" fontId="1" numFmtId="1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4" fillId="12" fontId="1" numFmtId="0" xfId="0" applyAlignment="1" applyBorder="1" applyFill="1" applyFont="1">
      <alignment horizontal="center" shrinkToFit="0" vertical="center" wrapText="1"/>
    </xf>
    <xf borderId="4" fillId="0" fontId="1" numFmtId="1" xfId="0" applyAlignment="1" applyBorder="1" applyFont="1" applyNumberFormat="1">
      <alignment horizontal="center" vertical="center"/>
    </xf>
    <xf borderId="11" fillId="0" fontId="1" numFmtId="1" xfId="0" applyAlignment="1" applyBorder="1" applyFont="1" applyNumberFormat="1">
      <alignment horizontal="center" vertical="center"/>
    </xf>
    <xf borderId="4" fillId="0" fontId="8" numFmtId="2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4" fillId="0" fontId="5" numFmtId="165" xfId="0" applyAlignment="1" applyBorder="1" applyFont="1" applyNumberFormat="1">
      <alignment horizontal="center" vertical="center"/>
    </xf>
    <xf borderId="11" fillId="0" fontId="1" numFmtId="2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vertical="center"/>
    </xf>
    <xf borderId="10" fillId="13" fontId="1" numFmtId="2" xfId="0" applyAlignment="1" applyBorder="1" applyFill="1" applyFont="1" applyNumberFormat="1">
      <alignment horizontal="center" vertical="center"/>
    </xf>
    <xf borderId="11" fillId="0" fontId="2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4" fillId="3" fontId="1" numFmtId="2" xfId="0" applyAlignment="1" applyBorder="1" applyFont="1" applyNumberFormat="1">
      <alignment horizontal="center" vertical="center"/>
    </xf>
    <xf borderId="4" fillId="0" fontId="1" numFmtId="166" xfId="0" applyAlignment="1" applyBorder="1" applyFont="1" applyNumberFormat="1">
      <alignment horizontal="center" vertical="center"/>
    </xf>
    <xf borderId="4" fillId="12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14" fontId="1" numFmtId="0" xfId="0" applyAlignment="1" applyBorder="1" applyFill="1" applyFont="1">
      <alignment horizontal="center" vertical="center"/>
    </xf>
    <xf borderId="4" fillId="15" fontId="7" numFmtId="0" xfId="0" applyAlignment="1" applyBorder="1" applyFill="1" applyFont="1">
      <alignment horizontal="center" vertical="center"/>
    </xf>
    <xf borderId="4" fillId="15" fontId="7" numFmtId="2" xfId="0" applyAlignment="1" applyBorder="1" applyFont="1" applyNumberFormat="1">
      <alignment horizontal="center" vertical="center"/>
    </xf>
    <xf borderId="4" fillId="15" fontId="1" numFmtId="0" xfId="0" applyAlignment="1" applyBorder="1" applyFont="1">
      <alignment horizontal="center" vertical="center"/>
    </xf>
    <xf borderId="4" fillId="15" fontId="5" numFmtId="2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shrinkToFit="0" vertical="top" wrapText="1"/>
    </xf>
    <xf borderId="4" fillId="16" fontId="1" numFmtId="0" xfId="0" applyAlignment="1" applyBorder="1" applyFill="1" applyFont="1">
      <alignment horizontal="center" vertical="center"/>
    </xf>
    <xf borderId="4" fillId="16" fontId="5" numFmtId="2" xfId="0" applyAlignment="1" applyBorder="1" applyFont="1" applyNumberFormat="1">
      <alignment horizontal="center" vertical="center"/>
    </xf>
    <xf borderId="4" fillId="16" fontId="7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17" fontId="1" numFmtId="0" xfId="0" applyAlignment="1" applyBorder="1" applyFill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10" fontId="1" numFmtId="2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4" fillId="0" fontId="7" numFmtId="2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shrinkToFit="0" vertical="top" wrapText="1"/>
    </xf>
    <xf borderId="4" fillId="0" fontId="1" numFmtId="165" xfId="0" applyAlignment="1" applyBorder="1" applyFont="1" applyNumberFormat="1">
      <alignment horizontal="center" vertical="center"/>
    </xf>
    <xf borderId="4" fillId="0" fontId="5" numFmtId="2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/>
    </xf>
    <xf borderId="7" fillId="0" fontId="1" numFmtId="2" xfId="0" applyAlignment="1" applyBorder="1" applyFont="1" applyNumberFormat="1">
      <alignment horizontal="center" vertical="center"/>
    </xf>
    <xf borderId="12" fillId="1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center" vertical="top"/>
    </xf>
    <xf borderId="14" fillId="0" fontId="1" numFmtId="0" xfId="0" applyAlignment="1" applyBorder="1" applyFont="1">
      <alignment horizontal="center" shrinkToFit="0" vertical="center" wrapText="1"/>
    </xf>
    <xf borderId="15" fillId="1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5" fillId="11" fontId="1" numFmtId="0" xfId="0" applyBorder="1" applyFont="1"/>
    <xf borderId="4" fillId="13" fontId="1" numFmtId="0" xfId="0" applyBorder="1" applyFont="1"/>
    <xf borderId="4" fillId="10" fontId="1" numFmtId="0" xfId="0" applyBorder="1" applyFont="1"/>
    <xf borderId="4" fillId="17" fontId="1" numFmtId="0" xfId="0" applyBorder="1" applyFont="1"/>
    <xf borderId="4" fillId="3" fontId="1" numFmtId="0" xfId="0" applyBorder="1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2" width="13.29"/>
    <col customWidth="1" min="3" max="3" width="14.29"/>
    <col customWidth="1" min="4" max="4" width="11.57"/>
    <col customWidth="1" min="5" max="5" width="13.43"/>
    <col customWidth="1" min="6" max="6" width="19.71"/>
    <col customWidth="1" min="7" max="13" width="8.71"/>
    <col customWidth="1" min="14" max="14" width="10.71"/>
    <col customWidth="1" min="15" max="17" width="8.71"/>
    <col customWidth="1" min="18" max="18" width="17.14"/>
    <col customWidth="1" min="19" max="19" width="8.14"/>
    <col customWidth="1" min="20" max="20" width="9.14"/>
    <col customWidth="1" min="21" max="21" width="9.43"/>
    <col customWidth="1" min="22" max="24" width="8.71"/>
    <col customWidth="1" min="25" max="25" width="12.14"/>
    <col customWidth="1" min="26" max="26" width="9.43"/>
    <col customWidth="1" min="27" max="28" width="8.71"/>
    <col customWidth="1" min="29" max="29" width="9.57"/>
    <col customWidth="1" min="30" max="30" width="10.0"/>
    <col customWidth="1" min="31" max="32" width="8.71"/>
    <col customWidth="1" min="33" max="33" width="9.86"/>
    <col customWidth="1" min="34" max="34" width="10.29"/>
    <col customWidth="1" min="35" max="35" width="11.71"/>
    <col customWidth="1" min="36" max="40" width="8.71"/>
    <col customWidth="1" min="41" max="45" width="11.43"/>
    <col customWidth="1" min="46" max="47" width="8.71"/>
    <col customWidth="1" min="48" max="48" width="12.71"/>
    <col customWidth="1" min="49" max="50" width="8.71"/>
  </cols>
  <sheetData>
    <row r="1" ht="14.25" customHeight="1">
      <c r="N1" s="1"/>
    </row>
    <row r="2" ht="14.25" customHeight="1">
      <c r="G2" s="2" t="s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5"/>
      <c r="U2" s="6" t="s">
        <v>1</v>
      </c>
      <c r="V2" s="3"/>
      <c r="W2" s="3"/>
      <c r="X2" s="3"/>
      <c r="Y2" s="3"/>
      <c r="Z2" s="3"/>
      <c r="AA2" s="3"/>
      <c r="AB2" s="3"/>
      <c r="AC2" s="3"/>
      <c r="AD2" s="4"/>
    </row>
    <row r="3" ht="14.25" customHeight="1">
      <c r="B3" s="7" t="s">
        <v>2</v>
      </c>
      <c r="C3" s="7" t="s">
        <v>3</v>
      </c>
      <c r="D3" s="8" t="s">
        <v>4</v>
      </c>
      <c r="E3" s="7" t="s">
        <v>5</v>
      </c>
      <c r="F3" s="9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1" t="s">
        <v>11</v>
      </c>
      <c r="L3" s="11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2" t="s">
        <v>18</v>
      </c>
      <c r="S3" s="10" t="s">
        <v>19</v>
      </c>
      <c r="T3" s="12" t="s">
        <v>20</v>
      </c>
      <c r="U3" s="10" t="s">
        <v>21</v>
      </c>
      <c r="V3" s="10" t="s">
        <v>22</v>
      </c>
      <c r="W3" s="13" t="s">
        <v>23</v>
      </c>
      <c r="X3" s="13" t="s">
        <v>24</v>
      </c>
      <c r="Y3" s="13" t="s">
        <v>25</v>
      </c>
      <c r="Z3" s="14" t="s">
        <v>26</v>
      </c>
      <c r="AA3" s="13" t="s">
        <v>27</v>
      </c>
      <c r="AB3" s="13" t="s">
        <v>28</v>
      </c>
      <c r="AC3" s="14" t="s">
        <v>29</v>
      </c>
      <c r="AD3" s="14" t="s">
        <v>30</v>
      </c>
      <c r="AF3" s="13" t="s">
        <v>31</v>
      </c>
      <c r="AG3" s="13" t="s">
        <v>32</v>
      </c>
      <c r="AH3" s="13" t="s">
        <v>33</v>
      </c>
      <c r="AI3" s="13" t="s">
        <v>34</v>
      </c>
      <c r="AK3" s="15" t="s">
        <v>35</v>
      </c>
      <c r="AL3" s="15" t="s">
        <v>36</v>
      </c>
      <c r="AM3" s="15" t="s">
        <v>37</v>
      </c>
      <c r="AN3" s="16"/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7"/>
      <c r="AV3" s="13" t="s">
        <v>44</v>
      </c>
    </row>
    <row r="4" ht="14.25" customHeight="1">
      <c r="A4" s="18"/>
      <c r="B4" s="19" t="s">
        <v>45</v>
      </c>
      <c r="C4" s="20" t="s">
        <v>46</v>
      </c>
      <c r="D4" s="21" t="s">
        <v>47</v>
      </c>
      <c r="E4" s="22" t="s">
        <v>48</v>
      </c>
      <c r="F4" s="23" t="s">
        <v>49</v>
      </c>
      <c r="G4" s="24">
        <v>50.0</v>
      </c>
      <c r="H4" s="24">
        <v>5.7</v>
      </c>
      <c r="I4" s="24">
        <v>44.1</v>
      </c>
      <c r="J4" s="25">
        <f t="shared" ref="J4:J9" si="1">100-SUM(G4:I4)-K4</f>
        <v>0.17</v>
      </c>
      <c r="K4" s="24">
        <v>0.03</v>
      </c>
      <c r="L4" s="26">
        <f t="shared" ref="L4:L9" si="2">16.5*(100-N4)/100</f>
        <v>12.6225</v>
      </c>
      <c r="M4" s="27">
        <f t="shared" ref="M4:M9" si="3">82.65*(100-N4)/100</f>
        <v>63.22725</v>
      </c>
      <c r="N4" s="24">
        <v>23.5</v>
      </c>
      <c r="O4" s="26">
        <f t="shared" ref="O4:O9" si="4">0.85*(100-N4)/100</f>
        <v>0.65025</v>
      </c>
      <c r="P4" s="24">
        <v>0.32</v>
      </c>
      <c r="Q4" s="28">
        <v>800.0</v>
      </c>
      <c r="R4" s="28" t="s">
        <v>50</v>
      </c>
      <c r="S4" s="24">
        <v>0.0</v>
      </c>
      <c r="T4" s="29">
        <v>18.4</v>
      </c>
      <c r="U4" s="30">
        <v>18.08785529715762</v>
      </c>
      <c r="V4" s="30">
        <v>36.17571059431524</v>
      </c>
      <c r="W4" s="30">
        <v>34.883720930232556</v>
      </c>
      <c r="X4" s="30">
        <v>7.751937984496124</v>
      </c>
      <c r="Y4" s="31">
        <f t="shared" ref="Y4:Y132" si="5">(AK4/AM4)*100</f>
        <v>48.99417735</v>
      </c>
      <c r="Z4" s="30">
        <v>2.3</v>
      </c>
      <c r="AA4" s="22" t="s">
        <v>51</v>
      </c>
      <c r="AB4" s="22" t="s">
        <v>51</v>
      </c>
      <c r="AC4" s="32">
        <f t="shared" ref="AC4:AC135" si="6">((U4*0.24182)+(V4*0.283)+(X4*0.80262))*(10000/22.4)</f>
        <v>9300.710594</v>
      </c>
      <c r="AD4" s="22" t="s">
        <v>51</v>
      </c>
      <c r="AK4" s="33">
        <f t="shared" ref="AK4:AK132" si="7">0.79*((P4*(((G4/12)+(H4/4))-((I4/16)/2)))/0.21)+(J4/14)/2</f>
        <v>5.078373016</v>
      </c>
      <c r="AL4" s="33">
        <f t="shared" ref="AL4:AL132" si="8">(100*G4)/(12*(V4+W4+X4))</f>
        <v>5.286885246</v>
      </c>
      <c r="AM4" s="33">
        <f t="shared" ref="AM4:AM132" si="9">AL4+AK4</f>
        <v>10.36525826</v>
      </c>
      <c r="AO4" s="34">
        <f t="shared" ref="AO4:AO132" si="10">((AL4*(U4/100))/AM4)*100</f>
        <v>9.225859394</v>
      </c>
      <c r="AP4" s="34">
        <f t="shared" ref="AP4:AP132" si="11">((AL4*(V4/100))/AM4)*100</f>
        <v>18.45171879</v>
      </c>
      <c r="AQ4" s="34">
        <f t="shared" ref="AQ4:AQ132" si="12">((AL4*(W4/100))/AM4)*100</f>
        <v>17.79272883</v>
      </c>
      <c r="AR4" s="34">
        <f t="shared" ref="AR4:AR132" si="13">((AL4*(X4/100))/AM4)*100</f>
        <v>3.95393974</v>
      </c>
      <c r="AS4" s="34">
        <f t="shared" ref="AS4:AS132" si="14">Y4</f>
        <v>48.99417735</v>
      </c>
      <c r="AT4" s="35">
        <f t="shared" ref="AT4:AT721" si="15">SUM(AO4:AS4)</f>
        <v>98.4184241</v>
      </c>
      <c r="AV4" s="32">
        <f t="shared" ref="AV4:AV135" si="16">((AO4*0.24182)+(AP4*0.283)+(AR4*0.80262))*(10000/22.4)</f>
        <v>4743.903951</v>
      </c>
    </row>
    <row r="5" ht="14.25" customHeight="1">
      <c r="B5" s="36"/>
      <c r="C5" s="20" t="s">
        <v>46</v>
      </c>
      <c r="D5" s="21"/>
      <c r="E5" s="22" t="s">
        <v>48</v>
      </c>
      <c r="F5" s="37"/>
      <c r="G5" s="24">
        <v>50.0</v>
      </c>
      <c r="H5" s="24">
        <v>5.7</v>
      </c>
      <c r="I5" s="24">
        <v>44.1</v>
      </c>
      <c r="J5" s="25">
        <f t="shared" si="1"/>
        <v>0.17</v>
      </c>
      <c r="K5" s="24">
        <v>0.03</v>
      </c>
      <c r="L5" s="26">
        <f t="shared" si="2"/>
        <v>13.035</v>
      </c>
      <c r="M5" s="27">
        <f t="shared" si="3"/>
        <v>65.2935</v>
      </c>
      <c r="N5" s="24">
        <v>21.0</v>
      </c>
      <c r="O5" s="26">
        <f t="shared" si="4"/>
        <v>0.6715</v>
      </c>
      <c r="P5" s="24">
        <v>0.37</v>
      </c>
      <c r="Q5" s="28">
        <v>800.0</v>
      </c>
      <c r="R5" s="28" t="s">
        <v>50</v>
      </c>
      <c r="S5" s="24">
        <v>0.0</v>
      </c>
      <c r="T5" s="29">
        <v>18.4</v>
      </c>
      <c r="U5" s="24">
        <v>22.78177458033573</v>
      </c>
      <c r="V5" s="24">
        <v>31.175059952038367</v>
      </c>
      <c r="W5" s="24">
        <v>35.97122302158273</v>
      </c>
      <c r="X5" s="24">
        <v>6.474820143884892</v>
      </c>
      <c r="Y5" s="31">
        <f t="shared" si="5"/>
        <v>50.91631101</v>
      </c>
      <c r="Z5" s="24">
        <v>2.5</v>
      </c>
      <c r="AA5" s="22" t="s">
        <v>51</v>
      </c>
      <c r="AB5" s="22" t="s">
        <v>51</v>
      </c>
      <c r="AC5" s="32">
        <f t="shared" si="6"/>
        <v>8718.05841</v>
      </c>
      <c r="AD5" s="22" t="s">
        <v>51</v>
      </c>
      <c r="AK5" s="33">
        <f t="shared" si="7"/>
        <v>5.870920139</v>
      </c>
      <c r="AL5" s="33">
        <f t="shared" si="8"/>
        <v>5.659609121</v>
      </c>
      <c r="AM5" s="33">
        <f t="shared" si="9"/>
        <v>11.53052926</v>
      </c>
      <c r="AO5" s="34">
        <f t="shared" si="10"/>
        <v>11.18213538</v>
      </c>
      <c r="AP5" s="34">
        <f t="shared" si="11"/>
        <v>15.30186947</v>
      </c>
      <c r="AQ5" s="34">
        <f t="shared" si="12"/>
        <v>17.65600323</v>
      </c>
      <c r="AR5" s="34">
        <f t="shared" si="13"/>
        <v>3.178080582</v>
      </c>
      <c r="AS5" s="34">
        <f t="shared" si="14"/>
        <v>50.91631101</v>
      </c>
      <c r="AT5" s="35">
        <f t="shared" si="15"/>
        <v>98.23439968</v>
      </c>
      <c r="AV5" s="32">
        <f t="shared" si="16"/>
        <v>4279.144676</v>
      </c>
    </row>
    <row r="6" ht="14.25" customHeight="1">
      <c r="B6" s="36"/>
      <c r="C6" s="20" t="s">
        <v>46</v>
      </c>
      <c r="D6" s="21"/>
      <c r="E6" s="22" t="s">
        <v>48</v>
      </c>
      <c r="F6" s="37"/>
      <c r="G6" s="24">
        <v>50.0</v>
      </c>
      <c r="H6" s="24">
        <v>5.7</v>
      </c>
      <c r="I6" s="24">
        <v>44.1</v>
      </c>
      <c r="J6" s="25">
        <f t="shared" si="1"/>
        <v>0.17</v>
      </c>
      <c r="K6" s="24">
        <v>0.03</v>
      </c>
      <c r="L6" s="26">
        <f t="shared" si="2"/>
        <v>12.705</v>
      </c>
      <c r="M6" s="27">
        <f t="shared" si="3"/>
        <v>63.6405</v>
      </c>
      <c r="N6" s="24">
        <v>23.0</v>
      </c>
      <c r="O6" s="26">
        <f t="shared" si="4"/>
        <v>0.6545</v>
      </c>
      <c r="P6" s="24">
        <v>0.47</v>
      </c>
      <c r="Q6" s="28">
        <v>810.0</v>
      </c>
      <c r="R6" s="28" t="s">
        <v>50</v>
      </c>
      <c r="S6" s="24">
        <v>0.0</v>
      </c>
      <c r="T6" s="29">
        <v>18.4</v>
      </c>
      <c r="U6" s="24">
        <v>23.880597014925375</v>
      </c>
      <c r="V6" s="24">
        <v>29.850746268656717</v>
      </c>
      <c r="W6" s="24">
        <v>35.82089552238806</v>
      </c>
      <c r="X6" s="24">
        <v>7.164179104477612</v>
      </c>
      <c r="Y6" s="31">
        <f t="shared" si="5"/>
        <v>56.58508391</v>
      </c>
      <c r="Z6" s="24">
        <v>2.5</v>
      </c>
      <c r="AA6" s="22" t="s">
        <v>51</v>
      </c>
      <c r="AB6" s="22" t="s">
        <v>51</v>
      </c>
      <c r="AC6" s="32">
        <f t="shared" si="6"/>
        <v>8916.375267</v>
      </c>
      <c r="AD6" s="22" t="s">
        <v>51</v>
      </c>
      <c r="AK6" s="33">
        <f t="shared" si="7"/>
        <v>7.456014385</v>
      </c>
      <c r="AL6" s="33">
        <f t="shared" si="8"/>
        <v>5.720628415</v>
      </c>
      <c r="AM6" s="33">
        <f t="shared" si="9"/>
        <v>13.1766428</v>
      </c>
      <c r="AO6" s="34">
        <f t="shared" si="10"/>
        <v>10.36774116</v>
      </c>
      <c r="AP6" s="34">
        <f t="shared" si="11"/>
        <v>12.95967645</v>
      </c>
      <c r="AQ6" s="34">
        <f t="shared" si="12"/>
        <v>15.55161173</v>
      </c>
      <c r="AR6" s="34">
        <f t="shared" si="13"/>
        <v>3.110322347</v>
      </c>
      <c r="AS6" s="34">
        <f t="shared" si="14"/>
        <v>56.58508391</v>
      </c>
      <c r="AT6" s="35">
        <f t="shared" si="15"/>
        <v>98.57443559</v>
      </c>
      <c r="AV6" s="32">
        <f t="shared" si="16"/>
        <v>3871.03684</v>
      </c>
    </row>
    <row r="7" ht="14.25" customHeight="1">
      <c r="B7" s="36"/>
      <c r="C7" s="20" t="s">
        <v>46</v>
      </c>
      <c r="D7" s="21"/>
      <c r="E7" s="22" t="s">
        <v>48</v>
      </c>
      <c r="F7" s="37"/>
      <c r="G7" s="24">
        <v>50.0</v>
      </c>
      <c r="H7" s="24">
        <v>5.7</v>
      </c>
      <c r="I7" s="24">
        <v>44.1</v>
      </c>
      <c r="J7" s="25">
        <f t="shared" si="1"/>
        <v>0.17</v>
      </c>
      <c r="K7" s="24">
        <v>0.03</v>
      </c>
      <c r="L7" s="26">
        <f t="shared" si="2"/>
        <v>12.87</v>
      </c>
      <c r="M7" s="27">
        <f t="shared" si="3"/>
        <v>64.467</v>
      </c>
      <c r="N7" s="24">
        <v>22.0</v>
      </c>
      <c r="O7" s="26">
        <f t="shared" si="4"/>
        <v>0.663</v>
      </c>
      <c r="P7" s="24">
        <v>0.26</v>
      </c>
      <c r="Q7" s="28">
        <v>800.0</v>
      </c>
      <c r="R7" s="28" t="s">
        <v>50</v>
      </c>
      <c r="S7" s="24">
        <v>0.0</v>
      </c>
      <c r="T7" s="29">
        <v>18.4</v>
      </c>
      <c r="U7" s="24">
        <v>20.383693045563547</v>
      </c>
      <c r="V7" s="24">
        <v>31.175059952038367</v>
      </c>
      <c r="W7" s="24">
        <v>35.97122302158273</v>
      </c>
      <c r="X7" s="24">
        <v>6.474820143884892</v>
      </c>
      <c r="Y7" s="31">
        <f t="shared" si="5"/>
        <v>42.17173647</v>
      </c>
      <c r="Z7" s="24">
        <v>2.1</v>
      </c>
      <c r="AA7" s="22" t="s">
        <v>51</v>
      </c>
      <c r="AB7" s="22" t="s">
        <v>51</v>
      </c>
      <c r="AC7" s="32">
        <f t="shared" si="6"/>
        <v>8459.172662</v>
      </c>
      <c r="AD7" s="22" t="s">
        <v>51</v>
      </c>
      <c r="AK7" s="33">
        <f t="shared" si="7"/>
        <v>4.127316468</v>
      </c>
      <c r="AL7" s="33">
        <f t="shared" si="8"/>
        <v>5.659609121</v>
      </c>
      <c r="AM7" s="33">
        <f t="shared" si="9"/>
        <v>9.786925589</v>
      </c>
      <c r="AO7" s="34">
        <f t="shared" si="10"/>
        <v>11.78753573</v>
      </c>
      <c r="AP7" s="34">
        <f t="shared" si="11"/>
        <v>18.02799582</v>
      </c>
      <c r="AQ7" s="34">
        <f t="shared" si="12"/>
        <v>20.80153364</v>
      </c>
      <c r="AR7" s="34">
        <f t="shared" si="13"/>
        <v>3.744276056</v>
      </c>
      <c r="AS7" s="34">
        <f t="shared" si="14"/>
        <v>42.17173647</v>
      </c>
      <c r="AT7" s="35">
        <f t="shared" si="15"/>
        <v>96.53307773</v>
      </c>
      <c r="AV7" s="32">
        <f t="shared" si="16"/>
        <v>4891.792659</v>
      </c>
    </row>
    <row r="8" ht="14.25" customHeight="1">
      <c r="B8" s="36"/>
      <c r="C8" s="20" t="s">
        <v>46</v>
      </c>
      <c r="D8" s="21"/>
      <c r="E8" s="22" t="s">
        <v>48</v>
      </c>
      <c r="F8" s="37"/>
      <c r="G8" s="24">
        <v>50.0</v>
      </c>
      <c r="H8" s="24">
        <v>5.7</v>
      </c>
      <c r="I8" s="24">
        <v>44.1</v>
      </c>
      <c r="J8" s="25">
        <f t="shared" si="1"/>
        <v>0.17</v>
      </c>
      <c r="K8" s="24">
        <v>0.03</v>
      </c>
      <c r="L8" s="26">
        <f t="shared" si="2"/>
        <v>12.375</v>
      </c>
      <c r="M8" s="27">
        <f t="shared" si="3"/>
        <v>61.9875</v>
      </c>
      <c r="N8" s="24">
        <v>25.0</v>
      </c>
      <c r="O8" s="26">
        <f t="shared" si="4"/>
        <v>0.6375</v>
      </c>
      <c r="P8" s="24">
        <v>0.36</v>
      </c>
      <c r="Q8" s="28">
        <v>790.0</v>
      </c>
      <c r="R8" s="28" t="s">
        <v>50</v>
      </c>
      <c r="S8" s="24">
        <v>0.0</v>
      </c>
      <c r="T8" s="29">
        <v>18.4</v>
      </c>
      <c r="U8" s="24">
        <v>22.78177458033573</v>
      </c>
      <c r="V8" s="24">
        <v>31.175059952038367</v>
      </c>
      <c r="W8" s="24">
        <v>35.97122302158273</v>
      </c>
      <c r="X8" s="24">
        <v>6.474820143884892</v>
      </c>
      <c r="Y8" s="31">
        <f t="shared" si="5"/>
        <v>50.23215574</v>
      </c>
      <c r="Z8" s="24">
        <v>2.4</v>
      </c>
      <c r="AA8" s="22" t="s">
        <v>51</v>
      </c>
      <c r="AB8" s="22" t="s">
        <v>51</v>
      </c>
      <c r="AC8" s="32">
        <f t="shared" si="6"/>
        <v>8718.05841</v>
      </c>
      <c r="AD8" s="22" t="s">
        <v>51</v>
      </c>
      <c r="AK8" s="33">
        <f t="shared" si="7"/>
        <v>5.712410714</v>
      </c>
      <c r="AL8" s="33">
        <f t="shared" si="8"/>
        <v>5.659609121</v>
      </c>
      <c r="AM8" s="33">
        <f t="shared" si="9"/>
        <v>11.37201983</v>
      </c>
      <c r="AO8" s="34">
        <f t="shared" si="10"/>
        <v>11.33799809</v>
      </c>
      <c r="AP8" s="34">
        <f t="shared" si="11"/>
        <v>15.51515528</v>
      </c>
      <c r="AQ8" s="34">
        <f t="shared" si="12"/>
        <v>17.90210225</v>
      </c>
      <c r="AR8" s="34">
        <f t="shared" si="13"/>
        <v>3.222378405</v>
      </c>
      <c r="AS8" s="34">
        <f t="shared" si="14"/>
        <v>50.23215574</v>
      </c>
      <c r="AT8" s="35">
        <f t="shared" si="15"/>
        <v>98.20978977</v>
      </c>
      <c r="AV8" s="32">
        <f t="shared" si="16"/>
        <v>4338.789732</v>
      </c>
    </row>
    <row r="9" ht="14.25" customHeight="1">
      <c r="B9" s="36"/>
      <c r="C9" s="20" t="s">
        <v>46</v>
      </c>
      <c r="D9" s="21"/>
      <c r="E9" s="22" t="s">
        <v>48</v>
      </c>
      <c r="F9" s="38"/>
      <c r="G9" s="24">
        <v>50.0</v>
      </c>
      <c r="H9" s="24">
        <v>5.7</v>
      </c>
      <c r="I9" s="24">
        <v>44.1</v>
      </c>
      <c r="J9" s="25">
        <f t="shared" si="1"/>
        <v>0.17</v>
      </c>
      <c r="K9" s="24">
        <v>0.03</v>
      </c>
      <c r="L9" s="26">
        <f t="shared" si="2"/>
        <v>13.365</v>
      </c>
      <c r="M9" s="27">
        <f t="shared" si="3"/>
        <v>66.9465</v>
      </c>
      <c r="N9" s="24">
        <v>19.0</v>
      </c>
      <c r="O9" s="26">
        <f t="shared" si="4"/>
        <v>0.6885</v>
      </c>
      <c r="P9" s="24">
        <v>0.32</v>
      </c>
      <c r="Q9" s="28">
        <v>800.0</v>
      </c>
      <c r="R9" s="28" t="s">
        <v>50</v>
      </c>
      <c r="S9" s="24">
        <v>0.0</v>
      </c>
      <c r="T9" s="29">
        <v>18.4</v>
      </c>
      <c r="U9" s="24">
        <v>17.272727272727273</v>
      </c>
      <c r="V9" s="24">
        <v>32.72727272727273</v>
      </c>
      <c r="W9" s="24">
        <v>24.545454545454547</v>
      </c>
      <c r="X9" s="24">
        <v>8.181818181818182</v>
      </c>
      <c r="Y9" s="31">
        <f t="shared" si="5"/>
        <v>44.37541538</v>
      </c>
      <c r="Z9" s="24">
        <v>2.1</v>
      </c>
      <c r="AA9" s="22" t="s">
        <v>51</v>
      </c>
      <c r="AB9" s="22" t="s">
        <v>51</v>
      </c>
      <c r="AC9" s="32">
        <f t="shared" si="6"/>
        <v>8931.071429</v>
      </c>
      <c r="AD9" s="22" t="s">
        <v>51</v>
      </c>
      <c r="AK9" s="33">
        <f t="shared" si="7"/>
        <v>5.078373016</v>
      </c>
      <c r="AL9" s="33">
        <f t="shared" si="8"/>
        <v>6.365740741</v>
      </c>
      <c r="AM9" s="33">
        <f t="shared" si="9"/>
        <v>11.44411376</v>
      </c>
      <c r="AO9" s="34">
        <f t="shared" si="10"/>
        <v>9.607882798</v>
      </c>
      <c r="AP9" s="34">
        <f t="shared" si="11"/>
        <v>18.20440951</v>
      </c>
      <c r="AQ9" s="34">
        <f t="shared" si="12"/>
        <v>13.65330713</v>
      </c>
      <c r="AR9" s="34">
        <f t="shared" si="13"/>
        <v>4.551102378</v>
      </c>
      <c r="AS9" s="34">
        <f t="shared" si="14"/>
        <v>44.37541538</v>
      </c>
      <c r="AT9" s="35">
        <f t="shared" si="15"/>
        <v>90.3921172</v>
      </c>
      <c r="AV9" s="32">
        <f t="shared" si="16"/>
        <v>4967.871384</v>
      </c>
    </row>
    <row r="10" ht="14.25" customHeight="1">
      <c r="B10" s="36"/>
      <c r="C10" s="20" t="s">
        <v>46</v>
      </c>
      <c r="D10" s="21"/>
      <c r="E10" s="22" t="s">
        <v>48</v>
      </c>
      <c r="F10" s="23" t="s">
        <v>52</v>
      </c>
      <c r="G10" s="39">
        <v>46.4</v>
      </c>
      <c r="H10" s="39">
        <v>5.7</v>
      </c>
      <c r="I10" s="39">
        <v>47.7</v>
      </c>
      <c r="J10" s="40">
        <v>0.2</v>
      </c>
      <c r="K10" s="39">
        <v>0.0</v>
      </c>
      <c r="L10" s="26">
        <f t="shared" ref="L10:L14" si="17">10*(100-N10)/100</f>
        <v>9.15</v>
      </c>
      <c r="M10" s="27">
        <f t="shared" ref="M10:M14" si="18">88.9*(100-N10)/100</f>
        <v>81.3435</v>
      </c>
      <c r="N10" s="24">
        <v>8.5</v>
      </c>
      <c r="O10" s="26">
        <f t="shared" ref="O10:O14" si="19">1.1*(100-N10)/100</f>
        <v>1.0065</v>
      </c>
      <c r="P10" s="24">
        <v>0.32</v>
      </c>
      <c r="Q10" s="28">
        <v>750.0</v>
      </c>
      <c r="R10" s="28" t="s">
        <v>50</v>
      </c>
      <c r="S10" s="24">
        <v>0.0</v>
      </c>
      <c r="T10" s="41" t="s">
        <v>51</v>
      </c>
      <c r="U10" s="24">
        <v>14.709343374911743</v>
      </c>
      <c r="V10" s="24">
        <v>33.60790774299835</v>
      </c>
      <c r="W10" s="24">
        <v>40.12708872675923</v>
      </c>
      <c r="X10" s="24">
        <v>8.166627441751</v>
      </c>
      <c r="Y10" s="31">
        <f t="shared" si="5"/>
        <v>49.25710269</v>
      </c>
      <c r="Z10" s="24">
        <v>1.8907987866531848</v>
      </c>
      <c r="AA10" s="22" t="s">
        <v>51</v>
      </c>
      <c r="AB10" s="22" t="s">
        <v>51</v>
      </c>
      <c r="AC10" s="32">
        <f t="shared" si="6"/>
        <v>8760.156171</v>
      </c>
      <c r="AD10" s="22" t="s">
        <v>51</v>
      </c>
      <c r="AK10" s="33">
        <f t="shared" si="7"/>
        <v>4.582873016</v>
      </c>
      <c r="AL10" s="33">
        <f t="shared" si="8"/>
        <v>4.721111111</v>
      </c>
      <c r="AM10" s="33">
        <f t="shared" si="9"/>
        <v>9.303984127</v>
      </c>
      <c r="AO10" s="34">
        <f t="shared" si="10"/>
        <v>7.463947003</v>
      </c>
      <c r="AP10" s="34">
        <f t="shared" si="11"/>
        <v>17.05362611</v>
      </c>
      <c r="AQ10" s="34">
        <f t="shared" si="12"/>
        <v>20.36164743</v>
      </c>
      <c r="AR10" s="34">
        <f t="shared" si="13"/>
        <v>4.143983376</v>
      </c>
      <c r="AS10" s="34">
        <f t="shared" si="14"/>
        <v>49.25710269</v>
      </c>
      <c r="AT10" s="35">
        <f t="shared" si="15"/>
        <v>98.28030661</v>
      </c>
      <c r="AV10" s="32">
        <f t="shared" si="16"/>
        <v>4445.15705</v>
      </c>
    </row>
    <row r="11" ht="14.25" customHeight="1">
      <c r="B11" s="36"/>
      <c r="C11" s="20" t="s">
        <v>46</v>
      </c>
      <c r="D11" s="21"/>
      <c r="E11" s="22" t="s">
        <v>48</v>
      </c>
      <c r="F11" s="42"/>
      <c r="G11" s="39">
        <v>46.4</v>
      </c>
      <c r="H11" s="39">
        <v>5.7</v>
      </c>
      <c r="I11" s="39">
        <v>47.7</v>
      </c>
      <c r="J11" s="40">
        <v>0.2</v>
      </c>
      <c r="K11" s="39">
        <v>0.0</v>
      </c>
      <c r="L11" s="26">
        <f t="shared" si="17"/>
        <v>9.15</v>
      </c>
      <c r="M11" s="27">
        <f t="shared" si="18"/>
        <v>81.3435</v>
      </c>
      <c r="N11" s="24">
        <v>8.5</v>
      </c>
      <c r="O11" s="26">
        <f t="shared" si="19"/>
        <v>1.0065</v>
      </c>
      <c r="P11" s="24">
        <v>0.36</v>
      </c>
      <c r="Q11" s="28">
        <v>776.5</v>
      </c>
      <c r="R11" s="28" t="s">
        <v>50</v>
      </c>
      <c r="S11" s="24">
        <v>0.0</v>
      </c>
      <c r="T11" s="41" t="s">
        <v>51</v>
      </c>
      <c r="U11" s="24">
        <v>16.53898152320865</v>
      </c>
      <c r="V11" s="24">
        <v>29.044614691302385</v>
      </c>
      <c r="W11" s="24">
        <v>38.19287967552952</v>
      </c>
      <c r="X11" s="24">
        <v>7.593510590356016</v>
      </c>
      <c r="Y11" s="31">
        <f t="shared" si="5"/>
        <v>49.94013125</v>
      </c>
      <c r="Z11" s="24">
        <v>2.1840242669362993</v>
      </c>
      <c r="AA11" s="22" t="s">
        <v>51</v>
      </c>
      <c r="AB11" s="22" t="s">
        <v>51</v>
      </c>
      <c r="AC11" s="32">
        <f t="shared" si="6"/>
        <v>8175.797294</v>
      </c>
      <c r="AD11" s="22" t="s">
        <v>51</v>
      </c>
      <c r="AK11" s="33">
        <f t="shared" si="7"/>
        <v>5.154839286</v>
      </c>
      <c r="AL11" s="33">
        <f t="shared" si="8"/>
        <v>5.167198635</v>
      </c>
      <c r="AM11" s="33">
        <f t="shared" si="9"/>
        <v>10.32203792</v>
      </c>
      <c r="AO11" s="34">
        <f t="shared" si="10"/>
        <v>8.279392442</v>
      </c>
      <c r="AP11" s="34">
        <f t="shared" si="11"/>
        <v>14.53969599</v>
      </c>
      <c r="AQ11" s="34">
        <f t="shared" si="12"/>
        <v>19.11930544</v>
      </c>
      <c r="AR11" s="34">
        <f t="shared" si="13"/>
        <v>3.801301435</v>
      </c>
      <c r="AS11" s="34">
        <f t="shared" si="14"/>
        <v>49.94013125</v>
      </c>
      <c r="AT11" s="35">
        <f t="shared" si="15"/>
        <v>95.67982656</v>
      </c>
      <c r="AV11" s="32">
        <f t="shared" si="16"/>
        <v>4092.793395</v>
      </c>
    </row>
    <row r="12" ht="14.25" customHeight="1">
      <c r="B12" s="36"/>
      <c r="C12" s="20" t="s">
        <v>46</v>
      </c>
      <c r="D12" s="21"/>
      <c r="E12" s="22" t="s">
        <v>48</v>
      </c>
      <c r="F12" s="42"/>
      <c r="G12" s="39">
        <v>46.4</v>
      </c>
      <c r="H12" s="39">
        <v>5.7</v>
      </c>
      <c r="I12" s="39">
        <v>47.7</v>
      </c>
      <c r="J12" s="40">
        <v>0.2</v>
      </c>
      <c r="K12" s="39">
        <v>0.0</v>
      </c>
      <c r="L12" s="26">
        <f t="shared" si="17"/>
        <v>9.15</v>
      </c>
      <c r="M12" s="27">
        <f t="shared" si="18"/>
        <v>81.3435</v>
      </c>
      <c r="N12" s="24">
        <v>8.5</v>
      </c>
      <c r="O12" s="26">
        <f t="shared" si="19"/>
        <v>1.0065</v>
      </c>
      <c r="P12" s="24">
        <v>0.38</v>
      </c>
      <c r="Q12" s="28">
        <v>790.5</v>
      </c>
      <c r="R12" s="28" t="s">
        <v>50</v>
      </c>
      <c r="S12" s="24">
        <v>0.0</v>
      </c>
      <c r="T12" s="41" t="s">
        <v>51</v>
      </c>
      <c r="U12" s="24">
        <v>19.158233670653175</v>
      </c>
      <c r="V12" s="24">
        <v>29.645814167433304</v>
      </c>
      <c r="W12" s="24">
        <v>37.39650413983441</v>
      </c>
      <c r="X12" s="24">
        <v>7.98068077276909</v>
      </c>
      <c r="Y12" s="31">
        <f t="shared" si="5"/>
        <v>51.35371797</v>
      </c>
      <c r="Z12" s="24">
        <v>2.315470171890799</v>
      </c>
      <c r="AA12" s="22" t="s">
        <v>51</v>
      </c>
      <c r="AB12" s="22" t="s">
        <v>51</v>
      </c>
      <c r="AC12" s="32">
        <f t="shared" si="6"/>
        <v>8673.242624</v>
      </c>
      <c r="AD12" s="22" t="s">
        <v>51</v>
      </c>
      <c r="AK12" s="33">
        <f t="shared" si="7"/>
        <v>5.440822421</v>
      </c>
      <c r="AL12" s="33">
        <f t="shared" si="8"/>
        <v>5.153975066</v>
      </c>
      <c r="AM12" s="33">
        <f t="shared" si="9"/>
        <v>10.59479749</v>
      </c>
      <c r="AO12" s="34">
        <f t="shared" si="10"/>
        <v>9.319768384</v>
      </c>
      <c r="AP12" s="34">
        <f t="shared" si="11"/>
        <v>14.42158637</v>
      </c>
      <c r="AQ12" s="34">
        <f t="shared" si="12"/>
        <v>18.19200887</v>
      </c>
      <c r="AR12" s="34">
        <f t="shared" si="13"/>
        <v>3.882304477</v>
      </c>
      <c r="AS12" s="34">
        <f t="shared" si="14"/>
        <v>51.35371797</v>
      </c>
      <c r="AT12" s="35">
        <f t="shared" si="15"/>
        <v>97.16938607</v>
      </c>
      <c r="AV12" s="32">
        <f t="shared" si="16"/>
        <v>4219.210068</v>
      </c>
    </row>
    <row r="13" ht="14.25" customHeight="1">
      <c r="B13" s="36"/>
      <c r="C13" s="20" t="s">
        <v>46</v>
      </c>
      <c r="D13" s="21"/>
      <c r="E13" s="22" t="s">
        <v>48</v>
      </c>
      <c r="F13" s="42"/>
      <c r="G13" s="39">
        <v>46.4</v>
      </c>
      <c r="H13" s="39">
        <v>5.7</v>
      </c>
      <c r="I13" s="39">
        <v>47.7</v>
      </c>
      <c r="J13" s="40">
        <v>0.2</v>
      </c>
      <c r="K13" s="39">
        <v>0.0</v>
      </c>
      <c r="L13" s="26">
        <f t="shared" si="17"/>
        <v>9.15</v>
      </c>
      <c r="M13" s="27">
        <f t="shared" si="18"/>
        <v>81.3435</v>
      </c>
      <c r="N13" s="24">
        <v>8.5</v>
      </c>
      <c r="O13" s="26">
        <f t="shared" si="19"/>
        <v>1.0065</v>
      </c>
      <c r="P13" s="24">
        <v>0.41</v>
      </c>
      <c r="Q13" s="28">
        <v>808.4</v>
      </c>
      <c r="R13" s="28" t="s">
        <v>50</v>
      </c>
      <c r="S13" s="24">
        <v>0.0</v>
      </c>
      <c r="T13" s="41" t="s">
        <v>51</v>
      </c>
      <c r="U13" s="24">
        <v>16.642335766423358</v>
      </c>
      <c r="V13" s="24">
        <v>28.223844282238442</v>
      </c>
      <c r="W13" s="24">
        <v>40.778588807785894</v>
      </c>
      <c r="X13" s="24">
        <v>8.442822384428224</v>
      </c>
      <c r="Y13" s="31">
        <f t="shared" si="5"/>
        <v>54.03690338</v>
      </c>
      <c r="Z13" s="24">
        <v>2.366026289180991</v>
      </c>
      <c r="AA13" s="22" t="s">
        <v>51</v>
      </c>
      <c r="AB13" s="22" t="s">
        <v>51</v>
      </c>
      <c r="AC13" s="32">
        <f t="shared" si="6"/>
        <v>8387.578424</v>
      </c>
      <c r="AD13" s="22" t="s">
        <v>51</v>
      </c>
      <c r="AK13" s="33">
        <f t="shared" si="7"/>
        <v>5.869797123</v>
      </c>
      <c r="AL13" s="33">
        <f t="shared" si="8"/>
        <v>4.992774112</v>
      </c>
      <c r="AM13" s="33">
        <f t="shared" si="9"/>
        <v>10.86257124</v>
      </c>
      <c r="AO13" s="34">
        <f t="shared" si="10"/>
        <v>7.649332868</v>
      </c>
      <c r="AP13" s="34">
        <f t="shared" si="11"/>
        <v>12.97255282</v>
      </c>
      <c r="AQ13" s="34">
        <f t="shared" si="12"/>
        <v>18.74310217</v>
      </c>
      <c r="AR13" s="34">
        <f t="shared" si="13"/>
        <v>3.88058261</v>
      </c>
      <c r="AS13" s="34">
        <f t="shared" si="14"/>
        <v>54.03690338</v>
      </c>
      <c r="AT13" s="35">
        <f t="shared" si="15"/>
        <v>97.28247385</v>
      </c>
      <c r="AV13" s="32">
        <f t="shared" si="16"/>
        <v>3855.190775</v>
      </c>
    </row>
    <row r="14" ht="14.25" customHeight="1">
      <c r="B14" s="36"/>
      <c r="C14" s="20" t="s">
        <v>46</v>
      </c>
      <c r="D14" s="21"/>
      <c r="E14" s="22" t="s">
        <v>48</v>
      </c>
      <c r="F14" s="43"/>
      <c r="G14" s="39">
        <v>46.4</v>
      </c>
      <c r="H14" s="39">
        <v>5.7</v>
      </c>
      <c r="I14" s="39">
        <v>47.7</v>
      </c>
      <c r="J14" s="40">
        <v>0.2</v>
      </c>
      <c r="K14" s="39">
        <v>0.0</v>
      </c>
      <c r="L14" s="26">
        <f t="shared" si="17"/>
        <v>9.15</v>
      </c>
      <c r="M14" s="27">
        <f t="shared" si="18"/>
        <v>81.3435</v>
      </c>
      <c r="N14" s="24">
        <v>8.5</v>
      </c>
      <c r="O14" s="26">
        <f t="shared" si="19"/>
        <v>1.0065</v>
      </c>
      <c r="P14" s="24">
        <v>0.43</v>
      </c>
      <c r="Q14" s="28">
        <v>834.2</v>
      </c>
      <c r="R14" s="28" t="s">
        <v>50</v>
      </c>
      <c r="S14" s="24">
        <v>0.0</v>
      </c>
      <c r="T14" s="41" t="s">
        <v>51</v>
      </c>
      <c r="U14" s="24">
        <v>12.235649546827796</v>
      </c>
      <c r="V14" s="24">
        <v>25.95669687814703</v>
      </c>
      <c r="W14" s="24">
        <v>40.181268882175225</v>
      </c>
      <c r="X14" s="24">
        <v>7.98086606243706</v>
      </c>
      <c r="Y14" s="31">
        <f t="shared" si="5"/>
        <v>54.1280363</v>
      </c>
      <c r="Z14" s="24">
        <v>2.487360970677452</v>
      </c>
      <c r="AA14" s="22" t="s">
        <v>51</v>
      </c>
      <c r="AB14" s="22" t="s">
        <v>51</v>
      </c>
      <c r="AC14" s="32">
        <f t="shared" si="6"/>
        <v>7459.898531</v>
      </c>
      <c r="AD14" s="22" t="s">
        <v>51</v>
      </c>
      <c r="AK14" s="33">
        <f t="shared" si="7"/>
        <v>6.155780258</v>
      </c>
      <c r="AL14" s="33">
        <f t="shared" si="8"/>
        <v>5.216847826</v>
      </c>
      <c r="AM14" s="33">
        <f t="shared" si="9"/>
        <v>11.37262808</v>
      </c>
      <c r="AO14" s="34">
        <f t="shared" si="10"/>
        <v>5.612732718</v>
      </c>
      <c r="AP14" s="34">
        <f t="shared" si="11"/>
        <v>11.90684657</v>
      </c>
      <c r="AQ14" s="34">
        <f t="shared" si="12"/>
        <v>18.43193707</v>
      </c>
      <c r="AR14" s="34">
        <f t="shared" si="13"/>
        <v>3.660979983</v>
      </c>
      <c r="AS14" s="34">
        <f t="shared" si="14"/>
        <v>54.1280363</v>
      </c>
      <c r="AT14" s="35">
        <f t="shared" si="15"/>
        <v>93.74053265</v>
      </c>
      <c r="AV14" s="32">
        <f t="shared" si="16"/>
        <v>3422.001946</v>
      </c>
    </row>
    <row r="15" ht="14.25" customHeight="1">
      <c r="B15" s="36"/>
      <c r="C15" s="44" t="s">
        <v>46</v>
      </c>
      <c r="D15" s="21"/>
      <c r="E15" s="22" t="s">
        <v>53</v>
      </c>
      <c r="F15" s="23" t="s">
        <v>49</v>
      </c>
      <c r="G15" s="26">
        <v>50.82</v>
      </c>
      <c r="H15" s="26">
        <v>7.12</v>
      </c>
      <c r="I15" s="26">
        <v>41.34</v>
      </c>
      <c r="J15" s="27">
        <v>0.15083</v>
      </c>
      <c r="K15" s="26">
        <v>0.57</v>
      </c>
      <c r="L15" s="26">
        <f t="shared" ref="L15:L29" si="20">17.16*(100-N15)/100</f>
        <v>15.7872</v>
      </c>
      <c r="M15" s="27">
        <f t="shared" ref="M15:M29" si="21">82.29*(100-N15)/100</f>
        <v>75.7068</v>
      </c>
      <c r="N15" s="24">
        <v>8.0</v>
      </c>
      <c r="O15" s="26">
        <f t="shared" ref="O15:O29" si="22">0.55*(100-N15)/100</f>
        <v>0.506</v>
      </c>
      <c r="P15" s="24">
        <v>0.22</v>
      </c>
      <c r="Q15" s="28">
        <v>700.0</v>
      </c>
      <c r="R15" s="28" t="s">
        <v>50</v>
      </c>
      <c r="S15" s="24">
        <v>2.7</v>
      </c>
      <c r="T15" s="41" t="s">
        <v>51</v>
      </c>
      <c r="U15" s="24">
        <v>21.4</v>
      </c>
      <c r="V15" s="24">
        <v>42.85</v>
      </c>
      <c r="W15" s="24">
        <v>20.48</v>
      </c>
      <c r="X15" s="24">
        <v>9.32</v>
      </c>
      <c r="Y15" s="31">
        <f t="shared" si="5"/>
        <v>40.17317467</v>
      </c>
      <c r="Z15" s="24">
        <v>1.5629440181869847</v>
      </c>
      <c r="AA15" s="22" t="s">
        <v>51</v>
      </c>
      <c r="AB15" s="22" t="s">
        <v>51</v>
      </c>
      <c r="AC15" s="32">
        <f t="shared" si="6"/>
        <v>11063.35554</v>
      </c>
      <c r="AD15" s="22" t="s">
        <v>51</v>
      </c>
      <c r="AK15" s="33">
        <f t="shared" si="7"/>
        <v>3.914335</v>
      </c>
      <c r="AL15" s="33">
        <f t="shared" si="8"/>
        <v>5.829318651</v>
      </c>
      <c r="AM15" s="33">
        <f t="shared" si="9"/>
        <v>9.743653651</v>
      </c>
      <c r="AO15" s="34">
        <f t="shared" si="10"/>
        <v>12.80294062</v>
      </c>
      <c r="AP15" s="34">
        <f t="shared" si="11"/>
        <v>25.63579466</v>
      </c>
      <c r="AQ15" s="34">
        <f t="shared" si="12"/>
        <v>12.25253383</v>
      </c>
      <c r="AR15" s="34">
        <f t="shared" si="13"/>
        <v>5.575860121</v>
      </c>
      <c r="AS15" s="34">
        <f t="shared" si="14"/>
        <v>40.17317467</v>
      </c>
      <c r="AT15" s="35">
        <f t="shared" si="15"/>
        <v>96.44030389</v>
      </c>
      <c r="AV15" s="32">
        <f t="shared" si="16"/>
        <v>6618.854393</v>
      </c>
    </row>
    <row r="16" ht="14.25" customHeight="1">
      <c r="B16" s="36"/>
      <c r="C16" s="44" t="s">
        <v>46</v>
      </c>
      <c r="D16" s="21"/>
      <c r="E16" s="22" t="s">
        <v>53</v>
      </c>
      <c r="F16" s="42"/>
      <c r="G16" s="26">
        <v>50.82</v>
      </c>
      <c r="H16" s="26">
        <v>7.12</v>
      </c>
      <c r="I16" s="26">
        <v>41.34</v>
      </c>
      <c r="J16" s="27">
        <v>0.15083</v>
      </c>
      <c r="K16" s="26">
        <v>0.57</v>
      </c>
      <c r="L16" s="26">
        <f t="shared" si="20"/>
        <v>15.7872</v>
      </c>
      <c r="M16" s="27">
        <f t="shared" si="21"/>
        <v>75.7068</v>
      </c>
      <c r="N16" s="24">
        <v>8.0</v>
      </c>
      <c r="O16" s="26">
        <f t="shared" si="22"/>
        <v>0.506</v>
      </c>
      <c r="P16" s="24">
        <v>0.22</v>
      </c>
      <c r="Q16" s="28">
        <v>750.0</v>
      </c>
      <c r="R16" s="28" t="s">
        <v>50</v>
      </c>
      <c r="S16" s="24">
        <v>2.7</v>
      </c>
      <c r="T16" s="41" t="s">
        <v>51</v>
      </c>
      <c r="U16" s="24">
        <v>28.2</v>
      </c>
      <c r="V16" s="24">
        <v>39.3</v>
      </c>
      <c r="W16" s="24">
        <v>19.5</v>
      </c>
      <c r="X16" s="24">
        <v>8.28</v>
      </c>
      <c r="Y16" s="31">
        <f t="shared" si="5"/>
        <v>38.2719281</v>
      </c>
      <c r="Z16" s="24">
        <v>1.6503814457778652</v>
      </c>
      <c r="AA16" s="22" t="s">
        <v>51</v>
      </c>
      <c r="AB16" s="22" t="s">
        <v>51</v>
      </c>
      <c r="AC16" s="32">
        <f t="shared" si="6"/>
        <v>10976.3025</v>
      </c>
      <c r="AD16" s="22" t="s">
        <v>51</v>
      </c>
      <c r="AK16" s="33">
        <f t="shared" si="7"/>
        <v>3.914335</v>
      </c>
      <c r="AL16" s="33">
        <f t="shared" si="8"/>
        <v>6.313357185</v>
      </c>
      <c r="AM16" s="33">
        <f t="shared" si="9"/>
        <v>10.22769219</v>
      </c>
      <c r="AO16" s="34">
        <f t="shared" si="10"/>
        <v>17.40731627</v>
      </c>
      <c r="AP16" s="34">
        <f t="shared" si="11"/>
        <v>24.25913225</v>
      </c>
      <c r="AQ16" s="34">
        <f t="shared" si="12"/>
        <v>12.03697402</v>
      </c>
      <c r="AR16" s="34">
        <f t="shared" si="13"/>
        <v>5.111084353</v>
      </c>
      <c r="AS16" s="34">
        <f t="shared" si="14"/>
        <v>38.2719281</v>
      </c>
      <c r="AT16" s="35">
        <f t="shared" si="15"/>
        <v>97.08643501</v>
      </c>
      <c r="AV16" s="32">
        <f t="shared" si="16"/>
        <v>6775.459899</v>
      </c>
    </row>
    <row r="17" ht="14.25" customHeight="1">
      <c r="B17" s="36"/>
      <c r="C17" s="44" t="s">
        <v>46</v>
      </c>
      <c r="D17" s="21"/>
      <c r="E17" s="22" t="s">
        <v>53</v>
      </c>
      <c r="F17" s="42"/>
      <c r="G17" s="26">
        <v>50.82</v>
      </c>
      <c r="H17" s="26">
        <v>7.12</v>
      </c>
      <c r="I17" s="26">
        <v>41.34</v>
      </c>
      <c r="J17" s="27">
        <v>0.15083</v>
      </c>
      <c r="K17" s="26">
        <v>0.57</v>
      </c>
      <c r="L17" s="26">
        <f t="shared" si="20"/>
        <v>15.7872</v>
      </c>
      <c r="M17" s="27">
        <f t="shared" si="21"/>
        <v>75.7068</v>
      </c>
      <c r="N17" s="24">
        <v>8.0</v>
      </c>
      <c r="O17" s="26">
        <f t="shared" si="22"/>
        <v>0.506</v>
      </c>
      <c r="P17" s="24">
        <v>0.22</v>
      </c>
      <c r="Q17" s="28">
        <v>800.0</v>
      </c>
      <c r="R17" s="28" t="s">
        <v>50</v>
      </c>
      <c r="S17" s="24">
        <v>2.7</v>
      </c>
      <c r="T17" s="41" t="s">
        <v>51</v>
      </c>
      <c r="U17" s="24">
        <v>32.19</v>
      </c>
      <c r="V17" s="24">
        <v>37.7</v>
      </c>
      <c r="W17" s="24">
        <v>18.64</v>
      </c>
      <c r="X17" s="24">
        <v>7.6</v>
      </c>
      <c r="Y17" s="31">
        <f t="shared" si="5"/>
        <v>37.14589652</v>
      </c>
      <c r="Z17" s="24">
        <v>2.7652086475615887</v>
      </c>
      <c r="AA17" s="22" t="s">
        <v>51</v>
      </c>
      <c r="AB17" s="22" t="s">
        <v>51</v>
      </c>
      <c r="AC17" s="32">
        <f t="shared" si="6"/>
        <v>10961.24902</v>
      </c>
      <c r="AD17" s="22" t="s">
        <v>51</v>
      </c>
      <c r="AK17" s="33">
        <f t="shared" si="7"/>
        <v>3.914335</v>
      </c>
      <c r="AL17" s="33">
        <f t="shared" si="8"/>
        <v>6.623396935</v>
      </c>
      <c r="AM17" s="33">
        <f t="shared" si="9"/>
        <v>10.53773193</v>
      </c>
      <c r="AO17" s="34">
        <f t="shared" si="10"/>
        <v>20.23273591</v>
      </c>
      <c r="AP17" s="34">
        <f t="shared" si="11"/>
        <v>23.69599701</v>
      </c>
      <c r="AQ17" s="34">
        <f t="shared" si="12"/>
        <v>11.71600489</v>
      </c>
      <c r="AR17" s="34">
        <f t="shared" si="13"/>
        <v>4.776911864</v>
      </c>
      <c r="AS17" s="34">
        <f t="shared" si="14"/>
        <v>37.14589652</v>
      </c>
      <c r="AT17" s="35">
        <f t="shared" si="15"/>
        <v>97.5675462</v>
      </c>
      <c r="AV17" s="32">
        <f t="shared" si="16"/>
        <v>6889.5948</v>
      </c>
    </row>
    <row r="18" ht="14.25" customHeight="1">
      <c r="B18" s="36"/>
      <c r="C18" s="44" t="s">
        <v>46</v>
      </c>
      <c r="D18" s="21"/>
      <c r="E18" s="22" t="s">
        <v>53</v>
      </c>
      <c r="F18" s="42"/>
      <c r="G18" s="26">
        <v>50.82</v>
      </c>
      <c r="H18" s="26">
        <v>7.12</v>
      </c>
      <c r="I18" s="26">
        <v>41.34</v>
      </c>
      <c r="J18" s="27">
        <v>0.15083</v>
      </c>
      <c r="K18" s="26">
        <v>0.57</v>
      </c>
      <c r="L18" s="26">
        <f t="shared" si="20"/>
        <v>15.7872</v>
      </c>
      <c r="M18" s="27">
        <f t="shared" si="21"/>
        <v>75.7068</v>
      </c>
      <c r="N18" s="24">
        <v>8.0</v>
      </c>
      <c r="O18" s="26">
        <f t="shared" si="22"/>
        <v>0.506</v>
      </c>
      <c r="P18" s="24">
        <v>0.22</v>
      </c>
      <c r="Q18" s="28">
        <v>850.0</v>
      </c>
      <c r="R18" s="28" t="s">
        <v>50</v>
      </c>
      <c r="S18" s="24">
        <v>2.7</v>
      </c>
      <c r="T18" s="41" t="s">
        <v>51</v>
      </c>
      <c r="U18" s="24">
        <v>36.29</v>
      </c>
      <c r="V18" s="24">
        <v>34.56</v>
      </c>
      <c r="W18" s="24">
        <v>18.7</v>
      </c>
      <c r="X18" s="24">
        <v>7.3</v>
      </c>
      <c r="Y18" s="31">
        <f t="shared" si="5"/>
        <v>35.88696754</v>
      </c>
      <c r="Z18" s="24">
        <v>2.6777712199707087</v>
      </c>
      <c r="AA18" s="22" t="s">
        <v>51</v>
      </c>
      <c r="AB18" s="22" t="s">
        <v>51</v>
      </c>
      <c r="AC18" s="32">
        <f t="shared" si="6"/>
        <v>10899.66688</v>
      </c>
      <c r="AD18" s="22" t="s">
        <v>51</v>
      </c>
      <c r="AK18" s="33">
        <f t="shared" si="7"/>
        <v>3.914335</v>
      </c>
      <c r="AL18" s="33">
        <f t="shared" si="8"/>
        <v>6.993064729</v>
      </c>
      <c r="AM18" s="33">
        <f t="shared" si="9"/>
        <v>10.90739973</v>
      </c>
      <c r="AO18" s="34">
        <f t="shared" si="10"/>
        <v>23.26661948</v>
      </c>
      <c r="AP18" s="34">
        <f t="shared" si="11"/>
        <v>22.15746402</v>
      </c>
      <c r="AQ18" s="34">
        <f t="shared" si="12"/>
        <v>11.98913707</v>
      </c>
      <c r="AR18" s="34">
        <f t="shared" si="13"/>
        <v>4.68025137</v>
      </c>
      <c r="AS18" s="34">
        <f t="shared" si="14"/>
        <v>35.88696754</v>
      </c>
      <c r="AT18" s="35">
        <f t="shared" si="15"/>
        <v>97.98043948</v>
      </c>
      <c r="AV18" s="32">
        <f t="shared" si="16"/>
        <v>6988.106962</v>
      </c>
    </row>
    <row r="19" ht="14.25" customHeight="1">
      <c r="B19" s="36"/>
      <c r="C19" s="44" t="s">
        <v>46</v>
      </c>
      <c r="D19" s="21"/>
      <c r="E19" s="22" t="s">
        <v>53</v>
      </c>
      <c r="F19" s="42"/>
      <c r="G19" s="26">
        <v>50.82</v>
      </c>
      <c r="H19" s="26">
        <v>7.12</v>
      </c>
      <c r="I19" s="26">
        <v>41.34</v>
      </c>
      <c r="J19" s="27">
        <v>0.15083</v>
      </c>
      <c r="K19" s="26">
        <v>0.57</v>
      </c>
      <c r="L19" s="26">
        <f t="shared" si="20"/>
        <v>15.7872</v>
      </c>
      <c r="M19" s="27">
        <f t="shared" si="21"/>
        <v>75.7068</v>
      </c>
      <c r="N19" s="24">
        <v>8.0</v>
      </c>
      <c r="O19" s="26">
        <f t="shared" si="22"/>
        <v>0.506</v>
      </c>
      <c r="P19" s="24">
        <v>0.22</v>
      </c>
      <c r="Q19" s="28">
        <v>900.0</v>
      </c>
      <c r="R19" s="28" t="s">
        <v>50</v>
      </c>
      <c r="S19" s="24">
        <v>2.7</v>
      </c>
      <c r="T19" s="41" t="s">
        <v>51</v>
      </c>
      <c r="U19" s="24">
        <v>39.42</v>
      </c>
      <c r="V19" s="24">
        <v>33.35</v>
      </c>
      <c r="W19" s="24">
        <v>19.25</v>
      </c>
      <c r="X19" s="24">
        <v>6.13</v>
      </c>
      <c r="Y19" s="31">
        <f t="shared" si="5"/>
        <v>35.18408355</v>
      </c>
      <c r="Z19" s="24">
        <v>2.7652086475615887</v>
      </c>
      <c r="AA19" s="22" t="s">
        <v>51</v>
      </c>
      <c r="AB19" s="22" t="s">
        <v>51</v>
      </c>
      <c r="AC19" s="32">
        <f t="shared" si="6"/>
        <v>10665.47098</v>
      </c>
      <c r="AD19" s="22" t="s">
        <v>51</v>
      </c>
      <c r="AK19" s="33">
        <f t="shared" si="7"/>
        <v>3.914335</v>
      </c>
      <c r="AL19" s="33">
        <f t="shared" si="8"/>
        <v>7.210965435</v>
      </c>
      <c r="AM19" s="33">
        <f t="shared" si="9"/>
        <v>11.12530044</v>
      </c>
      <c r="AO19" s="34">
        <f t="shared" si="10"/>
        <v>25.55043427</v>
      </c>
      <c r="AP19" s="34">
        <f t="shared" si="11"/>
        <v>21.61610814</v>
      </c>
      <c r="AQ19" s="34">
        <f t="shared" si="12"/>
        <v>12.47706392</v>
      </c>
      <c r="AR19" s="34">
        <f t="shared" si="13"/>
        <v>3.973215679</v>
      </c>
      <c r="AS19" s="34">
        <f t="shared" si="14"/>
        <v>35.18408355</v>
      </c>
      <c r="AT19" s="35">
        <f t="shared" si="15"/>
        <v>98.80090555</v>
      </c>
      <c r="AV19" s="32">
        <f t="shared" si="16"/>
        <v>6912.922761</v>
      </c>
    </row>
    <row r="20" ht="14.25" customHeight="1">
      <c r="B20" s="36"/>
      <c r="C20" s="44" t="s">
        <v>46</v>
      </c>
      <c r="D20" s="21"/>
      <c r="E20" s="22" t="s">
        <v>53</v>
      </c>
      <c r="F20" s="42"/>
      <c r="G20" s="26">
        <v>50.82</v>
      </c>
      <c r="H20" s="26">
        <v>7.12</v>
      </c>
      <c r="I20" s="26">
        <v>41.34</v>
      </c>
      <c r="J20" s="27">
        <v>0.15083</v>
      </c>
      <c r="K20" s="26">
        <v>0.57</v>
      </c>
      <c r="L20" s="26">
        <f t="shared" si="20"/>
        <v>15.7872</v>
      </c>
      <c r="M20" s="27">
        <f t="shared" si="21"/>
        <v>75.7068</v>
      </c>
      <c r="N20" s="24">
        <v>8.0</v>
      </c>
      <c r="O20" s="26">
        <f t="shared" si="22"/>
        <v>0.506</v>
      </c>
      <c r="P20" s="24">
        <v>0.19</v>
      </c>
      <c r="Q20" s="28">
        <v>800.0</v>
      </c>
      <c r="R20" s="28" t="s">
        <v>50</v>
      </c>
      <c r="S20" s="24">
        <v>1.56</v>
      </c>
      <c r="T20" s="41" t="s">
        <v>51</v>
      </c>
      <c r="U20" s="24">
        <v>32.11</v>
      </c>
      <c r="V20" s="24">
        <v>37.92</v>
      </c>
      <c r="W20" s="24">
        <v>17.75</v>
      </c>
      <c r="X20" s="24">
        <v>7.79</v>
      </c>
      <c r="Y20" s="31">
        <f t="shared" si="5"/>
        <v>33.62870859</v>
      </c>
      <c r="Z20" s="24">
        <v>2.328021509607187</v>
      </c>
      <c r="AA20" s="22" t="s">
        <v>51</v>
      </c>
      <c r="AB20" s="22" t="s">
        <v>51</v>
      </c>
      <c r="AC20" s="32">
        <f t="shared" si="6"/>
        <v>11048.48661</v>
      </c>
      <c r="AD20" s="22" t="s">
        <v>51</v>
      </c>
      <c r="AK20" s="33">
        <f t="shared" si="7"/>
        <v>3.381296607</v>
      </c>
      <c r="AL20" s="33">
        <f t="shared" si="8"/>
        <v>6.673495115</v>
      </c>
      <c r="AM20" s="33">
        <f t="shared" si="9"/>
        <v>10.05479172</v>
      </c>
      <c r="AO20" s="34">
        <f t="shared" si="10"/>
        <v>21.31182167</v>
      </c>
      <c r="AP20" s="34">
        <f t="shared" si="11"/>
        <v>25.1679937</v>
      </c>
      <c r="AQ20" s="34">
        <f t="shared" si="12"/>
        <v>11.78090423</v>
      </c>
      <c r="AR20" s="34">
        <f t="shared" si="13"/>
        <v>5.170323601</v>
      </c>
      <c r="AS20" s="34">
        <f t="shared" si="14"/>
        <v>33.62870859</v>
      </c>
      <c r="AT20" s="35">
        <f t="shared" si="15"/>
        <v>97.05975179</v>
      </c>
      <c r="AV20" s="32">
        <f t="shared" si="16"/>
        <v>7333.023243</v>
      </c>
    </row>
    <row r="21" ht="14.25" customHeight="1">
      <c r="B21" s="36"/>
      <c r="C21" s="44" t="s">
        <v>46</v>
      </c>
      <c r="D21" s="21"/>
      <c r="E21" s="22" t="s">
        <v>53</v>
      </c>
      <c r="F21" s="42"/>
      <c r="G21" s="26">
        <v>50.82</v>
      </c>
      <c r="H21" s="26">
        <v>7.12</v>
      </c>
      <c r="I21" s="26">
        <v>41.34</v>
      </c>
      <c r="J21" s="27">
        <v>0.15083</v>
      </c>
      <c r="K21" s="26">
        <v>0.57</v>
      </c>
      <c r="L21" s="26">
        <f t="shared" si="20"/>
        <v>15.7872</v>
      </c>
      <c r="M21" s="27">
        <f t="shared" si="21"/>
        <v>75.7068</v>
      </c>
      <c r="N21" s="24">
        <v>8.0</v>
      </c>
      <c r="O21" s="26">
        <f t="shared" si="22"/>
        <v>0.506</v>
      </c>
      <c r="P21" s="24">
        <v>0.21</v>
      </c>
      <c r="Q21" s="28">
        <v>800.0</v>
      </c>
      <c r="R21" s="28" t="s">
        <v>50</v>
      </c>
      <c r="S21" s="24">
        <v>1.56</v>
      </c>
      <c r="T21" s="41" t="s">
        <v>51</v>
      </c>
      <c r="U21" s="24">
        <v>31.34</v>
      </c>
      <c r="V21" s="24">
        <v>39.39</v>
      </c>
      <c r="W21" s="24">
        <v>16.9</v>
      </c>
      <c r="X21" s="24">
        <v>8.11</v>
      </c>
      <c r="Y21" s="31">
        <f t="shared" si="5"/>
        <v>36.23338349</v>
      </c>
      <c r="Z21" s="24">
        <v>2.4591776509935075</v>
      </c>
      <c r="AA21" s="22" t="s">
        <v>51</v>
      </c>
      <c r="AB21" s="22" t="s">
        <v>51</v>
      </c>
      <c r="AC21" s="32">
        <f t="shared" si="6"/>
        <v>11265.73973</v>
      </c>
      <c r="AD21" s="22" t="s">
        <v>51</v>
      </c>
      <c r="AK21" s="33">
        <f t="shared" si="7"/>
        <v>3.736655536</v>
      </c>
      <c r="AL21" s="33">
        <f t="shared" si="8"/>
        <v>6.576086957</v>
      </c>
      <c r="AM21" s="33">
        <f t="shared" si="9"/>
        <v>10.31274249</v>
      </c>
      <c r="AO21" s="34">
        <f t="shared" si="10"/>
        <v>19.98445761</v>
      </c>
      <c r="AP21" s="34">
        <f t="shared" si="11"/>
        <v>25.11767024</v>
      </c>
      <c r="AQ21" s="34">
        <f t="shared" si="12"/>
        <v>10.77655819</v>
      </c>
      <c r="AR21" s="34">
        <f t="shared" si="13"/>
        <v>5.171472599</v>
      </c>
      <c r="AS21" s="34">
        <f t="shared" si="14"/>
        <v>36.23338349</v>
      </c>
      <c r="AT21" s="35">
        <f t="shared" si="15"/>
        <v>97.28354214</v>
      </c>
      <c r="AV21" s="32">
        <f t="shared" si="16"/>
        <v>7183.781052</v>
      </c>
    </row>
    <row r="22" ht="14.25" customHeight="1">
      <c r="B22" s="36"/>
      <c r="C22" s="44" t="s">
        <v>46</v>
      </c>
      <c r="D22" s="21"/>
      <c r="E22" s="22" t="s">
        <v>53</v>
      </c>
      <c r="F22" s="42"/>
      <c r="G22" s="26">
        <v>50.82</v>
      </c>
      <c r="H22" s="26">
        <v>7.12</v>
      </c>
      <c r="I22" s="26">
        <v>41.34</v>
      </c>
      <c r="J22" s="27">
        <v>0.15083</v>
      </c>
      <c r="K22" s="26">
        <v>0.57</v>
      </c>
      <c r="L22" s="26">
        <f t="shared" si="20"/>
        <v>15.7872</v>
      </c>
      <c r="M22" s="27">
        <f t="shared" si="21"/>
        <v>75.7068</v>
      </c>
      <c r="N22" s="24">
        <v>8.0</v>
      </c>
      <c r="O22" s="26">
        <f t="shared" si="22"/>
        <v>0.506</v>
      </c>
      <c r="P22" s="24">
        <v>0.23</v>
      </c>
      <c r="Q22" s="28">
        <v>800.0</v>
      </c>
      <c r="R22" s="28" t="s">
        <v>50</v>
      </c>
      <c r="S22" s="24">
        <v>1.56</v>
      </c>
      <c r="T22" s="41" t="s">
        <v>51</v>
      </c>
      <c r="U22" s="24">
        <v>31.41</v>
      </c>
      <c r="V22" s="24">
        <v>39.96</v>
      </c>
      <c r="W22" s="24">
        <v>16.47</v>
      </c>
      <c r="X22" s="24">
        <v>7.59</v>
      </c>
      <c r="Y22" s="31">
        <f t="shared" si="5"/>
        <v>38.21764238</v>
      </c>
      <c r="Z22" s="24">
        <v>2.5138260432378075</v>
      </c>
      <c r="AA22" s="22" t="s">
        <v>51</v>
      </c>
      <c r="AB22" s="22" t="s">
        <v>51</v>
      </c>
      <c r="AC22" s="32">
        <f t="shared" si="6"/>
        <v>11158.9875</v>
      </c>
      <c r="AD22" s="22" t="s">
        <v>51</v>
      </c>
      <c r="AK22" s="33">
        <f t="shared" si="7"/>
        <v>4.092014464</v>
      </c>
      <c r="AL22" s="33">
        <f t="shared" si="8"/>
        <v>6.615120275</v>
      </c>
      <c r="AM22" s="33">
        <f t="shared" si="9"/>
        <v>10.70713474</v>
      </c>
      <c r="AO22" s="34">
        <f t="shared" si="10"/>
        <v>19.40583853</v>
      </c>
      <c r="AP22" s="34">
        <f t="shared" si="11"/>
        <v>24.6882301</v>
      </c>
      <c r="AQ22" s="34">
        <f t="shared" si="12"/>
        <v>10.1755543</v>
      </c>
      <c r="AR22" s="34">
        <f t="shared" si="13"/>
        <v>4.689280943</v>
      </c>
      <c r="AS22" s="34">
        <f t="shared" si="14"/>
        <v>38.21764238</v>
      </c>
      <c r="AT22" s="35">
        <f t="shared" si="15"/>
        <v>97.17654626</v>
      </c>
      <c r="AV22" s="32">
        <f t="shared" si="16"/>
        <v>6894.285563</v>
      </c>
    </row>
    <row r="23" ht="14.25" customHeight="1">
      <c r="B23" s="36"/>
      <c r="C23" s="44" t="s">
        <v>46</v>
      </c>
      <c r="D23" s="21"/>
      <c r="E23" s="22" t="s">
        <v>53</v>
      </c>
      <c r="F23" s="42"/>
      <c r="G23" s="26">
        <v>50.82</v>
      </c>
      <c r="H23" s="26">
        <v>7.12</v>
      </c>
      <c r="I23" s="26">
        <v>41.34</v>
      </c>
      <c r="J23" s="27">
        <v>0.15083</v>
      </c>
      <c r="K23" s="26">
        <v>0.57</v>
      </c>
      <c r="L23" s="26">
        <f t="shared" si="20"/>
        <v>15.7872</v>
      </c>
      <c r="M23" s="27">
        <f t="shared" si="21"/>
        <v>75.7068</v>
      </c>
      <c r="N23" s="24">
        <v>8.0</v>
      </c>
      <c r="O23" s="26">
        <f t="shared" si="22"/>
        <v>0.506</v>
      </c>
      <c r="P23" s="24">
        <v>0.25</v>
      </c>
      <c r="Q23" s="28">
        <v>800.0</v>
      </c>
      <c r="R23" s="28" t="s">
        <v>50</v>
      </c>
      <c r="S23" s="24">
        <v>1.56</v>
      </c>
      <c r="T23" s="41" t="s">
        <v>51</v>
      </c>
      <c r="U23" s="24">
        <v>30.98</v>
      </c>
      <c r="V23" s="24">
        <v>39.6</v>
      </c>
      <c r="W23" s="24">
        <v>18.03</v>
      </c>
      <c r="X23" s="24">
        <v>7.24</v>
      </c>
      <c r="Y23" s="31">
        <f t="shared" si="5"/>
        <v>40.51975582</v>
      </c>
      <c r="Z23" s="24">
        <v>2.382669901851487</v>
      </c>
      <c r="AA23" s="22" t="s">
        <v>51</v>
      </c>
      <c r="AB23" s="22" t="s">
        <v>51</v>
      </c>
      <c r="AC23" s="32">
        <f t="shared" si="6"/>
        <v>10941.67518</v>
      </c>
      <c r="AD23" s="22" t="s">
        <v>51</v>
      </c>
      <c r="AK23" s="33">
        <f t="shared" si="7"/>
        <v>4.447373393</v>
      </c>
      <c r="AL23" s="33">
        <f t="shared" si="8"/>
        <v>6.528441498</v>
      </c>
      <c r="AM23" s="33">
        <f t="shared" si="9"/>
        <v>10.97581489</v>
      </c>
      <c r="AO23" s="34">
        <f t="shared" si="10"/>
        <v>18.42697965</v>
      </c>
      <c r="AP23" s="34">
        <f t="shared" si="11"/>
        <v>23.5541767</v>
      </c>
      <c r="AQ23" s="34">
        <f t="shared" si="12"/>
        <v>10.72428803</v>
      </c>
      <c r="AR23" s="34">
        <f t="shared" si="13"/>
        <v>4.306369679</v>
      </c>
      <c r="AS23" s="34">
        <f t="shared" si="14"/>
        <v>40.51975582</v>
      </c>
      <c r="AT23" s="35">
        <f t="shared" si="15"/>
        <v>97.53156987</v>
      </c>
      <c r="AV23" s="32">
        <f t="shared" si="16"/>
        <v>6508.135114</v>
      </c>
    </row>
    <row r="24" ht="14.25" customHeight="1">
      <c r="B24" s="36"/>
      <c r="C24" s="44" t="s">
        <v>46</v>
      </c>
      <c r="D24" s="21"/>
      <c r="E24" s="22" t="s">
        <v>53</v>
      </c>
      <c r="F24" s="42"/>
      <c r="G24" s="26">
        <v>50.82</v>
      </c>
      <c r="H24" s="26">
        <v>7.12</v>
      </c>
      <c r="I24" s="26">
        <v>41.34</v>
      </c>
      <c r="J24" s="27">
        <v>0.15083</v>
      </c>
      <c r="K24" s="26">
        <v>0.57</v>
      </c>
      <c r="L24" s="26">
        <f t="shared" si="20"/>
        <v>15.7872</v>
      </c>
      <c r="M24" s="27">
        <f t="shared" si="21"/>
        <v>75.7068</v>
      </c>
      <c r="N24" s="25">
        <v>8.0</v>
      </c>
      <c r="O24" s="26">
        <f t="shared" si="22"/>
        <v>0.506</v>
      </c>
      <c r="P24" s="25">
        <v>0.27</v>
      </c>
      <c r="Q24" s="45">
        <v>800.0</v>
      </c>
      <c r="R24" s="28" t="s">
        <v>50</v>
      </c>
      <c r="S24" s="25">
        <v>1.56</v>
      </c>
      <c r="T24" s="46" t="s">
        <v>51</v>
      </c>
      <c r="U24" s="25">
        <v>31.88</v>
      </c>
      <c r="V24" s="25">
        <v>38.02</v>
      </c>
      <c r="W24" s="25">
        <v>19.93</v>
      </c>
      <c r="X24" s="25">
        <v>6.56</v>
      </c>
      <c r="Y24" s="31">
        <f t="shared" si="5"/>
        <v>42.24928563</v>
      </c>
      <c r="Z24" s="25">
        <v>2.054779548385686</v>
      </c>
      <c r="AA24" s="22" t="s">
        <v>51</v>
      </c>
      <c r="AB24" s="22" t="s">
        <v>51</v>
      </c>
      <c r="AC24" s="32">
        <f t="shared" si="6"/>
        <v>10595.56643</v>
      </c>
      <c r="AD24" s="22" t="s">
        <v>51</v>
      </c>
      <c r="AK24" s="33">
        <f t="shared" si="7"/>
        <v>4.802732321</v>
      </c>
      <c r="AL24" s="33">
        <f t="shared" si="8"/>
        <v>6.564873663</v>
      </c>
      <c r="AM24" s="33">
        <f t="shared" si="9"/>
        <v>11.36760598</v>
      </c>
      <c r="AO24" s="34">
        <f t="shared" si="10"/>
        <v>18.41092774</v>
      </c>
      <c r="AP24" s="34">
        <f t="shared" si="11"/>
        <v>21.9568216</v>
      </c>
      <c r="AQ24" s="34">
        <f t="shared" si="12"/>
        <v>11.50971737</v>
      </c>
      <c r="AR24" s="34">
        <f t="shared" si="13"/>
        <v>3.788446863</v>
      </c>
      <c r="AS24" s="34">
        <f t="shared" si="14"/>
        <v>42.24928563</v>
      </c>
      <c r="AT24" s="35">
        <f t="shared" si="15"/>
        <v>97.91519921</v>
      </c>
      <c r="AV24" s="32">
        <f t="shared" si="16"/>
        <v>6119.015304</v>
      </c>
    </row>
    <row r="25" ht="14.25" customHeight="1">
      <c r="B25" s="36"/>
      <c r="C25" s="44" t="s">
        <v>46</v>
      </c>
      <c r="D25" s="21"/>
      <c r="E25" s="22" t="s">
        <v>48</v>
      </c>
      <c r="F25" s="42"/>
      <c r="G25" s="26">
        <v>50.82</v>
      </c>
      <c r="H25" s="26">
        <v>7.12</v>
      </c>
      <c r="I25" s="26">
        <v>41.34</v>
      </c>
      <c r="J25" s="27">
        <v>0.15083</v>
      </c>
      <c r="K25" s="26">
        <v>0.57</v>
      </c>
      <c r="L25" s="26">
        <f t="shared" si="20"/>
        <v>15.7872</v>
      </c>
      <c r="M25" s="27">
        <f t="shared" si="21"/>
        <v>75.7068</v>
      </c>
      <c r="N25" s="25">
        <v>8.0</v>
      </c>
      <c r="O25" s="26">
        <f t="shared" si="22"/>
        <v>0.506</v>
      </c>
      <c r="P25" s="25">
        <v>0.22</v>
      </c>
      <c r="Q25" s="45">
        <v>800.0</v>
      </c>
      <c r="R25" s="28" t="s">
        <v>50</v>
      </c>
      <c r="S25" s="25">
        <v>0.0</v>
      </c>
      <c r="T25" s="46" t="s">
        <v>51</v>
      </c>
      <c r="U25" s="25">
        <v>33.5</v>
      </c>
      <c r="V25" s="25">
        <v>42.99</v>
      </c>
      <c r="W25" s="25">
        <v>15.97</v>
      </c>
      <c r="X25" s="25">
        <v>6.12</v>
      </c>
      <c r="Y25" s="31">
        <f t="shared" si="5"/>
        <v>37.55942929</v>
      </c>
      <c r="Z25" s="25">
        <v>1.5957330535335648</v>
      </c>
      <c r="AA25" s="22" t="s">
        <v>51</v>
      </c>
      <c r="AB25" s="22" t="s">
        <v>51</v>
      </c>
      <c r="AC25" s="32">
        <f t="shared" si="6"/>
        <v>11240.70286</v>
      </c>
      <c r="AD25" s="22" t="s">
        <v>51</v>
      </c>
      <c r="AK25" s="33">
        <f t="shared" si="7"/>
        <v>3.914335</v>
      </c>
      <c r="AL25" s="33">
        <f t="shared" si="8"/>
        <v>6.507375538</v>
      </c>
      <c r="AM25" s="33">
        <f t="shared" si="9"/>
        <v>10.42171054</v>
      </c>
      <c r="AO25" s="34">
        <f t="shared" si="10"/>
        <v>20.91759119</v>
      </c>
      <c r="AP25" s="34">
        <f t="shared" si="11"/>
        <v>26.84320135</v>
      </c>
      <c r="AQ25" s="34">
        <f t="shared" si="12"/>
        <v>9.971759143</v>
      </c>
      <c r="AR25" s="34">
        <f t="shared" si="13"/>
        <v>3.821362928</v>
      </c>
      <c r="AS25" s="34">
        <f t="shared" si="14"/>
        <v>37.55942929</v>
      </c>
      <c r="AT25" s="35">
        <f t="shared" si="15"/>
        <v>99.1133439</v>
      </c>
      <c r="AV25" s="32">
        <f t="shared" si="16"/>
        <v>7018.759016</v>
      </c>
    </row>
    <row r="26" ht="14.25" customHeight="1">
      <c r="B26" s="36"/>
      <c r="C26" s="44" t="s">
        <v>46</v>
      </c>
      <c r="D26" s="21"/>
      <c r="E26" s="22" t="s">
        <v>53</v>
      </c>
      <c r="F26" s="42"/>
      <c r="G26" s="26">
        <v>50.82</v>
      </c>
      <c r="H26" s="26">
        <v>7.12</v>
      </c>
      <c r="I26" s="26">
        <v>41.34</v>
      </c>
      <c r="J26" s="27">
        <v>0.15083</v>
      </c>
      <c r="K26" s="26">
        <v>0.57</v>
      </c>
      <c r="L26" s="26">
        <f t="shared" si="20"/>
        <v>15.7872</v>
      </c>
      <c r="M26" s="27">
        <f t="shared" si="21"/>
        <v>75.7068</v>
      </c>
      <c r="N26" s="25">
        <v>8.0</v>
      </c>
      <c r="O26" s="26">
        <f t="shared" si="22"/>
        <v>0.506</v>
      </c>
      <c r="P26" s="25">
        <v>0.22</v>
      </c>
      <c r="Q26" s="45">
        <v>800.0</v>
      </c>
      <c r="R26" s="28" t="s">
        <v>50</v>
      </c>
      <c r="S26" s="25">
        <v>1.35</v>
      </c>
      <c r="T26" s="46" t="s">
        <v>51</v>
      </c>
      <c r="U26" s="25">
        <v>29.85</v>
      </c>
      <c r="V26" s="25">
        <v>40.53</v>
      </c>
      <c r="W26" s="25">
        <v>16.98</v>
      </c>
      <c r="X26" s="25">
        <v>8.49</v>
      </c>
      <c r="Y26" s="31">
        <f t="shared" si="5"/>
        <v>37.88921081</v>
      </c>
      <c r="Z26" s="25">
        <v>2.612193149277548</v>
      </c>
      <c r="AA26" s="22" t="s">
        <v>51</v>
      </c>
      <c r="AB26" s="22" t="s">
        <v>51</v>
      </c>
      <c r="AC26" s="32">
        <f t="shared" si="6"/>
        <v>11385.07179</v>
      </c>
      <c r="AD26" s="22" t="s">
        <v>51</v>
      </c>
      <c r="AK26" s="33">
        <f t="shared" si="7"/>
        <v>3.914335</v>
      </c>
      <c r="AL26" s="33">
        <f t="shared" si="8"/>
        <v>6.416666667</v>
      </c>
      <c r="AM26" s="33">
        <f t="shared" si="9"/>
        <v>10.33100167</v>
      </c>
      <c r="AO26" s="34">
        <f t="shared" si="10"/>
        <v>18.54007057</v>
      </c>
      <c r="AP26" s="34">
        <f t="shared" si="11"/>
        <v>25.17350286</v>
      </c>
      <c r="AQ26" s="34">
        <f t="shared" si="12"/>
        <v>10.546412</v>
      </c>
      <c r="AR26" s="34">
        <f t="shared" si="13"/>
        <v>5.273206002</v>
      </c>
      <c r="AS26" s="34">
        <f t="shared" si="14"/>
        <v>37.88921081</v>
      </c>
      <c r="AT26" s="35">
        <f t="shared" si="15"/>
        <v>97.42240225</v>
      </c>
      <c r="AV26" s="32">
        <f t="shared" si="16"/>
        <v>7071.357936</v>
      </c>
    </row>
    <row r="27" ht="14.25" customHeight="1">
      <c r="B27" s="36"/>
      <c r="C27" s="44" t="s">
        <v>46</v>
      </c>
      <c r="D27" s="21"/>
      <c r="E27" s="22" t="s">
        <v>53</v>
      </c>
      <c r="F27" s="42"/>
      <c r="G27" s="26">
        <v>50.82</v>
      </c>
      <c r="H27" s="26">
        <v>7.12</v>
      </c>
      <c r="I27" s="26">
        <v>41.34</v>
      </c>
      <c r="J27" s="27">
        <v>0.15083</v>
      </c>
      <c r="K27" s="26">
        <v>0.57</v>
      </c>
      <c r="L27" s="26">
        <f t="shared" si="20"/>
        <v>15.7872</v>
      </c>
      <c r="M27" s="27">
        <f t="shared" si="21"/>
        <v>75.7068</v>
      </c>
      <c r="N27" s="25">
        <v>8.0</v>
      </c>
      <c r="O27" s="26">
        <f t="shared" si="22"/>
        <v>0.506</v>
      </c>
      <c r="P27" s="25">
        <v>0.22</v>
      </c>
      <c r="Q27" s="45">
        <v>800.0</v>
      </c>
      <c r="R27" s="28" t="s">
        <v>50</v>
      </c>
      <c r="S27" s="25">
        <v>2.02</v>
      </c>
      <c r="T27" s="46" t="s">
        <v>51</v>
      </c>
      <c r="U27" s="25">
        <v>30.94</v>
      </c>
      <c r="V27" s="25">
        <v>39.34</v>
      </c>
      <c r="W27" s="25">
        <v>17.34</v>
      </c>
      <c r="X27" s="25">
        <v>8.22</v>
      </c>
      <c r="Y27" s="31">
        <f t="shared" si="5"/>
        <v>37.49449678</v>
      </c>
      <c r="Z27" s="25">
        <v>2.5575447570332477</v>
      </c>
      <c r="AA27" s="22" t="s">
        <v>51</v>
      </c>
      <c r="AB27" s="22" t="s">
        <v>51</v>
      </c>
      <c r="AC27" s="32">
        <f t="shared" si="6"/>
        <v>11255.655</v>
      </c>
      <c r="AD27" s="22" t="s">
        <v>51</v>
      </c>
      <c r="AK27" s="33">
        <f t="shared" si="7"/>
        <v>3.914335</v>
      </c>
      <c r="AL27" s="33">
        <f t="shared" si="8"/>
        <v>6.525423729</v>
      </c>
      <c r="AM27" s="33">
        <f t="shared" si="9"/>
        <v>10.43975873</v>
      </c>
      <c r="AO27" s="34">
        <f t="shared" si="10"/>
        <v>19.3392027</v>
      </c>
      <c r="AP27" s="34">
        <f t="shared" si="11"/>
        <v>24.58966497</v>
      </c>
      <c r="AQ27" s="34">
        <f t="shared" si="12"/>
        <v>10.83845426</v>
      </c>
      <c r="AR27" s="34">
        <f t="shared" si="13"/>
        <v>5.137952365</v>
      </c>
      <c r="AS27" s="34">
        <f t="shared" si="14"/>
        <v>37.49449678</v>
      </c>
      <c r="AT27" s="35">
        <f t="shared" si="15"/>
        <v>97.39977107</v>
      </c>
      <c r="AV27" s="32">
        <f t="shared" si="16"/>
        <v>7035.403799</v>
      </c>
    </row>
    <row r="28" ht="14.25" customHeight="1">
      <c r="B28" s="36"/>
      <c r="C28" s="44" t="s">
        <v>46</v>
      </c>
      <c r="D28" s="21"/>
      <c r="E28" s="22" t="s">
        <v>53</v>
      </c>
      <c r="F28" s="42"/>
      <c r="G28" s="26">
        <v>50.82</v>
      </c>
      <c r="H28" s="26">
        <v>7.12</v>
      </c>
      <c r="I28" s="26">
        <v>41.34</v>
      </c>
      <c r="J28" s="27">
        <v>0.15083</v>
      </c>
      <c r="K28" s="26">
        <v>0.57</v>
      </c>
      <c r="L28" s="26">
        <f t="shared" si="20"/>
        <v>15.7872</v>
      </c>
      <c r="M28" s="27">
        <f t="shared" si="21"/>
        <v>75.7068</v>
      </c>
      <c r="N28" s="25">
        <v>8.0</v>
      </c>
      <c r="O28" s="26">
        <f t="shared" si="22"/>
        <v>0.506</v>
      </c>
      <c r="P28" s="25">
        <v>0.22</v>
      </c>
      <c r="Q28" s="45">
        <v>800.0</v>
      </c>
      <c r="R28" s="28" t="s">
        <v>50</v>
      </c>
      <c r="S28" s="25">
        <v>2.7</v>
      </c>
      <c r="T28" s="46" t="s">
        <v>51</v>
      </c>
      <c r="U28" s="25">
        <v>32.22</v>
      </c>
      <c r="V28" s="25">
        <v>37.7</v>
      </c>
      <c r="W28" s="25">
        <v>18.71</v>
      </c>
      <c r="X28" s="25">
        <v>7.76</v>
      </c>
      <c r="Y28" s="31">
        <f t="shared" si="5"/>
        <v>37.22976906</v>
      </c>
      <c r="Z28" s="25">
        <v>2.4373182940957876</v>
      </c>
      <c r="AA28" s="22" t="s">
        <v>51</v>
      </c>
      <c r="AB28" s="22" t="s">
        <v>51</v>
      </c>
      <c r="AC28" s="32">
        <f t="shared" si="6"/>
        <v>11021.81768</v>
      </c>
      <c r="AD28" s="22" t="s">
        <v>51</v>
      </c>
      <c r="AK28" s="33">
        <f t="shared" si="7"/>
        <v>3.914335</v>
      </c>
      <c r="AL28" s="33">
        <f t="shared" si="8"/>
        <v>6.599657161</v>
      </c>
      <c r="AM28" s="33">
        <f t="shared" si="9"/>
        <v>10.51399216</v>
      </c>
      <c r="AO28" s="34">
        <f t="shared" si="10"/>
        <v>20.22456841</v>
      </c>
      <c r="AP28" s="34">
        <f t="shared" si="11"/>
        <v>23.66437707</v>
      </c>
      <c r="AQ28" s="34">
        <f t="shared" si="12"/>
        <v>11.74431021</v>
      </c>
      <c r="AR28" s="34">
        <f t="shared" si="13"/>
        <v>4.870969921</v>
      </c>
      <c r="AS28" s="34">
        <f t="shared" si="14"/>
        <v>37.22976906</v>
      </c>
      <c r="AT28" s="35">
        <f t="shared" si="15"/>
        <v>97.73399466</v>
      </c>
      <c r="AV28" s="32">
        <f t="shared" si="16"/>
        <v>6918.420411</v>
      </c>
    </row>
    <row r="29" ht="14.25" customHeight="1">
      <c r="B29" s="36"/>
      <c r="C29" s="20" t="s">
        <v>46</v>
      </c>
      <c r="D29" s="21"/>
      <c r="E29" s="22" t="s">
        <v>53</v>
      </c>
      <c r="F29" s="43"/>
      <c r="G29" s="26">
        <v>50.82</v>
      </c>
      <c r="H29" s="26">
        <v>7.12</v>
      </c>
      <c r="I29" s="26">
        <v>41.34</v>
      </c>
      <c r="J29" s="27">
        <v>0.15083</v>
      </c>
      <c r="K29" s="26">
        <v>0.57</v>
      </c>
      <c r="L29" s="26">
        <f t="shared" si="20"/>
        <v>15.7872</v>
      </c>
      <c r="M29" s="27">
        <f t="shared" si="21"/>
        <v>75.7068</v>
      </c>
      <c r="N29" s="25">
        <v>8.0</v>
      </c>
      <c r="O29" s="26">
        <f t="shared" si="22"/>
        <v>0.506</v>
      </c>
      <c r="P29" s="25">
        <v>0.22</v>
      </c>
      <c r="Q29" s="45">
        <v>800.0</v>
      </c>
      <c r="R29" s="28" t="s">
        <v>50</v>
      </c>
      <c r="S29" s="25">
        <v>4.04</v>
      </c>
      <c r="T29" s="46" t="s">
        <v>51</v>
      </c>
      <c r="U29" s="25">
        <v>31.86</v>
      </c>
      <c r="V29" s="25">
        <v>37.42</v>
      </c>
      <c r="W29" s="25">
        <v>19.62</v>
      </c>
      <c r="X29" s="25">
        <v>7.48</v>
      </c>
      <c r="Y29" s="31">
        <f t="shared" si="5"/>
        <v>37.35697256</v>
      </c>
      <c r="Z29" s="25">
        <v>2.131287297527707</v>
      </c>
      <c r="AA29" s="22" t="s">
        <v>51</v>
      </c>
      <c r="AB29" s="22" t="s">
        <v>51</v>
      </c>
      <c r="AC29" s="32">
        <f t="shared" si="6"/>
        <v>10847.25125</v>
      </c>
      <c r="AD29" s="22" t="s">
        <v>51</v>
      </c>
      <c r="AK29" s="33">
        <f t="shared" si="7"/>
        <v>3.914335</v>
      </c>
      <c r="AL29" s="33">
        <f t="shared" si="8"/>
        <v>6.563856169</v>
      </c>
      <c r="AM29" s="33">
        <f t="shared" si="9"/>
        <v>10.47819117</v>
      </c>
      <c r="AO29" s="34">
        <f t="shared" si="10"/>
        <v>19.95806854</v>
      </c>
      <c r="AP29" s="34">
        <f t="shared" si="11"/>
        <v>23.44102087</v>
      </c>
      <c r="AQ29" s="34">
        <f t="shared" si="12"/>
        <v>12.29056198</v>
      </c>
      <c r="AR29" s="34">
        <f t="shared" si="13"/>
        <v>4.685698452</v>
      </c>
      <c r="AS29" s="34">
        <f t="shared" si="14"/>
        <v>37.35697256</v>
      </c>
      <c r="AT29" s="35">
        <f t="shared" si="15"/>
        <v>97.73232241</v>
      </c>
      <c r="AV29" s="32">
        <f t="shared" si="16"/>
        <v>6795.046577</v>
      </c>
    </row>
    <row r="30" ht="14.25" customHeight="1">
      <c r="B30" s="36"/>
      <c r="C30" s="20" t="s">
        <v>46</v>
      </c>
      <c r="D30" s="21"/>
      <c r="E30" s="22" t="s">
        <v>48</v>
      </c>
      <c r="F30" s="23" t="s">
        <v>54</v>
      </c>
      <c r="G30" s="47">
        <v>55.04</v>
      </c>
      <c r="H30" s="47">
        <v>6.5</v>
      </c>
      <c r="I30" s="47">
        <v>31.04</v>
      </c>
      <c r="J30" s="40">
        <v>6.49</v>
      </c>
      <c r="K30" s="47">
        <v>0.93</v>
      </c>
      <c r="L30" s="26">
        <f t="shared" ref="L30:L33" si="23">8.8*(100-N30)/100</f>
        <v>6.8552</v>
      </c>
      <c r="M30" s="27">
        <f t="shared" ref="M30:M33" si="24">73.65*(100-N30)/100</f>
        <v>57.37335</v>
      </c>
      <c r="N30" s="25">
        <v>22.1</v>
      </c>
      <c r="O30" s="27">
        <f t="shared" ref="O30:O33" si="25">17.55*(100-N30)/100</f>
        <v>13.67145</v>
      </c>
      <c r="P30" s="25">
        <v>0.18</v>
      </c>
      <c r="Q30" s="45">
        <v>700.0</v>
      </c>
      <c r="R30" s="45" t="s">
        <v>50</v>
      </c>
      <c r="S30" s="22">
        <v>0.0</v>
      </c>
      <c r="T30" s="46" t="s">
        <v>51</v>
      </c>
      <c r="U30" s="25">
        <v>23.677419354838708</v>
      </c>
      <c r="V30" s="25">
        <v>17.451612903225808</v>
      </c>
      <c r="W30" s="25">
        <v>36.645161290322584</v>
      </c>
      <c r="X30" s="25">
        <v>6.0</v>
      </c>
      <c r="Y30" s="31">
        <f t="shared" si="5"/>
        <v>33.12933457</v>
      </c>
      <c r="Z30" s="25">
        <v>0.2325</v>
      </c>
      <c r="AA30" s="22" t="s">
        <v>51</v>
      </c>
      <c r="AB30" s="22" t="s">
        <v>51</v>
      </c>
      <c r="AC30" s="32">
        <f t="shared" si="6"/>
        <v>6910.803571</v>
      </c>
      <c r="AD30" s="22" t="s">
        <v>51</v>
      </c>
      <c r="AK30" s="33">
        <f t="shared" si="7"/>
        <v>3.781142857</v>
      </c>
      <c r="AL30" s="33">
        <f t="shared" si="8"/>
        <v>7.63213455</v>
      </c>
      <c r="AM30" s="33">
        <f t="shared" si="9"/>
        <v>11.41327741</v>
      </c>
      <c r="AO30" s="34">
        <f t="shared" si="10"/>
        <v>15.83324788</v>
      </c>
      <c r="AP30" s="34">
        <f t="shared" si="11"/>
        <v>11.67000968</v>
      </c>
      <c r="AQ30" s="34">
        <f t="shared" si="12"/>
        <v>24.5048632</v>
      </c>
      <c r="AR30" s="34">
        <f t="shared" si="13"/>
        <v>4.012239926</v>
      </c>
      <c r="AS30" s="34">
        <f t="shared" si="14"/>
        <v>33.12933457</v>
      </c>
      <c r="AT30" s="35">
        <f t="shared" si="15"/>
        <v>89.14969525</v>
      </c>
      <c r="AV30" s="32">
        <f t="shared" si="16"/>
        <v>4621.300335</v>
      </c>
    </row>
    <row r="31" ht="14.25" customHeight="1">
      <c r="B31" s="36"/>
      <c r="C31" s="20" t="s">
        <v>46</v>
      </c>
      <c r="D31" s="21"/>
      <c r="E31" s="22" t="s">
        <v>48</v>
      </c>
      <c r="F31" s="42"/>
      <c r="G31" s="47">
        <v>55.04</v>
      </c>
      <c r="H31" s="47">
        <v>6.5</v>
      </c>
      <c r="I31" s="47">
        <v>31.04</v>
      </c>
      <c r="J31" s="40">
        <v>6.49</v>
      </c>
      <c r="K31" s="47">
        <v>0.93</v>
      </c>
      <c r="L31" s="26">
        <f t="shared" si="23"/>
        <v>6.8552</v>
      </c>
      <c r="M31" s="27">
        <f t="shared" si="24"/>
        <v>57.37335</v>
      </c>
      <c r="N31" s="25">
        <v>22.1</v>
      </c>
      <c r="O31" s="27">
        <f t="shared" si="25"/>
        <v>13.67145</v>
      </c>
      <c r="P31" s="25">
        <v>0.22</v>
      </c>
      <c r="Q31" s="45">
        <v>700.0</v>
      </c>
      <c r="R31" s="45" t="s">
        <v>50</v>
      </c>
      <c r="S31" s="22">
        <v>0.0</v>
      </c>
      <c r="T31" s="46" t="s">
        <v>51</v>
      </c>
      <c r="U31" s="25">
        <v>27.972027972027973</v>
      </c>
      <c r="V31" s="25">
        <v>20.5449722691102</v>
      </c>
      <c r="W31" s="25">
        <v>31.878466361224984</v>
      </c>
      <c r="X31" s="25">
        <v>6.1490233904027</v>
      </c>
      <c r="Y31" s="31">
        <f t="shared" si="5"/>
        <v>36.85202566</v>
      </c>
      <c r="Z31" s="25">
        <v>0.452023</v>
      </c>
      <c r="AA31" s="22" t="s">
        <v>51</v>
      </c>
      <c r="AB31" s="22" t="s">
        <v>51</v>
      </c>
      <c r="AC31" s="32">
        <f t="shared" si="6"/>
        <v>7818.639335</v>
      </c>
      <c r="AD31" s="22" t="s">
        <v>51</v>
      </c>
      <c r="AK31" s="33">
        <f t="shared" si="7"/>
        <v>4.569888889</v>
      </c>
      <c r="AL31" s="33">
        <f t="shared" si="8"/>
        <v>7.830756141</v>
      </c>
      <c r="AM31" s="33">
        <f t="shared" si="9"/>
        <v>12.40064503</v>
      </c>
      <c r="AO31" s="34">
        <f t="shared" si="10"/>
        <v>17.66376905</v>
      </c>
      <c r="AP31" s="34">
        <f t="shared" si="11"/>
        <v>12.97373382</v>
      </c>
      <c r="AQ31" s="34">
        <f t="shared" si="12"/>
        <v>20.13060576</v>
      </c>
      <c r="AR31" s="34">
        <f t="shared" si="13"/>
        <v>3.882983713</v>
      </c>
      <c r="AS31" s="34">
        <f t="shared" si="14"/>
        <v>36.85202566</v>
      </c>
      <c r="AT31" s="35">
        <f t="shared" si="15"/>
        <v>91.50311799</v>
      </c>
      <c r="AV31" s="32">
        <f t="shared" si="16"/>
        <v>4937.312361</v>
      </c>
    </row>
    <row r="32" ht="14.25" customHeight="1">
      <c r="B32" s="36"/>
      <c r="C32" s="20" t="s">
        <v>46</v>
      </c>
      <c r="D32" s="21"/>
      <c r="E32" s="22" t="s">
        <v>48</v>
      </c>
      <c r="F32" s="42"/>
      <c r="G32" s="47">
        <v>55.04</v>
      </c>
      <c r="H32" s="47">
        <v>6.5</v>
      </c>
      <c r="I32" s="47">
        <v>31.04</v>
      </c>
      <c r="J32" s="40">
        <v>6.49</v>
      </c>
      <c r="K32" s="47">
        <v>0.93</v>
      </c>
      <c r="L32" s="26">
        <f t="shared" si="23"/>
        <v>6.8552</v>
      </c>
      <c r="M32" s="27">
        <f t="shared" si="24"/>
        <v>57.37335</v>
      </c>
      <c r="N32" s="25">
        <v>22.1</v>
      </c>
      <c r="O32" s="27">
        <f t="shared" si="25"/>
        <v>13.67145</v>
      </c>
      <c r="P32" s="25">
        <v>0.3</v>
      </c>
      <c r="Q32" s="45">
        <v>700.0</v>
      </c>
      <c r="R32" s="45" t="s">
        <v>50</v>
      </c>
      <c r="S32" s="22">
        <v>0.0</v>
      </c>
      <c r="T32" s="46" t="s">
        <v>51</v>
      </c>
      <c r="U32" s="25">
        <v>26.105810928013877</v>
      </c>
      <c r="V32" s="25">
        <v>21.01040763226366</v>
      </c>
      <c r="W32" s="25">
        <v>33.82480485689506</v>
      </c>
      <c r="X32" s="25">
        <v>5.333911535125759</v>
      </c>
      <c r="Y32" s="31">
        <f t="shared" si="5"/>
        <v>44.64219262</v>
      </c>
      <c r="Z32" s="25">
        <v>0.5303799999999999</v>
      </c>
      <c r="AA32" s="22" t="s">
        <v>51</v>
      </c>
      <c r="AB32" s="22" t="s">
        <v>51</v>
      </c>
      <c r="AC32" s="32">
        <f t="shared" si="6"/>
        <v>7383.909212</v>
      </c>
      <c r="AD32" s="22" t="s">
        <v>51</v>
      </c>
      <c r="AK32" s="33">
        <f t="shared" si="7"/>
        <v>6.147380952</v>
      </c>
      <c r="AL32" s="33">
        <f t="shared" si="8"/>
        <v>7.622957357</v>
      </c>
      <c r="AM32" s="33">
        <f t="shared" si="9"/>
        <v>13.77033831</v>
      </c>
      <c r="AO32" s="34">
        <f t="shared" si="10"/>
        <v>14.45160453</v>
      </c>
      <c r="AP32" s="34">
        <f t="shared" si="11"/>
        <v>11.63090099</v>
      </c>
      <c r="AQ32" s="34">
        <f t="shared" si="12"/>
        <v>18.72467032</v>
      </c>
      <c r="AR32" s="34">
        <f t="shared" si="13"/>
        <v>2.952736474</v>
      </c>
      <c r="AS32" s="34">
        <f t="shared" si="14"/>
        <v>44.64219262</v>
      </c>
      <c r="AT32" s="35">
        <f t="shared" si="15"/>
        <v>92.40210493</v>
      </c>
      <c r="AV32" s="32">
        <f t="shared" si="16"/>
        <v>4087.570239</v>
      </c>
    </row>
    <row r="33" ht="14.25" customHeight="1">
      <c r="B33" s="36"/>
      <c r="C33" s="20" t="s">
        <v>46</v>
      </c>
      <c r="D33" s="21"/>
      <c r="E33" s="22" t="s">
        <v>53</v>
      </c>
      <c r="F33" s="43"/>
      <c r="G33" s="47">
        <v>55.04</v>
      </c>
      <c r="H33" s="47">
        <v>6.5</v>
      </c>
      <c r="I33" s="47">
        <v>31.04</v>
      </c>
      <c r="J33" s="40">
        <v>6.49</v>
      </c>
      <c r="K33" s="47">
        <v>0.93</v>
      </c>
      <c r="L33" s="26">
        <f t="shared" si="23"/>
        <v>6.8552</v>
      </c>
      <c r="M33" s="27">
        <f t="shared" si="24"/>
        <v>57.37335</v>
      </c>
      <c r="N33" s="25">
        <v>22.1</v>
      </c>
      <c r="O33" s="27">
        <f t="shared" si="25"/>
        <v>13.67145</v>
      </c>
      <c r="P33" s="25">
        <v>0.3</v>
      </c>
      <c r="Q33" s="45">
        <v>700.0</v>
      </c>
      <c r="R33" s="45" t="s">
        <v>50</v>
      </c>
      <c r="S33" s="22">
        <v>0.24</v>
      </c>
      <c r="T33" s="46" t="s">
        <v>51</v>
      </c>
      <c r="U33" s="25">
        <v>32.85981308411215</v>
      </c>
      <c r="V33" s="25">
        <v>17.476635514018692</v>
      </c>
      <c r="W33" s="25">
        <v>33.15887850467289</v>
      </c>
      <c r="X33" s="25">
        <v>4.841121495327103</v>
      </c>
      <c r="Y33" s="31">
        <f t="shared" si="5"/>
        <v>42.64535075</v>
      </c>
      <c r="Z33" s="25">
        <v>0.7276</v>
      </c>
      <c r="AA33" s="22" t="s">
        <v>51</v>
      </c>
      <c r="AB33" s="22" t="s">
        <v>51</v>
      </c>
      <c r="AC33" s="32">
        <f t="shared" si="6"/>
        <v>7490.01285</v>
      </c>
      <c r="AD33" s="22" t="s">
        <v>51</v>
      </c>
      <c r="AK33" s="33">
        <f t="shared" si="7"/>
        <v>6.147380952</v>
      </c>
      <c r="AL33" s="33">
        <f t="shared" si="8"/>
        <v>8.267744834</v>
      </c>
      <c r="AM33" s="33">
        <f t="shared" si="9"/>
        <v>14.41512579</v>
      </c>
      <c r="AO33" s="34">
        <f t="shared" si="10"/>
        <v>18.84663054</v>
      </c>
      <c r="AP33" s="34">
        <f t="shared" si="11"/>
        <v>10.023663</v>
      </c>
      <c r="AQ33" s="34">
        <f t="shared" si="12"/>
        <v>19.01815846</v>
      </c>
      <c r="AR33" s="34">
        <f t="shared" si="13"/>
        <v>2.776608253</v>
      </c>
      <c r="AS33" s="34">
        <f t="shared" si="14"/>
        <v>42.64535075</v>
      </c>
      <c r="AT33" s="35">
        <f t="shared" si="15"/>
        <v>93.310411</v>
      </c>
      <c r="AV33" s="32">
        <f t="shared" si="16"/>
        <v>4295.870599</v>
      </c>
    </row>
    <row r="34" ht="14.25" customHeight="1">
      <c r="B34" s="36"/>
      <c r="C34" s="20" t="s">
        <v>46</v>
      </c>
      <c r="D34" s="21"/>
      <c r="E34" s="22" t="s">
        <v>53</v>
      </c>
      <c r="F34" s="23" t="s">
        <v>55</v>
      </c>
      <c r="G34" s="25">
        <v>47.0</v>
      </c>
      <c r="H34" s="25">
        <v>6.78</v>
      </c>
      <c r="I34" s="25">
        <v>45.7</v>
      </c>
      <c r="J34" s="22">
        <v>0.475</v>
      </c>
      <c r="K34" s="25">
        <v>0.04</v>
      </c>
      <c r="L34" s="24">
        <v>14.99</v>
      </c>
      <c r="M34" s="25">
        <v>55.54</v>
      </c>
      <c r="N34" s="22">
        <v>9.95</v>
      </c>
      <c r="O34" s="25">
        <v>19.52</v>
      </c>
      <c r="P34" s="25">
        <v>0.35</v>
      </c>
      <c r="Q34" s="45">
        <v>750.0</v>
      </c>
      <c r="R34" s="45" t="s">
        <v>50</v>
      </c>
      <c r="S34" s="25">
        <v>0.5</v>
      </c>
      <c r="T34" s="46" t="s">
        <v>51</v>
      </c>
      <c r="U34" s="25">
        <v>20.489977728285076</v>
      </c>
      <c r="V34" s="25">
        <v>28.50779510022272</v>
      </c>
      <c r="W34" s="25">
        <v>46.32516703786192</v>
      </c>
      <c r="X34" s="25">
        <v>4.67706013363029</v>
      </c>
      <c r="Y34" s="31">
        <f t="shared" si="5"/>
        <v>52.86706215</v>
      </c>
      <c r="Z34" s="25">
        <v>1.92</v>
      </c>
      <c r="AA34" s="22" t="s">
        <v>51</v>
      </c>
      <c r="AB34" s="22" t="s">
        <v>51</v>
      </c>
      <c r="AC34" s="32">
        <f t="shared" si="6"/>
        <v>7489.506443</v>
      </c>
      <c r="AD34" s="22" t="s">
        <v>51</v>
      </c>
      <c r="AK34" s="33">
        <f t="shared" si="7"/>
        <v>5.525294147</v>
      </c>
      <c r="AL34" s="33">
        <f t="shared" si="8"/>
        <v>4.926003735</v>
      </c>
      <c r="AM34" s="33">
        <f t="shared" si="9"/>
        <v>10.45129788</v>
      </c>
      <c r="AO34" s="34">
        <f t="shared" si="10"/>
        <v>9.657528468</v>
      </c>
      <c r="AP34" s="34">
        <f t="shared" si="11"/>
        <v>13.43656135</v>
      </c>
      <c r="AQ34" s="34">
        <f t="shared" si="12"/>
        <v>21.83441219</v>
      </c>
      <c r="AR34" s="34">
        <f t="shared" si="13"/>
        <v>2.204435846</v>
      </c>
      <c r="AS34" s="34">
        <f t="shared" si="14"/>
        <v>52.86706215</v>
      </c>
      <c r="AT34" s="35">
        <f t="shared" si="15"/>
        <v>100</v>
      </c>
      <c r="AV34" s="32">
        <f t="shared" si="16"/>
        <v>3530.024417</v>
      </c>
    </row>
    <row r="35" ht="14.25" customHeight="1">
      <c r="B35" s="36"/>
      <c r="C35" s="20" t="s">
        <v>46</v>
      </c>
      <c r="D35" s="21"/>
      <c r="E35" s="22" t="s">
        <v>53</v>
      </c>
      <c r="F35" s="42"/>
      <c r="G35" s="25">
        <v>47.0</v>
      </c>
      <c r="H35" s="25">
        <v>6.78</v>
      </c>
      <c r="I35" s="25">
        <v>45.7</v>
      </c>
      <c r="J35" s="22">
        <v>0.475</v>
      </c>
      <c r="K35" s="25">
        <v>0.04</v>
      </c>
      <c r="L35" s="24">
        <v>14.99</v>
      </c>
      <c r="M35" s="25">
        <v>55.54</v>
      </c>
      <c r="N35" s="22">
        <v>9.95</v>
      </c>
      <c r="O35" s="25">
        <v>19.52</v>
      </c>
      <c r="P35" s="25">
        <v>0.3</v>
      </c>
      <c r="Q35" s="45">
        <v>800.0</v>
      </c>
      <c r="R35" s="45" t="s">
        <v>50</v>
      </c>
      <c r="S35" s="25">
        <v>0.5</v>
      </c>
      <c r="T35" s="46" t="s">
        <v>51</v>
      </c>
      <c r="U35" s="25">
        <v>24.42105263157895</v>
      </c>
      <c r="V35" s="25">
        <v>30.94736842105263</v>
      </c>
      <c r="W35" s="25">
        <v>38.73684210526315</v>
      </c>
      <c r="X35" s="25">
        <v>5.894736842105263</v>
      </c>
      <c r="Y35" s="31">
        <f t="shared" si="5"/>
        <v>47.76309476</v>
      </c>
      <c r="Z35" s="25">
        <v>1.96</v>
      </c>
      <c r="AA35" s="22" t="s">
        <v>51</v>
      </c>
      <c r="AB35" s="22" t="s">
        <v>51</v>
      </c>
      <c r="AC35" s="32">
        <f t="shared" si="6"/>
        <v>8658.409774</v>
      </c>
      <c r="AD35" s="22" t="s">
        <v>51</v>
      </c>
      <c r="AK35" s="33">
        <f t="shared" si="7"/>
        <v>4.738389881</v>
      </c>
      <c r="AL35" s="33">
        <f t="shared" si="8"/>
        <v>5.182219127</v>
      </c>
      <c r="AM35" s="33">
        <f t="shared" si="9"/>
        <v>9.920609008</v>
      </c>
      <c r="AO35" s="34">
        <f t="shared" si="10"/>
        <v>12.75680212</v>
      </c>
      <c r="AP35" s="34">
        <f t="shared" si="11"/>
        <v>16.16594752</v>
      </c>
      <c r="AQ35" s="34">
        <f t="shared" si="12"/>
        <v>20.2349275</v>
      </c>
      <c r="AR35" s="34">
        <f t="shared" si="13"/>
        <v>3.079228099</v>
      </c>
      <c r="AS35" s="34">
        <f t="shared" si="14"/>
        <v>47.76309476</v>
      </c>
      <c r="AT35" s="35">
        <f t="shared" si="15"/>
        <v>100</v>
      </c>
      <c r="AV35" s="32">
        <f t="shared" si="16"/>
        <v>4522.885309</v>
      </c>
    </row>
    <row r="36" ht="14.25" customHeight="1">
      <c r="B36" s="36"/>
      <c r="C36" s="20" t="s">
        <v>46</v>
      </c>
      <c r="D36" s="21"/>
      <c r="E36" s="22" t="s">
        <v>53</v>
      </c>
      <c r="F36" s="42"/>
      <c r="G36" s="25">
        <v>47.0</v>
      </c>
      <c r="H36" s="25">
        <v>6.78</v>
      </c>
      <c r="I36" s="25">
        <v>45.7</v>
      </c>
      <c r="J36" s="22">
        <v>0.475</v>
      </c>
      <c r="K36" s="25">
        <v>0.04</v>
      </c>
      <c r="L36" s="24">
        <v>14.99</v>
      </c>
      <c r="M36" s="25">
        <v>55.54</v>
      </c>
      <c r="N36" s="22">
        <v>9.95</v>
      </c>
      <c r="O36" s="25">
        <v>19.52</v>
      </c>
      <c r="P36" s="25">
        <v>0.35</v>
      </c>
      <c r="Q36" s="45">
        <v>800.0</v>
      </c>
      <c r="R36" s="45" t="s">
        <v>50</v>
      </c>
      <c r="S36" s="25">
        <v>0.2</v>
      </c>
      <c r="T36" s="46" t="s">
        <v>51</v>
      </c>
      <c r="U36" s="25">
        <v>17.798594847775174</v>
      </c>
      <c r="V36" s="25">
        <v>32.08430913348946</v>
      </c>
      <c r="W36" s="25">
        <v>43.559718969555036</v>
      </c>
      <c r="X36" s="25">
        <v>6.557377049180327</v>
      </c>
      <c r="Y36" s="31">
        <f t="shared" si="5"/>
        <v>53.69569127</v>
      </c>
      <c r="Z36" s="25">
        <v>2.07</v>
      </c>
      <c r="AA36" s="22" t="s">
        <v>51</v>
      </c>
      <c r="AB36" s="22" t="s">
        <v>51</v>
      </c>
      <c r="AC36" s="32">
        <f t="shared" si="6"/>
        <v>8324.552526</v>
      </c>
      <c r="AD36" s="22" t="s">
        <v>51</v>
      </c>
      <c r="AK36" s="33">
        <f t="shared" si="7"/>
        <v>5.525294147</v>
      </c>
      <c r="AL36" s="33">
        <f t="shared" si="8"/>
        <v>4.764719848</v>
      </c>
      <c r="AM36" s="33">
        <f t="shared" si="9"/>
        <v>10.29001399</v>
      </c>
      <c r="AO36" s="34">
        <f t="shared" si="10"/>
        <v>8.241516307</v>
      </c>
      <c r="AP36" s="34">
        <f t="shared" si="11"/>
        <v>14.85641755</v>
      </c>
      <c r="AQ36" s="34">
        <f t="shared" si="12"/>
        <v>20.17002675</v>
      </c>
      <c r="AR36" s="34">
        <f t="shared" si="13"/>
        <v>3.036348113</v>
      </c>
      <c r="AS36" s="34">
        <f t="shared" si="14"/>
        <v>53.69569127</v>
      </c>
      <c r="AT36" s="35">
        <f t="shared" si="15"/>
        <v>100</v>
      </c>
      <c r="AV36" s="32">
        <f t="shared" si="16"/>
        <v>3854.626502</v>
      </c>
    </row>
    <row r="37" ht="14.25" customHeight="1">
      <c r="B37" s="36"/>
      <c r="C37" s="20" t="s">
        <v>46</v>
      </c>
      <c r="D37" s="21"/>
      <c r="E37" s="22" t="s">
        <v>53</v>
      </c>
      <c r="F37" s="42"/>
      <c r="G37" s="25">
        <v>47.0</v>
      </c>
      <c r="H37" s="25">
        <v>6.78</v>
      </c>
      <c r="I37" s="25">
        <v>45.7</v>
      </c>
      <c r="J37" s="22">
        <v>0.475</v>
      </c>
      <c r="K37" s="25">
        <v>0.04</v>
      </c>
      <c r="L37" s="24">
        <v>14.99</v>
      </c>
      <c r="M37" s="25">
        <v>55.54</v>
      </c>
      <c r="N37" s="22">
        <v>9.95</v>
      </c>
      <c r="O37" s="25">
        <v>19.52</v>
      </c>
      <c r="P37" s="25">
        <v>0.35</v>
      </c>
      <c r="Q37" s="45">
        <v>800.0</v>
      </c>
      <c r="R37" s="45" t="s">
        <v>50</v>
      </c>
      <c r="S37" s="25">
        <v>0.5</v>
      </c>
      <c r="T37" s="46" t="s">
        <v>51</v>
      </c>
      <c r="U37" s="25">
        <v>22.269807280513916</v>
      </c>
      <c r="V37" s="25">
        <v>28.693790149892934</v>
      </c>
      <c r="W37" s="25">
        <v>43.46895074946467</v>
      </c>
      <c r="X37" s="25">
        <v>5.567451820128479</v>
      </c>
      <c r="Y37" s="31">
        <f t="shared" si="5"/>
        <v>52.3025979</v>
      </c>
      <c r="Z37" s="25">
        <v>2.1</v>
      </c>
      <c r="AA37" s="22" t="s">
        <v>51</v>
      </c>
      <c r="AB37" s="22" t="s">
        <v>51</v>
      </c>
      <c r="AC37" s="32">
        <f t="shared" si="6"/>
        <v>8024.185531</v>
      </c>
      <c r="AD37" s="22" t="s">
        <v>51</v>
      </c>
      <c r="AK37" s="33">
        <f t="shared" si="7"/>
        <v>5.525294147</v>
      </c>
      <c r="AL37" s="33">
        <f t="shared" si="8"/>
        <v>5.038797062</v>
      </c>
      <c r="AM37" s="33">
        <f t="shared" si="9"/>
        <v>10.56409121</v>
      </c>
      <c r="AO37" s="34">
        <f t="shared" si="10"/>
        <v>10.62211952</v>
      </c>
      <c r="AP37" s="34">
        <f t="shared" si="11"/>
        <v>13.68619246</v>
      </c>
      <c r="AQ37" s="34">
        <f t="shared" si="12"/>
        <v>20.73356023</v>
      </c>
      <c r="AR37" s="34">
        <f t="shared" si="13"/>
        <v>2.655529881</v>
      </c>
      <c r="AS37" s="34">
        <f t="shared" si="14"/>
        <v>52.3025979</v>
      </c>
      <c r="AT37" s="35">
        <f t="shared" si="15"/>
        <v>100</v>
      </c>
      <c r="AV37" s="32">
        <f t="shared" si="16"/>
        <v>3827.328038</v>
      </c>
    </row>
    <row r="38" ht="14.25" customHeight="1">
      <c r="B38" s="36"/>
      <c r="C38" s="20" t="s">
        <v>46</v>
      </c>
      <c r="D38" s="21"/>
      <c r="E38" s="22" t="s">
        <v>53</v>
      </c>
      <c r="F38" s="42"/>
      <c r="G38" s="25">
        <v>47.0</v>
      </c>
      <c r="H38" s="25">
        <v>6.78</v>
      </c>
      <c r="I38" s="25">
        <v>45.7</v>
      </c>
      <c r="J38" s="22">
        <v>0.475</v>
      </c>
      <c r="K38" s="25">
        <v>0.04</v>
      </c>
      <c r="L38" s="24">
        <v>14.99</v>
      </c>
      <c r="M38" s="25">
        <v>55.54</v>
      </c>
      <c r="N38" s="22">
        <v>9.95</v>
      </c>
      <c r="O38" s="25">
        <v>19.52</v>
      </c>
      <c r="P38" s="25">
        <v>0.4</v>
      </c>
      <c r="Q38" s="45">
        <v>800.0</v>
      </c>
      <c r="R38" s="45" t="s">
        <v>50</v>
      </c>
      <c r="S38" s="25">
        <v>0.5</v>
      </c>
      <c r="T38" s="46" t="s">
        <v>51</v>
      </c>
      <c r="U38" s="25">
        <v>21.0989010989011</v>
      </c>
      <c r="V38" s="25">
        <v>26.813186813186814</v>
      </c>
      <c r="W38" s="25">
        <v>47.252747252747255</v>
      </c>
      <c r="X38" s="25">
        <v>4.835164835164836</v>
      </c>
      <c r="Y38" s="31">
        <f t="shared" si="5"/>
        <v>55.97797012</v>
      </c>
      <c r="Z38" s="25">
        <v>2.29</v>
      </c>
      <c r="AA38" s="22" t="s">
        <v>51</v>
      </c>
      <c r="AB38" s="22" t="s">
        <v>51</v>
      </c>
      <c r="AC38" s="32">
        <f t="shared" si="6"/>
        <v>7397.798273</v>
      </c>
      <c r="AD38" s="22" t="s">
        <v>51</v>
      </c>
      <c r="AK38" s="33">
        <f t="shared" si="7"/>
        <v>6.312198413</v>
      </c>
      <c r="AL38" s="33">
        <f t="shared" si="8"/>
        <v>4.964020427</v>
      </c>
      <c r="AM38" s="33">
        <f t="shared" si="9"/>
        <v>11.27621884</v>
      </c>
      <c r="AO38" s="34">
        <f t="shared" si="10"/>
        <v>9.288164546</v>
      </c>
      <c r="AP38" s="34">
        <f t="shared" si="11"/>
        <v>11.80370911</v>
      </c>
      <c r="AQ38" s="34">
        <f t="shared" si="12"/>
        <v>20.80161852</v>
      </c>
      <c r="AR38" s="34">
        <f t="shared" si="13"/>
        <v>2.128537709</v>
      </c>
      <c r="AS38" s="34">
        <f t="shared" si="14"/>
        <v>55.97797012</v>
      </c>
      <c r="AT38" s="35">
        <f t="shared" si="15"/>
        <v>100</v>
      </c>
      <c r="AV38" s="32">
        <f t="shared" si="16"/>
        <v>3256.660966</v>
      </c>
    </row>
    <row r="39" ht="14.25" customHeight="1">
      <c r="B39" s="36"/>
      <c r="C39" s="20" t="s">
        <v>46</v>
      </c>
      <c r="D39" s="21"/>
      <c r="E39" s="22" t="s">
        <v>53</v>
      </c>
      <c r="F39" s="42"/>
      <c r="G39" s="25">
        <v>47.0</v>
      </c>
      <c r="H39" s="25">
        <v>6.78</v>
      </c>
      <c r="I39" s="25">
        <v>45.7</v>
      </c>
      <c r="J39" s="22">
        <v>0.475</v>
      </c>
      <c r="K39" s="25">
        <v>0.04</v>
      </c>
      <c r="L39" s="24">
        <v>14.99</v>
      </c>
      <c r="M39" s="25">
        <v>55.54</v>
      </c>
      <c r="N39" s="22">
        <v>9.95</v>
      </c>
      <c r="O39" s="25">
        <v>19.52</v>
      </c>
      <c r="P39" s="25">
        <v>0.35</v>
      </c>
      <c r="Q39" s="45">
        <v>850.0</v>
      </c>
      <c r="R39" s="45" t="s">
        <v>50</v>
      </c>
      <c r="S39" s="25">
        <v>0.5</v>
      </c>
      <c r="T39" s="46" t="s">
        <v>51</v>
      </c>
      <c r="U39" s="25">
        <v>25.518672199170123</v>
      </c>
      <c r="V39" s="25">
        <v>30.08298755186722</v>
      </c>
      <c r="W39" s="25">
        <v>38.174273858921154</v>
      </c>
      <c r="X39" s="25">
        <v>6.224066390041493</v>
      </c>
      <c r="Y39" s="31">
        <f t="shared" si="5"/>
        <v>51.23659297</v>
      </c>
      <c r="Z39" s="25">
        <v>2.31</v>
      </c>
      <c r="AA39" s="22" t="s">
        <v>51</v>
      </c>
      <c r="AB39" s="22" t="s">
        <v>51</v>
      </c>
      <c r="AC39" s="32">
        <f t="shared" si="6"/>
        <v>8785.701319</v>
      </c>
      <c r="AD39" s="22" t="s">
        <v>51</v>
      </c>
      <c r="AK39" s="33">
        <f t="shared" si="7"/>
        <v>5.525294147</v>
      </c>
      <c r="AL39" s="33">
        <f t="shared" si="8"/>
        <v>5.258588672</v>
      </c>
      <c r="AM39" s="33">
        <f t="shared" si="9"/>
        <v>10.78388282</v>
      </c>
      <c r="AO39" s="34">
        <f t="shared" si="10"/>
        <v>12.44377399</v>
      </c>
      <c r="AP39" s="34">
        <f t="shared" si="11"/>
        <v>14.66948967</v>
      </c>
      <c r="AQ39" s="34">
        <f t="shared" si="12"/>
        <v>18.61507654</v>
      </c>
      <c r="AR39" s="34">
        <f t="shared" si="13"/>
        <v>3.035066827</v>
      </c>
      <c r="AS39" s="34">
        <f t="shared" si="14"/>
        <v>51.23659297</v>
      </c>
      <c r="AT39" s="35">
        <f t="shared" si="15"/>
        <v>100</v>
      </c>
      <c r="AV39" s="32">
        <f t="shared" si="16"/>
        <v>4284.207294</v>
      </c>
    </row>
    <row r="40" ht="14.25" customHeight="1">
      <c r="B40" s="36"/>
      <c r="C40" s="20" t="s">
        <v>46</v>
      </c>
      <c r="D40" s="21"/>
      <c r="E40" s="22" t="s">
        <v>53</v>
      </c>
      <c r="F40" s="42"/>
      <c r="G40" s="25">
        <v>47.0</v>
      </c>
      <c r="H40" s="25">
        <v>6.78</v>
      </c>
      <c r="I40" s="25">
        <v>45.7</v>
      </c>
      <c r="J40" s="22">
        <v>0.475</v>
      </c>
      <c r="K40" s="25">
        <v>0.04</v>
      </c>
      <c r="L40" s="24">
        <v>14.99</v>
      </c>
      <c r="M40" s="25">
        <v>55.54</v>
      </c>
      <c r="N40" s="22">
        <v>9.95</v>
      </c>
      <c r="O40" s="25">
        <v>19.52</v>
      </c>
      <c r="P40" s="25">
        <v>0.35</v>
      </c>
      <c r="Q40" s="45">
        <v>800.0</v>
      </c>
      <c r="R40" s="45" t="s">
        <v>50</v>
      </c>
      <c r="S40" s="25">
        <v>0.8</v>
      </c>
      <c r="T40" s="46" t="s">
        <v>51</v>
      </c>
      <c r="U40" s="25">
        <v>24.532224532224532</v>
      </c>
      <c r="V40" s="25">
        <v>26.403326403326403</v>
      </c>
      <c r="W40" s="25">
        <v>43.86694386694386</v>
      </c>
      <c r="X40" s="25">
        <v>5.197505197505198</v>
      </c>
      <c r="Y40" s="31">
        <f t="shared" si="5"/>
        <v>51.5652658</v>
      </c>
      <c r="Z40" s="25">
        <v>2.13</v>
      </c>
      <c r="AA40" s="22" t="s">
        <v>51</v>
      </c>
      <c r="AB40" s="22" t="s">
        <v>51</v>
      </c>
      <c r="AC40" s="32">
        <f t="shared" si="6"/>
        <v>7846.49354</v>
      </c>
      <c r="AD40" s="22" t="s">
        <v>51</v>
      </c>
      <c r="AK40" s="33">
        <f t="shared" si="7"/>
        <v>5.525294147</v>
      </c>
      <c r="AL40" s="33">
        <f t="shared" si="8"/>
        <v>5.189853076</v>
      </c>
      <c r="AM40" s="33">
        <f t="shared" si="9"/>
        <v>10.71514722</v>
      </c>
      <c r="AO40" s="34">
        <f t="shared" si="10"/>
        <v>11.88211774</v>
      </c>
      <c r="AP40" s="34">
        <f t="shared" si="11"/>
        <v>12.78838096</v>
      </c>
      <c r="AQ40" s="34">
        <f t="shared" si="12"/>
        <v>21.24683766</v>
      </c>
      <c r="AR40" s="34">
        <f t="shared" si="13"/>
        <v>2.517397827</v>
      </c>
      <c r="AS40" s="34">
        <f t="shared" si="14"/>
        <v>51.5652658</v>
      </c>
      <c r="AT40" s="35">
        <f t="shared" si="15"/>
        <v>100</v>
      </c>
      <c r="AV40" s="32">
        <f t="shared" si="16"/>
        <v>3800.42829</v>
      </c>
    </row>
    <row r="41" ht="14.25" customHeight="1">
      <c r="B41" s="36"/>
      <c r="C41" s="20" t="s">
        <v>46</v>
      </c>
      <c r="D41" s="21"/>
      <c r="E41" s="22" t="s">
        <v>53</v>
      </c>
      <c r="F41" s="43"/>
      <c r="G41" s="25">
        <v>47.0</v>
      </c>
      <c r="H41" s="25">
        <v>6.78</v>
      </c>
      <c r="I41" s="25">
        <v>45.7</v>
      </c>
      <c r="J41" s="22">
        <v>0.475</v>
      </c>
      <c r="K41" s="25">
        <v>0.04</v>
      </c>
      <c r="L41" s="24">
        <v>14.99</v>
      </c>
      <c r="M41" s="25">
        <v>55.54</v>
      </c>
      <c r="N41" s="22">
        <v>9.95</v>
      </c>
      <c r="O41" s="25">
        <v>19.52</v>
      </c>
      <c r="P41" s="25">
        <v>0.35</v>
      </c>
      <c r="Q41" s="45">
        <v>850.0</v>
      </c>
      <c r="R41" s="45" t="s">
        <v>50</v>
      </c>
      <c r="S41" s="25">
        <v>0.8</v>
      </c>
      <c r="T41" s="46" t="s">
        <v>51</v>
      </c>
      <c r="U41" s="25">
        <v>25.889328063241106</v>
      </c>
      <c r="V41" s="25">
        <v>28.063241106719367</v>
      </c>
      <c r="W41" s="25">
        <v>40.31620553359683</v>
      </c>
      <c r="X41" s="25">
        <v>5.7312252964426875</v>
      </c>
      <c r="Y41" s="31">
        <f t="shared" si="5"/>
        <v>51.11193889</v>
      </c>
      <c r="Z41" s="25">
        <v>2.34</v>
      </c>
      <c r="AA41" s="22" t="s">
        <v>51</v>
      </c>
      <c r="AB41" s="22" t="s">
        <v>51</v>
      </c>
      <c r="AC41" s="32">
        <f t="shared" si="6"/>
        <v>8393.951158</v>
      </c>
      <c r="AD41" s="22" t="s">
        <v>51</v>
      </c>
      <c r="AK41" s="33">
        <f t="shared" si="7"/>
        <v>5.525294147</v>
      </c>
      <c r="AL41" s="33">
        <f t="shared" si="8"/>
        <v>5.284888889</v>
      </c>
      <c r="AM41" s="33">
        <f t="shared" si="9"/>
        <v>10.81018304</v>
      </c>
      <c r="AO41" s="34">
        <f t="shared" si="10"/>
        <v>12.65679053</v>
      </c>
      <c r="AP41" s="34">
        <f t="shared" si="11"/>
        <v>13.71957446</v>
      </c>
      <c r="AQ41" s="34">
        <f t="shared" si="12"/>
        <v>19.7098112</v>
      </c>
      <c r="AR41" s="34">
        <f t="shared" si="13"/>
        <v>2.801884925</v>
      </c>
      <c r="AS41" s="34">
        <f t="shared" si="14"/>
        <v>51.11193889</v>
      </c>
      <c r="AT41" s="35">
        <f t="shared" si="15"/>
        <v>100</v>
      </c>
      <c r="AV41" s="32">
        <f t="shared" si="16"/>
        <v>4103.639972</v>
      </c>
    </row>
    <row r="42" ht="14.25" customHeight="1">
      <c r="B42" s="36"/>
      <c r="C42" s="20" t="s">
        <v>46</v>
      </c>
      <c r="D42" s="21"/>
      <c r="E42" s="22" t="s">
        <v>48</v>
      </c>
      <c r="F42" s="48" t="s">
        <v>56</v>
      </c>
      <c r="G42" s="47">
        <v>43.52</v>
      </c>
      <c r="H42" s="47">
        <v>5.72</v>
      </c>
      <c r="I42" s="47">
        <v>48.9</v>
      </c>
      <c r="J42" s="22">
        <v>1.2</v>
      </c>
      <c r="K42" s="25">
        <v>0.66</v>
      </c>
      <c r="L42" s="24">
        <v>8.36</v>
      </c>
      <c r="M42" s="25">
        <v>79.34</v>
      </c>
      <c r="N42" s="25">
        <v>7.8</v>
      </c>
      <c r="O42" s="47">
        <v>4.5</v>
      </c>
      <c r="P42" s="25">
        <v>0.25</v>
      </c>
      <c r="Q42" s="45">
        <v>650.0</v>
      </c>
      <c r="R42" s="45" t="s">
        <v>50</v>
      </c>
      <c r="S42" s="25">
        <v>0.0</v>
      </c>
      <c r="T42" s="46" t="s">
        <v>51</v>
      </c>
      <c r="U42" s="25">
        <v>19.499200852424085</v>
      </c>
      <c r="V42" s="25">
        <v>30.687266915290362</v>
      </c>
      <c r="W42" s="25">
        <v>43.89984017048482</v>
      </c>
      <c r="X42" s="25">
        <v>5.913692061800748</v>
      </c>
      <c r="Y42" s="31">
        <f t="shared" si="5"/>
        <v>42.73015313</v>
      </c>
      <c r="Z42" s="25">
        <v>1.5165337307785878</v>
      </c>
      <c r="AA42" s="22" t="s">
        <v>51</v>
      </c>
      <c r="AB42" s="22" t="s">
        <v>51</v>
      </c>
      <c r="AC42" s="32">
        <f t="shared" si="6"/>
        <v>8101.000362</v>
      </c>
      <c r="AD42" s="22" t="s">
        <v>51</v>
      </c>
      <c r="AK42" s="33">
        <f t="shared" si="7"/>
        <v>3.361366567</v>
      </c>
      <c r="AL42" s="33">
        <f t="shared" si="8"/>
        <v>4.50513126</v>
      </c>
      <c r="AM42" s="33">
        <f t="shared" si="9"/>
        <v>7.866497827</v>
      </c>
      <c r="AO42" s="34">
        <f t="shared" si="10"/>
        <v>11.16716247</v>
      </c>
      <c r="AP42" s="34">
        <f t="shared" si="11"/>
        <v>17.57455077</v>
      </c>
      <c r="AQ42" s="34">
        <f t="shared" si="12"/>
        <v>25.14137124</v>
      </c>
      <c r="AR42" s="34">
        <f t="shared" si="13"/>
        <v>3.386762388</v>
      </c>
      <c r="AS42" s="34">
        <f t="shared" si="14"/>
        <v>42.73015313</v>
      </c>
      <c r="AT42" s="35">
        <f t="shared" si="15"/>
        <v>100</v>
      </c>
      <c r="AV42" s="32">
        <f t="shared" si="16"/>
        <v>4639.430502</v>
      </c>
    </row>
    <row r="43" ht="14.25" customHeight="1">
      <c r="B43" s="36"/>
      <c r="C43" s="20" t="s">
        <v>46</v>
      </c>
      <c r="D43" s="21"/>
      <c r="E43" s="22" t="s">
        <v>48</v>
      </c>
      <c r="F43" s="49"/>
      <c r="G43" s="47">
        <v>43.52</v>
      </c>
      <c r="H43" s="47">
        <v>5.72</v>
      </c>
      <c r="I43" s="47">
        <v>48.9</v>
      </c>
      <c r="J43" s="22">
        <v>1.2</v>
      </c>
      <c r="K43" s="25">
        <v>0.66</v>
      </c>
      <c r="L43" s="24">
        <v>8.36</v>
      </c>
      <c r="M43" s="25">
        <v>79.34</v>
      </c>
      <c r="N43" s="25">
        <v>7.8</v>
      </c>
      <c r="O43" s="47">
        <v>4.5</v>
      </c>
      <c r="P43" s="25">
        <v>0.25</v>
      </c>
      <c r="Q43" s="45">
        <v>750.0</v>
      </c>
      <c r="R43" s="45" t="s">
        <v>50</v>
      </c>
      <c r="S43" s="25">
        <v>0.0</v>
      </c>
      <c r="T43" s="46" t="s">
        <v>51</v>
      </c>
      <c r="U43" s="25">
        <v>15.228186332466308</v>
      </c>
      <c r="V43" s="25">
        <v>32.04067155355877</v>
      </c>
      <c r="W43" s="25">
        <v>44.45495388980847</v>
      </c>
      <c r="X43" s="25">
        <v>8.276188224166471</v>
      </c>
      <c r="Y43" s="31">
        <f t="shared" si="5"/>
        <v>43.99971978</v>
      </c>
      <c r="Z43" s="25">
        <v>1.664766351080254</v>
      </c>
      <c r="AA43" s="22" t="s">
        <v>51</v>
      </c>
      <c r="AB43" s="22" t="s">
        <v>51</v>
      </c>
      <c r="AC43" s="32">
        <f t="shared" si="6"/>
        <v>8657.421545</v>
      </c>
      <c r="AD43" s="22" t="s">
        <v>51</v>
      </c>
      <c r="AK43" s="33">
        <f t="shared" si="7"/>
        <v>3.361366567</v>
      </c>
      <c r="AL43" s="33">
        <f t="shared" si="8"/>
        <v>4.278151557</v>
      </c>
      <c r="AM43" s="33">
        <f t="shared" si="9"/>
        <v>7.639518125</v>
      </c>
      <c r="AO43" s="34">
        <f t="shared" si="10"/>
        <v>8.527827019</v>
      </c>
      <c r="AP43" s="34">
        <f t="shared" si="11"/>
        <v>17.94286585</v>
      </c>
      <c r="AQ43" s="34">
        <f t="shared" si="12"/>
        <v>24.89489875</v>
      </c>
      <c r="AR43" s="34">
        <f t="shared" si="13"/>
        <v>4.634688597</v>
      </c>
      <c r="AS43" s="34">
        <f t="shared" si="14"/>
        <v>43.99971978</v>
      </c>
      <c r="AT43" s="35">
        <f t="shared" si="15"/>
        <v>100</v>
      </c>
      <c r="AV43" s="32">
        <f t="shared" si="16"/>
        <v>4848.180325</v>
      </c>
    </row>
    <row r="44" ht="14.25" customHeight="1">
      <c r="B44" s="36"/>
      <c r="C44" s="20" t="s">
        <v>46</v>
      </c>
      <c r="D44" s="21"/>
      <c r="E44" s="22" t="s">
        <v>48</v>
      </c>
      <c r="F44" s="49"/>
      <c r="G44" s="47">
        <v>43.52</v>
      </c>
      <c r="H44" s="47">
        <v>5.72</v>
      </c>
      <c r="I44" s="47">
        <v>48.9</v>
      </c>
      <c r="J44" s="22">
        <v>1.2</v>
      </c>
      <c r="K44" s="25">
        <v>0.66</v>
      </c>
      <c r="L44" s="24">
        <v>8.36</v>
      </c>
      <c r="M44" s="25">
        <v>79.34</v>
      </c>
      <c r="N44" s="25">
        <v>7.8</v>
      </c>
      <c r="O44" s="47">
        <v>4.5</v>
      </c>
      <c r="P44" s="25">
        <v>0.25</v>
      </c>
      <c r="Q44" s="45">
        <v>850.0</v>
      </c>
      <c r="R44" s="45" t="s">
        <v>50</v>
      </c>
      <c r="S44" s="25">
        <v>0.0</v>
      </c>
      <c r="T44" s="46" t="s">
        <v>51</v>
      </c>
      <c r="U44" s="25">
        <v>16.023738872403563</v>
      </c>
      <c r="V44" s="25">
        <v>36.39253921153031</v>
      </c>
      <c r="W44" s="25">
        <v>40.589232725731236</v>
      </c>
      <c r="X44" s="25">
        <v>6.994489190334888</v>
      </c>
      <c r="Y44" s="31">
        <f t="shared" si="5"/>
        <v>43.7675239</v>
      </c>
      <c r="Z44" s="25">
        <v>1.9270240639216638</v>
      </c>
      <c r="AA44" s="22" t="s">
        <v>51</v>
      </c>
      <c r="AB44" s="22" t="s">
        <v>51</v>
      </c>
      <c r="AC44" s="32">
        <f t="shared" si="6"/>
        <v>8833.86877</v>
      </c>
      <c r="AD44" s="22" t="s">
        <v>51</v>
      </c>
      <c r="AK44" s="33">
        <f t="shared" si="7"/>
        <v>3.361366567</v>
      </c>
      <c r="AL44" s="33">
        <f t="shared" si="8"/>
        <v>4.318680801</v>
      </c>
      <c r="AM44" s="33">
        <f t="shared" si="9"/>
        <v>7.680047368</v>
      </c>
      <c r="AO44" s="34">
        <f t="shared" si="10"/>
        <v>9.010545132</v>
      </c>
      <c r="AP44" s="34">
        <f t="shared" si="11"/>
        <v>20.46442591</v>
      </c>
      <c r="AQ44" s="34">
        <f t="shared" si="12"/>
        <v>22.82433059</v>
      </c>
      <c r="AR44" s="34">
        <f t="shared" si="13"/>
        <v>3.933174462</v>
      </c>
      <c r="AS44" s="34">
        <f t="shared" si="14"/>
        <v>43.7675239</v>
      </c>
      <c r="AT44" s="35">
        <f t="shared" si="15"/>
        <v>100</v>
      </c>
      <c r="AV44" s="32">
        <f t="shared" si="16"/>
        <v>4967.503145</v>
      </c>
    </row>
    <row r="45" ht="14.25" customHeight="1">
      <c r="B45" s="36"/>
      <c r="C45" s="20" t="s">
        <v>46</v>
      </c>
      <c r="D45" s="21"/>
      <c r="E45" s="22" t="s">
        <v>48</v>
      </c>
      <c r="F45" s="49"/>
      <c r="G45" s="47">
        <v>43.52</v>
      </c>
      <c r="H45" s="47">
        <v>5.72</v>
      </c>
      <c r="I45" s="47">
        <v>48.9</v>
      </c>
      <c r="J45" s="22">
        <v>1.2</v>
      </c>
      <c r="K45" s="25">
        <v>0.66</v>
      </c>
      <c r="L45" s="24">
        <v>8.36</v>
      </c>
      <c r="M45" s="25">
        <v>79.34</v>
      </c>
      <c r="N45" s="25">
        <v>7.8</v>
      </c>
      <c r="O45" s="47">
        <v>4.5</v>
      </c>
      <c r="P45" s="25">
        <v>0.25</v>
      </c>
      <c r="Q45" s="45">
        <v>950.0</v>
      </c>
      <c r="R45" s="45" t="s">
        <v>50</v>
      </c>
      <c r="S45" s="25">
        <v>0.0</v>
      </c>
      <c r="T45" s="46" t="s">
        <v>51</v>
      </c>
      <c r="U45" s="25">
        <v>20.242998352553542</v>
      </c>
      <c r="V45" s="25">
        <v>38.71499176276771</v>
      </c>
      <c r="W45" s="25">
        <v>34.452224052718286</v>
      </c>
      <c r="X45" s="25">
        <v>6.589785831960461</v>
      </c>
      <c r="Y45" s="31">
        <f t="shared" si="5"/>
        <v>42.50314938</v>
      </c>
      <c r="Z45" s="25">
        <v>2.1892817767630737</v>
      </c>
      <c r="AA45" s="22" t="s">
        <v>51</v>
      </c>
      <c r="AB45" s="22" t="s">
        <v>51</v>
      </c>
      <c r="AC45" s="32">
        <f t="shared" si="6"/>
        <v>9437.767158</v>
      </c>
      <c r="AD45" s="22" t="s">
        <v>51</v>
      </c>
      <c r="AK45" s="33">
        <f t="shared" si="7"/>
        <v>3.361366567</v>
      </c>
      <c r="AL45" s="33">
        <f t="shared" si="8"/>
        <v>4.547145193</v>
      </c>
      <c r="AM45" s="33">
        <f t="shared" si="9"/>
        <v>7.908511761</v>
      </c>
      <c r="AO45" s="34">
        <f t="shared" si="10"/>
        <v>11.63908652</v>
      </c>
      <c r="AP45" s="34">
        <f t="shared" si="11"/>
        <v>22.25990098</v>
      </c>
      <c r="AQ45" s="34">
        <f t="shared" si="12"/>
        <v>19.8089438</v>
      </c>
      <c r="AR45" s="34">
        <f t="shared" si="13"/>
        <v>3.788919316</v>
      </c>
      <c r="AS45" s="34">
        <f t="shared" si="14"/>
        <v>42.50314938</v>
      </c>
      <c r="AT45" s="35">
        <f t="shared" si="15"/>
        <v>100</v>
      </c>
      <c r="AV45" s="32">
        <f t="shared" si="16"/>
        <v>5426.418885</v>
      </c>
    </row>
    <row r="46" ht="14.25" customHeight="1">
      <c r="B46" s="36"/>
      <c r="C46" s="20" t="s">
        <v>46</v>
      </c>
      <c r="D46" s="21"/>
      <c r="E46" s="22" t="s">
        <v>48</v>
      </c>
      <c r="F46" s="49"/>
      <c r="G46" s="47">
        <v>43.52</v>
      </c>
      <c r="H46" s="47">
        <v>5.72</v>
      </c>
      <c r="I46" s="47">
        <v>48.9</v>
      </c>
      <c r="J46" s="22">
        <v>1.2</v>
      </c>
      <c r="K46" s="25">
        <v>0.66</v>
      </c>
      <c r="L46" s="24">
        <v>8.36</v>
      </c>
      <c r="M46" s="25">
        <v>79.34</v>
      </c>
      <c r="N46" s="25">
        <v>7.8</v>
      </c>
      <c r="O46" s="47">
        <v>4.5</v>
      </c>
      <c r="P46" s="25">
        <v>0.25</v>
      </c>
      <c r="Q46" s="45">
        <v>1050.0</v>
      </c>
      <c r="R46" s="45" t="s">
        <v>50</v>
      </c>
      <c r="S46" s="25">
        <v>0.0</v>
      </c>
      <c r="T46" s="46" t="s">
        <v>51</v>
      </c>
      <c r="U46" s="25">
        <v>24.884049203468436</v>
      </c>
      <c r="V46" s="25">
        <v>40.250050413389786</v>
      </c>
      <c r="W46" s="25">
        <v>28.3323250655374</v>
      </c>
      <c r="X46" s="25">
        <v>6.533575317604354</v>
      </c>
      <c r="Y46" s="31">
        <f t="shared" si="5"/>
        <v>41.04504391</v>
      </c>
      <c r="Z46" s="25">
        <v>2.326111887810766</v>
      </c>
      <c r="AA46" s="22" t="s">
        <v>51</v>
      </c>
      <c r="AB46" s="22" t="s">
        <v>51</v>
      </c>
      <c r="AC46" s="32">
        <f t="shared" si="6"/>
        <v>10112.59074</v>
      </c>
      <c r="AD46" s="22" t="s">
        <v>51</v>
      </c>
      <c r="AK46" s="33">
        <f t="shared" si="7"/>
        <v>3.361366567</v>
      </c>
      <c r="AL46" s="33">
        <f t="shared" si="8"/>
        <v>4.828091275</v>
      </c>
      <c r="AM46" s="33">
        <f t="shared" si="9"/>
        <v>8.189457843</v>
      </c>
      <c r="AO46" s="34">
        <f t="shared" si="10"/>
        <v>14.67038028</v>
      </c>
      <c r="AP46" s="34">
        <f t="shared" si="11"/>
        <v>23.72939955</v>
      </c>
      <c r="AQ46" s="34">
        <f t="shared" si="12"/>
        <v>16.7033098</v>
      </c>
      <c r="AR46" s="34">
        <f t="shared" si="13"/>
        <v>3.85186646</v>
      </c>
      <c r="AS46" s="34">
        <f t="shared" si="14"/>
        <v>41.04504391</v>
      </c>
      <c r="AT46" s="35">
        <f t="shared" si="15"/>
        <v>100</v>
      </c>
      <c r="AV46" s="32">
        <f t="shared" si="16"/>
        <v>5961.873433</v>
      </c>
    </row>
    <row r="47" ht="14.25" customHeight="1">
      <c r="B47" s="36"/>
      <c r="C47" s="20" t="s">
        <v>46</v>
      </c>
      <c r="D47" s="21"/>
      <c r="E47" s="22" t="s">
        <v>48</v>
      </c>
      <c r="F47" s="49"/>
      <c r="G47" s="47">
        <v>43.52</v>
      </c>
      <c r="H47" s="47">
        <v>5.72</v>
      </c>
      <c r="I47" s="47">
        <v>48.9</v>
      </c>
      <c r="J47" s="22">
        <v>1.2</v>
      </c>
      <c r="K47" s="25">
        <v>0.66</v>
      </c>
      <c r="L47" s="24">
        <v>8.36</v>
      </c>
      <c r="M47" s="25">
        <v>79.34</v>
      </c>
      <c r="N47" s="25">
        <v>7.8</v>
      </c>
      <c r="O47" s="47">
        <v>4.5</v>
      </c>
      <c r="P47" s="25">
        <v>0.17</v>
      </c>
      <c r="Q47" s="45">
        <v>770.0</v>
      </c>
      <c r="R47" s="45" t="s">
        <v>50</v>
      </c>
      <c r="S47" s="25">
        <v>0.0</v>
      </c>
      <c r="T47" s="46" t="s">
        <v>51</v>
      </c>
      <c r="U47" s="25">
        <v>16.28898362126991</v>
      </c>
      <c r="V47" s="25">
        <v>35.44985416199236</v>
      </c>
      <c r="W47" s="25">
        <v>40.90195198564056</v>
      </c>
      <c r="X47" s="25">
        <v>7.3592102310971494</v>
      </c>
      <c r="Y47" s="31">
        <f t="shared" si="5"/>
        <v>34.67294899</v>
      </c>
      <c r="Z47" s="25">
        <v>1.3683011104769212</v>
      </c>
      <c r="AA47" s="22" t="s">
        <v>51</v>
      </c>
      <c r="AB47" s="22" t="s">
        <v>51</v>
      </c>
      <c r="AC47" s="32">
        <f t="shared" si="6"/>
        <v>8874.089314</v>
      </c>
      <c r="AD47" s="22" t="s">
        <v>51</v>
      </c>
      <c r="AK47" s="33">
        <f t="shared" si="7"/>
        <v>2.299443552</v>
      </c>
      <c r="AL47" s="33">
        <f t="shared" si="8"/>
        <v>4.332364871</v>
      </c>
      <c r="AM47" s="33">
        <f t="shared" si="9"/>
        <v>6.631808422</v>
      </c>
      <c r="AO47" s="34">
        <f t="shared" si="10"/>
        <v>10.64111264</v>
      </c>
      <c r="AP47" s="34">
        <f t="shared" si="11"/>
        <v>23.15834431</v>
      </c>
      <c r="AQ47" s="34">
        <f t="shared" si="12"/>
        <v>26.72003904</v>
      </c>
      <c r="AR47" s="34">
        <f t="shared" si="13"/>
        <v>4.807555021</v>
      </c>
      <c r="AS47" s="34">
        <f t="shared" si="14"/>
        <v>34.67294899</v>
      </c>
      <c r="AT47" s="35">
        <f t="shared" si="15"/>
        <v>100</v>
      </c>
      <c r="AV47" s="32">
        <f t="shared" si="16"/>
        <v>5797.180852</v>
      </c>
    </row>
    <row r="48" ht="14.25" customHeight="1">
      <c r="B48" s="36"/>
      <c r="C48" s="20" t="s">
        <v>46</v>
      </c>
      <c r="D48" s="21"/>
      <c r="E48" s="22" t="s">
        <v>48</v>
      </c>
      <c r="F48" s="49"/>
      <c r="G48" s="47">
        <v>43.52</v>
      </c>
      <c r="H48" s="47">
        <v>5.72</v>
      </c>
      <c r="I48" s="47">
        <v>48.9</v>
      </c>
      <c r="J48" s="22">
        <v>1.2</v>
      </c>
      <c r="K48" s="25">
        <v>0.66</v>
      </c>
      <c r="L48" s="24">
        <v>8.36</v>
      </c>
      <c r="M48" s="25">
        <v>79.34</v>
      </c>
      <c r="N48" s="25">
        <v>7.8</v>
      </c>
      <c r="O48" s="47">
        <v>4.5</v>
      </c>
      <c r="P48" s="25">
        <v>0.21</v>
      </c>
      <c r="Q48" s="45">
        <v>770.0</v>
      </c>
      <c r="R48" s="45" t="s">
        <v>50</v>
      </c>
      <c r="S48" s="25">
        <v>0.0</v>
      </c>
      <c r="T48" s="46" t="s">
        <v>51</v>
      </c>
      <c r="U48" s="25">
        <v>12.111257117827417</v>
      </c>
      <c r="V48" s="25">
        <v>36.39947437582128</v>
      </c>
      <c r="W48" s="25">
        <v>42.18134034165571</v>
      </c>
      <c r="X48" s="25">
        <v>9.307928164695573</v>
      </c>
      <c r="Y48" s="31">
        <f t="shared" si="5"/>
        <v>40.68524551</v>
      </c>
      <c r="Z48" s="25">
        <v>1.5393387492865365</v>
      </c>
      <c r="AA48" s="22" t="s">
        <v>51</v>
      </c>
      <c r="AB48" s="22" t="s">
        <v>51</v>
      </c>
      <c r="AC48" s="32">
        <f t="shared" si="6"/>
        <v>9241.305691</v>
      </c>
      <c r="AD48" s="22" t="s">
        <v>51</v>
      </c>
      <c r="AK48" s="33">
        <f t="shared" si="7"/>
        <v>2.83040506</v>
      </c>
      <c r="AL48" s="33">
        <f t="shared" si="8"/>
        <v>4.126429105</v>
      </c>
      <c r="AM48" s="33">
        <f t="shared" si="9"/>
        <v>6.956834165</v>
      </c>
      <c r="AO48" s="34">
        <f t="shared" si="10"/>
        <v>7.183762425</v>
      </c>
      <c r="AP48" s="34">
        <f t="shared" si="11"/>
        <v>21.59025886</v>
      </c>
      <c r="AQ48" s="34">
        <f t="shared" si="12"/>
        <v>25.01975847</v>
      </c>
      <c r="AR48" s="34">
        <f t="shared" si="13"/>
        <v>5.520974739</v>
      </c>
      <c r="AS48" s="34">
        <f t="shared" si="14"/>
        <v>40.68524551</v>
      </c>
      <c r="AT48" s="35">
        <f t="shared" si="15"/>
        <v>100</v>
      </c>
      <c r="AV48" s="32">
        <f t="shared" si="16"/>
        <v>5481.457783</v>
      </c>
    </row>
    <row r="49" ht="14.25" customHeight="1">
      <c r="B49" s="36"/>
      <c r="C49" s="20" t="s">
        <v>46</v>
      </c>
      <c r="D49" s="21"/>
      <c r="E49" s="22" t="s">
        <v>48</v>
      </c>
      <c r="F49" s="49"/>
      <c r="G49" s="47">
        <v>43.52</v>
      </c>
      <c r="H49" s="47">
        <v>5.72</v>
      </c>
      <c r="I49" s="47">
        <v>48.9</v>
      </c>
      <c r="J49" s="22">
        <v>1.2</v>
      </c>
      <c r="K49" s="25">
        <v>0.66</v>
      </c>
      <c r="L49" s="24">
        <v>8.36</v>
      </c>
      <c r="M49" s="25">
        <v>79.34</v>
      </c>
      <c r="N49" s="25">
        <v>7.8</v>
      </c>
      <c r="O49" s="47">
        <v>4.5</v>
      </c>
      <c r="P49" s="25">
        <v>0.28</v>
      </c>
      <c r="Q49" s="45">
        <v>770.0</v>
      </c>
      <c r="R49" s="45" t="s">
        <v>50</v>
      </c>
      <c r="S49" s="25">
        <v>0.0</v>
      </c>
      <c r="T49" s="46" t="s">
        <v>51</v>
      </c>
      <c r="U49" s="25">
        <v>11.684334511189638</v>
      </c>
      <c r="V49" s="25">
        <v>34.652532391048304</v>
      </c>
      <c r="W49" s="25">
        <v>46.28975265017669</v>
      </c>
      <c r="X49" s="25">
        <v>7.373380447585396</v>
      </c>
      <c r="Y49" s="31">
        <f t="shared" si="5"/>
        <v>47.79499766</v>
      </c>
      <c r="Z49" s="25">
        <v>1.8472064991438437</v>
      </c>
      <c r="AA49" s="22" t="s">
        <v>51</v>
      </c>
      <c r="AB49" s="22" t="s">
        <v>51</v>
      </c>
      <c r="AC49" s="32">
        <f t="shared" si="6"/>
        <v>8281.337077</v>
      </c>
      <c r="AD49" s="22" t="s">
        <v>51</v>
      </c>
      <c r="AK49" s="33">
        <f t="shared" si="7"/>
        <v>3.759587698</v>
      </c>
      <c r="AL49" s="33">
        <f t="shared" si="8"/>
        <v>4.106481728</v>
      </c>
      <c r="AM49" s="33">
        <f t="shared" si="9"/>
        <v>7.866069427</v>
      </c>
      <c r="AO49" s="34">
        <f t="shared" si="10"/>
        <v>6.099807105</v>
      </c>
      <c r="AP49" s="34">
        <f t="shared" si="11"/>
        <v>18.09035535</v>
      </c>
      <c r="AQ49" s="34">
        <f t="shared" si="12"/>
        <v>24.16556645</v>
      </c>
      <c r="AR49" s="34">
        <f t="shared" si="13"/>
        <v>3.849273435</v>
      </c>
      <c r="AS49" s="34">
        <f t="shared" si="14"/>
        <v>47.79499766</v>
      </c>
      <c r="AT49" s="35">
        <f t="shared" si="15"/>
        <v>100</v>
      </c>
      <c r="AV49" s="32">
        <f t="shared" si="16"/>
        <v>4323.272215</v>
      </c>
    </row>
    <row r="50" ht="14.25" customHeight="1">
      <c r="B50" s="36"/>
      <c r="C50" s="20" t="s">
        <v>46</v>
      </c>
      <c r="D50" s="21"/>
      <c r="E50" s="22" t="s">
        <v>48</v>
      </c>
      <c r="F50" s="50"/>
      <c r="G50" s="47">
        <v>43.52</v>
      </c>
      <c r="H50" s="47">
        <v>5.72</v>
      </c>
      <c r="I50" s="47">
        <v>48.9</v>
      </c>
      <c r="J50" s="22">
        <v>1.2</v>
      </c>
      <c r="K50" s="25">
        <v>0.66</v>
      </c>
      <c r="L50" s="24">
        <v>8.36</v>
      </c>
      <c r="M50" s="25">
        <v>79.34</v>
      </c>
      <c r="N50" s="25">
        <v>7.8</v>
      </c>
      <c r="O50" s="47">
        <v>4.5</v>
      </c>
      <c r="P50" s="25">
        <v>0.32</v>
      </c>
      <c r="Q50" s="45">
        <v>770.0</v>
      </c>
      <c r="R50" s="45" t="s">
        <v>50</v>
      </c>
      <c r="S50" s="25">
        <v>0.0</v>
      </c>
      <c r="T50" s="46" t="s">
        <v>51</v>
      </c>
      <c r="U50" s="25">
        <v>9.74555928948632</v>
      </c>
      <c r="V50" s="25">
        <v>33.10129620739319</v>
      </c>
      <c r="W50" s="25">
        <v>50.45607297167548</v>
      </c>
      <c r="X50" s="25">
        <v>6.697071531445033</v>
      </c>
      <c r="Y50" s="31">
        <f t="shared" si="5"/>
        <v>51.63849828</v>
      </c>
      <c r="Z50" s="25">
        <v>2.0182441379534586</v>
      </c>
      <c r="AA50" s="22" t="s">
        <v>51</v>
      </c>
      <c r="AB50" s="22" t="s">
        <v>51</v>
      </c>
      <c r="AC50" s="32">
        <f t="shared" si="6"/>
        <v>7633.723896</v>
      </c>
      <c r="AD50" s="22" t="s">
        <v>51</v>
      </c>
      <c r="AK50" s="33">
        <f t="shared" si="7"/>
        <v>4.290549206</v>
      </c>
      <c r="AL50" s="33">
        <f t="shared" si="8"/>
        <v>4.018269504</v>
      </c>
      <c r="AM50" s="33">
        <f t="shared" si="9"/>
        <v>8.30881871</v>
      </c>
      <c r="AO50" s="34">
        <f t="shared" si="10"/>
        <v>4.713098824</v>
      </c>
      <c r="AP50" s="34">
        <f t="shared" si="11"/>
        <v>16.00828394</v>
      </c>
      <c r="AQ50" s="34">
        <f t="shared" si="12"/>
        <v>24.4013146</v>
      </c>
      <c r="AR50" s="34">
        <f t="shared" si="13"/>
        <v>3.238804364</v>
      </c>
      <c r="AS50" s="34">
        <f t="shared" si="14"/>
        <v>51.63849828</v>
      </c>
      <c r="AT50" s="35">
        <f t="shared" si="15"/>
        <v>100</v>
      </c>
      <c r="AV50" s="32">
        <f t="shared" si="16"/>
        <v>3691.783513</v>
      </c>
    </row>
    <row r="51" ht="14.25" customHeight="1">
      <c r="B51" s="36"/>
      <c r="C51" s="20" t="s">
        <v>46</v>
      </c>
      <c r="D51" s="21"/>
      <c r="E51" s="22" t="s">
        <v>48</v>
      </c>
      <c r="F51" s="23" t="s">
        <v>57</v>
      </c>
      <c r="G51" s="47">
        <v>44.96</v>
      </c>
      <c r="H51" s="47">
        <v>5.83</v>
      </c>
      <c r="I51" s="47">
        <v>45.5</v>
      </c>
      <c r="J51" s="22">
        <v>3.1</v>
      </c>
      <c r="K51" s="25">
        <v>0.61</v>
      </c>
      <c r="L51" s="24">
        <v>8.9</v>
      </c>
      <c r="M51" s="25">
        <v>76.1</v>
      </c>
      <c r="N51" s="25">
        <v>14.6</v>
      </c>
      <c r="O51" s="47">
        <v>0.4</v>
      </c>
      <c r="P51" s="25">
        <v>0.25</v>
      </c>
      <c r="Q51" s="45">
        <v>650.0</v>
      </c>
      <c r="R51" s="45" t="s">
        <v>50</v>
      </c>
      <c r="S51" s="25">
        <v>0.0</v>
      </c>
      <c r="T51" s="46" t="s">
        <v>51</v>
      </c>
      <c r="U51" s="25">
        <v>15.374841168996188</v>
      </c>
      <c r="V51" s="25">
        <v>38.06861499364676</v>
      </c>
      <c r="W51" s="25">
        <v>38.88182973316391</v>
      </c>
      <c r="X51" s="25">
        <v>7.674714104193138</v>
      </c>
      <c r="Y51" s="31">
        <f t="shared" si="5"/>
        <v>45.30898334</v>
      </c>
      <c r="Z51" s="25">
        <v>1.5411767171765103</v>
      </c>
      <c r="AA51" s="22" t="s">
        <v>51</v>
      </c>
      <c r="AB51" s="22" t="s">
        <v>51</v>
      </c>
      <c r="AC51" s="32">
        <f t="shared" si="6"/>
        <v>9219.304093</v>
      </c>
      <c r="AD51" s="22" t="s">
        <v>51</v>
      </c>
      <c r="AK51" s="33">
        <f t="shared" si="7"/>
        <v>3.667869544</v>
      </c>
      <c r="AL51" s="33">
        <f t="shared" si="8"/>
        <v>4.427367367</v>
      </c>
      <c r="AM51" s="33">
        <f t="shared" si="9"/>
        <v>8.095236911</v>
      </c>
      <c r="AO51" s="34">
        <f t="shared" si="10"/>
        <v>8.408656945</v>
      </c>
      <c r="AP51" s="34">
        <f t="shared" si="11"/>
        <v>20.82011257</v>
      </c>
      <c r="AQ51" s="34">
        <f t="shared" si="12"/>
        <v>21.26486798</v>
      </c>
      <c r="AR51" s="34">
        <f t="shared" si="13"/>
        <v>4.197379169</v>
      </c>
      <c r="AS51" s="34">
        <f t="shared" si="14"/>
        <v>45.30898334</v>
      </c>
      <c r="AT51" s="35">
        <f t="shared" si="15"/>
        <v>100</v>
      </c>
      <c r="AV51" s="32">
        <f t="shared" si="16"/>
        <v>5042.131137</v>
      </c>
    </row>
    <row r="52" ht="14.25" customHeight="1">
      <c r="B52" s="36"/>
      <c r="C52" s="20" t="s">
        <v>46</v>
      </c>
      <c r="D52" s="21"/>
      <c r="E52" s="22" t="s">
        <v>48</v>
      </c>
      <c r="F52" s="42"/>
      <c r="G52" s="47">
        <v>44.96</v>
      </c>
      <c r="H52" s="47">
        <v>5.83</v>
      </c>
      <c r="I52" s="47">
        <v>45.5</v>
      </c>
      <c r="J52" s="22">
        <v>3.1</v>
      </c>
      <c r="K52" s="25">
        <v>0.61</v>
      </c>
      <c r="L52" s="24">
        <v>8.9</v>
      </c>
      <c r="M52" s="25">
        <v>76.1</v>
      </c>
      <c r="N52" s="25">
        <v>14.6</v>
      </c>
      <c r="O52" s="47">
        <v>0.4</v>
      </c>
      <c r="P52" s="25">
        <v>0.25</v>
      </c>
      <c r="Q52" s="45">
        <v>750.0</v>
      </c>
      <c r="R52" s="45" t="s">
        <v>50</v>
      </c>
      <c r="S52" s="25">
        <v>0.0</v>
      </c>
      <c r="T52" s="46" t="s">
        <v>51</v>
      </c>
      <c r="U52" s="25">
        <v>14.489194499017682</v>
      </c>
      <c r="V52" s="25">
        <v>36.345776031434184</v>
      </c>
      <c r="W52" s="25">
        <v>43.344793713163064</v>
      </c>
      <c r="X52" s="25">
        <v>5.820235756385069</v>
      </c>
      <c r="Y52" s="31">
        <f t="shared" si="5"/>
        <v>45.56709453</v>
      </c>
      <c r="Z52" s="25">
        <v>2.0235297355294635</v>
      </c>
      <c r="AA52" s="22" t="s">
        <v>51</v>
      </c>
      <c r="AB52" s="22" t="s">
        <v>51</v>
      </c>
      <c r="AC52" s="32">
        <f t="shared" si="6"/>
        <v>8241.548774</v>
      </c>
      <c r="AD52" s="22" t="s">
        <v>51</v>
      </c>
      <c r="AK52" s="33">
        <f t="shared" si="7"/>
        <v>3.667869544</v>
      </c>
      <c r="AL52" s="33">
        <f t="shared" si="8"/>
        <v>4.381512541</v>
      </c>
      <c r="AM52" s="33">
        <f t="shared" si="9"/>
        <v>8.049382084</v>
      </c>
      <c r="AO52" s="34">
        <f t="shared" si="10"/>
        <v>7.886889545</v>
      </c>
      <c r="AP52" s="34">
        <f t="shared" si="11"/>
        <v>19.78406191</v>
      </c>
      <c r="AQ52" s="34">
        <f t="shared" si="12"/>
        <v>23.59383059</v>
      </c>
      <c r="AR52" s="34">
        <f t="shared" si="13"/>
        <v>3.168123427</v>
      </c>
      <c r="AS52" s="34">
        <f t="shared" si="14"/>
        <v>45.56709453</v>
      </c>
      <c r="AT52" s="35">
        <f t="shared" si="15"/>
        <v>100</v>
      </c>
      <c r="AV52" s="32">
        <f t="shared" si="16"/>
        <v>4486.114453</v>
      </c>
    </row>
    <row r="53" ht="14.25" customHeight="1">
      <c r="B53" s="36"/>
      <c r="C53" s="20" t="s">
        <v>46</v>
      </c>
      <c r="D53" s="21"/>
      <c r="E53" s="22" t="s">
        <v>48</v>
      </c>
      <c r="F53" s="42"/>
      <c r="G53" s="47">
        <v>44.96</v>
      </c>
      <c r="H53" s="47">
        <v>5.83</v>
      </c>
      <c r="I53" s="47">
        <v>45.5</v>
      </c>
      <c r="J53" s="22">
        <v>3.1</v>
      </c>
      <c r="K53" s="25">
        <v>0.61</v>
      </c>
      <c r="L53" s="24">
        <v>8.9</v>
      </c>
      <c r="M53" s="25">
        <v>76.1</v>
      </c>
      <c r="N53" s="25">
        <v>14.6</v>
      </c>
      <c r="O53" s="47">
        <v>0.4</v>
      </c>
      <c r="P53" s="25">
        <v>0.25</v>
      </c>
      <c r="Q53" s="45">
        <v>850.0</v>
      </c>
      <c r="R53" s="45" t="s">
        <v>50</v>
      </c>
      <c r="S53" s="25">
        <v>0.0</v>
      </c>
      <c r="T53" s="46" t="s">
        <v>51</v>
      </c>
      <c r="U53" s="25">
        <v>17.611874169251216</v>
      </c>
      <c r="V53" s="25">
        <v>33.052724856003536</v>
      </c>
      <c r="W53" s="25">
        <v>43.15463003987593</v>
      </c>
      <c r="X53" s="25">
        <v>6.180770934869295</v>
      </c>
      <c r="Y53" s="31">
        <f t="shared" si="5"/>
        <v>44.64599443</v>
      </c>
      <c r="Z53" s="25">
        <v>2.0941179821177007</v>
      </c>
      <c r="AA53" s="22" t="s">
        <v>51</v>
      </c>
      <c r="AB53" s="22" t="s">
        <v>51</v>
      </c>
      <c r="AC53" s="32">
        <f t="shared" si="6"/>
        <v>8291.801301</v>
      </c>
      <c r="AD53" s="22" t="s">
        <v>51</v>
      </c>
      <c r="AK53" s="33">
        <f t="shared" si="7"/>
        <v>3.667869544</v>
      </c>
      <c r="AL53" s="33">
        <f t="shared" si="8"/>
        <v>4.547580891</v>
      </c>
      <c r="AM53" s="33">
        <f t="shared" si="9"/>
        <v>8.215450435</v>
      </c>
      <c r="AO53" s="34">
        <f t="shared" si="10"/>
        <v>9.748877808</v>
      </c>
      <c r="AP53" s="34">
        <f t="shared" si="11"/>
        <v>18.29600716</v>
      </c>
      <c r="AQ53" s="34">
        <f t="shared" si="12"/>
        <v>23.88781631</v>
      </c>
      <c r="AR53" s="34">
        <f t="shared" si="13"/>
        <v>3.421304287</v>
      </c>
      <c r="AS53" s="34">
        <f t="shared" si="14"/>
        <v>44.64599443</v>
      </c>
      <c r="AT53" s="35">
        <f t="shared" si="15"/>
        <v>100</v>
      </c>
      <c r="AV53" s="32">
        <f t="shared" si="16"/>
        <v>4589.844154</v>
      </c>
    </row>
    <row r="54" ht="14.25" customHeight="1">
      <c r="B54" s="36"/>
      <c r="C54" s="20" t="s">
        <v>46</v>
      </c>
      <c r="D54" s="21"/>
      <c r="E54" s="22" t="s">
        <v>48</v>
      </c>
      <c r="F54" s="42"/>
      <c r="G54" s="47">
        <v>44.96</v>
      </c>
      <c r="H54" s="47">
        <v>5.83</v>
      </c>
      <c r="I54" s="47">
        <v>45.5</v>
      </c>
      <c r="J54" s="22">
        <v>3.1</v>
      </c>
      <c r="K54" s="25">
        <v>0.61</v>
      </c>
      <c r="L54" s="24">
        <v>8.9</v>
      </c>
      <c r="M54" s="25">
        <v>76.1</v>
      </c>
      <c r="N54" s="25">
        <v>14.6</v>
      </c>
      <c r="O54" s="47">
        <v>0.4</v>
      </c>
      <c r="P54" s="25">
        <v>0.25</v>
      </c>
      <c r="Q54" s="45">
        <v>950.0</v>
      </c>
      <c r="R54" s="45" t="s">
        <v>50</v>
      </c>
      <c r="S54" s="25">
        <v>0.0</v>
      </c>
      <c r="T54" s="46" t="s">
        <v>51</v>
      </c>
      <c r="U54" s="25">
        <v>29.600798403193615</v>
      </c>
      <c r="V54" s="25">
        <v>31.437125748502996</v>
      </c>
      <c r="W54" s="25">
        <v>33.15369261477046</v>
      </c>
      <c r="X54" s="25">
        <v>5.808383233532934</v>
      </c>
      <c r="Y54" s="31">
        <f t="shared" si="5"/>
        <v>40.79989441</v>
      </c>
      <c r="Z54" s="25">
        <v>2.1529415209412317</v>
      </c>
      <c r="AA54" s="22" t="s">
        <v>51</v>
      </c>
      <c r="AB54" s="22" t="s">
        <v>51</v>
      </c>
      <c r="AC54" s="32">
        <f t="shared" si="6"/>
        <v>9248.525093</v>
      </c>
      <c r="AD54" s="22" t="s">
        <v>51</v>
      </c>
      <c r="AK54" s="33">
        <f t="shared" si="7"/>
        <v>3.667869544</v>
      </c>
      <c r="AL54" s="33">
        <f t="shared" si="8"/>
        <v>5.322030054</v>
      </c>
      <c r="AM54" s="33">
        <f t="shared" si="9"/>
        <v>8.989899598</v>
      </c>
      <c r="AO54" s="34">
        <f t="shared" si="10"/>
        <v>17.52370391</v>
      </c>
      <c r="AP54" s="34">
        <f t="shared" si="11"/>
        <v>18.61081164</v>
      </c>
      <c r="AQ54" s="34">
        <f t="shared" si="12"/>
        <v>19.62702103</v>
      </c>
      <c r="AR54" s="34">
        <f t="shared" si="13"/>
        <v>3.438569007</v>
      </c>
      <c r="AS54" s="34">
        <f t="shared" si="14"/>
        <v>40.79989441</v>
      </c>
      <c r="AT54" s="35">
        <f t="shared" si="15"/>
        <v>100</v>
      </c>
      <c r="AV54" s="32">
        <f t="shared" si="16"/>
        <v>5475.13662</v>
      </c>
    </row>
    <row r="55" ht="14.25" customHeight="1">
      <c r="B55" s="36"/>
      <c r="C55" s="20" t="s">
        <v>46</v>
      </c>
      <c r="D55" s="21"/>
      <c r="E55" s="22" t="s">
        <v>48</v>
      </c>
      <c r="F55" s="43"/>
      <c r="G55" s="47">
        <v>44.96</v>
      </c>
      <c r="H55" s="47">
        <v>5.83</v>
      </c>
      <c r="I55" s="47">
        <v>45.5</v>
      </c>
      <c r="J55" s="22">
        <v>3.1</v>
      </c>
      <c r="K55" s="25">
        <v>0.61</v>
      </c>
      <c r="L55" s="24">
        <v>8.9</v>
      </c>
      <c r="M55" s="25">
        <v>76.1</v>
      </c>
      <c r="N55" s="25">
        <v>14.6</v>
      </c>
      <c r="O55" s="47">
        <v>0.4</v>
      </c>
      <c r="P55" s="25">
        <v>0.25</v>
      </c>
      <c r="Q55" s="45">
        <v>1050.0</v>
      </c>
      <c r="R55" s="45" t="s">
        <v>50</v>
      </c>
      <c r="S55" s="25">
        <v>0.0</v>
      </c>
      <c r="T55" s="46" t="s">
        <v>51</v>
      </c>
      <c r="U55" s="25">
        <v>36.25535082821515</v>
      </c>
      <c r="V55" s="25">
        <v>33.165829145728644</v>
      </c>
      <c r="W55" s="25">
        <v>25.38619021031081</v>
      </c>
      <c r="X55" s="25">
        <v>5.192629815745393</v>
      </c>
      <c r="Y55" s="31">
        <f t="shared" si="5"/>
        <v>38.42516909</v>
      </c>
      <c r="Z55" s="25">
        <v>2.3411768451765305</v>
      </c>
      <c r="AA55" s="22" t="s">
        <v>51</v>
      </c>
      <c r="AB55" s="22" t="s">
        <v>51</v>
      </c>
      <c r="AC55" s="32">
        <f t="shared" si="6"/>
        <v>9964.690682</v>
      </c>
      <c r="AD55" s="22" t="s">
        <v>51</v>
      </c>
      <c r="AK55" s="33">
        <f t="shared" si="7"/>
        <v>3.667869544</v>
      </c>
      <c r="AL55" s="33">
        <f t="shared" si="8"/>
        <v>5.877617518</v>
      </c>
      <c r="AM55" s="33">
        <f t="shared" si="9"/>
        <v>9.545487062</v>
      </c>
      <c r="AO55" s="34">
        <f t="shared" si="10"/>
        <v>22.32417097</v>
      </c>
      <c r="AP55" s="34">
        <f t="shared" si="11"/>
        <v>20.42180322</v>
      </c>
      <c r="AQ55" s="34">
        <f t="shared" si="12"/>
        <v>15.6315037</v>
      </c>
      <c r="AR55" s="34">
        <f t="shared" si="13"/>
        <v>3.197353029</v>
      </c>
      <c r="AS55" s="34">
        <f t="shared" si="14"/>
        <v>38.42516909</v>
      </c>
      <c r="AT55" s="35">
        <f t="shared" si="15"/>
        <v>100</v>
      </c>
      <c r="AV55" s="32">
        <f t="shared" si="16"/>
        <v>6135.741439</v>
      </c>
    </row>
    <row r="56" ht="14.25" customHeight="1">
      <c r="B56" s="36"/>
      <c r="C56" s="20" t="s">
        <v>46</v>
      </c>
      <c r="D56" s="21"/>
      <c r="E56" s="22" t="s">
        <v>48</v>
      </c>
      <c r="F56" s="23" t="s">
        <v>58</v>
      </c>
      <c r="G56" s="27">
        <f t="shared" ref="G56:G62" si="26">50.5*100/(100-O56)</f>
        <v>53.60934183</v>
      </c>
      <c r="H56" s="27">
        <f t="shared" ref="H56:H62" si="27">6.5*100/(100-O56)</f>
        <v>6.900212314</v>
      </c>
      <c r="I56" s="27">
        <f t="shared" ref="I56:I62" si="28">36.3*100/(100-O56)</f>
        <v>38.53503185</v>
      </c>
      <c r="J56" s="27">
        <f t="shared" ref="J56:J62" si="29">0.8*100/(100-O56)</f>
        <v>0.8492569002</v>
      </c>
      <c r="K56" s="27">
        <f t="shared" ref="K56:K62" si="30">0.1*100/(100-O56)</f>
        <v>0.1061571125</v>
      </c>
      <c r="L56" s="39">
        <v>19.7</v>
      </c>
      <c r="M56" s="47">
        <v>66.9</v>
      </c>
      <c r="N56" s="25">
        <v>7.6</v>
      </c>
      <c r="O56" s="47">
        <v>5.8</v>
      </c>
      <c r="P56" s="25">
        <v>0.17</v>
      </c>
      <c r="Q56" s="45">
        <v>700.0</v>
      </c>
      <c r="R56" s="45" t="s">
        <v>59</v>
      </c>
      <c r="S56" s="25">
        <v>0.0</v>
      </c>
      <c r="T56" s="46" t="s">
        <v>51</v>
      </c>
      <c r="U56" s="25">
        <v>24.0</v>
      </c>
      <c r="V56" s="25">
        <v>28.0</v>
      </c>
      <c r="W56" s="25">
        <v>36.0</v>
      </c>
      <c r="X56" s="25">
        <v>12.0</v>
      </c>
      <c r="Y56" s="31">
        <f t="shared" si="5"/>
        <v>35.39476859</v>
      </c>
      <c r="Z56" s="25">
        <v>1.4916221655053796</v>
      </c>
      <c r="AA56" s="22" t="s">
        <v>51</v>
      </c>
      <c r="AB56" s="22" t="s">
        <v>51</v>
      </c>
      <c r="AC56" s="32">
        <f t="shared" si="6"/>
        <v>10428.17857</v>
      </c>
      <c r="AD56" s="22" t="s">
        <v>51</v>
      </c>
      <c r="AK56" s="33">
        <f t="shared" si="7"/>
        <v>3.220453464</v>
      </c>
      <c r="AL56" s="33">
        <f t="shared" si="8"/>
        <v>5.878217305</v>
      </c>
      <c r="AM56" s="33">
        <f t="shared" si="9"/>
        <v>9.098670769</v>
      </c>
      <c r="AO56" s="34">
        <f t="shared" si="10"/>
        <v>15.50525554</v>
      </c>
      <c r="AP56" s="34">
        <f t="shared" si="11"/>
        <v>18.08946479</v>
      </c>
      <c r="AQ56" s="34">
        <f t="shared" si="12"/>
        <v>23.25788331</v>
      </c>
      <c r="AR56" s="34">
        <f t="shared" si="13"/>
        <v>7.752627769</v>
      </c>
      <c r="AS56" s="34">
        <f t="shared" si="14"/>
        <v>35.39476859</v>
      </c>
      <c r="AT56" s="35">
        <f t="shared" si="15"/>
        <v>100</v>
      </c>
      <c r="AV56" s="32">
        <f t="shared" si="16"/>
        <v>6737.148898</v>
      </c>
    </row>
    <row r="57" ht="14.25" customHeight="1">
      <c r="B57" s="36"/>
      <c r="C57" s="20" t="s">
        <v>46</v>
      </c>
      <c r="D57" s="21"/>
      <c r="E57" s="22" t="s">
        <v>48</v>
      </c>
      <c r="F57" s="42"/>
      <c r="G57" s="27">
        <f t="shared" si="26"/>
        <v>53.60934183</v>
      </c>
      <c r="H57" s="27">
        <f t="shared" si="27"/>
        <v>6.900212314</v>
      </c>
      <c r="I57" s="27">
        <f t="shared" si="28"/>
        <v>38.53503185</v>
      </c>
      <c r="J57" s="27">
        <f t="shared" si="29"/>
        <v>0.8492569002</v>
      </c>
      <c r="K57" s="27">
        <f t="shared" si="30"/>
        <v>0.1061571125</v>
      </c>
      <c r="L57" s="39">
        <v>19.7</v>
      </c>
      <c r="M57" s="47">
        <v>66.9</v>
      </c>
      <c r="N57" s="25">
        <v>7.6</v>
      </c>
      <c r="O57" s="47">
        <v>5.8</v>
      </c>
      <c r="P57" s="25">
        <v>0.2</v>
      </c>
      <c r="Q57" s="45">
        <v>740.0</v>
      </c>
      <c r="R57" s="45" t="s">
        <v>59</v>
      </c>
      <c r="S57" s="25">
        <v>0.0</v>
      </c>
      <c r="T57" s="46" t="s">
        <v>51</v>
      </c>
      <c r="U57" s="25">
        <v>23.91304347826087</v>
      </c>
      <c r="V57" s="25">
        <v>26.08695652173913</v>
      </c>
      <c r="W57" s="25">
        <v>36.95652173913044</v>
      </c>
      <c r="X57" s="25">
        <v>13.043478260869565</v>
      </c>
      <c r="Y57" s="31">
        <f t="shared" si="5"/>
        <v>39.18642537</v>
      </c>
      <c r="Z57" s="25">
        <v>1.5742456155120685</v>
      </c>
      <c r="AA57" s="22" t="s">
        <v>51</v>
      </c>
      <c r="AB57" s="22" t="s">
        <v>51</v>
      </c>
      <c r="AC57" s="32">
        <f t="shared" si="6"/>
        <v>10550.98991</v>
      </c>
      <c r="AD57" s="22" t="s">
        <v>51</v>
      </c>
      <c r="AK57" s="33">
        <f t="shared" si="7"/>
        <v>3.783416321</v>
      </c>
      <c r="AL57" s="33">
        <f t="shared" si="8"/>
        <v>5.871499343</v>
      </c>
      <c r="AM57" s="33">
        <f t="shared" si="9"/>
        <v>9.654915664</v>
      </c>
      <c r="AO57" s="34">
        <f t="shared" si="10"/>
        <v>14.54237654</v>
      </c>
      <c r="AP57" s="34">
        <f t="shared" si="11"/>
        <v>15.86441077</v>
      </c>
      <c r="AQ57" s="34">
        <f t="shared" si="12"/>
        <v>22.47458193</v>
      </c>
      <c r="AR57" s="34">
        <f t="shared" si="13"/>
        <v>7.932205387</v>
      </c>
      <c r="AS57" s="34">
        <f t="shared" si="14"/>
        <v>39.18642537</v>
      </c>
      <c r="AT57" s="35">
        <f t="shared" si="15"/>
        <v>100</v>
      </c>
      <c r="AV57" s="32">
        <f t="shared" si="16"/>
        <v>6416.434121</v>
      </c>
    </row>
    <row r="58" ht="14.25" customHeight="1">
      <c r="B58" s="36"/>
      <c r="C58" s="20" t="s">
        <v>46</v>
      </c>
      <c r="D58" s="21"/>
      <c r="E58" s="22" t="s">
        <v>48</v>
      </c>
      <c r="F58" s="42"/>
      <c r="G58" s="27">
        <f t="shared" si="26"/>
        <v>53.60934183</v>
      </c>
      <c r="H58" s="27">
        <f t="shared" si="27"/>
        <v>6.900212314</v>
      </c>
      <c r="I58" s="27">
        <f t="shared" si="28"/>
        <v>38.53503185</v>
      </c>
      <c r="J58" s="27">
        <f t="shared" si="29"/>
        <v>0.8492569002</v>
      </c>
      <c r="K58" s="27">
        <f t="shared" si="30"/>
        <v>0.1061571125</v>
      </c>
      <c r="L58" s="39">
        <v>19.7</v>
      </c>
      <c r="M58" s="47">
        <v>66.9</v>
      </c>
      <c r="N58" s="25">
        <v>7.6</v>
      </c>
      <c r="O58" s="47">
        <v>5.8</v>
      </c>
      <c r="P58" s="25">
        <v>0.22</v>
      </c>
      <c r="Q58" s="45">
        <v>750.0</v>
      </c>
      <c r="R58" s="45" t="s">
        <v>59</v>
      </c>
      <c r="S58" s="25">
        <v>0.0</v>
      </c>
      <c r="T58" s="46" t="s">
        <v>51</v>
      </c>
      <c r="U58" s="25">
        <v>23.529411764705884</v>
      </c>
      <c r="V58" s="25">
        <v>23.529411764705884</v>
      </c>
      <c r="W58" s="25">
        <v>39.21568627450981</v>
      </c>
      <c r="X58" s="25">
        <v>13.72549019607843</v>
      </c>
      <c r="Y58" s="31">
        <f t="shared" si="5"/>
        <v>41.58405297</v>
      </c>
      <c r="Z58" s="25">
        <v>1.6614477660368803</v>
      </c>
      <c r="AA58" s="22" t="s">
        <v>51</v>
      </c>
      <c r="AB58" s="22" t="s">
        <v>51</v>
      </c>
      <c r="AC58" s="32">
        <f t="shared" si="6"/>
        <v>10430.82983</v>
      </c>
      <c r="AD58" s="22" t="s">
        <v>51</v>
      </c>
      <c r="AK58" s="33">
        <f t="shared" si="7"/>
        <v>4.158724893</v>
      </c>
      <c r="AL58" s="33">
        <f t="shared" si="8"/>
        <v>5.842043661</v>
      </c>
      <c r="AM58" s="33">
        <f t="shared" si="9"/>
        <v>10.00076855</v>
      </c>
      <c r="AO58" s="34">
        <f t="shared" si="10"/>
        <v>13.74492871</v>
      </c>
      <c r="AP58" s="34">
        <f t="shared" si="11"/>
        <v>13.74492871</v>
      </c>
      <c r="AQ58" s="34">
        <f t="shared" si="12"/>
        <v>22.90821452</v>
      </c>
      <c r="AR58" s="34">
        <f t="shared" si="13"/>
        <v>8.017875082</v>
      </c>
      <c r="AS58" s="34">
        <f t="shared" si="14"/>
        <v>41.58405297</v>
      </c>
      <c r="AT58" s="35">
        <f t="shared" si="15"/>
        <v>100</v>
      </c>
      <c r="AV58" s="32">
        <f t="shared" si="16"/>
        <v>6093.268029</v>
      </c>
    </row>
    <row r="59" ht="14.25" customHeight="1">
      <c r="B59" s="36"/>
      <c r="C59" s="20" t="s">
        <v>46</v>
      </c>
      <c r="D59" s="21"/>
      <c r="E59" s="22" t="s">
        <v>48</v>
      </c>
      <c r="F59" s="42"/>
      <c r="G59" s="27">
        <f t="shared" si="26"/>
        <v>53.60934183</v>
      </c>
      <c r="H59" s="27">
        <f t="shared" si="27"/>
        <v>6.900212314</v>
      </c>
      <c r="I59" s="27">
        <f t="shared" si="28"/>
        <v>38.53503185</v>
      </c>
      <c r="J59" s="27">
        <f t="shared" si="29"/>
        <v>0.8492569002</v>
      </c>
      <c r="K59" s="27">
        <f t="shared" si="30"/>
        <v>0.1061571125</v>
      </c>
      <c r="L59" s="39">
        <v>19.7</v>
      </c>
      <c r="M59" s="47">
        <v>66.9</v>
      </c>
      <c r="N59" s="25">
        <v>7.6</v>
      </c>
      <c r="O59" s="47">
        <v>5.8</v>
      </c>
      <c r="P59" s="25">
        <v>0.23</v>
      </c>
      <c r="Q59" s="45">
        <v>760.0</v>
      </c>
      <c r="R59" s="45" t="s">
        <v>59</v>
      </c>
      <c r="S59" s="25">
        <v>0.0</v>
      </c>
      <c r="T59" s="46" t="s">
        <v>51</v>
      </c>
      <c r="U59" s="25">
        <v>26.666666666666668</v>
      </c>
      <c r="V59" s="25">
        <v>20.0</v>
      </c>
      <c r="W59" s="25">
        <v>37.77777777777778</v>
      </c>
      <c r="X59" s="25">
        <v>15.555555555555555</v>
      </c>
      <c r="Y59" s="31">
        <f t="shared" si="5"/>
        <v>41.63856591</v>
      </c>
      <c r="Z59" s="25">
        <v>1.59777374291782</v>
      </c>
      <c r="AA59" s="22" t="s">
        <v>51</v>
      </c>
      <c r="AB59" s="22" t="s">
        <v>51</v>
      </c>
      <c r="AC59" s="32">
        <f t="shared" si="6"/>
        <v>10979.34524</v>
      </c>
      <c r="AD59" s="22" t="s">
        <v>51</v>
      </c>
      <c r="AK59" s="33">
        <f t="shared" si="7"/>
        <v>4.346379179</v>
      </c>
      <c r="AL59" s="33">
        <f t="shared" si="8"/>
        <v>6.091970662</v>
      </c>
      <c r="AM59" s="33">
        <f t="shared" si="9"/>
        <v>10.43834984</v>
      </c>
      <c r="AO59" s="34">
        <f t="shared" si="10"/>
        <v>15.56304909</v>
      </c>
      <c r="AP59" s="34">
        <f t="shared" si="11"/>
        <v>11.67228682</v>
      </c>
      <c r="AQ59" s="34">
        <f t="shared" si="12"/>
        <v>22.04765288</v>
      </c>
      <c r="AR59" s="34">
        <f t="shared" si="13"/>
        <v>9.078445302</v>
      </c>
      <c r="AS59" s="34">
        <f t="shared" si="14"/>
        <v>41.63856591</v>
      </c>
      <c r="AT59" s="35">
        <f t="shared" si="15"/>
        <v>100</v>
      </c>
      <c r="AV59" s="32">
        <f t="shared" si="16"/>
        <v>6407.703334</v>
      </c>
    </row>
    <row r="60" ht="14.25" customHeight="1">
      <c r="B60" s="36"/>
      <c r="C60" s="20" t="s">
        <v>46</v>
      </c>
      <c r="D60" s="21"/>
      <c r="E60" s="22" t="s">
        <v>48</v>
      </c>
      <c r="F60" s="42"/>
      <c r="G60" s="27">
        <f t="shared" si="26"/>
        <v>53.60934183</v>
      </c>
      <c r="H60" s="27">
        <f t="shared" si="27"/>
        <v>6.900212314</v>
      </c>
      <c r="I60" s="27">
        <f t="shared" si="28"/>
        <v>38.53503185</v>
      </c>
      <c r="J60" s="27">
        <f t="shared" si="29"/>
        <v>0.8492569002</v>
      </c>
      <c r="K60" s="27">
        <f t="shared" si="30"/>
        <v>0.1061571125</v>
      </c>
      <c r="L60" s="39">
        <v>19.7</v>
      </c>
      <c r="M60" s="47">
        <v>66.9</v>
      </c>
      <c r="N60" s="25">
        <v>7.6</v>
      </c>
      <c r="O60" s="47">
        <v>5.8</v>
      </c>
      <c r="P60" s="25">
        <v>0.4</v>
      </c>
      <c r="Q60" s="45">
        <v>785.0</v>
      </c>
      <c r="R60" s="45" t="s">
        <v>59</v>
      </c>
      <c r="S60" s="25">
        <v>0.0</v>
      </c>
      <c r="T60" s="46" t="s">
        <v>51</v>
      </c>
      <c r="U60" s="25">
        <v>19.047619047619047</v>
      </c>
      <c r="V60" s="25">
        <v>23.80952380952381</v>
      </c>
      <c r="W60" s="25">
        <v>40.476190476190474</v>
      </c>
      <c r="X60" s="25">
        <v>16.666666666666668</v>
      </c>
      <c r="Y60" s="31">
        <f t="shared" si="5"/>
        <v>57.72836539</v>
      </c>
      <c r="Z60" s="25">
        <v>1.8110669124543193</v>
      </c>
      <c r="AA60" s="22" t="s">
        <v>51</v>
      </c>
      <c r="AB60" s="22" t="s">
        <v>51</v>
      </c>
      <c r="AC60" s="32">
        <f t="shared" si="6"/>
        <v>11036.24575</v>
      </c>
      <c r="AD60" s="22" t="s">
        <v>51</v>
      </c>
      <c r="AK60" s="33">
        <f t="shared" si="7"/>
        <v>7.536502039</v>
      </c>
      <c r="AL60" s="33">
        <f t="shared" si="8"/>
        <v>5.518608717</v>
      </c>
      <c r="AM60" s="33">
        <f t="shared" si="9"/>
        <v>13.05511076</v>
      </c>
      <c r="AO60" s="34">
        <f t="shared" si="10"/>
        <v>8.051739927</v>
      </c>
      <c r="AP60" s="34">
        <f t="shared" si="11"/>
        <v>10.06467491</v>
      </c>
      <c r="AQ60" s="34">
        <f t="shared" si="12"/>
        <v>17.10994734</v>
      </c>
      <c r="AR60" s="34">
        <f t="shared" si="13"/>
        <v>7.045272436</v>
      </c>
      <c r="AS60" s="34">
        <f t="shared" si="14"/>
        <v>57.72836539</v>
      </c>
      <c r="AT60" s="35">
        <f t="shared" si="15"/>
        <v>100</v>
      </c>
      <c r="AV60" s="32">
        <f t="shared" si="16"/>
        <v>4665.201478</v>
      </c>
    </row>
    <row r="61" ht="14.25" customHeight="1">
      <c r="B61" s="36"/>
      <c r="C61" s="20" t="s">
        <v>46</v>
      </c>
      <c r="D61" s="21"/>
      <c r="E61" s="22" t="s">
        <v>48</v>
      </c>
      <c r="F61" s="42"/>
      <c r="G61" s="27">
        <f t="shared" si="26"/>
        <v>53.60934183</v>
      </c>
      <c r="H61" s="27">
        <f t="shared" si="27"/>
        <v>6.900212314</v>
      </c>
      <c r="I61" s="27">
        <f t="shared" si="28"/>
        <v>38.53503185</v>
      </c>
      <c r="J61" s="27">
        <f t="shared" si="29"/>
        <v>0.8492569002</v>
      </c>
      <c r="K61" s="27">
        <f t="shared" si="30"/>
        <v>0.1061571125</v>
      </c>
      <c r="L61" s="39">
        <v>19.7</v>
      </c>
      <c r="M61" s="47">
        <v>66.9</v>
      </c>
      <c r="N61" s="25">
        <v>7.6</v>
      </c>
      <c r="O61" s="47">
        <v>5.8</v>
      </c>
      <c r="P61" s="25">
        <v>0.29</v>
      </c>
      <c r="Q61" s="45">
        <v>780.0</v>
      </c>
      <c r="R61" s="45" t="s">
        <v>59</v>
      </c>
      <c r="S61" s="25">
        <v>0.0</v>
      </c>
      <c r="T61" s="46" t="s">
        <v>51</v>
      </c>
      <c r="U61" s="25">
        <v>22.727272727272727</v>
      </c>
      <c r="V61" s="25">
        <v>29.545454545454547</v>
      </c>
      <c r="W61" s="25">
        <v>36.36363636363637</v>
      </c>
      <c r="X61" s="25">
        <v>11.363636363636363</v>
      </c>
      <c r="Y61" s="31">
        <f t="shared" si="5"/>
        <v>48.62669793</v>
      </c>
      <c r="Z61" s="25">
        <v>2.0084465121818376</v>
      </c>
      <c r="AA61" s="22" t="s">
        <v>51</v>
      </c>
      <c r="AB61" s="22" t="s">
        <v>51</v>
      </c>
      <c r="AC61" s="32">
        <f t="shared" si="6"/>
        <v>10258.01542</v>
      </c>
      <c r="AD61" s="22" t="s">
        <v>51</v>
      </c>
      <c r="AK61" s="33">
        <f t="shared" si="7"/>
        <v>5.472304894</v>
      </c>
      <c r="AL61" s="33">
        <f t="shared" si="8"/>
        <v>5.781399609</v>
      </c>
      <c r="AM61" s="33">
        <f t="shared" si="9"/>
        <v>11.2537045</v>
      </c>
      <c r="AO61" s="34">
        <f t="shared" si="10"/>
        <v>11.67575047</v>
      </c>
      <c r="AP61" s="34">
        <f t="shared" si="11"/>
        <v>15.17847561</v>
      </c>
      <c r="AQ61" s="34">
        <f t="shared" si="12"/>
        <v>18.68120075</v>
      </c>
      <c r="AR61" s="34">
        <f t="shared" si="13"/>
        <v>5.837875236</v>
      </c>
      <c r="AS61" s="34">
        <f t="shared" si="14"/>
        <v>48.62669793</v>
      </c>
      <c r="AT61" s="35">
        <f t="shared" si="15"/>
        <v>100</v>
      </c>
      <c r="AV61" s="32">
        <f t="shared" si="16"/>
        <v>5269.881249</v>
      </c>
    </row>
    <row r="62" ht="14.25" customHeight="1">
      <c r="B62" s="36"/>
      <c r="C62" s="20" t="s">
        <v>46</v>
      </c>
      <c r="D62" s="21"/>
      <c r="E62" s="22" t="s">
        <v>48</v>
      </c>
      <c r="F62" s="43"/>
      <c r="G62" s="27">
        <f t="shared" si="26"/>
        <v>53.60934183</v>
      </c>
      <c r="H62" s="27">
        <f t="shared" si="27"/>
        <v>6.900212314</v>
      </c>
      <c r="I62" s="27">
        <f t="shared" si="28"/>
        <v>38.53503185</v>
      </c>
      <c r="J62" s="27">
        <f t="shared" si="29"/>
        <v>0.8492569002</v>
      </c>
      <c r="K62" s="27">
        <f t="shared" si="30"/>
        <v>0.1061571125</v>
      </c>
      <c r="L62" s="39">
        <v>19.7</v>
      </c>
      <c r="M62" s="47">
        <v>66.9</v>
      </c>
      <c r="N62" s="25">
        <v>7.6</v>
      </c>
      <c r="O62" s="47">
        <v>5.8</v>
      </c>
      <c r="P62" s="25">
        <v>0.31</v>
      </c>
      <c r="Q62" s="45">
        <v>820.0</v>
      </c>
      <c r="R62" s="45" t="s">
        <v>59</v>
      </c>
      <c r="S62" s="25">
        <v>0.0</v>
      </c>
      <c r="T62" s="46" t="s">
        <v>51</v>
      </c>
      <c r="U62" s="25">
        <v>20.454545454545453</v>
      </c>
      <c r="V62" s="25">
        <v>31.818181818181817</v>
      </c>
      <c r="W62" s="25">
        <v>36.36363636363637</v>
      </c>
      <c r="X62" s="25">
        <v>11.363636363636363</v>
      </c>
      <c r="Y62" s="31">
        <f t="shared" si="5"/>
        <v>51.0092469</v>
      </c>
      <c r="Z62" s="25">
        <v>1.9571124160238353</v>
      </c>
      <c r="AA62" s="22" t="s">
        <v>51</v>
      </c>
      <c r="AB62" s="22" t="s">
        <v>51</v>
      </c>
      <c r="AC62" s="32">
        <f t="shared" si="6"/>
        <v>10299.79708</v>
      </c>
      <c r="AD62" s="22" t="s">
        <v>51</v>
      </c>
      <c r="AK62" s="33">
        <f t="shared" si="7"/>
        <v>5.847613466</v>
      </c>
      <c r="AL62" s="33">
        <f t="shared" si="8"/>
        <v>5.616216763</v>
      </c>
      <c r="AM62" s="33">
        <f t="shared" si="9"/>
        <v>11.46383023</v>
      </c>
      <c r="AO62" s="34">
        <f t="shared" si="10"/>
        <v>10.02083586</v>
      </c>
      <c r="AP62" s="34">
        <f t="shared" si="11"/>
        <v>15.58796689</v>
      </c>
      <c r="AQ62" s="34">
        <f t="shared" si="12"/>
        <v>17.81481931</v>
      </c>
      <c r="AR62" s="34">
        <f t="shared" si="13"/>
        <v>5.567131034</v>
      </c>
      <c r="AS62" s="34">
        <f t="shared" si="14"/>
        <v>51.0092469</v>
      </c>
      <c r="AT62" s="35">
        <f t="shared" si="15"/>
        <v>100</v>
      </c>
      <c r="AV62" s="32">
        <f t="shared" si="16"/>
        <v>5045.948156</v>
      </c>
    </row>
    <row r="63" ht="14.25" customHeight="1">
      <c r="B63" s="36"/>
      <c r="C63" s="20" t="s">
        <v>46</v>
      </c>
      <c r="D63" s="21"/>
      <c r="E63" s="22" t="s">
        <v>48</v>
      </c>
      <c r="F63" s="23" t="s">
        <v>55</v>
      </c>
      <c r="G63" s="27">
        <f t="shared" ref="G63:G71" si="31">37.6*100/(100-20)</f>
        <v>47</v>
      </c>
      <c r="H63" s="27">
        <f t="shared" ref="H63:H71" si="32">5.42*100/(100-20)</f>
        <v>6.775</v>
      </c>
      <c r="I63" s="27">
        <f t="shared" ref="I63:I71" si="33">36.56*100/(100-20)</f>
        <v>45.7</v>
      </c>
      <c r="J63" s="27">
        <f t="shared" ref="J63:J71" si="34">0.38*100/(100-20)</f>
        <v>0.475</v>
      </c>
      <c r="K63" s="27">
        <f t="shared" ref="K63:K71" si="35">0.04*100/(100-20)</f>
        <v>0.05</v>
      </c>
      <c r="L63" s="27">
        <f t="shared" ref="L63:L71" si="36">13.6*(100-N63)/100</f>
        <v>12.36512</v>
      </c>
      <c r="M63" s="27">
        <f t="shared" ref="M63:M71" si="37">66.4*(100-N63)/100</f>
        <v>60.37088</v>
      </c>
      <c r="N63" s="25">
        <v>9.08</v>
      </c>
      <c r="O63" s="27">
        <f t="shared" ref="O63:O71" si="38">20*(100-N63)/100</f>
        <v>18.184</v>
      </c>
      <c r="P63" s="25">
        <v>0.25</v>
      </c>
      <c r="Q63" s="45">
        <v>665.0</v>
      </c>
      <c r="R63" s="45" t="s">
        <v>60</v>
      </c>
      <c r="S63" s="25">
        <v>0.0</v>
      </c>
      <c r="T63" s="46" t="s">
        <v>51</v>
      </c>
      <c r="U63" s="25">
        <v>9.210223347916187</v>
      </c>
      <c r="V63" s="25">
        <v>45.82086115588302</v>
      </c>
      <c r="W63" s="25">
        <v>33.27193184434723</v>
      </c>
      <c r="X63" s="25">
        <v>6.677411927239236</v>
      </c>
      <c r="Y63" s="31">
        <f t="shared" si="5"/>
        <v>46.38269603</v>
      </c>
      <c r="Z63" s="25">
        <v>2.1537885427639023</v>
      </c>
      <c r="AA63" s="22" t="s">
        <v>51</v>
      </c>
      <c r="AB63" s="22" t="s">
        <v>51</v>
      </c>
      <c r="AC63" s="32">
        <f t="shared" si="6"/>
        <v>9175.867981</v>
      </c>
      <c r="AD63" s="22" t="s">
        <v>51</v>
      </c>
      <c r="AK63" s="33">
        <f t="shared" si="7"/>
        <v>3.95031002</v>
      </c>
      <c r="AL63" s="33">
        <f t="shared" si="8"/>
        <v>4.566465324</v>
      </c>
      <c r="AM63" s="33">
        <f t="shared" si="9"/>
        <v>8.516775344</v>
      </c>
      <c r="AO63" s="34">
        <f t="shared" si="10"/>
        <v>4.938273448</v>
      </c>
      <c r="AP63" s="34">
        <f t="shared" si="11"/>
        <v>24.56791041</v>
      </c>
      <c r="AQ63" s="34">
        <f t="shared" si="12"/>
        <v>17.83951283</v>
      </c>
      <c r="AR63" s="34">
        <f t="shared" si="13"/>
        <v>3.58024825</v>
      </c>
      <c r="AS63" s="34">
        <f t="shared" si="14"/>
        <v>46.38269603</v>
      </c>
      <c r="AT63" s="35">
        <f t="shared" si="15"/>
        <v>97.30864097</v>
      </c>
      <c r="AV63" s="32">
        <f t="shared" si="16"/>
        <v>4919.853027</v>
      </c>
    </row>
    <row r="64" ht="14.25" customHeight="1">
      <c r="B64" s="36"/>
      <c r="C64" s="20" t="s">
        <v>46</v>
      </c>
      <c r="D64" s="21"/>
      <c r="E64" s="22" t="s">
        <v>48</v>
      </c>
      <c r="F64" s="42"/>
      <c r="G64" s="27">
        <f t="shared" si="31"/>
        <v>47</v>
      </c>
      <c r="H64" s="27">
        <f t="shared" si="32"/>
        <v>6.775</v>
      </c>
      <c r="I64" s="27">
        <f t="shared" si="33"/>
        <v>45.7</v>
      </c>
      <c r="J64" s="27">
        <f t="shared" si="34"/>
        <v>0.475</v>
      </c>
      <c r="K64" s="27">
        <f t="shared" si="35"/>
        <v>0.05</v>
      </c>
      <c r="L64" s="27">
        <f t="shared" si="36"/>
        <v>12.36512</v>
      </c>
      <c r="M64" s="27">
        <f t="shared" si="37"/>
        <v>60.37088</v>
      </c>
      <c r="N64" s="25">
        <v>9.08</v>
      </c>
      <c r="O64" s="27">
        <f t="shared" si="38"/>
        <v>18.184</v>
      </c>
      <c r="P64" s="25">
        <v>0.3</v>
      </c>
      <c r="Q64" s="45">
        <v>744.0</v>
      </c>
      <c r="R64" s="45" t="s">
        <v>60</v>
      </c>
      <c r="S64" s="25">
        <v>0.0</v>
      </c>
      <c r="T64" s="46" t="s">
        <v>51</v>
      </c>
      <c r="U64" s="25">
        <v>9.767441860465116</v>
      </c>
      <c r="V64" s="25">
        <v>38.63049095607235</v>
      </c>
      <c r="W64" s="25">
        <v>41.93798449612403</v>
      </c>
      <c r="X64" s="25">
        <v>6.124031007751937</v>
      </c>
      <c r="Y64" s="31">
        <f t="shared" si="5"/>
        <v>51.18367723</v>
      </c>
      <c r="Z64" s="25">
        <v>2.4840361193210336</v>
      </c>
      <c r="AA64" s="22" t="s">
        <v>51</v>
      </c>
      <c r="AB64" s="22" t="s">
        <v>51</v>
      </c>
      <c r="AC64" s="32">
        <f t="shared" si="6"/>
        <v>8129.313169</v>
      </c>
      <c r="AD64" s="22" t="s">
        <v>51</v>
      </c>
      <c r="AK64" s="33">
        <f t="shared" si="7"/>
        <v>4.736979167</v>
      </c>
      <c r="AL64" s="33">
        <f t="shared" si="8"/>
        <v>4.517883756</v>
      </c>
      <c r="AM64" s="33">
        <f t="shared" si="9"/>
        <v>9.254862922</v>
      </c>
      <c r="AO64" s="34">
        <f t="shared" si="10"/>
        <v>4.768105944</v>
      </c>
      <c r="AP64" s="34">
        <f t="shared" si="11"/>
        <v>18.85798515</v>
      </c>
      <c r="AQ64" s="34">
        <f t="shared" si="12"/>
        <v>20.47258187</v>
      </c>
      <c r="AR64" s="34">
        <f t="shared" si="13"/>
        <v>2.989526743</v>
      </c>
      <c r="AS64" s="34">
        <f t="shared" si="14"/>
        <v>51.18367723</v>
      </c>
      <c r="AT64" s="35">
        <f t="shared" si="15"/>
        <v>98.27187695</v>
      </c>
      <c r="AV64" s="32">
        <f t="shared" si="16"/>
        <v>3968.431755</v>
      </c>
    </row>
    <row r="65" ht="14.25" customHeight="1">
      <c r="B65" s="36"/>
      <c r="C65" s="20" t="s">
        <v>46</v>
      </c>
      <c r="D65" s="21"/>
      <c r="E65" s="22" t="s">
        <v>48</v>
      </c>
      <c r="F65" s="42"/>
      <c r="G65" s="27">
        <f t="shared" si="31"/>
        <v>47</v>
      </c>
      <c r="H65" s="27">
        <f t="shared" si="32"/>
        <v>6.775</v>
      </c>
      <c r="I65" s="27">
        <f t="shared" si="33"/>
        <v>45.7</v>
      </c>
      <c r="J65" s="27">
        <f t="shared" si="34"/>
        <v>0.475</v>
      </c>
      <c r="K65" s="27">
        <f t="shared" si="35"/>
        <v>0.05</v>
      </c>
      <c r="L65" s="27">
        <f t="shared" si="36"/>
        <v>12.36512</v>
      </c>
      <c r="M65" s="27">
        <f t="shared" si="37"/>
        <v>60.37088</v>
      </c>
      <c r="N65" s="25">
        <v>9.08</v>
      </c>
      <c r="O65" s="27">
        <f t="shared" si="38"/>
        <v>18.184</v>
      </c>
      <c r="P65" s="25">
        <v>0.35</v>
      </c>
      <c r="Q65" s="45">
        <v>811.0</v>
      </c>
      <c r="R65" s="45" t="s">
        <v>60</v>
      </c>
      <c r="S65" s="25">
        <v>0.0</v>
      </c>
      <c r="T65" s="46" t="s">
        <v>51</v>
      </c>
      <c r="U65" s="25">
        <v>9.310628948091185</v>
      </c>
      <c r="V65" s="25">
        <v>35.017852238396046</v>
      </c>
      <c r="W65" s="25">
        <v>47.07497940126339</v>
      </c>
      <c r="X65" s="25">
        <v>5.4380664652567985</v>
      </c>
      <c r="Y65" s="31">
        <f t="shared" si="5"/>
        <v>55.24610308</v>
      </c>
      <c r="Z65" s="25">
        <v>2.8430008764483508</v>
      </c>
      <c r="AA65" s="22" t="s">
        <v>51</v>
      </c>
      <c r="AB65" s="22" t="s">
        <v>51</v>
      </c>
      <c r="AC65" s="32">
        <f t="shared" si="6"/>
        <v>7377.789903</v>
      </c>
      <c r="AD65" s="22" t="s">
        <v>51</v>
      </c>
      <c r="AK65" s="33">
        <f t="shared" si="7"/>
        <v>5.523648313</v>
      </c>
      <c r="AL65" s="33">
        <f t="shared" si="8"/>
        <v>4.474610396</v>
      </c>
      <c r="AM65" s="33">
        <f t="shared" si="9"/>
        <v>9.99825871</v>
      </c>
      <c r="AO65" s="34">
        <f t="shared" si="10"/>
        <v>4.166869282</v>
      </c>
      <c r="AP65" s="34">
        <f t="shared" si="11"/>
        <v>15.67185349</v>
      </c>
      <c r="AQ65" s="34">
        <f t="shared" si="12"/>
        <v>21.06788775</v>
      </c>
      <c r="AR65" s="34">
        <f t="shared" si="13"/>
        <v>2.43374666</v>
      </c>
      <c r="AS65" s="34">
        <f t="shared" si="14"/>
        <v>55.24610308</v>
      </c>
      <c r="AT65" s="35">
        <f t="shared" si="15"/>
        <v>98.58646027</v>
      </c>
      <c r="AV65" s="32">
        <f t="shared" si="16"/>
        <v>3301.848488</v>
      </c>
    </row>
    <row r="66" ht="14.25" customHeight="1">
      <c r="B66" s="36"/>
      <c r="C66" s="20" t="s">
        <v>46</v>
      </c>
      <c r="D66" s="21"/>
      <c r="E66" s="22" t="s">
        <v>48</v>
      </c>
      <c r="F66" s="42"/>
      <c r="G66" s="27">
        <f t="shared" si="31"/>
        <v>47</v>
      </c>
      <c r="H66" s="27">
        <f t="shared" si="32"/>
        <v>6.775</v>
      </c>
      <c r="I66" s="27">
        <f t="shared" si="33"/>
        <v>45.7</v>
      </c>
      <c r="J66" s="27">
        <f t="shared" si="34"/>
        <v>0.475</v>
      </c>
      <c r="K66" s="27">
        <f t="shared" si="35"/>
        <v>0.05</v>
      </c>
      <c r="L66" s="27">
        <f t="shared" si="36"/>
        <v>12.36512</v>
      </c>
      <c r="M66" s="27">
        <f t="shared" si="37"/>
        <v>60.37088</v>
      </c>
      <c r="N66" s="25">
        <v>9.08</v>
      </c>
      <c r="O66" s="27">
        <f t="shared" si="38"/>
        <v>18.184</v>
      </c>
      <c r="P66" s="25">
        <v>0.35</v>
      </c>
      <c r="Q66" s="45">
        <v>670.0</v>
      </c>
      <c r="R66" s="45" t="s">
        <v>60</v>
      </c>
      <c r="S66" s="25">
        <v>0.0</v>
      </c>
      <c r="T66" s="46" t="s">
        <v>51</v>
      </c>
      <c r="U66" s="25">
        <v>9.29945732609768</v>
      </c>
      <c r="V66" s="25">
        <v>45.11593487913172</v>
      </c>
      <c r="W66" s="25">
        <v>35.76714356191416</v>
      </c>
      <c r="X66" s="25">
        <v>5.821410952146029</v>
      </c>
      <c r="Y66" s="31">
        <f t="shared" si="5"/>
        <v>55.01144409</v>
      </c>
      <c r="Z66" s="25">
        <v>2.1394299524788094</v>
      </c>
      <c r="AA66" s="22" t="s">
        <v>51</v>
      </c>
      <c r="AB66" s="22" t="s">
        <v>51</v>
      </c>
      <c r="AC66" s="32">
        <f t="shared" si="6"/>
        <v>8789.725536</v>
      </c>
      <c r="AD66" s="22" t="s">
        <v>51</v>
      </c>
      <c r="AK66" s="33">
        <f t="shared" si="7"/>
        <v>5.523648313</v>
      </c>
      <c r="AL66" s="33">
        <f t="shared" si="8"/>
        <v>4.517259365</v>
      </c>
      <c r="AM66" s="33">
        <f t="shared" si="9"/>
        <v>10.04090768</v>
      </c>
      <c r="AO66" s="34">
        <f t="shared" si="10"/>
        <v>4.183691558</v>
      </c>
      <c r="AP66" s="34">
        <f t="shared" si="11"/>
        <v>20.29700759</v>
      </c>
      <c r="AQ66" s="34">
        <f t="shared" si="12"/>
        <v>16.09112138</v>
      </c>
      <c r="AR66" s="34">
        <f t="shared" si="13"/>
        <v>2.618968721</v>
      </c>
      <c r="AS66" s="34">
        <f t="shared" si="14"/>
        <v>55.01144409</v>
      </c>
      <c r="AT66" s="35">
        <f t="shared" si="15"/>
        <v>98.20223334</v>
      </c>
      <c r="AV66" s="32">
        <f t="shared" si="16"/>
        <v>3954.370587</v>
      </c>
    </row>
    <row r="67" ht="14.25" customHeight="1">
      <c r="B67" s="36"/>
      <c r="C67" s="20" t="s">
        <v>46</v>
      </c>
      <c r="D67" s="21"/>
      <c r="E67" s="22" t="s">
        <v>48</v>
      </c>
      <c r="F67" s="42"/>
      <c r="G67" s="27">
        <f t="shared" si="31"/>
        <v>47</v>
      </c>
      <c r="H67" s="27">
        <f t="shared" si="32"/>
        <v>6.775</v>
      </c>
      <c r="I67" s="27">
        <f t="shared" si="33"/>
        <v>45.7</v>
      </c>
      <c r="J67" s="27">
        <f t="shared" si="34"/>
        <v>0.475</v>
      </c>
      <c r="K67" s="27">
        <f t="shared" si="35"/>
        <v>0.05</v>
      </c>
      <c r="L67" s="27">
        <f t="shared" si="36"/>
        <v>12.36512</v>
      </c>
      <c r="M67" s="27">
        <f t="shared" si="37"/>
        <v>60.37088</v>
      </c>
      <c r="N67" s="25">
        <v>9.08</v>
      </c>
      <c r="O67" s="27">
        <f t="shared" si="38"/>
        <v>18.184</v>
      </c>
      <c r="P67" s="25">
        <v>0.3</v>
      </c>
      <c r="Q67" s="45">
        <v>750.0</v>
      </c>
      <c r="R67" s="45" t="s">
        <v>60</v>
      </c>
      <c r="S67" s="25">
        <v>0.0</v>
      </c>
      <c r="T67" s="46" t="s">
        <v>51</v>
      </c>
      <c r="U67" s="25">
        <v>9.047365620010645</v>
      </c>
      <c r="V67" s="25">
        <v>38.39808408728047</v>
      </c>
      <c r="W67" s="25">
        <v>43.79989356040447</v>
      </c>
      <c r="X67" s="25">
        <v>5.32197977647685</v>
      </c>
      <c r="Y67" s="31">
        <f t="shared" si="5"/>
        <v>51.42100074</v>
      </c>
      <c r="Z67" s="25">
        <v>2.4553189387508483</v>
      </c>
      <c r="AA67" s="22" t="s">
        <v>51</v>
      </c>
      <c r="AB67" s="22" t="s">
        <v>51</v>
      </c>
      <c r="AC67" s="32">
        <f t="shared" si="6"/>
        <v>7734.829982</v>
      </c>
      <c r="AD67" s="22" t="s">
        <v>51</v>
      </c>
      <c r="AK67" s="33">
        <f t="shared" si="7"/>
        <v>4.736979167</v>
      </c>
      <c r="AL67" s="33">
        <f t="shared" si="8"/>
        <v>4.475169758</v>
      </c>
      <c r="AM67" s="33">
        <f t="shared" si="9"/>
        <v>9.212148924</v>
      </c>
      <c r="AO67" s="34">
        <f t="shared" si="10"/>
        <v>4.395119678</v>
      </c>
      <c r="AP67" s="34">
        <f t="shared" si="11"/>
        <v>18.65340498</v>
      </c>
      <c r="AQ67" s="34">
        <f t="shared" si="12"/>
        <v>21.27754997</v>
      </c>
      <c r="AR67" s="34">
        <f t="shared" si="13"/>
        <v>2.585364516</v>
      </c>
      <c r="AS67" s="34">
        <f t="shared" si="14"/>
        <v>51.42100074</v>
      </c>
      <c r="AT67" s="35">
        <f t="shared" si="15"/>
        <v>98.33243989</v>
      </c>
      <c r="AV67" s="32">
        <f t="shared" si="16"/>
        <v>3757.503</v>
      </c>
    </row>
    <row r="68" ht="14.25" customHeight="1">
      <c r="B68" s="36"/>
      <c r="C68" s="20" t="s">
        <v>46</v>
      </c>
      <c r="D68" s="21"/>
      <c r="E68" s="22" t="s">
        <v>48</v>
      </c>
      <c r="F68" s="42"/>
      <c r="G68" s="27">
        <f t="shared" si="31"/>
        <v>47</v>
      </c>
      <c r="H68" s="27">
        <f t="shared" si="32"/>
        <v>6.775</v>
      </c>
      <c r="I68" s="27">
        <f t="shared" si="33"/>
        <v>45.7</v>
      </c>
      <c r="J68" s="27">
        <f t="shared" si="34"/>
        <v>0.475</v>
      </c>
      <c r="K68" s="27">
        <f t="shared" si="35"/>
        <v>0.05</v>
      </c>
      <c r="L68" s="27">
        <f t="shared" si="36"/>
        <v>12.36512</v>
      </c>
      <c r="M68" s="27">
        <f t="shared" si="37"/>
        <v>60.37088</v>
      </c>
      <c r="N68" s="25">
        <v>9.08</v>
      </c>
      <c r="O68" s="27">
        <f t="shared" si="38"/>
        <v>18.184</v>
      </c>
      <c r="P68" s="25">
        <v>0.35</v>
      </c>
      <c r="Q68" s="45">
        <v>822.0</v>
      </c>
      <c r="R68" s="45" t="s">
        <v>60</v>
      </c>
      <c r="S68" s="25">
        <v>0.0</v>
      </c>
      <c r="T68" s="46" t="s">
        <v>51</v>
      </c>
      <c r="U68" s="25">
        <v>9.08331011423795</v>
      </c>
      <c r="V68" s="25">
        <v>34.82864307606575</v>
      </c>
      <c r="W68" s="25">
        <v>48.007801616049036</v>
      </c>
      <c r="X68" s="25">
        <v>5.154639175257732</v>
      </c>
      <c r="Y68" s="31">
        <f t="shared" si="5"/>
        <v>55.37571494</v>
      </c>
      <c r="Z68" s="25">
        <v>2.8286422861632583</v>
      </c>
      <c r="AA68" s="22" t="s">
        <v>51</v>
      </c>
      <c r="AB68" s="22" t="s">
        <v>51</v>
      </c>
      <c r="AC68" s="32">
        <f t="shared" si="6"/>
        <v>7227.789526</v>
      </c>
      <c r="AD68" s="22" t="s">
        <v>51</v>
      </c>
      <c r="AK68" s="33">
        <f t="shared" si="7"/>
        <v>5.523648313</v>
      </c>
      <c r="AL68" s="33">
        <f t="shared" si="8"/>
        <v>4.451208571</v>
      </c>
      <c r="AM68" s="33">
        <f t="shared" si="9"/>
        <v>9.974856884</v>
      </c>
      <c r="AO68" s="34">
        <f t="shared" si="10"/>
        <v>4.053362199</v>
      </c>
      <c r="AP68" s="34">
        <f t="shared" si="11"/>
        <v>15.54203297</v>
      </c>
      <c r="AQ68" s="34">
        <f t="shared" si="12"/>
        <v>21.42313825</v>
      </c>
      <c r="AR68" s="34">
        <f t="shared" si="13"/>
        <v>2.30022088</v>
      </c>
      <c r="AS68" s="34">
        <f t="shared" si="14"/>
        <v>55.37571494</v>
      </c>
      <c r="AT68" s="35">
        <f t="shared" si="15"/>
        <v>98.69446923</v>
      </c>
      <c r="AV68" s="32">
        <f t="shared" si="16"/>
        <v>3225.349402</v>
      </c>
    </row>
    <row r="69" ht="14.25" customHeight="1">
      <c r="B69" s="36"/>
      <c r="C69" s="20" t="s">
        <v>46</v>
      </c>
      <c r="D69" s="21"/>
      <c r="E69" s="22" t="s">
        <v>48</v>
      </c>
      <c r="F69" s="42"/>
      <c r="G69" s="27">
        <f t="shared" si="31"/>
        <v>47</v>
      </c>
      <c r="H69" s="27">
        <f t="shared" si="32"/>
        <v>6.775</v>
      </c>
      <c r="I69" s="27">
        <f t="shared" si="33"/>
        <v>45.7</v>
      </c>
      <c r="J69" s="27">
        <f t="shared" si="34"/>
        <v>0.475</v>
      </c>
      <c r="K69" s="27">
        <f t="shared" si="35"/>
        <v>0.05</v>
      </c>
      <c r="L69" s="27">
        <f t="shared" si="36"/>
        <v>12.36512</v>
      </c>
      <c r="M69" s="27">
        <f t="shared" si="37"/>
        <v>60.37088</v>
      </c>
      <c r="N69" s="25">
        <v>9.08</v>
      </c>
      <c r="O69" s="27">
        <f t="shared" si="38"/>
        <v>18.184</v>
      </c>
      <c r="P69" s="25">
        <v>0.35</v>
      </c>
      <c r="Q69" s="45">
        <v>700.0</v>
      </c>
      <c r="R69" s="45" t="s">
        <v>60</v>
      </c>
      <c r="S69" s="25">
        <v>0.0</v>
      </c>
      <c r="T69" s="46" t="s">
        <v>51</v>
      </c>
      <c r="U69" s="25">
        <v>9.248711689720642</v>
      </c>
      <c r="V69" s="25">
        <v>41.03607268782208</v>
      </c>
      <c r="W69" s="25">
        <v>40.195280716029295</v>
      </c>
      <c r="X69" s="25">
        <v>5.424464334147004</v>
      </c>
      <c r="Y69" s="31">
        <f t="shared" si="5"/>
        <v>54.997547</v>
      </c>
      <c r="Z69" s="25">
        <v>1.8666167370620486</v>
      </c>
      <c r="AA69" s="22" t="s">
        <v>51</v>
      </c>
      <c r="AB69" s="22" t="s">
        <v>51</v>
      </c>
      <c r="AC69" s="32">
        <f t="shared" si="6"/>
        <v>8126.569462</v>
      </c>
      <c r="AD69" s="22" t="s">
        <v>51</v>
      </c>
      <c r="AK69" s="33">
        <f t="shared" si="7"/>
        <v>5.523648313</v>
      </c>
      <c r="AL69" s="33">
        <f t="shared" si="8"/>
        <v>4.519796557</v>
      </c>
      <c r="AM69" s="33">
        <f t="shared" si="9"/>
        <v>10.04344487</v>
      </c>
      <c r="AO69" s="34">
        <f t="shared" si="10"/>
        <v>4.162147131</v>
      </c>
      <c r="AP69" s="34">
        <f t="shared" si="11"/>
        <v>18.46723932</v>
      </c>
      <c r="AQ69" s="34">
        <f t="shared" si="12"/>
        <v>18.08886231</v>
      </c>
      <c r="AR69" s="34">
        <f t="shared" si="13"/>
        <v>2.441142012</v>
      </c>
      <c r="AS69" s="34">
        <f t="shared" si="14"/>
        <v>54.997547</v>
      </c>
      <c r="AT69" s="35">
        <f t="shared" si="15"/>
        <v>98.15693778</v>
      </c>
      <c r="AV69" s="32">
        <f t="shared" si="16"/>
        <v>3657.155602</v>
      </c>
    </row>
    <row r="70" ht="14.25" customHeight="1">
      <c r="B70" s="36"/>
      <c r="C70" s="20" t="s">
        <v>46</v>
      </c>
      <c r="D70" s="21"/>
      <c r="E70" s="22" t="s">
        <v>48</v>
      </c>
      <c r="F70" s="42"/>
      <c r="G70" s="27">
        <f t="shared" si="31"/>
        <v>47</v>
      </c>
      <c r="H70" s="27">
        <f t="shared" si="32"/>
        <v>6.775</v>
      </c>
      <c r="I70" s="27">
        <f t="shared" si="33"/>
        <v>45.7</v>
      </c>
      <c r="J70" s="27">
        <f t="shared" si="34"/>
        <v>0.475</v>
      </c>
      <c r="K70" s="27">
        <f t="shared" si="35"/>
        <v>0.05</v>
      </c>
      <c r="L70" s="27">
        <f t="shared" si="36"/>
        <v>12.36512</v>
      </c>
      <c r="M70" s="27">
        <f t="shared" si="37"/>
        <v>60.37088</v>
      </c>
      <c r="N70" s="25">
        <v>9.08</v>
      </c>
      <c r="O70" s="27">
        <f t="shared" si="38"/>
        <v>18.184</v>
      </c>
      <c r="P70" s="25">
        <v>0.3</v>
      </c>
      <c r="Q70" s="45">
        <v>766.0</v>
      </c>
      <c r="R70" s="45" t="s">
        <v>60</v>
      </c>
      <c r="S70" s="25">
        <v>0.0</v>
      </c>
      <c r="T70" s="46" t="s">
        <v>51</v>
      </c>
      <c r="U70" s="25">
        <v>9.217101610216545</v>
      </c>
      <c r="V70" s="25">
        <v>36.091060521932256</v>
      </c>
      <c r="W70" s="25">
        <v>46.14103275957801</v>
      </c>
      <c r="X70" s="25">
        <v>5.302609661299278</v>
      </c>
      <c r="Y70" s="31">
        <f t="shared" si="5"/>
        <v>51.42520902</v>
      </c>
      <c r="Z70" s="25">
        <v>2.1537885427639023</v>
      </c>
      <c r="AA70" s="22" t="s">
        <v>51</v>
      </c>
      <c r="AB70" s="22" t="s">
        <v>51</v>
      </c>
      <c r="AC70" s="32">
        <f t="shared" si="6"/>
        <v>7454.745627</v>
      </c>
      <c r="AD70" s="22" t="s">
        <v>51</v>
      </c>
      <c r="AK70" s="33">
        <f t="shared" si="7"/>
        <v>4.736979167</v>
      </c>
      <c r="AL70" s="33">
        <f t="shared" si="8"/>
        <v>4.4744159</v>
      </c>
      <c r="AM70" s="33">
        <f t="shared" si="9"/>
        <v>9.211395067</v>
      </c>
      <c r="AO70" s="34">
        <f t="shared" si="10"/>
        <v>4.477187842</v>
      </c>
      <c r="AP70" s="34">
        <f t="shared" si="11"/>
        <v>17.53115721</v>
      </c>
      <c r="AQ70" s="34">
        <f t="shared" si="12"/>
        <v>22.41291022</v>
      </c>
      <c r="AR70" s="34">
        <f t="shared" si="13"/>
        <v>2.57573156</v>
      </c>
      <c r="AS70" s="34">
        <f t="shared" si="14"/>
        <v>51.42520902</v>
      </c>
      <c r="AT70" s="35">
        <f t="shared" si="15"/>
        <v>98.42219585</v>
      </c>
      <c r="AV70" s="32">
        <f t="shared" si="16"/>
        <v>3621.127107</v>
      </c>
    </row>
    <row r="71" ht="14.25" customHeight="1">
      <c r="B71" s="36"/>
      <c r="C71" s="20" t="s">
        <v>46</v>
      </c>
      <c r="D71" s="21"/>
      <c r="E71" s="22" t="s">
        <v>48</v>
      </c>
      <c r="F71" s="43"/>
      <c r="G71" s="27">
        <f t="shared" si="31"/>
        <v>47</v>
      </c>
      <c r="H71" s="27">
        <f t="shared" si="32"/>
        <v>6.775</v>
      </c>
      <c r="I71" s="27">
        <f t="shared" si="33"/>
        <v>45.7</v>
      </c>
      <c r="J71" s="27">
        <f t="shared" si="34"/>
        <v>0.475</v>
      </c>
      <c r="K71" s="27">
        <f t="shared" si="35"/>
        <v>0.05</v>
      </c>
      <c r="L71" s="27">
        <f t="shared" si="36"/>
        <v>12.36512</v>
      </c>
      <c r="M71" s="27">
        <f t="shared" si="37"/>
        <v>60.37088</v>
      </c>
      <c r="N71" s="25">
        <v>9.08</v>
      </c>
      <c r="O71" s="27">
        <f t="shared" si="38"/>
        <v>18.184</v>
      </c>
      <c r="P71" s="25">
        <v>0.35</v>
      </c>
      <c r="Q71" s="45">
        <v>828.0</v>
      </c>
      <c r="R71" s="45" t="s">
        <v>60</v>
      </c>
      <c r="S71" s="25">
        <v>0.0</v>
      </c>
      <c r="T71" s="46" t="s">
        <v>51</v>
      </c>
      <c r="U71" s="25">
        <v>9.080748812517461</v>
      </c>
      <c r="V71" s="25">
        <v>34.33920089410449</v>
      </c>
      <c r="W71" s="25">
        <v>48.6728136350936</v>
      </c>
      <c r="X71" s="25">
        <v>5.141100866163732</v>
      </c>
      <c r="Y71" s="31">
        <f t="shared" si="5"/>
        <v>55.42117278</v>
      </c>
      <c r="Z71" s="25">
        <v>2.440960348465756</v>
      </c>
      <c r="AA71" s="22" t="s">
        <v>51</v>
      </c>
      <c r="AB71" s="22" t="s">
        <v>51</v>
      </c>
      <c r="AC71" s="32">
        <f t="shared" si="6"/>
        <v>7160.826298</v>
      </c>
      <c r="AD71" s="22" t="s">
        <v>51</v>
      </c>
      <c r="AK71" s="33">
        <f t="shared" si="7"/>
        <v>5.523648313</v>
      </c>
      <c r="AL71" s="33">
        <f t="shared" si="8"/>
        <v>4.443026941</v>
      </c>
      <c r="AM71" s="33">
        <f t="shared" si="9"/>
        <v>9.966675255</v>
      </c>
      <c r="AO71" s="34">
        <f t="shared" si="10"/>
        <v>4.048091323</v>
      </c>
      <c r="AP71" s="34">
        <f t="shared" si="11"/>
        <v>15.30801304</v>
      </c>
      <c r="AQ71" s="34">
        <f t="shared" si="12"/>
        <v>21.69776949</v>
      </c>
      <c r="AR71" s="34">
        <f t="shared" si="13"/>
        <v>2.291842472</v>
      </c>
      <c r="AS71" s="34">
        <f t="shared" si="14"/>
        <v>55.42117278</v>
      </c>
      <c r="AT71" s="35">
        <f t="shared" si="15"/>
        <v>98.7668891</v>
      </c>
      <c r="AV71" s="32">
        <f t="shared" si="16"/>
        <v>3192.212383</v>
      </c>
    </row>
    <row r="72" ht="14.25" customHeight="1">
      <c r="B72" s="36"/>
      <c r="C72" s="44" t="s">
        <v>46</v>
      </c>
      <c r="D72" s="21"/>
      <c r="E72" s="22" t="s">
        <v>48</v>
      </c>
      <c r="F72" s="48" t="s">
        <v>61</v>
      </c>
      <c r="G72" s="27">
        <f t="shared" ref="G72:G73" si="39">48.11*100/(100-O72)</f>
        <v>51.00180218</v>
      </c>
      <c r="H72" s="27">
        <f t="shared" ref="H72:H73" si="40">5.58*100/(100-O72)</f>
        <v>5.915403371</v>
      </c>
      <c r="I72" s="27">
        <f t="shared" ref="I72:I73" si="41">39.84*100/(100-O72)</f>
        <v>42.23470794</v>
      </c>
      <c r="J72" s="27">
        <f t="shared" ref="J72:J73" si="42">0.8*100/(100-O72)</f>
        <v>0.8480865048</v>
      </c>
      <c r="K72" s="27">
        <v>0.0</v>
      </c>
      <c r="L72" s="24">
        <v>15.01</v>
      </c>
      <c r="M72" s="25">
        <v>72.29</v>
      </c>
      <c r="N72" s="25">
        <v>7.03</v>
      </c>
      <c r="O72" s="47">
        <v>5.67</v>
      </c>
      <c r="P72" s="25">
        <v>0.3</v>
      </c>
      <c r="Q72" s="45">
        <v>826.0</v>
      </c>
      <c r="R72" s="45" t="s">
        <v>50</v>
      </c>
      <c r="S72" s="25">
        <v>0.0</v>
      </c>
      <c r="T72" s="46" t="s">
        <v>51</v>
      </c>
      <c r="U72" s="25">
        <v>19.547511312217193</v>
      </c>
      <c r="V72" s="25">
        <v>42.782805429864254</v>
      </c>
      <c r="W72" s="25">
        <v>28.30316742081448</v>
      </c>
      <c r="X72" s="25">
        <v>6.606334841628959</v>
      </c>
      <c r="Y72" s="31">
        <f t="shared" si="5"/>
        <v>47.78491235</v>
      </c>
      <c r="Z72" s="25">
        <v>2.17</v>
      </c>
      <c r="AA72" s="22" t="s">
        <v>51</v>
      </c>
      <c r="AB72" s="22" t="s">
        <v>51</v>
      </c>
      <c r="AC72" s="32">
        <f t="shared" si="6"/>
        <v>9882.539997</v>
      </c>
      <c r="AD72" s="22" t="s">
        <v>51</v>
      </c>
      <c r="AK72" s="33">
        <f t="shared" si="7"/>
        <v>5.006348028</v>
      </c>
      <c r="AL72" s="33">
        <f t="shared" si="8"/>
        <v>5.470490333</v>
      </c>
      <c r="AM72" s="33">
        <f t="shared" si="9"/>
        <v>10.47683836</v>
      </c>
      <c r="AO72" s="34">
        <f t="shared" si="10"/>
        <v>10.20675016</v>
      </c>
      <c r="AP72" s="34">
        <f t="shared" si="11"/>
        <v>22.33907935</v>
      </c>
      <c r="AQ72" s="34">
        <f t="shared" si="12"/>
        <v>14.77852368</v>
      </c>
      <c r="AR72" s="34">
        <f t="shared" si="13"/>
        <v>3.449503528</v>
      </c>
      <c r="AS72" s="34">
        <f t="shared" si="14"/>
        <v>47.78491235</v>
      </c>
      <c r="AT72" s="35">
        <f t="shared" si="15"/>
        <v>98.55876907</v>
      </c>
      <c r="AV72" s="32">
        <f t="shared" si="16"/>
        <v>5160.176921</v>
      </c>
    </row>
    <row r="73" ht="14.25" customHeight="1">
      <c r="B73" s="36"/>
      <c r="C73" s="44" t="s">
        <v>46</v>
      </c>
      <c r="D73" s="21"/>
      <c r="E73" s="22" t="s">
        <v>48</v>
      </c>
      <c r="F73" s="49"/>
      <c r="G73" s="27">
        <f t="shared" si="39"/>
        <v>51.00180218</v>
      </c>
      <c r="H73" s="27">
        <f t="shared" si="40"/>
        <v>5.915403371</v>
      </c>
      <c r="I73" s="27">
        <f t="shared" si="41"/>
        <v>42.23470794</v>
      </c>
      <c r="J73" s="27">
        <f t="shared" si="42"/>
        <v>0.8480865048</v>
      </c>
      <c r="K73" s="27">
        <v>0.0</v>
      </c>
      <c r="L73" s="24">
        <v>15.01</v>
      </c>
      <c r="M73" s="25">
        <v>72.29</v>
      </c>
      <c r="N73" s="25">
        <v>7.03</v>
      </c>
      <c r="O73" s="47">
        <v>5.67</v>
      </c>
      <c r="P73" s="25">
        <v>0.29</v>
      </c>
      <c r="Q73" s="45">
        <v>874.0</v>
      </c>
      <c r="R73" s="45" t="s">
        <v>50</v>
      </c>
      <c r="S73" s="25">
        <v>0.0</v>
      </c>
      <c r="T73" s="46" t="s">
        <v>51</v>
      </c>
      <c r="U73" s="25">
        <v>23.47528354376204</v>
      </c>
      <c r="V73" s="25">
        <v>41.34389043441045</v>
      </c>
      <c r="W73" s="25">
        <v>26.621014337684574</v>
      </c>
      <c r="X73" s="25">
        <v>6.141664883372566</v>
      </c>
      <c r="Y73" s="31">
        <f t="shared" si="5"/>
        <v>45.76997149</v>
      </c>
      <c r="Z73" s="25">
        <v>2.17</v>
      </c>
      <c r="AA73" s="22" t="s">
        <v>51</v>
      </c>
      <c r="AB73" s="22" t="s">
        <v>51</v>
      </c>
      <c r="AC73" s="32">
        <f t="shared" si="6"/>
        <v>9958.275504</v>
      </c>
      <c r="AD73" s="22" t="s">
        <v>51</v>
      </c>
      <c r="AK73" s="33">
        <f t="shared" si="7"/>
        <v>4.840479388</v>
      </c>
      <c r="AL73" s="33">
        <f t="shared" si="8"/>
        <v>5.735186775</v>
      </c>
      <c r="AM73" s="33">
        <f t="shared" si="9"/>
        <v>10.57566616</v>
      </c>
      <c r="AO73" s="34">
        <f t="shared" si="10"/>
        <v>12.73065296</v>
      </c>
      <c r="AP73" s="34">
        <f t="shared" si="11"/>
        <v>22.42080357</v>
      </c>
      <c r="AQ73" s="34">
        <f t="shared" si="12"/>
        <v>14.43658366</v>
      </c>
      <c r="AR73" s="34">
        <f t="shared" si="13"/>
        <v>3.330626617</v>
      </c>
      <c r="AS73" s="34">
        <f t="shared" si="14"/>
        <v>45.76997149</v>
      </c>
      <c r="AT73" s="35">
        <f t="shared" si="15"/>
        <v>98.6886383</v>
      </c>
      <c r="AV73" s="32">
        <f t="shared" si="16"/>
        <v>5400.375644</v>
      </c>
    </row>
    <row r="74" ht="14.25" customHeight="1">
      <c r="B74" s="36"/>
      <c r="C74" s="44" t="s">
        <v>46</v>
      </c>
      <c r="D74" s="21"/>
      <c r="E74" s="22" t="s">
        <v>48</v>
      </c>
      <c r="F74" s="49"/>
      <c r="G74" s="27">
        <f t="shared" ref="G74:G76" si="43">48.9*100/(100-O74)</f>
        <v>54.4968238</v>
      </c>
      <c r="H74" s="27">
        <f t="shared" ref="H74:H76" si="44">5.9*100/(100-O74)</f>
        <v>6.5752814</v>
      </c>
      <c r="I74" s="27">
        <f t="shared" ref="I74:I76" si="45">34.31*100/(100-O74)</f>
        <v>38.23693302</v>
      </c>
      <c r="J74" s="27">
        <f t="shared" ref="J74:J76" si="46">0.57*100/(100-O74)</f>
        <v>0.6352390505</v>
      </c>
      <c r="K74" s="27">
        <f t="shared" ref="K74:K76" si="47">0.05*100/(100-O74)</f>
        <v>0.05572272373</v>
      </c>
      <c r="L74" s="24">
        <v>10.21</v>
      </c>
      <c r="M74" s="25">
        <v>69.83</v>
      </c>
      <c r="N74" s="25">
        <v>9.69</v>
      </c>
      <c r="O74" s="47">
        <v>10.27</v>
      </c>
      <c r="P74" s="25">
        <v>0.2</v>
      </c>
      <c r="Q74" s="45">
        <v>700.0</v>
      </c>
      <c r="R74" s="45" t="s">
        <v>62</v>
      </c>
      <c r="S74" s="25">
        <v>0.0</v>
      </c>
      <c r="T74" s="46" t="s">
        <v>51</v>
      </c>
      <c r="U74" s="25">
        <v>26.574015582227837</v>
      </c>
      <c r="V74" s="25">
        <v>22.488945041061275</v>
      </c>
      <c r="W74" s="25">
        <v>35.75489576753</v>
      </c>
      <c r="X74" s="25">
        <v>10.275847546851969</v>
      </c>
      <c r="Y74" s="31">
        <f t="shared" si="5"/>
        <v>36.30216043</v>
      </c>
      <c r="Z74" s="25">
        <v>1.82</v>
      </c>
      <c r="AA74" s="22" t="s">
        <v>51</v>
      </c>
      <c r="AB74" s="22" t="s">
        <v>51</v>
      </c>
      <c r="AC74" s="32">
        <f t="shared" si="6"/>
        <v>9392.00922</v>
      </c>
      <c r="AD74" s="22" t="s">
        <v>51</v>
      </c>
      <c r="AK74" s="33">
        <f t="shared" si="7"/>
        <v>3.777307451</v>
      </c>
      <c r="AL74" s="33">
        <f t="shared" si="8"/>
        <v>6.627878925</v>
      </c>
      <c r="AM74" s="33">
        <f t="shared" si="9"/>
        <v>10.40518638</v>
      </c>
      <c r="AO74" s="34">
        <f t="shared" si="10"/>
        <v>16.92707381</v>
      </c>
      <c r="AP74" s="34">
        <f t="shared" si="11"/>
        <v>14.32497213</v>
      </c>
      <c r="AQ74" s="34">
        <f t="shared" si="12"/>
        <v>22.77509614</v>
      </c>
      <c r="AR74" s="34">
        <f t="shared" si="13"/>
        <v>6.545492885</v>
      </c>
      <c r="AS74" s="34">
        <f t="shared" si="14"/>
        <v>36.30216043</v>
      </c>
      <c r="AT74" s="35">
        <f t="shared" si="15"/>
        <v>96.87479541</v>
      </c>
      <c r="AV74" s="32">
        <f t="shared" si="16"/>
        <v>5982.506965</v>
      </c>
    </row>
    <row r="75" ht="14.25" customHeight="1">
      <c r="B75" s="36"/>
      <c r="C75" s="44" t="s">
        <v>46</v>
      </c>
      <c r="D75" s="21"/>
      <c r="E75" s="22" t="s">
        <v>48</v>
      </c>
      <c r="F75" s="49"/>
      <c r="G75" s="27">
        <f t="shared" si="43"/>
        <v>54.4968238</v>
      </c>
      <c r="H75" s="27">
        <f t="shared" si="44"/>
        <v>6.5752814</v>
      </c>
      <c r="I75" s="27">
        <f t="shared" si="45"/>
        <v>38.23693302</v>
      </c>
      <c r="J75" s="27">
        <f t="shared" si="46"/>
        <v>0.6352390505</v>
      </c>
      <c r="K75" s="27">
        <f t="shared" si="47"/>
        <v>0.05572272373</v>
      </c>
      <c r="L75" s="24">
        <v>10.21</v>
      </c>
      <c r="M75" s="25">
        <v>69.83</v>
      </c>
      <c r="N75" s="25">
        <v>9.69</v>
      </c>
      <c r="O75" s="47">
        <v>10.27</v>
      </c>
      <c r="P75" s="25">
        <v>0.2</v>
      </c>
      <c r="Q75" s="45">
        <v>760.0</v>
      </c>
      <c r="R75" s="45" t="s">
        <v>62</v>
      </c>
      <c r="S75" s="25">
        <v>0.0</v>
      </c>
      <c r="T75" s="46" t="s">
        <v>51</v>
      </c>
      <c r="U75" s="25">
        <v>26.311728395061728</v>
      </c>
      <c r="V75" s="25">
        <v>26.79398148148148</v>
      </c>
      <c r="W75" s="25">
        <v>32.46527777777777</v>
      </c>
      <c r="X75" s="25">
        <v>10.204475308641975</v>
      </c>
      <c r="Y75" s="31">
        <f t="shared" si="5"/>
        <v>36.61916702</v>
      </c>
      <c r="Z75" s="25">
        <v>1.9</v>
      </c>
      <c r="AA75" s="22" t="s">
        <v>51</v>
      </c>
      <c r="AB75" s="22" t="s">
        <v>51</v>
      </c>
      <c r="AC75" s="32">
        <f t="shared" si="6"/>
        <v>9882.015577</v>
      </c>
      <c r="AD75" s="22" t="s">
        <v>51</v>
      </c>
      <c r="AK75" s="33">
        <f t="shared" si="7"/>
        <v>3.777307451</v>
      </c>
      <c r="AL75" s="33">
        <f t="shared" si="8"/>
        <v>6.5378028</v>
      </c>
      <c r="AM75" s="33">
        <f t="shared" si="9"/>
        <v>10.31511025</v>
      </c>
      <c r="AO75" s="34">
        <f t="shared" si="10"/>
        <v>16.67659263</v>
      </c>
      <c r="AP75" s="34">
        <f t="shared" si="11"/>
        <v>16.98224865</v>
      </c>
      <c r="AQ75" s="34">
        <f t="shared" si="12"/>
        <v>20.57676348</v>
      </c>
      <c r="AR75" s="34">
        <f t="shared" si="13"/>
        <v>6.467681452</v>
      </c>
      <c r="AS75" s="34">
        <f t="shared" si="14"/>
        <v>36.61916702</v>
      </c>
      <c r="AT75" s="35">
        <f t="shared" si="15"/>
        <v>97.32245324</v>
      </c>
      <c r="AV75" s="32">
        <f t="shared" si="16"/>
        <v>6263.303788</v>
      </c>
    </row>
    <row r="76" ht="14.25" customHeight="1">
      <c r="B76" s="36"/>
      <c r="C76" s="44" t="s">
        <v>46</v>
      </c>
      <c r="D76" s="21"/>
      <c r="E76" s="22" t="s">
        <v>48</v>
      </c>
      <c r="F76" s="50"/>
      <c r="G76" s="27">
        <f t="shared" si="43"/>
        <v>54.4968238</v>
      </c>
      <c r="H76" s="27">
        <f t="shared" si="44"/>
        <v>6.5752814</v>
      </c>
      <c r="I76" s="27">
        <f t="shared" si="45"/>
        <v>38.23693302</v>
      </c>
      <c r="J76" s="27">
        <f t="shared" si="46"/>
        <v>0.6352390505</v>
      </c>
      <c r="K76" s="27">
        <f t="shared" si="47"/>
        <v>0.05572272373</v>
      </c>
      <c r="L76" s="24">
        <v>10.21</v>
      </c>
      <c r="M76" s="25">
        <v>69.83</v>
      </c>
      <c r="N76" s="25">
        <v>9.69</v>
      </c>
      <c r="O76" s="47">
        <v>10.27</v>
      </c>
      <c r="P76" s="25">
        <v>0.2</v>
      </c>
      <c r="Q76" s="45">
        <v>800.0</v>
      </c>
      <c r="R76" s="45" t="s">
        <v>62</v>
      </c>
      <c r="S76" s="25">
        <v>0.0</v>
      </c>
      <c r="T76" s="46" t="s">
        <v>51</v>
      </c>
      <c r="U76" s="25">
        <v>28.707627118644073</v>
      </c>
      <c r="V76" s="25">
        <v>29.502118644067796</v>
      </c>
      <c r="W76" s="25">
        <v>29.237288135593214</v>
      </c>
      <c r="X76" s="25">
        <v>8.59816384180791</v>
      </c>
      <c r="Y76" s="31">
        <f t="shared" si="5"/>
        <v>35.90071082</v>
      </c>
      <c r="Z76" s="25">
        <v>2.04</v>
      </c>
      <c r="AA76" s="22" t="s">
        <v>51</v>
      </c>
      <c r="AB76" s="22" t="s">
        <v>51</v>
      </c>
      <c r="AC76" s="32">
        <f t="shared" si="6"/>
        <v>9907.248316</v>
      </c>
      <c r="AD76" s="22" t="s">
        <v>51</v>
      </c>
      <c r="AK76" s="33">
        <f t="shared" si="7"/>
        <v>3.777307451</v>
      </c>
      <c r="AL76" s="33">
        <f t="shared" si="8"/>
        <v>6.744231997</v>
      </c>
      <c r="AM76" s="33">
        <f t="shared" si="9"/>
        <v>10.52153945</v>
      </c>
      <c r="AO76" s="34">
        <f t="shared" si="10"/>
        <v>18.40138492</v>
      </c>
      <c r="AP76" s="34">
        <f t="shared" si="11"/>
        <v>18.91064834</v>
      </c>
      <c r="AQ76" s="34">
        <f t="shared" si="12"/>
        <v>18.74089387</v>
      </c>
      <c r="AR76" s="34">
        <f t="shared" si="13"/>
        <v>5.511361905</v>
      </c>
      <c r="AS76" s="34">
        <f t="shared" si="14"/>
        <v>35.90071082</v>
      </c>
      <c r="AT76" s="35">
        <f t="shared" si="15"/>
        <v>97.46499986</v>
      </c>
      <c r="AV76" s="32">
        <f t="shared" si="16"/>
        <v>6350.475748</v>
      </c>
    </row>
    <row r="77" ht="14.25" customHeight="1">
      <c r="B77" s="36"/>
      <c r="C77" s="20" t="s">
        <v>46</v>
      </c>
      <c r="D77" s="21"/>
      <c r="E77" s="22" t="s">
        <v>48</v>
      </c>
      <c r="F77" s="48" t="s">
        <v>63</v>
      </c>
      <c r="G77" s="47">
        <v>46.4</v>
      </c>
      <c r="H77" s="47">
        <v>5.7</v>
      </c>
      <c r="I77" s="47">
        <v>47.7</v>
      </c>
      <c r="J77" s="40">
        <v>0.2</v>
      </c>
      <c r="K77" s="25">
        <v>0.0</v>
      </c>
      <c r="L77" s="26">
        <f t="shared" ref="L77:L92" si="48">10*(100-N77)/100</f>
        <v>9.15</v>
      </c>
      <c r="M77" s="27">
        <f t="shared" ref="M77:M92" si="49">88.9*(100-N77)/100</f>
        <v>81.3435</v>
      </c>
      <c r="N77" s="47">
        <v>8.5</v>
      </c>
      <c r="O77" s="27">
        <f t="shared" ref="O77:O92" si="50">1.1*(100-N77)/100</f>
        <v>1.0065</v>
      </c>
      <c r="P77" s="25">
        <v>0.38</v>
      </c>
      <c r="Q77" s="45">
        <v>761.0</v>
      </c>
      <c r="R77" s="45" t="s">
        <v>50</v>
      </c>
      <c r="S77" s="25">
        <v>0.0</v>
      </c>
      <c r="T77" s="46" t="s">
        <v>51</v>
      </c>
      <c r="U77" s="25">
        <v>15.5</v>
      </c>
      <c r="V77" s="25">
        <v>31.6</v>
      </c>
      <c r="W77" s="25">
        <v>38.1</v>
      </c>
      <c r="X77" s="25">
        <v>8.4</v>
      </c>
      <c r="Y77" s="31">
        <f t="shared" si="5"/>
        <v>52.35718364</v>
      </c>
      <c r="Z77" s="25">
        <v>2.0985507246376813</v>
      </c>
      <c r="AA77" s="22" t="s">
        <v>51</v>
      </c>
      <c r="AB77" s="22" t="s">
        <v>51</v>
      </c>
      <c r="AC77" s="32">
        <f t="shared" si="6"/>
        <v>8675.454464</v>
      </c>
      <c r="AD77" s="22" t="s">
        <v>51</v>
      </c>
      <c r="AK77" s="33">
        <f t="shared" si="7"/>
        <v>5.440822421</v>
      </c>
      <c r="AL77" s="33">
        <f t="shared" si="8"/>
        <v>4.950917627</v>
      </c>
      <c r="AM77" s="33">
        <f t="shared" si="9"/>
        <v>10.39174005</v>
      </c>
      <c r="AO77" s="34">
        <f t="shared" si="10"/>
        <v>7.384636535</v>
      </c>
      <c r="AP77" s="34">
        <f t="shared" si="11"/>
        <v>15.05512997</v>
      </c>
      <c r="AQ77" s="34">
        <f t="shared" si="12"/>
        <v>18.15191303</v>
      </c>
      <c r="AR77" s="34">
        <f t="shared" si="13"/>
        <v>4.001996574</v>
      </c>
      <c r="AS77" s="34">
        <f t="shared" si="14"/>
        <v>52.35718364</v>
      </c>
      <c r="AT77" s="35">
        <f t="shared" si="15"/>
        <v>96.95085975</v>
      </c>
      <c r="AV77" s="32">
        <f t="shared" si="16"/>
        <v>4133.230838</v>
      </c>
    </row>
    <row r="78" ht="14.25" customHeight="1">
      <c r="B78" s="36"/>
      <c r="C78" s="20" t="s">
        <v>46</v>
      </c>
      <c r="D78" s="21"/>
      <c r="E78" s="22" t="s">
        <v>48</v>
      </c>
      <c r="F78" s="49"/>
      <c r="G78" s="47">
        <v>46.4</v>
      </c>
      <c r="H78" s="47">
        <v>5.7</v>
      </c>
      <c r="I78" s="47">
        <v>47.7</v>
      </c>
      <c r="J78" s="40">
        <v>0.2</v>
      </c>
      <c r="K78" s="25">
        <v>0.0</v>
      </c>
      <c r="L78" s="26">
        <f t="shared" si="48"/>
        <v>9.15</v>
      </c>
      <c r="M78" s="27">
        <f t="shared" si="49"/>
        <v>81.3435</v>
      </c>
      <c r="N78" s="47">
        <v>8.5</v>
      </c>
      <c r="O78" s="27">
        <f t="shared" si="50"/>
        <v>1.0065</v>
      </c>
      <c r="P78" s="25">
        <v>0.38</v>
      </c>
      <c r="Q78" s="45">
        <v>730.0</v>
      </c>
      <c r="R78" s="45" t="s">
        <v>50</v>
      </c>
      <c r="S78" s="25">
        <v>0.0</v>
      </c>
      <c r="T78" s="46" t="s">
        <v>51</v>
      </c>
      <c r="U78" s="25">
        <v>13.9</v>
      </c>
      <c r="V78" s="25">
        <v>28.7</v>
      </c>
      <c r="W78" s="25">
        <v>43.8</v>
      </c>
      <c r="X78" s="25">
        <v>8.7</v>
      </c>
      <c r="Y78" s="31">
        <f t="shared" si="5"/>
        <v>53.32713816</v>
      </c>
      <c r="Z78" s="25">
        <v>2.039926017262639</v>
      </c>
      <c r="AA78" s="22" t="s">
        <v>51</v>
      </c>
      <c r="AB78" s="22" t="s">
        <v>51</v>
      </c>
      <c r="AC78" s="32">
        <f t="shared" si="6"/>
        <v>8243.835714</v>
      </c>
      <c r="AD78" s="22" t="s">
        <v>51</v>
      </c>
      <c r="AK78" s="33">
        <f t="shared" si="7"/>
        <v>5.440822421</v>
      </c>
      <c r="AL78" s="33">
        <f t="shared" si="8"/>
        <v>4.761904762</v>
      </c>
      <c r="AM78" s="33">
        <f t="shared" si="9"/>
        <v>10.20272718</v>
      </c>
      <c r="AO78" s="34">
        <f t="shared" si="10"/>
        <v>6.487527796</v>
      </c>
      <c r="AP78" s="34">
        <f t="shared" si="11"/>
        <v>13.39511135</v>
      </c>
      <c r="AQ78" s="34">
        <f t="shared" si="12"/>
        <v>20.44271349</v>
      </c>
      <c r="AR78" s="34">
        <f t="shared" si="13"/>
        <v>4.06053898</v>
      </c>
      <c r="AS78" s="34">
        <f t="shared" si="14"/>
        <v>53.32713816</v>
      </c>
      <c r="AT78" s="35">
        <f t="shared" si="15"/>
        <v>97.71302977</v>
      </c>
      <c r="AV78" s="32">
        <f t="shared" si="16"/>
        <v>3847.634053</v>
      </c>
    </row>
    <row r="79" ht="14.25" customHeight="1">
      <c r="B79" s="36"/>
      <c r="C79" s="20" t="s">
        <v>46</v>
      </c>
      <c r="D79" s="21"/>
      <c r="E79" s="22" t="s">
        <v>48</v>
      </c>
      <c r="F79" s="49"/>
      <c r="G79" s="47">
        <v>46.4</v>
      </c>
      <c r="H79" s="47">
        <v>5.7</v>
      </c>
      <c r="I79" s="47">
        <v>47.7</v>
      </c>
      <c r="J79" s="40">
        <v>0.2</v>
      </c>
      <c r="K79" s="25">
        <v>0.0</v>
      </c>
      <c r="L79" s="26">
        <f t="shared" si="48"/>
        <v>9.15</v>
      </c>
      <c r="M79" s="27">
        <f t="shared" si="49"/>
        <v>81.3435</v>
      </c>
      <c r="N79" s="47">
        <v>8.5</v>
      </c>
      <c r="O79" s="27">
        <f t="shared" si="50"/>
        <v>1.0065</v>
      </c>
      <c r="P79" s="25">
        <v>0.38</v>
      </c>
      <c r="Q79" s="45">
        <v>699.0</v>
      </c>
      <c r="R79" s="45" t="s">
        <v>50</v>
      </c>
      <c r="S79" s="25">
        <v>0.0</v>
      </c>
      <c r="T79" s="46" t="s">
        <v>51</v>
      </c>
      <c r="U79" s="25">
        <v>14.1</v>
      </c>
      <c r="V79" s="25">
        <v>27.0</v>
      </c>
      <c r="W79" s="25">
        <v>45.8</v>
      </c>
      <c r="X79" s="25">
        <v>8.3</v>
      </c>
      <c r="Y79" s="31">
        <f t="shared" si="5"/>
        <v>53.29646617</v>
      </c>
      <c r="Z79" s="25">
        <v>2.021709633649932</v>
      </c>
      <c r="AA79" s="22" t="s">
        <v>51</v>
      </c>
      <c r="AB79" s="22" t="s">
        <v>51</v>
      </c>
      <c r="AC79" s="32">
        <f t="shared" si="6"/>
        <v>7907.325</v>
      </c>
      <c r="AD79" s="22" t="s">
        <v>51</v>
      </c>
      <c r="AK79" s="33">
        <f t="shared" si="7"/>
        <v>5.440822421</v>
      </c>
      <c r="AL79" s="33">
        <f t="shared" si="8"/>
        <v>4.767776408</v>
      </c>
      <c r="AM79" s="33">
        <f t="shared" si="9"/>
        <v>10.20859883</v>
      </c>
      <c r="AO79" s="34">
        <f t="shared" si="10"/>
        <v>6.585198271</v>
      </c>
      <c r="AP79" s="34">
        <f t="shared" si="11"/>
        <v>12.60995414</v>
      </c>
      <c r="AQ79" s="34">
        <f t="shared" si="12"/>
        <v>21.3902185</v>
      </c>
      <c r="AR79" s="34">
        <f t="shared" si="13"/>
        <v>3.876393308</v>
      </c>
      <c r="AS79" s="34">
        <f t="shared" si="14"/>
        <v>53.29646617</v>
      </c>
      <c r="AT79" s="35">
        <f t="shared" si="15"/>
        <v>97.75823038</v>
      </c>
      <c r="AV79" s="32">
        <f t="shared" si="16"/>
        <v>3693.000207</v>
      </c>
    </row>
    <row r="80" ht="14.25" customHeight="1">
      <c r="B80" s="36"/>
      <c r="C80" s="20" t="s">
        <v>46</v>
      </c>
      <c r="D80" s="21"/>
      <c r="E80" s="22" t="s">
        <v>48</v>
      </c>
      <c r="F80" s="49"/>
      <c r="G80" s="47">
        <v>46.4</v>
      </c>
      <c r="H80" s="47">
        <v>5.7</v>
      </c>
      <c r="I80" s="47">
        <v>47.7</v>
      </c>
      <c r="J80" s="40">
        <v>0.2</v>
      </c>
      <c r="K80" s="25">
        <v>0.0</v>
      </c>
      <c r="L80" s="26">
        <f t="shared" si="48"/>
        <v>9.15</v>
      </c>
      <c r="M80" s="27">
        <f t="shared" si="49"/>
        <v>81.3435</v>
      </c>
      <c r="N80" s="47">
        <v>8.5</v>
      </c>
      <c r="O80" s="27">
        <f t="shared" si="50"/>
        <v>1.0065</v>
      </c>
      <c r="P80" s="25">
        <v>0.36</v>
      </c>
      <c r="Q80" s="45">
        <v>703.5</v>
      </c>
      <c r="R80" s="45" t="s">
        <v>50</v>
      </c>
      <c r="S80" s="25">
        <v>0.0</v>
      </c>
      <c r="T80" s="46" t="s">
        <v>51</v>
      </c>
      <c r="U80" s="25">
        <v>13.57</v>
      </c>
      <c r="V80" s="25">
        <v>27.57</v>
      </c>
      <c r="W80" s="25">
        <v>45.46</v>
      </c>
      <c r="X80" s="25">
        <v>8.26</v>
      </c>
      <c r="Y80" s="31">
        <f t="shared" si="5"/>
        <v>52.00881694</v>
      </c>
      <c r="Z80" s="25">
        <v>1.9</v>
      </c>
      <c r="AA80" s="22" t="s">
        <v>51</v>
      </c>
      <c r="AB80" s="22" t="s">
        <v>51</v>
      </c>
      <c r="AC80" s="32">
        <f t="shared" si="6"/>
        <v>7907.789554</v>
      </c>
      <c r="AD80" s="22" t="s">
        <v>51</v>
      </c>
      <c r="AK80" s="33">
        <f t="shared" si="7"/>
        <v>5.154839286</v>
      </c>
      <c r="AL80" s="33">
        <f t="shared" si="8"/>
        <v>4.756632632</v>
      </c>
      <c r="AM80" s="33">
        <f t="shared" si="9"/>
        <v>9.911471918</v>
      </c>
      <c r="AO80" s="34">
        <f t="shared" si="10"/>
        <v>6.512403541</v>
      </c>
      <c r="AP80" s="34">
        <f t="shared" si="11"/>
        <v>13.23116917</v>
      </c>
      <c r="AQ80" s="34">
        <f t="shared" si="12"/>
        <v>21.81679182</v>
      </c>
      <c r="AR80" s="34">
        <f t="shared" si="13"/>
        <v>3.964071721</v>
      </c>
      <c r="AS80" s="34">
        <f t="shared" si="14"/>
        <v>52.00881694</v>
      </c>
      <c r="AT80" s="35">
        <f t="shared" si="15"/>
        <v>97.53325319</v>
      </c>
      <c r="AV80" s="32">
        <f t="shared" si="16"/>
        <v>3795.041761</v>
      </c>
    </row>
    <row r="81" ht="14.25" customHeight="1">
      <c r="B81" s="36"/>
      <c r="C81" s="20" t="s">
        <v>46</v>
      </c>
      <c r="D81" s="21"/>
      <c r="E81" s="22" t="s">
        <v>48</v>
      </c>
      <c r="F81" s="49"/>
      <c r="G81" s="47">
        <v>46.4</v>
      </c>
      <c r="H81" s="47">
        <v>5.7</v>
      </c>
      <c r="I81" s="47">
        <v>47.7</v>
      </c>
      <c r="J81" s="40">
        <v>0.2</v>
      </c>
      <c r="K81" s="25">
        <v>0.0</v>
      </c>
      <c r="L81" s="26">
        <f t="shared" si="48"/>
        <v>9.15</v>
      </c>
      <c r="M81" s="27">
        <f t="shared" si="49"/>
        <v>81.3435</v>
      </c>
      <c r="N81" s="47">
        <v>8.5</v>
      </c>
      <c r="O81" s="27">
        <f t="shared" si="50"/>
        <v>1.0065</v>
      </c>
      <c r="P81" s="25">
        <v>0.39</v>
      </c>
      <c r="Q81" s="45">
        <v>729.9</v>
      </c>
      <c r="R81" s="45" t="s">
        <v>50</v>
      </c>
      <c r="S81" s="25">
        <v>0.0</v>
      </c>
      <c r="T81" s="46" t="s">
        <v>51</v>
      </c>
      <c r="U81" s="25">
        <v>13.9</v>
      </c>
      <c r="V81" s="25">
        <v>27.64</v>
      </c>
      <c r="W81" s="25">
        <v>45.79</v>
      </c>
      <c r="X81" s="25">
        <v>8.07</v>
      </c>
      <c r="Y81" s="31">
        <f t="shared" si="5"/>
        <v>54.063818</v>
      </c>
      <c r="Z81" s="25">
        <v>2.0</v>
      </c>
      <c r="AA81" s="22" t="s">
        <v>51</v>
      </c>
      <c r="AB81" s="22" t="s">
        <v>51</v>
      </c>
      <c r="AC81" s="32">
        <f t="shared" si="6"/>
        <v>7884.179196</v>
      </c>
      <c r="AD81" s="22" t="s">
        <v>51</v>
      </c>
      <c r="AK81" s="33">
        <f t="shared" si="7"/>
        <v>5.583813988</v>
      </c>
      <c r="AL81" s="33">
        <f t="shared" si="8"/>
        <v>4.744376278</v>
      </c>
      <c r="AM81" s="33">
        <f t="shared" si="9"/>
        <v>10.32819027</v>
      </c>
      <c r="AO81" s="34">
        <f t="shared" si="10"/>
        <v>6.385129298</v>
      </c>
      <c r="AP81" s="34">
        <f t="shared" si="11"/>
        <v>12.69676071</v>
      </c>
      <c r="AQ81" s="34">
        <f t="shared" si="12"/>
        <v>21.03417774</v>
      </c>
      <c r="AR81" s="34">
        <f t="shared" si="13"/>
        <v>3.707049887</v>
      </c>
      <c r="AS81" s="34">
        <f t="shared" si="14"/>
        <v>54.063818</v>
      </c>
      <c r="AT81" s="35">
        <f t="shared" si="15"/>
        <v>97.88693563</v>
      </c>
      <c r="AV81" s="32">
        <f t="shared" si="16"/>
        <v>3621.690905</v>
      </c>
    </row>
    <row r="82" ht="14.25" customHeight="1">
      <c r="B82" s="36"/>
      <c r="C82" s="20" t="s">
        <v>46</v>
      </c>
      <c r="D82" s="21"/>
      <c r="E82" s="22" t="s">
        <v>48</v>
      </c>
      <c r="F82" s="49"/>
      <c r="G82" s="47">
        <v>46.4</v>
      </c>
      <c r="H82" s="47">
        <v>5.7</v>
      </c>
      <c r="I82" s="47">
        <v>47.7</v>
      </c>
      <c r="J82" s="40">
        <v>0.2</v>
      </c>
      <c r="K82" s="25">
        <v>0.0</v>
      </c>
      <c r="L82" s="26">
        <f t="shared" si="48"/>
        <v>9.15</v>
      </c>
      <c r="M82" s="27">
        <f t="shared" si="49"/>
        <v>81.3435</v>
      </c>
      <c r="N82" s="47">
        <v>8.5</v>
      </c>
      <c r="O82" s="27">
        <f t="shared" si="50"/>
        <v>1.0065</v>
      </c>
      <c r="P82" s="25">
        <v>0.45</v>
      </c>
      <c r="Q82" s="45">
        <v>738.2</v>
      </c>
      <c r="R82" s="45" t="s">
        <v>50</v>
      </c>
      <c r="S82" s="25">
        <v>0.0</v>
      </c>
      <c r="T82" s="46" t="s">
        <v>51</v>
      </c>
      <c r="U82" s="25">
        <v>14.29</v>
      </c>
      <c r="V82" s="25">
        <v>27.34</v>
      </c>
      <c r="W82" s="25">
        <v>46.03</v>
      </c>
      <c r="X82" s="25">
        <v>7.93</v>
      </c>
      <c r="Y82" s="31">
        <f t="shared" si="5"/>
        <v>57.52698826</v>
      </c>
      <c r="Z82" s="25">
        <v>2.18</v>
      </c>
      <c r="AA82" s="22" t="s">
        <v>51</v>
      </c>
      <c r="AB82" s="22" t="s">
        <v>51</v>
      </c>
      <c r="AC82" s="32">
        <f t="shared" si="6"/>
        <v>7838.21625</v>
      </c>
      <c r="AD82" s="22" t="s">
        <v>51</v>
      </c>
      <c r="AK82" s="33">
        <f t="shared" si="7"/>
        <v>6.441763393</v>
      </c>
      <c r="AL82" s="33">
        <f t="shared" si="8"/>
        <v>4.75604756</v>
      </c>
      <c r="AM82" s="33">
        <f t="shared" si="9"/>
        <v>11.19781095</v>
      </c>
      <c r="AO82" s="34">
        <f t="shared" si="10"/>
        <v>6.069393377</v>
      </c>
      <c r="AP82" s="34">
        <f t="shared" si="11"/>
        <v>11.61212141</v>
      </c>
      <c r="AQ82" s="34">
        <f t="shared" si="12"/>
        <v>19.5503273</v>
      </c>
      <c r="AR82" s="34">
        <f t="shared" si="13"/>
        <v>3.368109831</v>
      </c>
      <c r="AS82" s="34">
        <f t="shared" si="14"/>
        <v>57.52698826</v>
      </c>
      <c r="AT82" s="35">
        <f t="shared" si="15"/>
        <v>98.12694018</v>
      </c>
      <c r="AV82" s="32">
        <f t="shared" si="16"/>
        <v>3329.126508</v>
      </c>
    </row>
    <row r="83" ht="14.25" customHeight="1">
      <c r="B83" s="36"/>
      <c r="C83" s="20" t="s">
        <v>46</v>
      </c>
      <c r="D83" s="21"/>
      <c r="E83" s="22" t="s">
        <v>48</v>
      </c>
      <c r="F83" s="49"/>
      <c r="G83" s="47">
        <v>46.4</v>
      </c>
      <c r="H83" s="47">
        <v>5.7</v>
      </c>
      <c r="I83" s="47">
        <v>47.7</v>
      </c>
      <c r="J83" s="40">
        <v>0.2</v>
      </c>
      <c r="K83" s="25">
        <v>0.0</v>
      </c>
      <c r="L83" s="26">
        <f t="shared" si="48"/>
        <v>9.15</v>
      </c>
      <c r="M83" s="27">
        <f t="shared" si="49"/>
        <v>81.3435</v>
      </c>
      <c r="N83" s="47">
        <v>8.5</v>
      </c>
      <c r="O83" s="27">
        <f t="shared" si="50"/>
        <v>1.0065</v>
      </c>
      <c r="P83" s="25">
        <v>0.49</v>
      </c>
      <c r="Q83" s="45">
        <v>765.4</v>
      </c>
      <c r="R83" s="45" t="s">
        <v>50</v>
      </c>
      <c r="S83" s="25">
        <v>0.0</v>
      </c>
      <c r="T83" s="46" t="s">
        <v>51</v>
      </c>
      <c r="U83" s="25">
        <v>14.06</v>
      </c>
      <c r="V83" s="25">
        <v>26.8</v>
      </c>
      <c r="W83" s="25">
        <v>47.16</v>
      </c>
      <c r="X83" s="25">
        <v>7.82</v>
      </c>
      <c r="Y83" s="31">
        <f t="shared" si="5"/>
        <v>59.73268663</v>
      </c>
      <c r="Z83" s="25">
        <v>2.45</v>
      </c>
      <c r="AA83" s="22" t="s">
        <v>51</v>
      </c>
      <c r="AB83" s="22" t="s">
        <v>51</v>
      </c>
      <c r="AC83" s="32">
        <f t="shared" si="6"/>
        <v>7705.748929</v>
      </c>
      <c r="AD83" s="22" t="s">
        <v>51</v>
      </c>
      <c r="AK83" s="33">
        <f t="shared" si="7"/>
        <v>7.013729663</v>
      </c>
      <c r="AL83" s="33">
        <f t="shared" si="8"/>
        <v>4.728132388</v>
      </c>
      <c r="AM83" s="33">
        <f t="shared" si="9"/>
        <v>11.74186205</v>
      </c>
      <c r="AO83" s="34">
        <f t="shared" si="10"/>
        <v>5.66158426</v>
      </c>
      <c r="AP83" s="34">
        <f t="shared" si="11"/>
        <v>10.79163998</v>
      </c>
      <c r="AQ83" s="34">
        <f t="shared" si="12"/>
        <v>18.99006499</v>
      </c>
      <c r="AR83" s="34">
        <f t="shared" si="13"/>
        <v>3.148903906</v>
      </c>
      <c r="AS83" s="34">
        <f t="shared" si="14"/>
        <v>59.73268663</v>
      </c>
      <c r="AT83" s="35">
        <f t="shared" si="15"/>
        <v>98.32487976</v>
      </c>
      <c r="AV83" s="32">
        <f t="shared" si="16"/>
        <v>3102.898069</v>
      </c>
    </row>
    <row r="84" ht="14.25" customHeight="1">
      <c r="B84" s="36"/>
      <c r="C84" s="20" t="s">
        <v>46</v>
      </c>
      <c r="D84" s="21"/>
      <c r="E84" s="22" t="s">
        <v>48</v>
      </c>
      <c r="F84" s="49"/>
      <c r="G84" s="47">
        <v>46.4</v>
      </c>
      <c r="H84" s="47">
        <v>5.7</v>
      </c>
      <c r="I84" s="47">
        <v>47.7</v>
      </c>
      <c r="J84" s="40">
        <v>0.2</v>
      </c>
      <c r="K84" s="25">
        <v>0.0</v>
      </c>
      <c r="L84" s="26">
        <f t="shared" si="48"/>
        <v>9.15</v>
      </c>
      <c r="M84" s="27">
        <f t="shared" si="49"/>
        <v>81.3435</v>
      </c>
      <c r="N84" s="47">
        <v>8.5</v>
      </c>
      <c r="O84" s="27">
        <f t="shared" si="50"/>
        <v>1.0065</v>
      </c>
      <c r="P84" s="25">
        <v>0.3</v>
      </c>
      <c r="Q84" s="45">
        <v>726.3</v>
      </c>
      <c r="R84" s="45" t="s">
        <v>50</v>
      </c>
      <c r="S84" s="25">
        <v>0.0</v>
      </c>
      <c r="T84" s="46" t="s">
        <v>51</v>
      </c>
      <c r="U84" s="25">
        <v>14.06</v>
      </c>
      <c r="V84" s="25">
        <v>33.25</v>
      </c>
      <c r="W84" s="25">
        <v>40.99</v>
      </c>
      <c r="X84" s="25">
        <v>7.85</v>
      </c>
      <c r="Y84" s="31">
        <f t="shared" si="5"/>
        <v>47.70523047</v>
      </c>
      <c r="Z84" s="25">
        <v>1.86</v>
      </c>
      <c r="AA84" s="22" t="s">
        <v>51</v>
      </c>
      <c r="AB84" s="22" t="s">
        <v>51</v>
      </c>
      <c r="AC84" s="32">
        <f t="shared" si="6"/>
        <v>8531.386696</v>
      </c>
      <c r="AD84" s="22" t="s">
        <v>51</v>
      </c>
      <c r="AK84" s="33">
        <f t="shared" si="7"/>
        <v>4.296889881</v>
      </c>
      <c r="AL84" s="33">
        <f t="shared" si="8"/>
        <v>4.710277338</v>
      </c>
      <c r="AM84" s="33">
        <f t="shared" si="9"/>
        <v>9.007167219</v>
      </c>
      <c r="AO84" s="34">
        <f t="shared" si="10"/>
        <v>7.352644595</v>
      </c>
      <c r="AP84" s="34">
        <f t="shared" si="11"/>
        <v>17.38801087</v>
      </c>
      <c r="AQ84" s="34">
        <f t="shared" si="12"/>
        <v>21.43562603</v>
      </c>
      <c r="AR84" s="34">
        <f t="shared" si="13"/>
        <v>4.105139408</v>
      </c>
      <c r="AS84" s="34">
        <f t="shared" si="14"/>
        <v>47.70523047</v>
      </c>
      <c r="AT84" s="35">
        <f t="shared" si="15"/>
        <v>97.98665137</v>
      </c>
      <c r="AV84" s="32">
        <f t="shared" si="16"/>
        <v>4461.46901</v>
      </c>
    </row>
    <row r="85" ht="14.25" customHeight="1">
      <c r="B85" s="36"/>
      <c r="C85" s="20" t="s">
        <v>46</v>
      </c>
      <c r="D85" s="21"/>
      <c r="E85" s="22" t="s">
        <v>48</v>
      </c>
      <c r="F85" s="49"/>
      <c r="G85" s="47">
        <v>46.4</v>
      </c>
      <c r="H85" s="47">
        <v>5.7</v>
      </c>
      <c r="I85" s="47">
        <v>47.7</v>
      </c>
      <c r="J85" s="40">
        <v>0.2</v>
      </c>
      <c r="K85" s="25">
        <v>0.0</v>
      </c>
      <c r="L85" s="26">
        <f t="shared" si="48"/>
        <v>9.15</v>
      </c>
      <c r="M85" s="27">
        <f t="shared" si="49"/>
        <v>81.3435</v>
      </c>
      <c r="N85" s="47">
        <v>8.5</v>
      </c>
      <c r="O85" s="27">
        <f t="shared" si="50"/>
        <v>1.0065</v>
      </c>
      <c r="P85" s="25">
        <v>0.38</v>
      </c>
      <c r="Q85" s="45">
        <v>767.2</v>
      </c>
      <c r="R85" s="45" t="s">
        <v>50</v>
      </c>
      <c r="S85" s="25">
        <v>0.0</v>
      </c>
      <c r="T85" s="46" t="s">
        <v>51</v>
      </c>
      <c r="U85" s="25">
        <v>14.58</v>
      </c>
      <c r="V85" s="25">
        <v>32.44</v>
      </c>
      <c r="W85" s="25">
        <v>41.26</v>
      </c>
      <c r="X85" s="25">
        <v>8.01</v>
      </c>
      <c r="Y85" s="31">
        <f t="shared" si="5"/>
        <v>53.48294075</v>
      </c>
      <c r="Z85" s="25">
        <v>2.3</v>
      </c>
      <c r="AA85" s="22" t="s">
        <v>51</v>
      </c>
      <c r="AB85" s="22" t="s">
        <v>51</v>
      </c>
      <c r="AC85" s="32">
        <f t="shared" si="6"/>
        <v>8542.518661</v>
      </c>
      <c r="AD85" s="22" t="s">
        <v>51</v>
      </c>
      <c r="AK85" s="33">
        <f t="shared" si="7"/>
        <v>5.440822421</v>
      </c>
      <c r="AL85" s="33">
        <f t="shared" si="8"/>
        <v>4.732182923</v>
      </c>
      <c r="AM85" s="33">
        <f t="shared" si="9"/>
        <v>10.17300534</v>
      </c>
      <c r="AO85" s="34">
        <f t="shared" si="10"/>
        <v>6.782187239</v>
      </c>
      <c r="AP85" s="34">
        <f t="shared" si="11"/>
        <v>15.09013402</v>
      </c>
      <c r="AQ85" s="34">
        <f t="shared" si="12"/>
        <v>19.19293865</v>
      </c>
      <c r="AR85" s="34">
        <f t="shared" si="13"/>
        <v>3.726016446</v>
      </c>
      <c r="AS85" s="34">
        <f t="shared" si="14"/>
        <v>53.48294075</v>
      </c>
      <c r="AT85" s="35">
        <f t="shared" si="15"/>
        <v>98.2742171</v>
      </c>
      <c r="AV85" s="32">
        <f t="shared" si="16"/>
        <v>3973.728467</v>
      </c>
    </row>
    <row r="86" ht="14.25" customHeight="1">
      <c r="B86" s="36"/>
      <c r="C86" s="20" t="s">
        <v>46</v>
      </c>
      <c r="D86" s="21"/>
      <c r="E86" s="22" t="s">
        <v>48</v>
      </c>
      <c r="F86" s="49"/>
      <c r="G86" s="47">
        <v>46.4</v>
      </c>
      <c r="H86" s="47">
        <v>5.7</v>
      </c>
      <c r="I86" s="47">
        <v>47.7</v>
      </c>
      <c r="J86" s="40">
        <v>0.2</v>
      </c>
      <c r="K86" s="25">
        <v>0.0</v>
      </c>
      <c r="L86" s="26">
        <f t="shared" si="48"/>
        <v>9.15</v>
      </c>
      <c r="M86" s="27">
        <f t="shared" si="49"/>
        <v>81.3435</v>
      </c>
      <c r="N86" s="47">
        <v>8.5</v>
      </c>
      <c r="O86" s="27">
        <f t="shared" si="50"/>
        <v>1.0065</v>
      </c>
      <c r="P86" s="25">
        <v>0.43</v>
      </c>
      <c r="Q86" s="45">
        <v>783.1</v>
      </c>
      <c r="R86" s="45" t="s">
        <v>50</v>
      </c>
      <c r="S86" s="25">
        <v>0.0</v>
      </c>
      <c r="T86" s="46" t="s">
        <v>51</v>
      </c>
      <c r="U86" s="25">
        <v>15.48</v>
      </c>
      <c r="V86" s="25">
        <v>32.14</v>
      </c>
      <c r="W86" s="25">
        <v>41.19</v>
      </c>
      <c r="X86" s="25">
        <v>7.93</v>
      </c>
      <c r="Y86" s="31">
        <f t="shared" si="5"/>
        <v>56.40173132</v>
      </c>
      <c r="Z86" s="25">
        <v>2.58</v>
      </c>
      <c r="AA86" s="22" t="s">
        <v>51</v>
      </c>
      <c r="AB86" s="22" t="s">
        <v>51</v>
      </c>
      <c r="AC86" s="32">
        <f t="shared" si="6"/>
        <v>8573.111696</v>
      </c>
      <c r="AD86" s="22" t="s">
        <v>51</v>
      </c>
      <c r="AK86" s="33">
        <f t="shared" si="7"/>
        <v>6.155780258</v>
      </c>
      <c r="AL86" s="33">
        <f t="shared" si="8"/>
        <v>4.758388711</v>
      </c>
      <c r="AM86" s="33">
        <f t="shared" si="9"/>
        <v>10.91416897</v>
      </c>
      <c r="AO86" s="34">
        <f t="shared" si="10"/>
        <v>6.749011991</v>
      </c>
      <c r="AP86" s="34">
        <f t="shared" si="11"/>
        <v>14.01248355</v>
      </c>
      <c r="AQ86" s="34">
        <f t="shared" si="12"/>
        <v>17.95812687</v>
      </c>
      <c r="AR86" s="34">
        <f t="shared" si="13"/>
        <v>3.457342706</v>
      </c>
      <c r="AS86" s="34">
        <f t="shared" si="14"/>
        <v>56.40173132</v>
      </c>
      <c r="AT86" s="35">
        <f t="shared" si="15"/>
        <v>98.57869644</v>
      </c>
      <c r="AV86" s="32">
        <f t="shared" si="16"/>
        <v>3737.728271</v>
      </c>
    </row>
    <row r="87" ht="14.25" customHeight="1">
      <c r="B87" s="36"/>
      <c r="C87" s="20" t="s">
        <v>46</v>
      </c>
      <c r="D87" s="21"/>
      <c r="E87" s="22" t="s">
        <v>48</v>
      </c>
      <c r="F87" s="49"/>
      <c r="G87" s="47">
        <v>46.4</v>
      </c>
      <c r="H87" s="47">
        <v>5.7</v>
      </c>
      <c r="I87" s="47">
        <v>47.7</v>
      </c>
      <c r="J87" s="40">
        <v>0.2</v>
      </c>
      <c r="K87" s="25">
        <v>0.0</v>
      </c>
      <c r="L87" s="26">
        <f t="shared" si="48"/>
        <v>9.15</v>
      </c>
      <c r="M87" s="27">
        <f t="shared" si="49"/>
        <v>81.3435</v>
      </c>
      <c r="N87" s="47">
        <v>8.5</v>
      </c>
      <c r="O87" s="27">
        <f t="shared" si="50"/>
        <v>1.0065</v>
      </c>
      <c r="P87" s="25">
        <v>0.46</v>
      </c>
      <c r="Q87" s="45">
        <v>806.6</v>
      </c>
      <c r="R87" s="45" t="s">
        <v>50</v>
      </c>
      <c r="S87" s="25">
        <v>0.0</v>
      </c>
      <c r="T87" s="46" t="s">
        <v>51</v>
      </c>
      <c r="U87" s="25">
        <v>14.66</v>
      </c>
      <c r="V87" s="25">
        <v>32.68</v>
      </c>
      <c r="W87" s="25">
        <v>41.72</v>
      </c>
      <c r="X87" s="25">
        <v>8.07</v>
      </c>
      <c r="Y87" s="31">
        <f t="shared" si="5"/>
        <v>58.41003313</v>
      </c>
      <c r="Z87" s="25">
        <v>2.74</v>
      </c>
      <c r="AA87" s="22" t="s">
        <v>51</v>
      </c>
      <c r="AB87" s="22" t="s">
        <v>51</v>
      </c>
      <c r="AC87" s="32">
        <f t="shared" si="6"/>
        <v>8602.975268</v>
      </c>
      <c r="AD87" s="22" t="s">
        <v>51</v>
      </c>
      <c r="AK87" s="33">
        <f t="shared" si="7"/>
        <v>6.58475496</v>
      </c>
      <c r="AL87" s="33">
        <f t="shared" si="8"/>
        <v>4.688573623</v>
      </c>
      <c r="AM87" s="33">
        <f t="shared" si="9"/>
        <v>11.27332858</v>
      </c>
      <c r="AO87" s="34">
        <f t="shared" si="10"/>
        <v>6.097089143</v>
      </c>
      <c r="AP87" s="34">
        <f t="shared" si="11"/>
        <v>13.59160117</v>
      </c>
      <c r="AQ87" s="34">
        <f t="shared" si="12"/>
        <v>17.35133418</v>
      </c>
      <c r="AR87" s="34">
        <f t="shared" si="13"/>
        <v>3.356310326</v>
      </c>
      <c r="AS87" s="34">
        <f t="shared" si="14"/>
        <v>58.41003313</v>
      </c>
      <c r="AT87" s="35">
        <f t="shared" si="15"/>
        <v>98.80636795</v>
      </c>
      <c r="AV87" s="32">
        <f t="shared" si="16"/>
        <v>3577.974564</v>
      </c>
    </row>
    <row r="88" ht="14.25" customHeight="1">
      <c r="B88" s="36"/>
      <c r="C88" s="20" t="s">
        <v>46</v>
      </c>
      <c r="D88" s="21"/>
      <c r="E88" s="22" t="s">
        <v>48</v>
      </c>
      <c r="F88" s="49"/>
      <c r="G88" s="47">
        <v>46.4</v>
      </c>
      <c r="H88" s="47">
        <v>5.7</v>
      </c>
      <c r="I88" s="47">
        <v>47.7</v>
      </c>
      <c r="J88" s="40">
        <v>0.2</v>
      </c>
      <c r="K88" s="25">
        <v>0.0</v>
      </c>
      <c r="L88" s="26">
        <f t="shared" si="48"/>
        <v>9.15</v>
      </c>
      <c r="M88" s="27">
        <f t="shared" si="49"/>
        <v>81.3435</v>
      </c>
      <c r="N88" s="47">
        <v>8.5</v>
      </c>
      <c r="O88" s="27">
        <f t="shared" si="50"/>
        <v>1.0065</v>
      </c>
      <c r="P88" s="25">
        <v>0.3</v>
      </c>
      <c r="Q88" s="45">
        <v>747.3</v>
      </c>
      <c r="R88" s="45" t="s">
        <v>50</v>
      </c>
      <c r="S88" s="25">
        <v>0.0</v>
      </c>
      <c r="T88" s="46" t="s">
        <v>51</v>
      </c>
      <c r="U88" s="25">
        <v>13.43</v>
      </c>
      <c r="V88" s="25">
        <v>34.65</v>
      </c>
      <c r="W88" s="25">
        <v>38.49</v>
      </c>
      <c r="X88" s="25">
        <v>8.83</v>
      </c>
      <c r="Y88" s="31">
        <f t="shared" si="5"/>
        <v>47.66873675</v>
      </c>
      <c r="Z88" s="25">
        <v>2.14</v>
      </c>
      <c r="AA88" s="22" t="s">
        <v>51</v>
      </c>
      <c r="AB88" s="22" t="s">
        <v>51</v>
      </c>
      <c r="AC88" s="32">
        <f t="shared" si="6"/>
        <v>8991.396071</v>
      </c>
      <c r="AD88" s="22" t="s">
        <v>51</v>
      </c>
      <c r="AK88" s="33">
        <f t="shared" si="7"/>
        <v>4.296889881</v>
      </c>
      <c r="AL88" s="33">
        <f t="shared" si="8"/>
        <v>4.717172949</v>
      </c>
      <c r="AM88" s="33">
        <f t="shared" si="9"/>
        <v>9.01406283</v>
      </c>
      <c r="AO88" s="34">
        <f t="shared" si="10"/>
        <v>7.028088655</v>
      </c>
      <c r="AP88" s="34">
        <f t="shared" si="11"/>
        <v>18.13278272</v>
      </c>
      <c r="AQ88" s="34">
        <f t="shared" si="12"/>
        <v>20.14230323</v>
      </c>
      <c r="AR88" s="34">
        <f t="shared" si="13"/>
        <v>4.620850545</v>
      </c>
      <c r="AS88" s="34">
        <f t="shared" si="14"/>
        <v>47.66873675</v>
      </c>
      <c r="AT88" s="35">
        <f t="shared" si="15"/>
        <v>97.59276189</v>
      </c>
      <c r="AV88" s="32">
        <f t="shared" si="16"/>
        <v>4705.311148</v>
      </c>
    </row>
    <row r="89" ht="14.25" customHeight="1">
      <c r="B89" s="36"/>
      <c r="C89" s="20" t="s">
        <v>46</v>
      </c>
      <c r="D89" s="21"/>
      <c r="E89" s="22" t="s">
        <v>48</v>
      </c>
      <c r="F89" s="49"/>
      <c r="G89" s="47">
        <v>46.4</v>
      </c>
      <c r="H89" s="47">
        <v>5.7</v>
      </c>
      <c r="I89" s="47">
        <v>47.7</v>
      </c>
      <c r="J89" s="40">
        <v>0.2</v>
      </c>
      <c r="K89" s="25">
        <v>0.0</v>
      </c>
      <c r="L89" s="26">
        <f t="shared" si="48"/>
        <v>9.15</v>
      </c>
      <c r="M89" s="27">
        <f t="shared" si="49"/>
        <v>81.3435</v>
      </c>
      <c r="N89" s="47">
        <v>8.5</v>
      </c>
      <c r="O89" s="27">
        <f t="shared" si="50"/>
        <v>1.0065</v>
      </c>
      <c r="P89" s="25">
        <v>0.34</v>
      </c>
      <c r="Q89" s="45">
        <v>769.0</v>
      </c>
      <c r="R89" s="45" t="s">
        <v>50</v>
      </c>
      <c r="S89" s="25">
        <v>0.0</v>
      </c>
      <c r="T89" s="46" t="s">
        <v>51</v>
      </c>
      <c r="U89" s="25">
        <v>14.96</v>
      </c>
      <c r="V89" s="25">
        <v>33.61</v>
      </c>
      <c r="W89" s="25">
        <v>38.18</v>
      </c>
      <c r="X89" s="25">
        <v>8.47</v>
      </c>
      <c r="Y89" s="31">
        <f t="shared" si="5"/>
        <v>50.2641826</v>
      </c>
      <c r="Z89" s="25">
        <v>2.35</v>
      </c>
      <c r="AA89" s="22" t="s">
        <v>51</v>
      </c>
      <c r="AB89" s="22" t="s">
        <v>51</v>
      </c>
      <c r="AC89" s="32">
        <f t="shared" si="6"/>
        <v>8896.182411</v>
      </c>
      <c r="AD89" s="22" t="s">
        <v>51</v>
      </c>
      <c r="AK89" s="33">
        <f t="shared" si="7"/>
        <v>4.868856151</v>
      </c>
      <c r="AL89" s="33">
        <f t="shared" si="8"/>
        <v>4.817675887</v>
      </c>
      <c r="AM89" s="33">
        <f t="shared" si="9"/>
        <v>9.686532037</v>
      </c>
      <c r="AO89" s="34">
        <f t="shared" si="10"/>
        <v>7.440478283</v>
      </c>
      <c r="AP89" s="34">
        <f t="shared" si="11"/>
        <v>16.71620823</v>
      </c>
      <c r="AQ89" s="34">
        <f t="shared" si="12"/>
        <v>18.98913508</v>
      </c>
      <c r="AR89" s="34">
        <f t="shared" si="13"/>
        <v>4.212623734</v>
      </c>
      <c r="AS89" s="34">
        <f t="shared" si="14"/>
        <v>50.2641826</v>
      </c>
      <c r="AT89" s="35">
        <f t="shared" si="15"/>
        <v>97.62262793</v>
      </c>
      <c r="AV89" s="32">
        <f t="shared" si="16"/>
        <v>4424.589039</v>
      </c>
    </row>
    <row r="90" ht="14.25" customHeight="1">
      <c r="B90" s="36"/>
      <c r="C90" s="20" t="s">
        <v>46</v>
      </c>
      <c r="D90" s="21"/>
      <c r="E90" s="22" t="s">
        <v>48</v>
      </c>
      <c r="F90" s="49"/>
      <c r="G90" s="47">
        <v>46.4</v>
      </c>
      <c r="H90" s="47">
        <v>5.7</v>
      </c>
      <c r="I90" s="47">
        <v>47.7</v>
      </c>
      <c r="J90" s="40">
        <v>0.2</v>
      </c>
      <c r="K90" s="25">
        <v>0.0</v>
      </c>
      <c r="L90" s="26">
        <f t="shared" si="48"/>
        <v>9.15</v>
      </c>
      <c r="M90" s="27">
        <f t="shared" si="49"/>
        <v>81.3435</v>
      </c>
      <c r="N90" s="47">
        <v>8.5</v>
      </c>
      <c r="O90" s="27">
        <f t="shared" si="50"/>
        <v>1.0065</v>
      </c>
      <c r="P90" s="25">
        <v>0.38</v>
      </c>
      <c r="Q90" s="45">
        <v>779.5</v>
      </c>
      <c r="R90" s="45" t="s">
        <v>50</v>
      </c>
      <c r="S90" s="25">
        <v>0.0</v>
      </c>
      <c r="T90" s="46" t="s">
        <v>51</v>
      </c>
      <c r="U90" s="25">
        <v>15.97</v>
      </c>
      <c r="V90" s="25">
        <v>33.21</v>
      </c>
      <c r="W90" s="25">
        <v>38.49</v>
      </c>
      <c r="X90" s="25">
        <v>8.61</v>
      </c>
      <c r="Y90" s="31">
        <f t="shared" si="5"/>
        <v>53.05273281</v>
      </c>
      <c r="Z90" s="25">
        <v>2.66</v>
      </c>
      <c r="AA90" s="22" t="s">
        <v>51</v>
      </c>
      <c r="AB90" s="22" t="s">
        <v>51</v>
      </c>
      <c r="AC90" s="32">
        <f t="shared" si="6"/>
        <v>9004.845357</v>
      </c>
      <c r="AD90" s="22" t="s">
        <v>51</v>
      </c>
      <c r="AK90" s="33">
        <f t="shared" si="7"/>
        <v>5.440822421</v>
      </c>
      <c r="AL90" s="33">
        <f t="shared" si="8"/>
        <v>4.814676462</v>
      </c>
      <c r="AM90" s="33">
        <f t="shared" si="9"/>
        <v>10.25549888</v>
      </c>
      <c r="AO90" s="34">
        <f t="shared" si="10"/>
        <v>7.49747857</v>
      </c>
      <c r="AP90" s="34">
        <f t="shared" si="11"/>
        <v>15.59118743</v>
      </c>
      <c r="AQ90" s="34">
        <f t="shared" si="12"/>
        <v>18.07000314</v>
      </c>
      <c r="AR90" s="34">
        <f t="shared" si="13"/>
        <v>4.042159705</v>
      </c>
      <c r="AS90" s="34">
        <f t="shared" si="14"/>
        <v>53.05273281</v>
      </c>
      <c r="AT90" s="35">
        <f t="shared" si="15"/>
        <v>98.25356166</v>
      </c>
      <c r="AV90" s="32">
        <f t="shared" si="16"/>
        <v>4227.52881</v>
      </c>
    </row>
    <row r="91" ht="14.25" customHeight="1">
      <c r="B91" s="36"/>
      <c r="C91" s="20" t="s">
        <v>46</v>
      </c>
      <c r="D91" s="21"/>
      <c r="E91" s="22" t="s">
        <v>48</v>
      </c>
      <c r="F91" s="49"/>
      <c r="G91" s="47">
        <v>46.4</v>
      </c>
      <c r="H91" s="47">
        <v>5.7</v>
      </c>
      <c r="I91" s="47">
        <v>47.7</v>
      </c>
      <c r="J91" s="40">
        <v>0.2</v>
      </c>
      <c r="K91" s="25">
        <v>0.0</v>
      </c>
      <c r="L91" s="26">
        <f t="shared" si="48"/>
        <v>9.15</v>
      </c>
      <c r="M91" s="27">
        <f t="shared" si="49"/>
        <v>81.3435</v>
      </c>
      <c r="N91" s="47">
        <v>8.5</v>
      </c>
      <c r="O91" s="27">
        <f t="shared" si="50"/>
        <v>1.0065</v>
      </c>
      <c r="P91" s="25">
        <v>0.4</v>
      </c>
      <c r="Q91" s="45">
        <v>791.8</v>
      </c>
      <c r="R91" s="45" t="s">
        <v>50</v>
      </c>
      <c r="S91" s="25">
        <v>0.0</v>
      </c>
      <c r="T91" s="46" t="s">
        <v>51</v>
      </c>
      <c r="U91" s="25">
        <v>15.45</v>
      </c>
      <c r="V91" s="25">
        <v>33.08</v>
      </c>
      <c r="W91" s="25">
        <v>38.82</v>
      </c>
      <c r="X91" s="25">
        <v>8.64</v>
      </c>
      <c r="Y91" s="31">
        <f t="shared" si="5"/>
        <v>54.3973309</v>
      </c>
      <c r="Z91" s="25">
        <v>2.77</v>
      </c>
      <c r="AA91" s="22" t="s">
        <v>51</v>
      </c>
      <c r="AB91" s="22" t="s">
        <v>51</v>
      </c>
      <c r="AC91" s="32">
        <f t="shared" si="6"/>
        <v>8943.033839</v>
      </c>
      <c r="AD91" s="22" t="s">
        <v>51</v>
      </c>
      <c r="AK91" s="33">
        <f t="shared" si="7"/>
        <v>5.726805556</v>
      </c>
      <c r="AL91" s="33">
        <f t="shared" si="8"/>
        <v>4.800927076</v>
      </c>
      <c r="AM91" s="33">
        <f t="shared" si="9"/>
        <v>10.52773263</v>
      </c>
      <c r="AO91" s="34">
        <f t="shared" si="10"/>
        <v>7.045612376</v>
      </c>
      <c r="AP91" s="34">
        <f t="shared" si="11"/>
        <v>15.08536294</v>
      </c>
      <c r="AQ91" s="34">
        <f t="shared" si="12"/>
        <v>17.70295614</v>
      </c>
      <c r="AR91" s="34">
        <f t="shared" si="13"/>
        <v>3.94007061</v>
      </c>
      <c r="AS91" s="34">
        <f t="shared" si="14"/>
        <v>54.3973309</v>
      </c>
      <c r="AT91" s="35">
        <f t="shared" si="15"/>
        <v>98.17133297</v>
      </c>
      <c r="AV91" s="32">
        <f t="shared" si="16"/>
        <v>4078.262129</v>
      </c>
    </row>
    <row r="92" ht="14.25" customHeight="1">
      <c r="B92" s="36"/>
      <c r="C92" s="20" t="s">
        <v>46</v>
      </c>
      <c r="D92" s="21"/>
      <c r="E92" s="22" t="s">
        <v>48</v>
      </c>
      <c r="F92" s="50"/>
      <c r="G92" s="47">
        <v>46.4</v>
      </c>
      <c r="H92" s="47">
        <v>5.7</v>
      </c>
      <c r="I92" s="47">
        <v>47.7</v>
      </c>
      <c r="J92" s="40">
        <v>0.2</v>
      </c>
      <c r="K92" s="25">
        <v>0.0</v>
      </c>
      <c r="L92" s="26">
        <f t="shared" si="48"/>
        <v>9.15</v>
      </c>
      <c r="M92" s="27">
        <f t="shared" si="49"/>
        <v>81.3435</v>
      </c>
      <c r="N92" s="47">
        <v>8.5</v>
      </c>
      <c r="O92" s="27">
        <f t="shared" si="50"/>
        <v>1.0065</v>
      </c>
      <c r="P92" s="25">
        <v>0.45</v>
      </c>
      <c r="Q92" s="45">
        <v>829.1</v>
      </c>
      <c r="R92" s="45" t="s">
        <v>50</v>
      </c>
      <c r="S92" s="25">
        <v>0.0</v>
      </c>
      <c r="T92" s="46" t="s">
        <v>51</v>
      </c>
      <c r="U92" s="25">
        <v>14.39</v>
      </c>
      <c r="V92" s="25">
        <v>33.28</v>
      </c>
      <c r="W92" s="25">
        <v>39.92</v>
      </c>
      <c r="X92" s="25">
        <v>8.69</v>
      </c>
      <c r="Y92" s="31">
        <f t="shared" si="5"/>
        <v>57.70356637</v>
      </c>
      <c r="Z92" s="25">
        <v>3.0</v>
      </c>
      <c r="AA92" s="22" t="s">
        <v>51</v>
      </c>
      <c r="AB92" s="22" t="s">
        <v>51</v>
      </c>
      <c r="AC92" s="32">
        <f t="shared" si="6"/>
        <v>8871.784643</v>
      </c>
      <c r="AD92" s="22" t="s">
        <v>51</v>
      </c>
      <c r="AK92" s="33">
        <f t="shared" si="7"/>
        <v>6.441763393</v>
      </c>
      <c r="AL92" s="33">
        <f t="shared" si="8"/>
        <v>4.721781251</v>
      </c>
      <c r="AM92" s="33">
        <f t="shared" si="9"/>
        <v>11.16354464</v>
      </c>
      <c r="AO92" s="34">
        <f t="shared" si="10"/>
        <v>6.0864568</v>
      </c>
      <c r="AP92" s="34">
        <f t="shared" si="11"/>
        <v>14.07625311</v>
      </c>
      <c r="AQ92" s="34">
        <f t="shared" si="12"/>
        <v>16.88473631</v>
      </c>
      <c r="AR92" s="34">
        <f t="shared" si="13"/>
        <v>3.675560083</v>
      </c>
      <c r="AS92" s="34">
        <f t="shared" si="14"/>
        <v>57.70356637</v>
      </c>
      <c r="AT92" s="35">
        <f t="shared" si="15"/>
        <v>98.42657267</v>
      </c>
      <c r="AV92" s="32">
        <f t="shared" si="16"/>
        <v>3752.448503</v>
      </c>
    </row>
    <row r="93" ht="14.25" customHeight="1">
      <c r="B93" s="36"/>
      <c r="C93" s="20" t="s">
        <v>46</v>
      </c>
      <c r="D93" s="21"/>
      <c r="E93" s="22" t="s">
        <v>48</v>
      </c>
      <c r="F93" s="22" t="s">
        <v>64</v>
      </c>
      <c r="G93" s="25">
        <v>47.52</v>
      </c>
      <c r="H93" s="25">
        <v>6.5</v>
      </c>
      <c r="I93" s="25">
        <v>45.92</v>
      </c>
      <c r="J93" s="22">
        <v>0.05</v>
      </c>
      <c r="K93" s="25">
        <v>0.01</v>
      </c>
      <c r="L93" s="24">
        <v>16.66</v>
      </c>
      <c r="M93" s="25">
        <v>74.0</v>
      </c>
      <c r="N93" s="25">
        <v>8.9</v>
      </c>
      <c r="O93" s="25">
        <v>0.44</v>
      </c>
      <c r="P93" s="25">
        <v>0.19</v>
      </c>
      <c r="Q93" s="45">
        <v>800.0</v>
      </c>
      <c r="R93" s="45" t="s">
        <v>50</v>
      </c>
      <c r="S93" s="25">
        <v>0.0</v>
      </c>
      <c r="T93" s="46" t="s">
        <v>51</v>
      </c>
      <c r="U93" s="25">
        <v>15.281587865096018</v>
      </c>
      <c r="V93" s="25">
        <v>25.964176214297243</v>
      </c>
      <c r="W93" s="25">
        <v>21.12312409230273</v>
      </c>
      <c r="X93" s="25">
        <v>8.875262223656609</v>
      </c>
      <c r="Y93" s="31">
        <f t="shared" si="5"/>
        <v>29.54984581</v>
      </c>
      <c r="Z93" s="25" t="s">
        <v>51</v>
      </c>
      <c r="AA93" s="22" t="s">
        <v>51</v>
      </c>
      <c r="AB93" s="22" t="s">
        <v>51</v>
      </c>
      <c r="AC93" s="32">
        <f t="shared" si="6"/>
        <v>8110.142148</v>
      </c>
      <c r="AD93" s="22" t="s">
        <v>51</v>
      </c>
      <c r="AK93" s="33">
        <f t="shared" si="7"/>
        <v>2.968047619</v>
      </c>
      <c r="AL93" s="33">
        <f t="shared" si="8"/>
        <v>7.07615917</v>
      </c>
      <c r="AM93" s="33">
        <f t="shared" si="9"/>
        <v>10.04420679</v>
      </c>
      <c r="AO93" s="34">
        <f t="shared" si="10"/>
        <v>10.76590221</v>
      </c>
      <c r="AP93" s="34">
        <f t="shared" si="11"/>
        <v>18.29180218</v>
      </c>
      <c r="AQ93" s="34">
        <f t="shared" si="12"/>
        <v>14.88127349</v>
      </c>
      <c r="AR93" s="34">
        <f t="shared" si="13"/>
        <v>6.252635921</v>
      </c>
      <c r="AS93" s="34">
        <f t="shared" si="14"/>
        <v>29.54984581</v>
      </c>
      <c r="AT93" s="35">
        <f t="shared" si="15"/>
        <v>79.74145962</v>
      </c>
      <c r="AV93" s="32">
        <f t="shared" si="16"/>
        <v>5713.607648</v>
      </c>
    </row>
    <row r="94" ht="14.25" customHeight="1">
      <c r="B94" s="36"/>
      <c r="C94" s="20" t="s">
        <v>46</v>
      </c>
      <c r="D94" s="21"/>
      <c r="E94" s="22" t="s">
        <v>48</v>
      </c>
      <c r="F94" s="22" t="s">
        <v>65</v>
      </c>
      <c r="G94" s="25">
        <v>47.47</v>
      </c>
      <c r="H94" s="25">
        <v>6.24</v>
      </c>
      <c r="I94" s="25">
        <v>46.13</v>
      </c>
      <c r="J94" s="22">
        <v>0.14</v>
      </c>
      <c r="K94" s="25">
        <v>0.02</v>
      </c>
      <c r="L94" s="24">
        <v>16.81</v>
      </c>
      <c r="M94" s="25">
        <v>75.11</v>
      </c>
      <c r="N94" s="25">
        <v>6.25</v>
      </c>
      <c r="O94" s="25">
        <v>1.83</v>
      </c>
      <c r="P94" s="25">
        <v>0.2</v>
      </c>
      <c r="Q94" s="45">
        <v>800.0</v>
      </c>
      <c r="R94" s="45" t="s">
        <v>50</v>
      </c>
      <c r="S94" s="25">
        <v>0.0</v>
      </c>
      <c r="T94" s="46" t="s">
        <v>51</v>
      </c>
      <c r="U94" s="25">
        <v>18.57986224991801</v>
      </c>
      <c r="V94" s="25">
        <v>27.730403410954416</v>
      </c>
      <c r="W94" s="25">
        <v>22.23679895047557</v>
      </c>
      <c r="X94" s="25">
        <v>8.642177763201051</v>
      </c>
      <c r="Y94" s="31">
        <f t="shared" si="5"/>
        <v>31.26718406</v>
      </c>
      <c r="Z94" s="25" t="s">
        <v>51</v>
      </c>
      <c r="AA94" s="22" t="s">
        <v>51</v>
      </c>
      <c r="AB94" s="22" t="s">
        <v>51</v>
      </c>
      <c r="AC94" s="32">
        <f t="shared" si="6"/>
        <v>8605.835344</v>
      </c>
      <c r="AD94" s="22" t="s">
        <v>51</v>
      </c>
      <c r="AK94" s="33">
        <f t="shared" si="7"/>
        <v>3.07040377</v>
      </c>
      <c r="AL94" s="33">
        <f t="shared" si="8"/>
        <v>6.749488435</v>
      </c>
      <c r="AM94" s="33">
        <f t="shared" si="9"/>
        <v>9.819892205</v>
      </c>
      <c r="AO94" s="34">
        <f t="shared" si="10"/>
        <v>12.77046252</v>
      </c>
      <c r="AP94" s="34">
        <f t="shared" si="11"/>
        <v>19.05988714</v>
      </c>
      <c r="AQ94" s="34">
        <f t="shared" si="12"/>
        <v>15.28397809</v>
      </c>
      <c r="AR94" s="34">
        <f t="shared" si="13"/>
        <v>5.940012135</v>
      </c>
      <c r="AS94" s="34">
        <f t="shared" si="14"/>
        <v>31.26718406</v>
      </c>
      <c r="AT94" s="35">
        <f t="shared" si="15"/>
        <v>84.32152395</v>
      </c>
      <c r="AV94" s="32">
        <f t="shared" si="16"/>
        <v>5915.032967</v>
      </c>
    </row>
    <row r="95" ht="14.25" customHeight="1">
      <c r="B95" s="36"/>
      <c r="C95" s="20" t="s">
        <v>46</v>
      </c>
      <c r="D95" s="21"/>
      <c r="E95" s="22" t="s">
        <v>48</v>
      </c>
      <c r="F95" s="22" t="s">
        <v>66</v>
      </c>
      <c r="G95" s="25">
        <v>40.83</v>
      </c>
      <c r="H95" s="25">
        <v>7.1</v>
      </c>
      <c r="I95" s="25">
        <v>50.5</v>
      </c>
      <c r="J95" s="22">
        <v>1.4</v>
      </c>
      <c r="K95" s="25">
        <v>0.17</v>
      </c>
      <c r="L95" s="24">
        <v>17.15</v>
      </c>
      <c r="M95" s="25">
        <v>66.43</v>
      </c>
      <c r="N95" s="25">
        <v>15.02</v>
      </c>
      <c r="O95" s="25">
        <v>1.4</v>
      </c>
      <c r="P95" s="25">
        <v>0.22</v>
      </c>
      <c r="Q95" s="45">
        <v>800.0</v>
      </c>
      <c r="R95" s="45" t="s">
        <v>50</v>
      </c>
      <c r="S95" s="25">
        <v>0.0</v>
      </c>
      <c r="T95" s="46" t="s">
        <v>51</v>
      </c>
      <c r="U95" s="25">
        <v>7.585616438356165</v>
      </c>
      <c r="V95" s="25">
        <v>21.267123287671232</v>
      </c>
      <c r="W95" s="25">
        <v>18.68150684931507</v>
      </c>
      <c r="X95" s="25">
        <v>6.147260273972603</v>
      </c>
      <c r="Y95" s="31">
        <f t="shared" si="5"/>
        <v>29.09543375</v>
      </c>
      <c r="Z95" s="25" t="s">
        <v>51</v>
      </c>
      <c r="AA95" s="22" t="s">
        <v>51</v>
      </c>
      <c r="AB95" s="22" t="s">
        <v>51</v>
      </c>
      <c r="AC95" s="32">
        <f t="shared" si="6"/>
        <v>5708.421294</v>
      </c>
      <c r="AD95" s="22" t="s">
        <v>51</v>
      </c>
      <c r="AK95" s="33">
        <f t="shared" si="7"/>
        <v>3.02891131</v>
      </c>
      <c r="AL95" s="33">
        <f t="shared" si="8"/>
        <v>7.381352155</v>
      </c>
      <c r="AM95" s="33">
        <f t="shared" si="9"/>
        <v>10.41026346</v>
      </c>
      <c r="AO95" s="34">
        <f t="shared" si="10"/>
        <v>5.378548433</v>
      </c>
      <c r="AP95" s="34">
        <f t="shared" si="11"/>
        <v>15.07936152</v>
      </c>
      <c r="AQ95" s="34">
        <f t="shared" si="12"/>
        <v>13.2460414</v>
      </c>
      <c r="AR95" s="34">
        <f t="shared" si="13"/>
        <v>4.358688233</v>
      </c>
      <c r="AS95" s="34">
        <f t="shared" si="14"/>
        <v>29.09543375</v>
      </c>
      <c r="AT95" s="35">
        <f t="shared" si="15"/>
        <v>67.15807334</v>
      </c>
      <c r="AV95" s="32">
        <f t="shared" si="16"/>
        <v>4047.531358</v>
      </c>
    </row>
    <row r="96" ht="14.25" customHeight="1">
      <c r="B96" s="36"/>
      <c r="C96" s="20" t="s">
        <v>46</v>
      </c>
      <c r="D96" s="21"/>
      <c r="E96" s="22" t="s">
        <v>48</v>
      </c>
      <c r="F96" s="23" t="s">
        <v>67</v>
      </c>
      <c r="G96" s="27">
        <v>50.9</v>
      </c>
      <c r="H96" s="27">
        <v>6.64</v>
      </c>
      <c r="I96" s="27">
        <v>41.5</v>
      </c>
      <c r="J96" s="27">
        <v>0.96271</v>
      </c>
      <c r="K96" s="25">
        <v>0.0</v>
      </c>
      <c r="L96" s="27">
        <f t="shared" ref="L96:L99" si="51">11.42*(100-N96)/100</f>
        <v>10.49498</v>
      </c>
      <c r="M96" s="27">
        <f t="shared" ref="M96:M99" si="52">78.95*(100-N96)/100</f>
        <v>72.55505</v>
      </c>
      <c r="N96" s="25">
        <v>8.1</v>
      </c>
      <c r="O96" s="27">
        <f t="shared" ref="O96:O99" si="53">9.63*(100-N96)/100</f>
        <v>8.84997</v>
      </c>
      <c r="P96" s="25">
        <v>0.3</v>
      </c>
      <c r="Q96" s="45">
        <v>750.0</v>
      </c>
      <c r="R96" s="45" t="s">
        <v>62</v>
      </c>
      <c r="S96" s="25">
        <v>0.0</v>
      </c>
      <c r="T96" s="46" t="s">
        <v>51</v>
      </c>
      <c r="U96" s="25">
        <v>26.8</v>
      </c>
      <c r="V96" s="25">
        <v>29.4</v>
      </c>
      <c r="W96" s="25">
        <v>35.1</v>
      </c>
      <c r="X96" s="25">
        <v>8.6</v>
      </c>
      <c r="Y96" s="31">
        <f t="shared" si="5"/>
        <v>47.41097265</v>
      </c>
      <c r="Z96" s="25">
        <v>2.3795</v>
      </c>
      <c r="AA96" s="22" t="s">
        <v>51</v>
      </c>
      <c r="AB96" s="22" t="s">
        <v>51</v>
      </c>
      <c r="AC96" s="32">
        <f t="shared" si="6"/>
        <v>9689.066071</v>
      </c>
      <c r="AD96" s="22" t="s">
        <v>51</v>
      </c>
      <c r="AK96" s="33">
        <f t="shared" si="7"/>
        <v>5.23121881</v>
      </c>
      <c r="AL96" s="33">
        <f t="shared" si="8"/>
        <v>5.80255358</v>
      </c>
      <c r="AM96" s="33">
        <f t="shared" si="9"/>
        <v>11.03377239</v>
      </c>
      <c r="AO96" s="34">
        <f t="shared" si="10"/>
        <v>14.09385933</v>
      </c>
      <c r="AP96" s="34">
        <f t="shared" si="11"/>
        <v>15.46117404</v>
      </c>
      <c r="AQ96" s="34">
        <f t="shared" si="12"/>
        <v>18.4587486</v>
      </c>
      <c r="AR96" s="34">
        <f t="shared" si="13"/>
        <v>4.522656352</v>
      </c>
      <c r="AS96" s="34">
        <f t="shared" si="14"/>
        <v>47.41097265</v>
      </c>
      <c r="AT96" s="35">
        <f t="shared" si="15"/>
        <v>99.94741097</v>
      </c>
      <c r="AV96" s="32">
        <f t="shared" si="16"/>
        <v>5095.385606</v>
      </c>
    </row>
    <row r="97" ht="14.25" customHeight="1">
      <c r="B97" s="36"/>
      <c r="C97" s="20" t="s">
        <v>46</v>
      </c>
      <c r="D97" s="21"/>
      <c r="E97" s="22" t="s">
        <v>48</v>
      </c>
      <c r="F97" s="42"/>
      <c r="G97" s="27">
        <v>50.9</v>
      </c>
      <c r="H97" s="27">
        <v>6.64</v>
      </c>
      <c r="I97" s="27">
        <v>41.5</v>
      </c>
      <c r="J97" s="27">
        <v>0.96271</v>
      </c>
      <c r="K97" s="25">
        <v>0.0</v>
      </c>
      <c r="L97" s="27">
        <f t="shared" si="51"/>
        <v>10.49498</v>
      </c>
      <c r="M97" s="27">
        <f t="shared" si="52"/>
        <v>72.55505</v>
      </c>
      <c r="N97" s="25">
        <v>8.1</v>
      </c>
      <c r="O97" s="27">
        <f t="shared" si="53"/>
        <v>8.84997</v>
      </c>
      <c r="P97" s="25">
        <v>0.3</v>
      </c>
      <c r="Q97" s="45">
        <v>800.0</v>
      </c>
      <c r="R97" s="45" t="s">
        <v>62</v>
      </c>
      <c r="S97" s="25">
        <v>0.0</v>
      </c>
      <c r="T97" s="46" t="s">
        <v>51</v>
      </c>
      <c r="U97" s="25">
        <v>28.6</v>
      </c>
      <c r="V97" s="25">
        <v>33.1</v>
      </c>
      <c r="W97" s="25">
        <v>29.9</v>
      </c>
      <c r="X97" s="25">
        <v>8.2</v>
      </c>
      <c r="Y97" s="31">
        <f t="shared" si="5"/>
        <v>46.75483453</v>
      </c>
      <c r="Z97" s="25">
        <v>2.4979</v>
      </c>
      <c r="AA97" s="22" t="s">
        <v>51</v>
      </c>
      <c r="AB97" s="22" t="s">
        <v>51</v>
      </c>
      <c r="AC97" s="32">
        <f t="shared" si="6"/>
        <v>10207.51607</v>
      </c>
      <c r="AD97" s="22" t="s">
        <v>51</v>
      </c>
      <c r="AK97" s="33">
        <f t="shared" si="7"/>
        <v>5.23121881</v>
      </c>
      <c r="AL97" s="33">
        <f t="shared" si="8"/>
        <v>5.957397004</v>
      </c>
      <c r="AM97" s="33">
        <f t="shared" si="9"/>
        <v>11.18861581</v>
      </c>
      <c r="AO97" s="34">
        <f t="shared" si="10"/>
        <v>15.22811732</v>
      </c>
      <c r="AP97" s="34">
        <f t="shared" si="11"/>
        <v>17.62414977</v>
      </c>
      <c r="AQ97" s="34">
        <f t="shared" si="12"/>
        <v>15.92030448</v>
      </c>
      <c r="AR97" s="34">
        <f t="shared" si="13"/>
        <v>4.366103569</v>
      </c>
      <c r="AS97" s="34">
        <f t="shared" si="14"/>
        <v>46.75483453</v>
      </c>
      <c r="AT97" s="35">
        <f t="shared" si="15"/>
        <v>99.89350967</v>
      </c>
      <c r="AV97" s="32">
        <f t="shared" si="16"/>
        <v>5435.008823</v>
      </c>
    </row>
    <row r="98" ht="14.25" customHeight="1">
      <c r="B98" s="36"/>
      <c r="C98" s="20" t="s">
        <v>46</v>
      </c>
      <c r="D98" s="21"/>
      <c r="E98" s="22" t="s">
        <v>48</v>
      </c>
      <c r="F98" s="42"/>
      <c r="G98" s="27">
        <v>50.9</v>
      </c>
      <c r="H98" s="27">
        <v>6.64</v>
      </c>
      <c r="I98" s="27">
        <v>41.5</v>
      </c>
      <c r="J98" s="27">
        <v>0.96271</v>
      </c>
      <c r="K98" s="25">
        <v>0.0</v>
      </c>
      <c r="L98" s="27">
        <f t="shared" si="51"/>
        <v>10.49498</v>
      </c>
      <c r="M98" s="27">
        <f t="shared" si="52"/>
        <v>72.55505</v>
      </c>
      <c r="N98" s="25">
        <v>8.1</v>
      </c>
      <c r="O98" s="27">
        <f t="shared" si="53"/>
        <v>8.84997</v>
      </c>
      <c r="P98" s="25">
        <v>0.3</v>
      </c>
      <c r="Q98" s="45">
        <v>750.0</v>
      </c>
      <c r="R98" s="45" t="s">
        <v>50</v>
      </c>
      <c r="S98" s="25">
        <v>0.0</v>
      </c>
      <c r="T98" s="46" t="s">
        <v>51</v>
      </c>
      <c r="U98" s="25">
        <v>25.0</v>
      </c>
      <c r="V98" s="25">
        <v>31.4</v>
      </c>
      <c r="W98" s="25">
        <v>34.2</v>
      </c>
      <c r="X98" s="25">
        <v>9.4</v>
      </c>
      <c r="Y98" s="31">
        <f t="shared" si="5"/>
        <v>48.05113649</v>
      </c>
      <c r="Z98" s="25">
        <v>2.2179</v>
      </c>
      <c r="AA98" s="22" t="s">
        <v>51</v>
      </c>
      <c r="AB98" s="22" t="s">
        <v>51</v>
      </c>
      <c r="AC98" s="32">
        <f t="shared" si="6"/>
        <v>10034.075</v>
      </c>
      <c r="AD98" s="22" t="s">
        <v>51</v>
      </c>
      <c r="AK98" s="33">
        <f t="shared" si="7"/>
        <v>5.23121881</v>
      </c>
      <c r="AL98" s="33">
        <f t="shared" si="8"/>
        <v>5.655555556</v>
      </c>
      <c r="AM98" s="33">
        <f t="shared" si="9"/>
        <v>10.88677437</v>
      </c>
      <c r="AO98" s="34">
        <f t="shared" si="10"/>
        <v>12.98721588</v>
      </c>
      <c r="AP98" s="34">
        <f t="shared" si="11"/>
        <v>16.31194314</v>
      </c>
      <c r="AQ98" s="34">
        <f t="shared" si="12"/>
        <v>17.76651132</v>
      </c>
      <c r="AR98" s="34">
        <f t="shared" si="13"/>
        <v>4.88319317</v>
      </c>
      <c r="AS98" s="34">
        <f t="shared" si="14"/>
        <v>48.05113649</v>
      </c>
      <c r="AT98" s="35">
        <f t="shared" si="15"/>
        <v>100</v>
      </c>
      <c r="AV98" s="32">
        <f t="shared" si="16"/>
        <v>5212.587926</v>
      </c>
    </row>
    <row r="99" ht="14.25" customHeight="1">
      <c r="B99" s="36"/>
      <c r="C99" s="20" t="s">
        <v>46</v>
      </c>
      <c r="D99" s="21"/>
      <c r="E99" s="22" t="s">
        <v>48</v>
      </c>
      <c r="F99" s="43"/>
      <c r="G99" s="27">
        <v>50.9</v>
      </c>
      <c r="H99" s="27">
        <v>6.64</v>
      </c>
      <c r="I99" s="27">
        <v>41.5</v>
      </c>
      <c r="J99" s="27">
        <v>0.96271</v>
      </c>
      <c r="K99" s="25">
        <v>0.0</v>
      </c>
      <c r="L99" s="27">
        <f t="shared" si="51"/>
        <v>10.49498</v>
      </c>
      <c r="M99" s="27">
        <f t="shared" si="52"/>
        <v>72.55505</v>
      </c>
      <c r="N99" s="25">
        <v>8.1</v>
      </c>
      <c r="O99" s="27">
        <f t="shared" si="53"/>
        <v>8.84997</v>
      </c>
      <c r="P99" s="25">
        <v>0.3</v>
      </c>
      <c r="Q99" s="45">
        <v>800.0</v>
      </c>
      <c r="R99" s="45" t="s">
        <v>50</v>
      </c>
      <c r="S99" s="25">
        <v>0.0</v>
      </c>
      <c r="T99" s="46" t="s">
        <v>51</v>
      </c>
      <c r="U99" s="25">
        <v>27.1</v>
      </c>
      <c r="V99" s="25">
        <v>34.0</v>
      </c>
      <c r="W99" s="25">
        <v>29.8</v>
      </c>
      <c r="X99" s="25">
        <v>8.4</v>
      </c>
      <c r="Y99" s="31">
        <f t="shared" si="5"/>
        <v>47.10219801</v>
      </c>
      <c r="Z99" s="25">
        <v>2.2947</v>
      </c>
      <c r="AA99" s="22" t="s">
        <v>51</v>
      </c>
      <c r="AB99" s="22" t="s">
        <v>51</v>
      </c>
      <c r="AC99" s="32">
        <f t="shared" si="6"/>
        <v>10230.95089</v>
      </c>
      <c r="AD99" s="22" t="s">
        <v>51</v>
      </c>
      <c r="AK99" s="33">
        <f t="shared" si="7"/>
        <v>5.23121881</v>
      </c>
      <c r="AL99" s="33">
        <f t="shared" si="8"/>
        <v>5.87488458</v>
      </c>
      <c r="AM99" s="33">
        <f t="shared" si="9"/>
        <v>11.10610339</v>
      </c>
      <c r="AO99" s="34">
        <f t="shared" si="10"/>
        <v>14.33530434</v>
      </c>
      <c r="AP99" s="34">
        <f t="shared" si="11"/>
        <v>17.98525268</v>
      </c>
      <c r="AQ99" s="34">
        <f t="shared" si="12"/>
        <v>15.76354499</v>
      </c>
      <c r="AR99" s="34">
        <f t="shared" si="13"/>
        <v>4.443415367</v>
      </c>
      <c r="AS99" s="34">
        <f t="shared" si="14"/>
        <v>47.10219801</v>
      </c>
      <c r="AT99" s="35">
        <f t="shared" si="15"/>
        <v>99.62971539</v>
      </c>
      <c r="AV99" s="32">
        <f t="shared" si="16"/>
        <v>5411.948145</v>
      </c>
    </row>
    <row r="100" ht="14.25" customHeight="1">
      <c r="B100" s="36"/>
      <c r="C100" s="20" t="s">
        <v>46</v>
      </c>
      <c r="D100" s="21"/>
      <c r="E100" s="22" t="s">
        <v>48</v>
      </c>
      <c r="F100" s="23" t="s">
        <v>68</v>
      </c>
      <c r="G100" s="27">
        <v>49.79</v>
      </c>
      <c r="H100" s="27">
        <v>6.79</v>
      </c>
      <c r="I100" s="27">
        <v>40.35</v>
      </c>
      <c r="J100" s="27">
        <v>3.07</v>
      </c>
      <c r="K100" s="25">
        <v>0.0</v>
      </c>
      <c r="L100" s="26">
        <f t="shared" ref="L100:L103" si="54">14.3*(100-N100)/100</f>
        <v>13.1274</v>
      </c>
      <c r="M100" s="27">
        <f t="shared" ref="M100:M103" si="55">83.31*(100-N100)/100</f>
        <v>76.47858</v>
      </c>
      <c r="N100" s="25">
        <v>8.2</v>
      </c>
      <c r="O100" s="27">
        <f t="shared" ref="O100:O103" si="56">2.39*(100-N100)/100</f>
        <v>2.19402</v>
      </c>
      <c r="P100" s="25">
        <v>0.3</v>
      </c>
      <c r="Q100" s="45">
        <v>750.0</v>
      </c>
      <c r="R100" s="45" t="s">
        <v>62</v>
      </c>
      <c r="S100" s="25">
        <v>0.0</v>
      </c>
      <c r="T100" s="46" t="s">
        <v>51</v>
      </c>
      <c r="U100" s="25">
        <v>23.6</v>
      </c>
      <c r="V100" s="25">
        <v>29.5</v>
      </c>
      <c r="W100" s="25">
        <v>34.8</v>
      </c>
      <c r="X100" s="25">
        <v>8.5</v>
      </c>
      <c r="Y100" s="31">
        <f t="shared" si="5"/>
        <v>48.11350597</v>
      </c>
      <c r="Z100" s="25">
        <v>2.5286</v>
      </c>
      <c r="AA100" s="22" t="s">
        <v>51</v>
      </c>
      <c r="AB100" s="22" t="s">
        <v>51</v>
      </c>
      <c r="AC100" s="32">
        <f t="shared" si="6"/>
        <v>9320.411607</v>
      </c>
      <c r="AD100" s="22" t="s">
        <v>51</v>
      </c>
      <c r="AK100" s="33">
        <f t="shared" si="7"/>
        <v>5.284965774</v>
      </c>
      <c r="AL100" s="33">
        <f t="shared" si="8"/>
        <v>5.699404762</v>
      </c>
      <c r="AM100" s="33">
        <f t="shared" si="9"/>
        <v>10.98437054</v>
      </c>
      <c r="AO100" s="34">
        <f t="shared" si="10"/>
        <v>12.24521259</v>
      </c>
      <c r="AP100" s="34">
        <f t="shared" si="11"/>
        <v>15.30651574</v>
      </c>
      <c r="AQ100" s="34">
        <f t="shared" si="12"/>
        <v>18.05649992</v>
      </c>
      <c r="AR100" s="34">
        <f t="shared" si="13"/>
        <v>4.410351992</v>
      </c>
      <c r="AS100" s="34">
        <f t="shared" si="14"/>
        <v>48.11350597</v>
      </c>
      <c r="AT100" s="35">
        <f t="shared" si="15"/>
        <v>98.13208622</v>
      </c>
      <c r="AV100" s="32">
        <f t="shared" si="16"/>
        <v>4836.034812</v>
      </c>
    </row>
    <row r="101" ht="14.25" customHeight="1">
      <c r="B101" s="36"/>
      <c r="C101" s="20" t="s">
        <v>46</v>
      </c>
      <c r="D101" s="21"/>
      <c r="E101" s="22" t="s">
        <v>48</v>
      </c>
      <c r="F101" s="42"/>
      <c r="G101" s="27">
        <v>49.79</v>
      </c>
      <c r="H101" s="27">
        <v>6.79</v>
      </c>
      <c r="I101" s="27">
        <v>40.35</v>
      </c>
      <c r="J101" s="27">
        <v>3.07</v>
      </c>
      <c r="K101" s="25">
        <v>0.0</v>
      </c>
      <c r="L101" s="26">
        <f t="shared" si="54"/>
        <v>13.1274</v>
      </c>
      <c r="M101" s="27">
        <f t="shared" si="55"/>
        <v>76.47858</v>
      </c>
      <c r="N101" s="25">
        <v>8.2</v>
      </c>
      <c r="O101" s="27">
        <f t="shared" si="56"/>
        <v>2.19402</v>
      </c>
      <c r="P101" s="25">
        <v>0.3</v>
      </c>
      <c r="Q101" s="45">
        <v>800.0</v>
      </c>
      <c r="R101" s="45" t="s">
        <v>62</v>
      </c>
      <c r="S101" s="25">
        <v>0.0</v>
      </c>
      <c r="T101" s="46" t="s">
        <v>51</v>
      </c>
      <c r="U101" s="25">
        <v>25.5</v>
      </c>
      <c r="V101" s="25">
        <v>35.1</v>
      </c>
      <c r="W101" s="25">
        <v>30.3</v>
      </c>
      <c r="X101" s="25">
        <v>7.8</v>
      </c>
      <c r="Y101" s="31">
        <f t="shared" si="5"/>
        <v>48.25031141</v>
      </c>
      <c r="Z101" s="25">
        <v>2.6253</v>
      </c>
      <c r="AA101" s="22" t="s">
        <v>51</v>
      </c>
      <c r="AB101" s="22" t="s">
        <v>51</v>
      </c>
      <c r="AC101" s="32">
        <f t="shared" si="6"/>
        <v>9982.208036</v>
      </c>
      <c r="AD101" s="22" t="s">
        <v>51</v>
      </c>
      <c r="AK101" s="33">
        <f t="shared" si="7"/>
        <v>5.284965774</v>
      </c>
      <c r="AL101" s="33">
        <f t="shared" si="8"/>
        <v>5.668260474</v>
      </c>
      <c r="AM101" s="33">
        <f t="shared" si="9"/>
        <v>10.95322625</v>
      </c>
      <c r="AO101" s="34">
        <f t="shared" si="10"/>
        <v>13.19617059</v>
      </c>
      <c r="AP101" s="34">
        <f t="shared" si="11"/>
        <v>18.1641407</v>
      </c>
      <c r="AQ101" s="34">
        <f t="shared" si="12"/>
        <v>15.68015564</v>
      </c>
      <c r="AR101" s="34">
        <f t="shared" si="13"/>
        <v>4.03647571</v>
      </c>
      <c r="AS101" s="34">
        <f t="shared" si="14"/>
        <v>48.25031141</v>
      </c>
      <c r="AT101" s="35">
        <f t="shared" si="15"/>
        <v>99.32725405</v>
      </c>
      <c r="AV101" s="32">
        <f t="shared" si="16"/>
        <v>5165.761573</v>
      </c>
    </row>
    <row r="102" ht="14.25" customHeight="1">
      <c r="B102" s="36"/>
      <c r="C102" s="20" t="s">
        <v>46</v>
      </c>
      <c r="D102" s="21"/>
      <c r="E102" s="22" t="s">
        <v>48</v>
      </c>
      <c r="F102" s="42"/>
      <c r="G102" s="27">
        <v>49.79</v>
      </c>
      <c r="H102" s="27">
        <v>6.79</v>
      </c>
      <c r="I102" s="27">
        <v>40.35</v>
      </c>
      <c r="J102" s="27">
        <v>3.07</v>
      </c>
      <c r="K102" s="25">
        <v>0.0</v>
      </c>
      <c r="L102" s="26">
        <f t="shared" si="54"/>
        <v>13.1274</v>
      </c>
      <c r="M102" s="27">
        <f t="shared" si="55"/>
        <v>76.47858</v>
      </c>
      <c r="N102" s="25">
        <v>8.2</v>
      </c>
      <c r="O102" s="27">
        <f t="shared" si="56"/>
        <v>2.19402</v>
      </c>
      <c r="P102" s="25">
        <v>0.3</v>
      </c>
      <c r="Q102" s="45">
        <v>750.0</v>
      </c>
      <c r="R102" s="45" t="s">
        <v>50</v>
      </c>
      <c r="S102" s="25">
        <v>0.0</v>
      </c>
      <c r="T102" s="46" t="s">
        <v>51</v>
      </c>
      <c r="U102" s="25">
        <v>21.8</v>
      </c>
      <c r="V102" s="25">
        <v>31.7</v>
      </c>
      <c r="W102" s="25">
        <v>36.0</v>
      </c>
      <c r="X102" s="25">
        <v>7.8</v>
      </c>
      <c r="Y102" s="31">
        <f t="shared" si="5"/>
        <v>49.02315188</v>
      </c>
      <c r="Z102" s="25">
        <v>2.259</v>
      </c>
      <c r="AA102" s="22" t="s">
        <v>51</v>
      </c>
      <c r="AB102" s="22" t="s">
        <v>51</v>
      </c>
      <c r="AC102" s="32">
        <f t="shared" si="6"/>
        <v>9153.219643</v>
      </c>
      <c r="AD102" s="22" t="s">
        <v>51</v>
      </c>
      <c r="AK102" s="33">
        <f t="shared" si="7"/>
        <v>5.284965774</v>
      </c>
      <c r="AL102" s="33">
        <f t="shared" si="8"/>
        <v>5.495584989</v>
      </c>
      <c r="AM102" s="33">
        <f t="shared" si="9"/>
        <v>10.78055076</v>
      </c>
      <c r="AO102" s="34">
        <f t="shared" si="10"/>
        <v>11.11295289</v>
      </c>
      <c r="AP102" s="34">
        <f t="shared" si="11"/>
        <v>16.15966085</v>
      </c>
      <c r="AQ102" s="34">
        <f t="shared" si="12"/>
        <v>18.35166532</v>
      </c>
      <c r="AR102" s="34">
        <f t="shared" si="13"/>
        <v>3.976194153</v>
      </c>
      <c r="AS102" s="34">
        <f t="shared" si="14"/>
        <v>49.02315188</v>
      </c>
      <c r="AT102" s="35">
        <f t="shared" si="15"/>
        <v>98.6236251</v>
      </c>
      <c r="AV102" s="32">
        <f t="shared" si="16"/>
        <v>4666.022876</v>
      </c>
    </row>
    <row r="103" ht="14.25" customHeight="1">
      <c r="B103" s="36"/>
      <c r="C103" s="20" t="s">
        <v>46</v>
      </c>
      <c r="D103" s="21"/>
      <c r="E103" s="22" t="s">
        <v>48</v>
      </c>
      <c r="F103" s="43"/>
      <c r="G103" s="27">
        <v>49.79</v>
      </c>
      <c r="H103" s="27">
        <v>6.79</v>
      </c>
      <c r="I103" s="27">
        <v>40.35</v>
      </c>
      <c r="J103" s="27">
        <v>3.07</v>
      </c>
      <c r="K103" s="25">
        <v>0.0</v>
      </c>
      <c r="L103" s="26">
        <f t="shared" si="54"/>
        <v>13.1274</v>
      </c>
      <c r="M103" s="27">
        <f t="shared" si="55"/>
        <v>76.47858</v>
      </c>
      <c r="N103" s="25">
        <v>8.2</v>
      </c>
      <c r="O103" s="27">
        <f t="shared" si="56"/>
        <v>2.19402</v>
      </c>
      <c r="P103" s="25">
        <v>0.3</v>
      </c>
      <c r="Q103" s="45">
        <v>800.0</v>
      </c>
      <c r="R103" s="45" t="s">
        <v>50</v>
      </c>
      <c r="S103" s="25">
        <v>0.0</v>
      </c>
      <c r="T103" s="46" t="s">
        <v>51</v>
      </c>
      <c r="U103" s="25">
        <v>23.4</v>
      </c>
      <c r="V103" s="25">
        <v>33.7</v>
      </c>
      <c r="W103" s="25">
        <v>35.2</v>
      </c>
      <c r="X103" s="25">
        <v>7.7</v>
      </c>
      <c r="Y103" s="31">
        <f t="shared" si="5"/>
        <v>49.38466914</v>
      </c>
      <c r="Z103" s="25">
        <v>2.2794</v>
      </c>
      <c r="AA103" s="22" t="s">
        <v>51</v>
      </c>
      <c r="AB103" s="22" t="s">
        <v>51</v>
      </c>
      <c r="AC103" s="32">
        <f t="shared" si="6"/>
        <v>9542.795536</v>
      </c>
      <c r="AD103" s="22" t="s">
        <v>51</v>
      </c>
      <c r="AK103" s="33">
        <f t="shared" si="7"/>
        <v>5.284965774</v>
      </c>
      <c r="AL103" s="33">
        <f t="shared" si="8"/>
        <v>5.416666667</v>
      </c>
      <c r="AM103" s="33">
        <f t="shared" si="9"/>
        <v>10.70163244</v>
      </c>
      <c r="AO103" s="34">
        <f t="shared" si="10"/>
        <v>11.84398742</v>
      </c>
      <c r="AP103" s="34">
        <f t="shared" si="11"/>
        <v>17.0573665</v>
      </c>
      <c r="AQ103" s="34">
        <f t="shared" si="12"/>
        <v>17.81659646</v>
      </c>
      <c r="AR103" s="34">
        <f t="shared" si="13"/>
        <v>3.897380476</v>
      </c>
      <c r="AS103" s="34">
        <f t="shared" si="14"/>
        <v>49.38466914</v>
      </c>
      <c r="AT103" s="35">
        <f t="shared" si="15"/>
        <v>100</v>
      </c>
      <c r="AV103" s="32">
        <f t="shared" si="16"/>
        <v>4830.117533</v>
      </c>
    </row>
    <row r="104" ht="14.25" customHeight="1">
      <c r="B104" s="36"/>
      <c r="C104" s="20" t="s">
        <v>46</v>
      </c>
      <c r="D104" s="21"/>
      <c r="E104" s="22" t="s">
        <v>48</v>
      </c>
      <c r="F104" s="23" t="s">
        <v>69</v>
      </c>
      <c r="G104" s="27">
        <f t="shared" ref="G104:G132" si="57">44.18*100/(100-O104)</f>
        <v>46.28601362</v>
      </c>
      <c r="H104" s="27">
        <f t="shared" ref="H104:H132" si="58">5.34*100/(100-O104)</f>
        <v>5.594552122</v>
      </c>
      <c r="I104" s="27">
        <f t="shared" ref="I104:I132" si="59">45.35*100/(100-O104)</f>
        <v>47.51178628</v>
      </c>
      <c r="J104" s="51">
        <f t="shared" ref="J104:J132" si="60">0.55*100/(100-O104)</f>
        <v>0.5762179151</v>
      </c>
      <c r="K104" s="27">
        <f t="shared" ref="K104:K132" si="61">0.03*100/(100-O104)</f>
        <v>0.0314300681</v>
      </c>
      <c r="L104" s="24">
        <v>20.2</v>
      </c>
      <c r="M104" s="25">
        <v>69.32</v>
      </c>
      <c r="N104" s="25">
        <v>5.93</v>
      </c>
      <c r="O104" s="25">
        <v>4.55</v>
      </c>
      <c r="P104" s="25">
        <v>0.15</v>
      </c>
      <c r="Q104" s="45">
        <v>650.0</v>
      </c>
      <c r="R104" s="45" t="s">
        <v>50</v>
      </c>
      <c r="S104" s="25">
        <v>0.0</v>
      </c>
      <c r="T104" s="46" t="s">
        <v>51</v>
      </c>
      <c r="U104" s="25">
        <f>7.03*100/47.48</f>
        <v>14.8062342</v>
      </c>
      <c r="V104" s="25">
        <f>20.4*100/47.48</f>
        <v>42.96545914</v>
      </c>
      <c r="W104" s="25">
        <f>15.04*100/47.48</f>
        <v>31.67649537</v>
      </c>
      <c r="X104" s="25">
        <f>5.01*100/47.48</f>
        <v>10.55181129</v>
      </c>
      <c r="Y104" s="31">
        <f t="shared" si="5"/>
        <v>32.18269592</v>
      </c>
      <c r="Z104" s="52" t="s">
        <v>51</v>
      </c>
      <c r="AA104" s="22" t="s">
        <v>51</v>
      </c>
      <c r="AB104" s="22" t="s">
        <v>51</v>
      </c>
      <c r="AC104" s="32">
        <f t="shared" si="6"/>
        <v>10807.4836</v>
      </c>
      <c r="AD104" s="22" t="s">
        <v>51</v>
      </c>
      <c r="AK104" s="33">
        <f t="shared" si="7"/>
        <v>2.148535914</v>
      </c>
      <c r="AL104" s="33">
        <f t="shared" si="8"/>
        <v>4.527523541</v>
      </c>
      <c r="AM104" s="33">
        <f t="shared" si="9"/>
        <v>6.676059455</v>
      </c>
      <c r="AO104" s="34">
        <f t="shared" si="10"/>
        <v>10.04118887</v>
      </c>
      <c r="AP104" s="34">
        <f t="shared" si="11"/>
        <v>29.13801607</v>
      </c>
      <c r="AQ104" s="34">
        <f t="shared" si="12"/>
        <v>21.48214518</v>
      </c>
      <c r="AR104" s="34">
        <f t="shared" si="13"/>
        <v>7.155953948</v>
      </c>
      <c r="AS104" s="34">
        <f t="shared" si="14"/>
        <v>32.18269592</v>
      </c>
      <c r="AT104" s="35">
        <f t="shared" si="15"/>
        <v>100</v>
      </c>
      <c r="AV104" s="32">
        <f t="shared" si="16"/>
        <v>7329.344018</v>
      </c>
    </row>
    <row r="105" ht="14.25" customHeight="1">
      <c r="B105" s="36"/>
      <c r="C105" s="20" t="s">
        <v>46</v>
      </c>
      <c r="D105" s="21"/>
      <c r="E105" s="22" t="s">
        <v>48</v>
      </c>
      <c r="F105" s="42"/>
      <c r="G105" s="27">
        <f t="shared" si="57"/>
        <v>46.28601362</v>
      </c>
      <c r="H105" s="27">
        <f t="shared" si="58"/>
        <v>5.594552122</v>
      </c>
      <c r="I105" s="27">
        <f t="shared" si="59"/>
        <v>47.51178628</v>
      </c>
      <c r="J105" s="51">
        <f t="shared" si="60"/>
        <v>0.5762179151</v>
      </c>
      <c r="K105" s="27">
        <f t="shared" si="61"/>
        <v>0.0314300681</v>
      </c>
      <c r="L105" s="24">
        <v>20.2</v>
      </c>
      <c r="M105" s="25">
        <v>69.32</v>
      </c>
      <c r="N105" s="25">
        <v>5.93</v>
      </c>
      <c r="O105" s="25">
        <v>4.55</v>
      </c>
      <c r="P105" s="25">
        <v>0.15</v>
      </c>
      <c r="Q105" s="45">
        <v>700.0</v>
      </c>
      <c r="R105" s="45" t="s">
        <v>50</v>
      </c>
      <c r="S105" s="25">
        <v>0.0</v>
      </c>
      <c r="T105" s="46" t="s">
        <v>51</v>
      </c>
      <c r="U105" s="25">
        <f>7.53*100/50.75</f>
        <v>14.83743842</v>
      </c>
      <c r="V105" s="25">
        <f>22.05*100/50.75</f>
        <v>43.44827586</v>
      </c>
      <c r="W105" s="25">
        <f>14.79*100/50.75</f>
        <v>29.14285714</v>
      </c>
      <c r="X105" s="25">
        <f>6.38*100/50.75</f>
        <v>12.57142857</v>
      </c>
      <c r="Y105" s="31">
        <f t="shared" si="5"/>
        <v>32.1747009</v>
      </c>
      <c r="Z105" s="52" t="s">
        <v>51</v>
      </c>
      <c r="AA105" s="22" t="s">
        <v>51</v>
      </c>
      <c r="AB105" s="22" t="s">
        <v>51</v>
      </c>
      <c r="AC105" s="32">
        <f t="shared" si="6"/>
        <v>11595.5051</v>
      </c>
      <c r="AD105" s="22" t="s">
        <v>51</v>
      </c>
      <c r="AK105" s="33">
        <f t="shared" si="7"/>
        <v>2.148535914</v>
      </c>
      <c r="AL105" s="33">
        <f t="shared" si="8"/>
        <v>4.52918246</v>
      </c>
      <c r="AM105" s="33">
        <f t="shared" si="9"/>
        <v>6.677718374</v>
      </c>
      <c r="AO105" s="34">
        <f t="shared" si="10"/>
        <v>10.06353699</v>
      </c>
      <c r="AP105" s="34">
        <f t="shared" si="11"/>
        <v>29.46892306</v>
      </c>
      <c r="AQ105" s="34">
        <f t="shared" si="12"/>
        <v>19.76623002</v>
      </c>
      <c r="AR105" s="34">
        <f t="shared" si="13"/>
        <v>8.52660903</v>
      </c>
      <c r="AS105" s="34">
        <f t="shared" si="14"/>
        <v>32.1747009</v>
      </c>
      <c r="AT105" s="35">
        <f t="shared" si="15"/>
        <v>100</v>
      </c>
      <c r="AV105" s="32">
        <f t="shared" si="16"/>
        <v>7864.686018</v>
      </c>
    </row>
    <row r="106" ht="14.25" customHeight="1">
      <c r="B106" s="36"/>
      <c r="C106" s="20" t="s">
        <v>46</v>
      </c>
      <c r="D106" s="21"/>
      <c r="E106" s="22" t="s">
        <v>48</v>
      </c>
      <c r="F106" s="42"/>
      <c r="G106" s="27">
        <f t="shared" si="57"/>
        <v>46.28601362</v>
      </c>
      <c r="H106" s="27">
        <f t="shared" si="58"/>
        <v>5.594552122</v>
      </c>
      <c r="I106" s="27">
        <f t="shared" si="59"/>
        <v>47.51178628</v>
      </c>
      <c r="J106" s="51">
        <f t="shared" si="60"/>
        <v>0.5762179151</v>
      </c>
      <c r="K106" s="27">
        <f t="shared" si="61"/>
        <v>0.0314300681</v>
      </c>
      <c r="L106" s="24">
        <v>20.2</v>
      </c>
      <c r="M106" s="25">
        <v>69.32</v>
      </c>
      <c r="N106" s="25">
        <v>5.93</v>
      </c>
      <c r="O106" s="25">
        <v>4.55</v>
      </c>
      <c r="P106" s="25">
        <v>0.15</v>
      </c>
      <c r="Q106" s="45">
        <v>750.0</v>
      </c>
      <c r="R106" s="45" t="s">
        <v>50</v>
      </c>
      <c r="S106" s="25">
        <v>0.0</v>
      </c>
      <c r="T106" s="46" t="s">
        <v>51</v>
      </c>
      <c r="U106" s="25">
        <f>8.47*100/52.65</f>
        <v>16.08736942</v>
      </c>
      <c r="V106" s="25">
        <f>23.07*100/52.65</f>
        <v>43.81766382</v>
      </c>
      <c r="W106" s="25">
        <f>14.03*100/52.65</f>
        <v>26.64767331</v>
      </c>
      <c r="X106" s="25">
        <f>7.08*100/52.65</f>
        <v>13.44729345</v>
      </c>
      <c r="Y106" s="31">
        <f t="shared" si="5"/>
        <v>31.85289109</v>
      </c>
      <c r="Z106" s="52" t="s">
        <v>51</v>
      </c>
      <c r="AA106" s="22" t="s">
        <v>51</v>
      </c>
      <c r="AB106" s="22" t="s">
        <v>51</v>
      </c>
      <c r="AC106" s="32">
        <f t="shared" si="6"/>
        <v>12090.94339</v>
      </c>
      <c r="AD106" s="22" t="s">
        <v>51</v>
      </c>
      <c r="AK106" s="33">
        <f t="shared" si="7"/>
        <v>2.148535914</v>
      </c>
      <c r="AL106" s="33">
        <f t="shared" si="8"/>
        <v>4.596647459</v>
      </c>
      <c r="AM106" s="33">
        <f t="shared" si="9"/>
        <v>6.745183373</v>
      </c>
      <c r="AO106" s="34">
        <f t="shared" si="10"/>
        <v>10.96307716</v>
      </c>
      <c r="AP106" s="34">
        <f t="shared" si="11"/>
        <v>29.86047108</v>
      </c>
      <c r="AQ106" s="34">
        <f t="shared" si="12"/>
        <v>18.15961895</v>
      </c>
      <c r="AR106" s="34">
        <f t="shared" si="13"/>
        <v>9.163941711</v>
      </c>
      <c r="AS106" s="34">
        <f t="shared" si="14"/>
        <v>31.85289109</v>
      </c>
      <c r="AT106" s="35">
        <f t="shared" si="15"/>
        <v>100</v>
      </c>
      <c r="AV106" s="32">
        <f t="shared" si="16"/>
        <v>8239.628362</v>
      </c>
    </row>
    <row r="107" ht="14.25" customHeight="1">
      <c r="B107" s="36"/>
      <c r="C107" s="20" t="s">
        <v>46</v>
      </c>
      <c r="D107" s="21"/>
      <c r="E107" s="22" t="s">
        <v>48</v>
      </c>
      <c r="F107" s="42"/>
      <c r="G107" s="27">
        <f t="shared" si="57"/>
        <v>46.28601362</v>
      </c>
      <c r="H107" s="27">
        <f t="shared" si="58"/>
        <v>5.594552122</v>
      </c>
      <c r="I107" s="27">
        <f t="shared" si="59"/>
        <v>47.51178628</v>
      </c>
      <c r="J107" s="51">
        <f t="shared" si="60"/>
        <v>0.5762179151</v>
      </c>
      <c r="K107" s="27">
        <f t="shared" si="61"/>
        <v>0.0314300681</v>
      </c>
      <c r="L107" s="24">
        <v>20.2</v>
      </c>
      <c r="M107" s="25">
        <v>69.32</v>
      </c>
      <c r="N107" s="25">
        <v>5.93</v>
      </c>
      <c r="O107" s="25">
        <v>4.55</v>
      </c>
      <c r="P107" s="25">
        <v>0.15</v>
      </c>
      <c r="Q107" s="45">
        <v>800.0</v>
      </c>
      <c r="R107" s="45" t="s">
        <v>50</v>
      </c>
      <c r="S107" s="25">
        <v>0.0</v>
      </c>
      <c r="T107" s="46" t="s">
        <v>51</v>
      </c>
      <c r="U107" s="25">
        <f>9.17*100/55.57</f>
        <v>16.50170956</v>
      </c>
      <c r="V107" s="25">
        <f>25.82*100/55.57</f>
        <v>46.46391938</v>
      </c>
      <c r="W107" s="25">
        <f>13.78*100/55.57</f>
        <v>24.79755264</v>
      </c>
      <c r="X107" s="25">
        <f>6.8*100/55.57</f>
        <v>12.23681843</v>
      </c>
      <c r="Y107" s="31">
        <f t="shared" si="5"/>
        <v>31.74553923</v>
      </c>
      <c r="Z107" s="52" t="s">
        <v>51</v>
      </c>
      <c r="AA107" s="22" t="s">
        <v>51</v>
      </c>
      <c r="AB107" s="22" t="s">
        <v>51</v>
      </c>
      <c r="AC107" s="32">
        <f t="shared" si="6"/>
        <v>12036.27134</v>
      </c>
      <c r="AD107" s="22" t="s">
        <v>51</v>
      </c>
      <c r="AK107" s="33">
        <f t="shared" si="7"/>
        <v>2.148535914</v>
      </c>
      <c r="AL107" s="33">
        <f t="shared" si="8"/>
        <v>4.619457214</v>
      </c>
      <c r="AM107" s="33">
        <f t="shared" si="9"/>
        <v>6.767993128</v>
      </c>
      <c r="AO107" s="34">
        <f t="shared" si="10"/>
        <v>11.26315287</v>
      </c>
      <c r="AP107" s="34">
        <f t="shared" si="11"/>
        <v>31.71369762</v>
      </c>
      <c r="AQ107" s="34">
        <f t="shared" si="12"/>
        <v>16.92543583</v>
      </c>
      <c r="AR107" s="34">
        <f t="shared" si="13"/>
        <v>8.352174432</v>
      </c>
      <c r="AS107" s="34">
        <f t="shared" si="14"/>
        <v>31.74553923</v>
      </c>
      <c r="AT107" s="35">
        <f t="shared" si="15"/>
        <v>100</v>
      </c>
      <c r="AV107" s="32">
        <f t="shared" si="16"/>
        <v>8215.292098</v>
      </c>
    </row>
    <row r="108" ht="14.25" customHeight="1">
      <c r="B108" s="36"/>
      <c r="C108" s="20" t="s">
        <v>46</v>
      </c>
      <c r="D108" s="21"/>
      <c r="E108" s="22" t="s">
        <v>48</v>
      </c>
      <c r="F108" s="42"/>
      <c r="G108" s="27">
        <f t="shared" si="57"/>
        <v>46.28601362</v>
      </c>
      <c r="H108" s="27">
        <f t="shared" si="58"/>
        <v>5.594552122</v>
      </c>
      <c r="I108" s="27">
        <f t="shared" si="59"/>
        <v>47.51178628</v>
      </c>
      <c r="J108" s="51">
        <f t="shared" si="60"/>
        <v>0.5762179151</v>
      </c>
      <c r="K108" s="27">
        <f t="shared" si="61"/>
        <v>0.0314300681</v>
      </c>
      <c r="L108" s="24">
        <v>20.2</v>
      </c>
      <c r="M108" s="25">
        <v>69.32</v>
      </c>
      <c r="N108" s="25">
        <v>5.93</v>
      </c>
      <c r="O108" s="25">
        <v>4.55</v>
      </c>
      <c r="P108" s="25">
        <v>0.15</v>
      </c>
      <c r="Q108" s="45">
        <v>850.0</v>
      </c>
      <c r="R108" s="45" t="s">
        <v>50</v>
      </c>
      <c r="S108" s="25">
        <v>0.0</v>
      </c>
      <c r="T108" s="46" t="s">
        <v>51</v>
      </c>
      <c r="U108" s="25">
        <f>11.01*100/59</f>
        <v>18.66101695</v>
      </c>
      <c r="V108" s="25">
        <f>27.9*100/59</f>
        <v>47.28813559</v>
      </c>
      <c r="W108" s="25">
        <f>13.1*100/59</f>
        <v>22.20338983</v>
      </c>
      <c r="X108" s="25">
        <f>6.99*100/59</f>
        <v>11.84745763</v>
      </c>
      <c r="Y108" s="31">
        <f t="shared" si="5"/>
        <v>31.1805623</v>
      </c>
      <c r="Z108" s="52" t="s">
        <v>51</v>
      </c>
      <c r="AA108" s="22" t="s">
        <v>51</v>
      </c>
      <c r="AB108" s="22" t="s">
        <v>51</v>
      </c>
      <c r="AC108" s="32">
        <f t="shared" si="6"/>
        <v>12233.99818</v>
      </c>
      <c r="AD108" s="22" t="s">
        <v>51</v>
      </c>
      <c r="AK108" s="33">
        <f t="shared" si="7"/>
        <v>2.148535914</v>
      </c>
      <c r="AL108" s="33">
        <f t="shared" si="8"/>
        <v>4.742090025</v>
      </c>
      <c r="AM108" s="33">
        <f t="shared" si="9"/>
        <v>6.890625939</v>
      </c>
      <c r="AO108" s="34">
        <f t="shared" si="10"/>
        <v>12.84240693</v>
      </c>
      <c r="AP108" s="34">
        <f t="shared" si="11"/>
        <v>32.54342901</v>
      </c>
      <c r="AQ108" s="34">
        <f t="shared" si="12"/>
        <v>15.28024803</v>
      </c>
      <c r="AR108" s="34">
        <f t="shared" si="13"/>
        <v>8.15335372</v>
      </c>
      <c r="AS108" s="34">
        <f t="shared" si="14"/>
        <v>31.1805623</v>
      </c>
      <c r="AT108" s="35">
        <f t="shared" si="15"/>
        <v>100</v>
      </c>
      <c r="AV108" s="32">
        <f t="shared" si="16"/>
        <v>8419.368758</v>
      </c>
    </row>
    <row r="109" ht="14.25" customHeight="1">
      <c r="B109" s="36"/>
      <c r="C109" s="20" t="s">
        <v>46</v>
      </c>
      <c r="D109" s="21"/>
      <c r="E109" s="22" t="s">
        <v>48</v>
      </c>
      <c r="F109" s="42"/>
      <c r="G109" s="27">
        <f t="shared" si="57"/>
        <v>46.28601362</v>
      </c>
      <c r="H109" s="27">
        <f t="shared" si="58"/>
        <v>5.594552122</v>
      </c>
      <c r="I109" s="27">
        <f t="shared" si="59"/>
        <v>47.51178628</v>
      </c>
      <c r="J109" s="51">
        <f t="shared" si="60"/>
        <v>0.5762179151</v>
      </c>
      <c r="K109" s="27">
        <f t="shared" si="61"/>
        <v>0.0314300681</v>
      </c>
      <c r="L109" s="24">
        <v>20.2</v>
      </c>
      <c r="M109" s="25">
        <v>69.32</v>
      </c>
      <c r="N109" s="25">
        <v>5.93</v>
      </c>
      <c r="O109" s="25">
        <v>4.55</v>
      </c>
      <c r="P109" s="25">
        <v>0.2</v>
      </c>
      <c r="Q109" s="45">
        <v>650.0</v>
      </c>
      <c r="R109" s="45" t="s">
        <v>50</v>
      </c>
      <c r="S109" s="25">
        <v>0.0</v>
      </c>
      <c r="T109" s="46" t="s">
        <v>51</v>
      </c>
      <c r="U109" s="25">
        <f>9.14*100/47.82</f>
        <v>19.1133417</v>
      </c>
      <c r="V109" s="25">
        <f>14.69*100/47.82</f>
        <v>30.71936428</v>
      </c>
      <c r="W109" s="25">
        <f>19*100/47.82</f>
        <v>39.73232957</v>
      </c>
      <c r="X109" s="25">
        <f>4.99*100/47.82</f>
        <v>10.43496445</v>
      </c>
      <c r="Y109" s="31">
        <f t="shared" si="5"/>
        <v>37.47287331</v>
      </c>
      <c r="Z109" s="52" t="s">
        <v>51</v>
      </c>
      <c r="AA109" s="22" t="s">
        <v>51</v>
      </c>
      <c r="AB109" s="22" t="s">
        <v>51</v>
      </c>
      <c r="AC109" s="32">
        <f t="shared" si="6"/>
        <v>9683.42837</v>
      </c>
      <c r="AD109" s="22" t="s">
        <v>51</v>
      </c>
      <c r="AK109" s="33">
        <f t="shared" si="7"/>
        <v>2.857854815</v>
      </c>
      <c r="AL109" s="33">
        <f t="shared" si="8"/>
        <v>4.768608177</v>
      </c>
      <c r="AM109" s="33">
        <f t="shared" si="9"/>
        <v>7.626462991</v>
      </c>
      <c r="AO109" s="34">
        <f t="shared" si="10"/>
        <v>11.95102338</v>
      </c>
      <c r="AP109" s="34">
        <f t="shared" si="11"/>
        <v>19.20793582</v>
      </c>
      <c r="AQ109" s="34">
        <f t="shared" si="12"/>
        <v>24.84348405</v>
      </c>
      <c r="AR109" s="34">
        <f t="shared" si="13"/>
        <v>6.524683442</v>
      </c>
      <c r="AS109" s="34">
        <f t="shared" si="14"/>
        <v>37.47287331</v>
      </c>
      <c r="AT109" s="35">
        <f t="shared" si="15"/>
        <v>100</v>
      </c>
      <c r="AV109" s="32">
        <f t="shared" si="16"/>
        <v>6054.769525</v>
      </c>
    </row>
    <row r="110" ht="14.25" customHeight="1">
      <c r="B110" s="36"/>
      <c r="C110" s="20" t="s">
        <v>46</v>
      </c>
      <c r="D110" s="21"/>
      <c r="E110" s="22" t="s">
        <v>48</v>
      </c>
      <c r="F110" s="42"/>
      <c r="G110" s="27">
        <f t="shared" si="57"/>
        <v>46.28601362</v>
      </c>
      <c r="H110" s="27">
        <f t="shared" si="58"/>
        <v>5.594552122</v>
      </c>
      <c r="I110" s="27">
        <f t="shared" si="59"/>
        <v>47.51178628</v>
      </c>
      <c r="J110" s="51">
        <f t="shared" si="60"/>
        <v>0.5762179151</v>
      </c>
      <c r="K110" s="27">
        <f t="shared" si="61"/>
        <v>0.0314300681</v>
      </c>
      <c r="L110" s="24">
        <v>20.2</v>
      </c>
      <c r="M110" s="25">
        <v>69.32</v>
      </c>
      <c r="N110" s="25">
        <v>5.93</v>
      </c>
      <c r="O110" s="25">
        <v>4.55</v>
      </c>
      <c r="P110" s="25">
        <v>0.2</v>
      </c>
      <c r="Q110" s="45">
        <v>700.0</v>
      </c>
      <c r="R110" s="45" t="s">
        <v>50</v>
      </c>
      <c r="S110" s="25">
        <v>0.0</v>
      </c>
      <c r="T110" s="46" t="s">
        <v>51</v>
      </c>
      <c r="U110" s="25">
        <f>9.3*100/48.93</f>
        <v>19.00674433</v>
      </c>
      <c r="V110" s="25">
        <f>14.94*100/48.93</f>
        <v>30.53341508</v>
      </c>
      <c r="W110" s="25">
        <f>18.7*100/48.93</f>
        <v>38.21786225</v>
      </c>
      <c r="X110" s="25">
        <f>5.99*100/48.93</f>
        <v>12.24197834</v>
      </c>
      <c r="Y110" s="31">
        <f t="shared" si="5"/>
        <v>37.50373649</v>
      </c>
      <c r="Z110" s="52" t="s">
        <v>51</v>
      </c>
      <c r="AA110" s="22" t="s">
        <v>51</v>
      </c>
      <c r="AB110" s="22" t="s">
        <v>51</v>
      </c>
      <c r="AC110" s="32">
        <f t="shared" si="6"/>
        <v>10295.90359</v>
      </c>
      <c r="AD110" s="22" t="s">
        <v>51</v>
      </c>
      <c r="AK110" s="33">
        <f t="shared" si="7"/>
        <v>2.857854815</v>
      </c>
      <c r="AL110" s="33">
        <f t="shared" si="8"/>
        <v>4.762332085</v>
      </c>
      <c r="AM110" s="33">
        <f t="shared" si="9"/>
        <v>7.6201869</v>
      </c>
      <c r="AO110" s="34">
        <f t="shared" si="10"/>
        <v>11.87850502</v>
      </c>
      <c r="AP110" s="34">
        <f t="shared" si="11"/>
        <v>19.08224355</v>
      </c>
      <c r="AQ110" s="34">
        <f t="shared" si="12"/>
        <v>23.8847359</v>
      </c>
      <c r="AR110" s="34">
        <f t="shared" si="13"/>
        <v>7.65077904</v>
      </c>
      <c r="AS110" s="34">
        <f t="shared" si="14"/>
        <v>37.50373649</v>
      </c>
      <c r="AT110" s="35">
        <f t="shared" si="15"/>
        <v>100</v>
      </c>
      <c r="AV110" s="32">
        <f t="shared" si="16"/>
        <v>6434.555037</v>
      </c>
    </row>
    <row r="111" ht="14.25" customHeight="1">
      <c r="B111" s="36"/>
      <c r="C111" s="20" t="s">
        <v>46</v>
      </c>
      <c r="D111" s="21"/>
      <c r="E111" s="22" t="s">
        <v>48</v>
      </c>
      <c r="F111" s="42"/>
      <c r="G111" s="27">
        <f t="shared" si="57"/>
        <v>46.28601362</v>
      </c>
      <c r="H111" s="27">
        <f t="shared" si="58"/>
        <v>5.594552122</v>
      </c>
      <c r="I111" s="27">
        <f t="shared" si="59"/>
        <v>47.51178628</v>
      </c>
      <c r="J111" s="51">
        <f t="shared" si="60"/>
        <v>0.5762179151</v>
      </c>
      <c r="K111" s="27">
        <f t="shared" si="61"/>
        <v>0.0314300681</v>
      </c>
      <c r="L111" s="24">
        <v>20.2</v>
      </c>
      <c r="M111" s="25">
        <v>69.32</v>
      </c>
      <c r="N111" s="25">
        <v>5.93</v>
      </c>
      <c r="O111" s="25">
        <v>4.55</v>
      </c>
      <c r="P111" s="25">
        <v>0.2</v>
      </c>
      <c r="Q111" s="45">
        <v>750.0</v>
      </c>
      <c r="R111" s="45" t="s">
        <v>50</v>
      </c>
      <c r="S111" s="25">
        <v>0.0</v>
      </c>
      <c r="T111" s="46" t="s">
        <v>51</v>
      </c>
      <c r="U111" s="25">
        <f>9.9*100/49.21</f>
        <v>20.11786222</v>
      </c>
      <c r="V111" s="25">
        <f>15.97*100/49.21</f>
        <v>32.45275351</v>
      </c>
      <c r="W111" s="25">
        <f>17*100/49.21</f>
        <v>34.54582402</v>
      </c>
      <c r="X111" s="25">
        <f>6.34*100/49.21</f>
        <v>12.88356025</v>
      </c>
      <c r="Y111" s="31">
        <f t="shared" si="5"/>
        <v>37.18052998</v>
      </c>
      <c r="Z111" s="52" t="s">
        <v>51</v>
      </c>
      <c r="AA111" s="22" t="s">
        <v>51</v>
      </c>
      <c r="AB111" s="22" t="s">
        <v>51</v>
      </c>
      <c r="AC111" s="32">
        <f t="shared" si="6"/>
        <v>10888.22938</v>
      </c>
      <c r="AD111" s="22" t="s">
        <v>51</v>
      </c>
      <c r="AK111" s="33">
        <f t="shared" si="7"/>
        <v>2.857854815</v>
      </c>
      <c r="AL111" s="33">
        <f t="shared" si="8"/>
        <v>4.828573582</v>
      </c>
      <c r="AM111" s="33">
        <f t="shared" si="9"/>
        <v>7.686428397</v>
      </c>
      <c r="AO111" s="34">
        <f t="shared" si="10"/>
        <v>12.63793443</v>
      </c>
      <c r="AP111" s="34">
        <f t="shared" si="11"/>
        <v>20.38664776</v>
      </c>
      <c r="AQ111" s="34">
        <f t="shared" si="12"/>
        <v>21.70150356</v>
      </c>
      <c r="AR111" s="34">
        <f t="shared" si="13"/>
        <v>8.09338427</v>
      </c>
      <c r="AS111" s="34">
        <f t="shared" si="14"/>
        <v>37.18052998</v>
      </c>
      <c r="AT111" s="35">
        <f t="shared" si="15"/>
        <v>100</v>
      </c>
      <c r="AV111" s="32">
        <f t="shared" si="16"/>
        <v>6839.927992</v>
      </c>
    </row>
    <row r="112" ht="14.25" customHeight="1">
      <c r="B112" s="36"/>
      <c r="C112" s="20" t="s">
        <v>46</v>
      </c>
      <c r="D112" s="21"/>
      <c r="E112" s="22" t="s">
        <v>48</v>
      </c>
      <c r="F112" s="42"/>
      <c r="G112" s="27">
        <f t="shared" si="57"/>
        <v>46.28601362</v>
      </c>
      <c r="H112" s="27">
        <f t="shared" si="58"/>
        <v>5.594552122</v>
      </c>
      <c r="I112" s="27">
        <f t="shared" si="59"/>
        <v>47.51178628</v>
      </c>
      <c r="J112" s="51">
        <f t="shared" si="60"/>
        <v>0.5762179151</v>
      </c>
      <c r="K112" s="27">
        <f t="shared" si="61"/>
        <v>0.0314300681</v>
      </c>
      <c r="L112" s="24">
        <v>20.2</v>
      </c>
      <c r="M112" s="25">
        <v>69.32</v>
      </c>
      <c r="N112" s="25">
        <v>5.93</v>
      </c>
      <c r="O112" s="25">
        <v>4.55</v>
      </c>
      <c r="P112" s="25">
        <v>0.2</v>
      </c>
      <c r="Q112" s="45">
        <v>800.0</v>
      </c>
      <c r="R112" s="45" t="s">
        <v>50</v>
      </c>
      <c r="S112" s="25">
        <v>0.0</v>
      </c>
      <c r="T112" s="46" t="s">
        <v>51</v>
      </c>
      <c r="U112" s="25">
        <f>10.64*100/51.1</f>
        <v>20.82191781</v>
      </c>
      <c r="V112" s="25">
        <f>17.81*100/51.1</f>
        <v>34.85322896</v>
      </c>
      <c r="W112" s="25">
        <f>16.09*100/51.1</f>
        <v>31.48727984</v>
      </c>
      <c r="X112" s="25">
        <f>6.56*100/51.1</f>
        <v>12.83757339</v>
      </c>
      <c r="Y112" s="31">
        <f t="shared" si="5"/>
        <v>36.97399548</v>
      </c>
      <c r="Z112" s="52" t="s">
        <v>51</v>
      </c>
      <c r="AA112" s="22" t="s">
        <v>51</v>
      </c>
      <c r="AB112" s="22" t="s">
        <v>51</v>
      </c>
      <c r="AC112" s="32">
        <f t="shared" si="6"/>
        <v>11251.03264</v>
      </c>
      <c r="AD112" s="22" t="s">
        <v>51</v>
      </c>
      <c r="AK112" s="33">
        <f t="shared" si="7"/>
        <v>2.857854815</v>
      </c>
      <c r="AL112" s="33">
        <f t="shared" si="8"/>
        <v>4.871509507</v>
      </c>
      <c r="AM112" s="33">
        <f t="shared" si="9"/>
        <v>7.729364322</v>
      </c>
      <c r="AO112" s="34">
        <f t="shared" si="10"/>
        <v>13.12322286</v>
      </c>
      <c r="AP112" s="34">
        <f t="shared" si="11"/>
        <v>21.96659766</v>
      </c>
      <c r="AQ112" s="34">
        <f t="shared" si="12"/>
        <v>19.84517442</v>
      </c>
      <c r="AR112" s="34">
        <f t="shared" si="13"/>
        <v>8.091009583</v>
      </c>
      <c r="AS112" s="34">
        <f t="shared" si="14"/>
        <v>36.97399548</v>
      </c>
      <c r="AT112" s="35">
        <f t="shared" si="15"/>
        <v>100</v>
      </c>
      <c r="AV112" s="32">
        <f t="shared" si="16"/>
        <v>7091.07634</v>
      </c>
    </row>
    <row r="113" ht="14.25" customHeight="1">
      <c r="B113" s="36"/>
      <c r="C113" s="20" t="s">
        <v>46</v>
      </c>
      <c r="D113" s="21"/>
      <c r="E113" s="22" t="s">
        <v>48</v>
      </c>
      <c r="F113" s="42"/>
      <c r="G113" s="27">
        <f t="shared" si="57"/>
        <v>46.28601362</v>
      </c>
      <c r="H113" s="27">
        <f t="shared" si="58"/>
        <v>5.594552122</v>
      </c>
      <c r="I113" s="27">
        <f t="shared" si="59"/>
        <v>47.51178628</v>
      </c>
      <c r="J113" s="51">
        <f t="shared" si="60"/>
        <v>0.5762179151</v>
      </c>
      <c r="K113" s="27">
        <f t="shared" si="61"/>
        <v>0.0314300681</v>
      </c>
      <c r="L113" s="24">
        <v>20.2</v>
      </c>
      <c r="M113" s="25">
        <v>69.32</v>
      </c>
      <c r="N113" s="25">
        <v>5.93</v>
      </c>
      <c r="O113" s="25">
        <v>4.55</v>
      </c>
      <c r="P113" s="25">
        <v>0.2</v>
      </c>
      <c r="Q113" s="45">
        <v>850.0</v>
      </c>
      <c r="R113" s="45" t="s">
        <v>50</v>
      </c>
      <c r="S113" s="25">
        <v>0.0</v>
      </c>
      <c r="T113" s="46" t="s">
        <v>51</v>
      </c>
      <c r="U113" s="25">
        <f>11.44*100/53.49</f>
        <v>21.38717517</v>
      </c>
      <c r="V113" s="25">
        <f>19.87*100/53.49</f>
        <v>37.1471303</v>
      </c>
      <c r="W113" s="25">
        <f>15.08*100/53.49</f>
        <v>28.19218546</v>
      </c>
      <c r="X113" s="25">
        <f>7.1*100/53.49</f>
        <v>13.27350907</v>
      </c>
      <c r="Y113" s="31">
        <f t="shared" si="5"/>
        <v>36.80719193</v>
      </c>
      <c r="Z113" s="52" t="s">
        <v>51</v>
      </c>
      <c r="AA113" s="22" t="s">
        <v>51</v>
      </c>
      <c r="AB113" s="22" t="s">
        <v>51</v>
      </c>
      <c r="AC113" s="32">
        <f t="shared" si="6"/>
        <v>11758.06626</v>
      </c>
      <c r="AD113" s="22" t="s">
        <v>51</v>
      </c>
      <c r="AK113" s="33">
        <f t="shared" si="7"/>
        <v>2.857854815</v>
      </c>
      <c r="AL113" s="33">
        <f t="shared" si="8"/>
        <v>4.906537591</v>
      </c>
      <c r="AM113" s="33">
        <f t="shared" si="9"/>
        <v>7.764392406</v>
      </c>
      <c r="AO113" s="34">
        <f t="shared" si="10"/>
        <v>13.51515656</v>
      </c>
      <c r="AP113" s="34">
        <f t="shared" si="11"/>
        <v>23.47431476</v>
      </c>
      <c r="AQ113" s="34">
        <f t="shared" si="12"/>
        <v>17.81543365</v>
      </c>
      <c r="AR113" s="34">
        <f t="shared" si="13"/>
        <v>8.38790311</v>
      </c>
      <c r="AS113" s="34">
        <f t="shared" si="14"/>
        <v>36.80719193</v>
      </c>
      <c r="AT113" s="35">
        <f t="shared" si="15"/>
        <v>100</v>
      </c>
      <c r="AV113" s="32">
        <f t="shared" si="16"/>
        <v>7430.252245</v>
      </c>
    </row>
    <row r="114" ht="14.25" customHeight="1">
      <c r="B114" s="36"/>
      <c r="C114" s="20" t="s">
        <v>46</v>
      </c>
      <c r="D114" s="21"/>
      <c r="E114" s="22" t="s">
        <v>48</v>
      </c>
      <c r="F114" s="42"/>
      <c r="G114" s="27">
        <f t="shared" si="57"/>
        <v>46.28601362</v>
      </c>
      <c r="H114" s="27">
        <f t="shared" si="58"/>
        <v>5.594552122</v>
      </c>
      <c r="I114" s="27">
        <f t="shared" si="59"/>
        <v>47.51178628</v>
      </c>
      <c r="J114" s="51">
        <f t="shared" si="60"/>
        <v>0.5762179151</v>
      </c>
      <c r="K114" s="27">
        <f t="shared" si="61"/>
        <v>0.0314300681</v>
      </c>
      <c r="L114" s="24">
        <v>20.2</v>
      </c>
      <c r="M114" s="25">
        <v>69.32</v>
      </c>
      <c r="N114" s="25">
        <v>5.93</v>
      </c>
      <c r="O114" s="25">
        <v>4.55</v>
      </c>
      <c r="P114" s="25">
        <v>0.25</v>
      </c>
      <c r="Q114" s="45">
        <v>650.0</v>
      </c>
      <c r="R114" s="45" t="s">
        <v>50</v>
      </c>
      <c r="S114" s="25">
        <v>0.0</v>
      </c>
      <c r="T114" s="46" t="s">
        <v>51</v>
      </c>
      <c r="U114" s="25">
        <f>6.96*100/44.31</f>
        <v>15.70751523</v>
      </c>
      <c r="V114" s="25">
        <f>13.62*100/44.31</f>
        <v>30.7379824</v>
      </c>
      <c r="W114" s="25">
        <f>18.8*100/44.31</f>
        <v>42.42834575</v>
      </c>
      <c r="X114" s="25">
        <f>4.93*100/44.31</f>
        <v>11.12615662</v>
      </c>
      <c r="Y114" s="31">
        <f t="shared" si="5"/>
        <v>43.80605277</v>
      </c>
      <c r="Z114" s="52" t="s">
        <v>51</v>
      </c>
      <c r="AA114" s="22" t="s">
        <v>51</v>
      </c>
      <c r="AB114" s="22" t="s">
        <v>51</v>
      </c>
      <c r="AC114" s="32">
        <f t="shared" si="6"/>
        <v>9565.766152</v>
      </c>
      <c r="AD114" s="22" t="s">
        <v>51</v>
      </c>
      <c r="AK114" s="33">
        <f t="shared" si="7"/>
        <v>3.567173716</v>
      </c>
      <c r="AL114" s="33">
        <f t="shared" si="8"/>
        <v>4.575933207</v>
      </c>
      <c r="AM114" s="33">
        <f t="shared" si="9"/>
        <v>8.143106923</v>
      </c>
      <c r="AO114" s="34">
        <f t="shared" si="10"/>
        <v>8.826672822</v>
      </c>
      <c r="AP114" s="34">
        <f t="shared" si="11"/>
        <v>17.27288561</v>
      </c>
      <c r="AQ114" s="34">
        <f t="shared" si="12"/>
        <v>23.84216222</v>
      </c>
      <c r="AR114" s="34">
        <f t="shared" si="13"/>
        <v>6.252226582</v>
      </c>
      <c r="AS114" s="34">
        <f t="shared" si="14"/>
        <v>43.80605277</v>
      </c>
      <c r="AT114" s="35">
        <f t="shared" si="15"/>
        <v>100</v>
      </c>
      <c r="AV114" s="32">
        <f t="shared" si="16"/>
        <v>5375.381584</v>
      </c>
    </row>
    <row r="115" ht="14.25" customHeight="1">
      <c r="B115" s="36"/>
      <c r="C115" s="20" t="s">
        <v>46</v>
      </c>
      <c r="D115" s="21"/>
      <c r="E115" s="22" t="s">
        <v>48</v>
      </c>
      <c r="F115" s="42"/>
      <c r="G115" s="27">
        <f t="shared" si="57"/>
        <v>46.28601362</v>
      </c>
      <c r="H115" s="27">
        <f t="shared" si="58"/>
        <v>5.594552122</v>
      </c>
      <c r="I115" s="27">
        <f t="shared" si="59"/>
        <v>47.51178628</v>
      </c>
      <c r="J115" s="51">
        <f t="shared" si="60"/>
        <v>0.5762179151</v>
      </c>
      <c r="K115" s="27">
        <f t="shared" si="61"/>
        <v>0.0314300681</v>
      </c>
      <c r="L115" s="24">
        <v>20.2</v>
      </c>
      <c r="M115" s="25">
        <v>69.32</v>
      </c>
      <c r="N115" s="25">
        <v>5.93</v>
      </c>
      <c r="O115" s="25">
        <v>4.55</v>
      </c>
      <c r="P115" s="25">
        <v>0.25</v>
      </c>
      <c r="Q115" s="45">
        <v>700.0</v>
      </c>
      <c r="R115" s="45" t="s">
        <v>50</v>
      </c>
      <c r="S115" s="25">
        <v>0.0</v>
      </c>
      <c r="T115" s="46" t="s">
        <v>51</v>
      </c>
      <c r="U115" s="25">
        <f>7.93*100/45.84</f>
        <v>17.29930192</v>
      </c>
      <c r="V115" s="25">
        <f>13.64*100/45.84</f>
        <v>29.7556719</v>
      </c>
      <c r="W115" s="25">
        <f>18.46*100/45.84</f>
        <v>40.27050611</v>
      </c>
      <c r="X115" s="25">
        <f>5.81*100/45.84</f>
        <v>12.67452007</v>
      </c>
      <c r="Y115" s="31">
        <f t="shared" si="5"/>
        <v>43.3373179</v>
      </c>
      <c r="Z115" s="52" t="s">
        <v>51</v>
      </c>
      <c r="AA115" s="22" t="s">
        <v>51</v>
      </c>
      <c r="AB115" s="22" t="s">
        <v>51</v>
      </c>
      <c r="AC115" s="32">
        <f t="shared" si="6"/>
        <v>10168.30162</v>
      </c>
      <c r="AD115" s="22" t="s">
        <v>51</v>
      </c>
      <c r="AK115" s="33">
        <f t="shared" si="7"/>
        <v>3.567173716</v>
      </c>
      <c r="AL115" s="33">
        <f t="shared" si="8"/>
        <v>4.664008758</v>
      </c>
      <c r="AM115" s="33">
        <f t="shared" si="9"/>
        <v>8.231182474</v>
      </c>
      <c r="AO115" s="34">
        <f t="shared" si="10"/>
        <v>9.802248452</v>
      </c>
      <c r="AP115" s="34">
        <f t="shared" si="11"/>
        <v>16.86036178</v>
      </c>
      <c r="AQ115" s="34">
        <f t="shared" si="12"/>
        <v>22.81834886</v>
      </c>
      <c r="AR115" s="34">
        <f t="shared" si="13"/>
        <v>7.181723015</v>
      </c>
      <c r="AS115" s="34">
        <f t="shared" si="14"/>
        <v>43.3373179</v>
      </c>
      <c r="AT115" s="35">
        <f t="shared" si="15"/>
        <v>100</v>
      </c>
      <c r="AV115" s="32">
        <f t="shared" si="16"/>
        <v>5761.632424</v>
      </c>
    </row>
    <row r="116" ht="14.25" customHeight="1">
      <c r="B116" s="36"/>
      <c r="C116" s="20" t="s">
        <v>46</v>
      </c>
      <c r="D116" s="21"/>
      <c r="E116" s="22" t="s">
        <v>48</v>
      </c>
      <c r="F116" s="42"/>
      <c r="G116" s="27">
        <f t="shared" si="57"/>
        <v>46.28601362</v>
      </c>
      <c r="H116" s="27">
        <f t="shared" si="58"/>
        <v>5.594552122</v>
      </c>
      <c r="I116" s="27">
        <f t="shared" si="59"/>
        <v>47.51178628</v>
      </c>
      <c r="J116" s="51">
        <f t="shared" si="60"/>
        <v>0.5762179151</v>
      </c>
      <c r="K116" s="27">
        <f t="shared" si="61"/>
        <v>0.0314300681</v>
      </c>
      <c r="L116" s="24">
        <v>20.2</v>
      </c>
      <c r="M116" s="25">
        <v>69.32</v>
      </c>
      <c r="N116" s="25">
        <v>5.93</v>
      </c>
      <c r="O116" s="25">
        <v>4.55</v>
      </c>
      <c r="P116" s="25">
        <v>0.25</v>
      </c>
      <c r="Q116" s="45">
        <v>750.0</v>
      </c>
      <c r="R116" s="45" t="s">
        <v>50</v>
      </c>
      <c r="S116" s="25">
        <v>0.0</v>
      </c>
      <c r="T116" s="46" t="s">
        <v>51</v>
      </c>
      <c r="U116" s="25">
        <f>8.42*100/46.89</f>
        <v>17.95692045</v>
      </c>
      <c r="V116" s="25">
        <f>15.72*100/46.89</f>
        <v>33.52527191</v>
      </c>
      <c r="W116" s="25">
        <f>16.86*100/46.89</f>
        <v>35.95649392</v>
      </c>
      <c r="X116" s="25">
        <f>5.89*100/46.89</f>
        <v>12.56131371</v>
      </c>
      <c r="Y116" s="31">
        <f t="shared" si="5"/>
        <v>43.14137784</v>
      </c>
      <c r="Z116" s="52" t="s">
        <v>51</v>
      </c>
      <c r="AA116" s="22" t="s">
        <v>51</v>
      </c>
      <c r="AB116" s="22" t="s">
        <v>51</v>
      </c>
      <c r="AC116" s="32">
        <f t="shared" si="6"/>
        <v>10674.98039</v>
      </c>
      <c r="AD116" s="22" t="s">
        <v>51</v>
      </c>
      <c r="AK116" s="33">
        <f t="shared" si="7"/>
        <v>3.567173716</v>
      </c>
      <c r="AL116" s="33">
        <f t="shared" si="8"/>
        <v>4.701393247</v>
      </c>
      <c r="AM116" s="33">
        <f t="shared" si="9"/>
        <v>8.268566963</v>
      </c>
      <c r="AO116" s="34">
        <f t="shared" si="10"/>
        <v>10.21005755</v>
      </c>
      <c r="AP116" s="34">
        <f t="shared" si="11"/>
        <v>19.06200768</v>
      </c>
      <c r="AQ116" s="34">
        <f t="shared" si="12"/>
        <v>20.44436702</v>
      </c>
      <c r="AR116" s="34">
        <f t="shared" si="13"/>
        <v>7.142189902</v>
      </c>
      <c r="AS116" s="34">
        <f t="shared" si="14"/>
        <v>43.14137784</v>
      </c>
      <c r="AT116" s="35">
        <f t="shared" si="15"/>
        <v>100</v>
      </c>
      <c r="AV116" s="32">
        <f t="shared" si="16"/>
        <v>6069.646764</v>
      </c>
    </row>
    <row r="117" ht="14.25" customHeight="1">
      <c r="B117" s="36"/>
      <c r="C117" s="20" t="s">
        <v>46</v>
      </c>
      <c r="D117" s="21"/>
      <c r="E117" s="22" t="s">
        <v>48</v>
      </c>
      <c r="F117" s="42"/>
      <c r="G117" s="27">
        <f t="shared" si="57"/>
        <v>46.28601362</v>
      </c>
      <c r="H117" s="27">
        <f t="shared" si="58"/>
        <v>5.594552122</v>
      </c>
      <c r="I117" s="27">
        <f t="shared" si="59"/>
        <v>47.51178628</v>
      </c>
      <c r="J117" s="51">
        <f t="shared" si="60"/>
        <v>0.5762179151</v>
      </c>
      <c r="K117" s="27">
        <f t="shared" si="61"/>
        <v>0.0314300681</v>
      </c>
      <c r="L117" s="24">
        <v>20.2</v>
      </c>
      <c r="M117" s="25">
        <v>69.32</v>
      </c>
      <c r="N117" s="25">
        <v>5.93</v>
      </c>
      <c r="O117" s="25">
        <v>4.55</v>
      </c>
      <c r="P117" s="25">
        <v>0.25</v>
      </c>
      <c r="Q117" s="45">
        <v>800.0</v>
      </c>
      <c r="R117" s="45" t="s">
        <v>50</v>
      </c>
      <c r="S117" s="25">
        <v>0.0</v>
      </c>
      <c r="T117" s="46" t="s">
        <v>51</v>
      </c>
      <c r="U117" s="25">
        <f>10.03*100/48.46</f>
        <v>20.69748246</v>
      </c>
      <c r="V117" s="25">
        <f>17*100/48.46</f>
        <v>35.08047875</v>
      </c>
      <c r="W117" s="25">
        <f>15.1*100/48.46</f>
        <v>31.15971936</v>
      </c>
      <c r="X117" s="25">
        <f>6.33*100/48.46</f>
        <v>13.06231944</v>
      </c>
      <c r="Y117" s="31">
        <f t="shared" si="5"/>
        <v>42.31001207</v>
      </c>
      <c r="Z117" s="52" t="s">
        <v>51</v>
      </c>
      <c r="AA117" s="22" t="s">
        <v>51</v>
      </c>
      <c r="AB117" s="22" t="s">
        <v>51</v>
      </c>
      <c r="AC117" s="32">
        <f t="shared" si="6"/>
        <v>11346.83907</v>
      </c>
      <c r="AD117" s="22" t="s">
        <v>51</v>
      </c>
      <c r="AK117" s="33">
        <f t="shared" si="7"/>
        <v>3.567173716</v>
      </c>
      <c r="AL117" s="33">
        <f t="shared" si="8"/>
        <v>4.863865513</v>
      </c>
      <c r="AM117" s="33">
        <f t="shared" si="9"/>
        <v>8.431039229</v>
      </c>
      <c r="AO117" s="34">
        <f t="shared" si="10"/>
        <v>11.94037513</v>
      </c>
      <c r="AP117" s="34">
        <f t="shared" si="11"/>
        <v>20.23792395</v>
      </c>
      <c r="AQ117" s="34">
        <f t="shared" si="12"/>
        <v>17.97603833</v>
      </c>
      <c r="AR117" s="34">
        <f t="shared" si="13"/>
        <v>7.535650507</v>
      </c>
      <c r="AS117" s="34">
        <f t="shared" si="14"/>
        <v>42.31001207</v>
      </c>
      <c r="AT117" s="35">
        <f t="shared" si="15"/>
        <v>100</v>
      </c>
      <c r="AV117" s="32">
        <f t="shared" si="16"/>
        <v>6545.990091</v>
      </c>
    </row>
    <row r="118" ht="14.25" customHeight="1">
      <c r="B118" s="36"/>
      <c r="C118" s="20" t="s">
        <v>46</v>
      </c>
      <c r="D118" s="21"/>
      <c r="E118" s="22" t="s">
        <v>48</v>
      </c>
      <c r="F118" s="42"/>
      <c r="G118" s="27">
        <f t="shared" si="57"/>
        <v>46.28601362</v>
      </c>
      <c r="H118" s="27">
        <f t="shared" si="58"/>
        <v>5.594552122</v>
      </c>
      <c r="I118" s="27">
        <f t="shared" si="59"/>
        <v>47.51178628</v>
      </c>
      <c r="J118" s="51">
        <f t="shared" si="60"/>
        <v>0.5762179151</v>
      </c>
      <c r="K118" s="27">
        <f t="shared" si="61"/>
        <v>0.0314300681</v>
      </c>
      <c r="L118" s="24">
        <v>20.2</v>
      </c>
      <c r="M118" s="25">
        <v>69.32</v>
      </c>
      <c r="N118" s="25">
        <v>5.93</v>
      </c>
      <c r="O118" s="25">
        <v>4.55</v>
      </c>
      <c r="P118" s="25">
        <v>0.25</v>
      </c>
      <c r="Q118" s="45">
        <v>850.0</v>
      </c>
      <c r="R118" s="45" t="s">
        <v>50</v>
      </c>
      <c r="S118" s="25">
        <v>0.0</v>
      </c>
      <c r="T118" s="46" t="s">
        <v>51</v>
      </c>
      <c r="U118" s="25">
        <f>11.34*100/51.1</f>
        <v>22.19178082</v>
      </c>
      <c r="V118" s="25">
        <f>18.91*100/51.1</f>
        <v>37.00587084</v>
      </c>
      <c r="W118" s="25">
        <f>13.92*100/51.1</f>
        <v>27.2407045</v>
      </c>
      <c r="X118" s="25">
        <f>6.93*100/51.1</f>
        <v>13.56164384</v>
      </c>
      <c r="Y118" s="31">
        <f t="shared" si="5"/>
        <v>41.84638347</v>
      </c>
      <c r="Z118" s="52" t="s">
        <v>51</v>
      </c>
      <c r="AA118" s="22" t="s">
        <v>51</v>
      </c>
      <c r="AB118" s="22" t="s">
        <v>51</v>
      </c>
      <c r="AC118" s="32">
        <f t="shared" si="6"/>
        <v>11930.32342</v>
      </c>
      <c r="AD118" s="22" t="s">
        <v>51</v>
      </c>
      <c r="AK118" s="33">
        <f t="shared" si="7"/>
        <v>3.567173716</v>
      </c>
      <c r="AL118" s="33">
        <f t="shared" si="8"/>
        <v>4.95727552</v>
      </c>
      <c r="AM118" s="33">
        <f t="shared" si="9"/>
        <v>8.524449235</v>
      </c>
      <c r="AO118" s="34">
        <f t="shared" si="10"/>
        <v>12.90532312</v>
      </c>
      <c r="AP118" s="34">
        <f t="shared" si="11"/>
        <v>21.52025222</v>
      </c>
      <c r="AQ118" s="34">
        <f t="shared" si="12"/>
        <v>15.84145484</v>
      </c>
      <c r="AR118" s="34">
        <f t="shared" si="13"/>
        <v>7.886586352</v>
      </c>
      <c r="AS118" s="34">
        <f t="shared" si="14"/>
        <v>41.84638347</v>
      </c>
      <c r="AT118" s="35">
        <f t="shared" si="15"/>
        <v>100</v>
      </c>
      <c r="AV118" s="32">
        <f t="shared" si="16"/>
        <v>6937.914533</v>
      </c>
    </row>
    <row r="119" ht="14.25" customHeight="1">
      <c r="B119" s="36"/>
      <c r="C119" s="20" t="s">
        <v>46</v>
      </c>
      <c r="D119" s="21"/>
      <c r="E119" s="22" t="s">
        <v>48</v>
      </c>
      <c r="F119" s="42"/>
      <c r="G119" s="27">
        <f t="shared" si="57"/>
        <v>46.28601362</v>
      </c>
      <c r="H119" s="27">
        <f t="shared" si="58"/>
        <v>5.594552122</v>
      </c>
      <c r="I119" s="27">
        <f t="shared" si="59"/>
        <v>47.51178628</v>
      </c>
      <c r="J119" s="51">
        <f t="shared" si="60"/>
        <v>0.5762179151</v>
      </c>
      <c r="K119" s="27">
        <f t="shared" si="61"/>
        <v>0.0314300681</v>
      </c>
      <c r="L119" s="24">
        <v>20.2</v>
      </c>
      <c r="M119" s="25">
        <v>69.32</v>
      </c>
      <c r="N119" s="25">
        <v>5.93</v>
      </c>
      <c r="O119" s="25">
        <v>4.55</v>
      </c>
      <c r="P119" s="25">
        <v>0.15</v>
      </c>
      <c r="Q119" s="45">
        <v>700.0</v>
      </c>
      <c r="R119" s="45" t="s">
        <v>50</v>
      </c>
      <c r="S119" s="25">
        <v>0.0</v>
      </c>
      <c r="T119" s="46" t="s">
        <v>51</v>
      </c>
      <c r="U119" s="25">
        <f>10.65*100/51.07</f>
        <v>20.85373017</v>
      </c>
      <c r="V119" s="25">
        <f>18.93*100/51.07</f>
        <v>37.0667711</v>
      </c>
      <c r="W119" s="25">
        <f>15.39*100/51.07</f>
        <v>30.13510867</v>
      </c>
      <c r="X119" s="25">
        <f>6.1*100/51.07</f>
        <v>11.94439005</v>
      </c>
      <c r="Y119" s="31">
        <f t="shared" si="5"/>
        <v>30.59719232</v>
      </c>
      <c r="Z119" s="52" t="s">
        <v>51</v>
      </c>
      <c r="AA119" s="22" t="s">
        <v>51</v>
      </c>
      <c r="AB119" s="22" t="s">
        <v>51</v>
      </c>
      <c r="AC119" s="32">
        <f t="shared" si="6"/>
        <v>11214.08553</v>
      </c>
      <c r="AD119" s="22" t="s">
        <v>51</v>
      </c>
      <c r="AK119" s="33">
        <f t="shared" si="7"/>
        <v>2.148535914</v>
      </c>
      <c r="AL119" s="33">
        <f t="shared" si="8"/>
        <v>4.873467581</v>
      </c>
      <c r="AM119" s="33">
        <f t="shared" si="9"/>
        <v>7.022003495</v>
      </c>
      <c r="AO119" s="34">
        <f t="shared" si="10"/>
        <v>14.47307425</v>
      </c>
      <c r="AP119" s="34">
        <f t="shared" si="11"/>
        <v>25.72537986</v>
      </c>
      <c r="AQ119" s="34">
        <f t="shared" si="12"/>
        <v>20.91461152</v>
      </c>
      <c r="AR119" s="34">
        <f t="shared" si="13"/>
        <v>8.289742057</v>
      </c>
      <c r="AS119" s="34">
        <f t="shared" si="14"/>
        <v>30.59719232</v>
      </c>
      <c r="AT119" s="35">
        <f t="shared" si="15"/>
        <v>100</v>
      </c>
      <c r="AV119" s="32">
        <f t="shared" si="16"/>
        <v>7782.890217</v>
      </c>
    </row>
    <row r="120" ht="14.25" customHeight="1">
      <c r="B120" s="36"/>
      <c r="C120" s="20" t="s">
        <v>46</v>
      </c>
      <c r="D120" s="21"/>
      <c r="E120" s="22" t="s">
        <v>48</v>
      </c>
      <c r="F120" s="42"/>
      <c r="G120" s="27">
        <f t="shared" si="57"/>
        <v>46.28601362</v>
      </c>
      <c r="H120" s="27">
        <f t="shared" si="58"/>
        <v>5.594552122</v>
      </c>
      <c r="I120" s="27">
        <f t="shared" si="59"/>
        <v>47.51178628</v>
      </c>
      <c r="J120" s="51">
        <f t="shared" si="60"/>
        <v>0.5762179151</v>
      </c>
      <c r="K120" s="27">
        <f t="shared" si="61"/>
        <v>0.0314300681</v>
      </c>
      <c r="L120" s="24">
        <v>20.2</v>
      </c>
      <c r="M120" s="25">
        <v>69.32</v>
      </c>
      <c r="N120" s="25">
        <v>5.93</v>
      </c>
      <c r="O120" s="25">
        <v>4.55</v>
      </c>
      <c r="P120" s="25">
        <v>0.18</v>
      </c>
      <c r="Q120" s="45">
        <v>700.0</v>
      </c>
      <c r="R120" s="45" t="s">
        <v>50</v>
      </c>
      <c r="S120" s="25">
        <v>0.0</v>
      </c>
      <c r="T120" s="46" t="s">
        <v>51</v>
      </c>
      <c r="U120" s="25">
        <f>10.11*100/47.75</f>
        <v>21.17277487</v>
      </c>
      <c r="V120" s="25">
        <f>15.8*100/47.75</f>
        <v>33.08900524</v>
      </c>
      <c r="W120" s="25">
        <f>16.78*100/47.75</f>
        <v>35.14136126</v>
      </c>
      <c r="X120" s="25">
        <f>5.06*100/47.75</f>
        <v>10.59685864</v>
      </c>
      <c r="Y120" s="31">
        <f t="shared" si="5"/>
        <v>34.47190382</v>
      </c>
      <c r="Z120" s="52" t="s">
        <v>51</v>
      </c>
      <c r="AA120" s="22" t="s">
        <v>51</v>
      </c>
      <c r="AB120" s="22" t="s">
        <v>51</v>
      </c>
      <c r="AC120" s="32">
        <f t="shared" si="6"/>
        <v>10263.14267</v>
      </c>
      <c r="AD120" s="22" t="s">
        <v>51</v>
      </c>
      <c r="AK120" s="33">
        <f t="shared" si="7"/>
        <v>2.574127254</v>
      </c>
      <c r="AL120" s="33">
        <f t="shared" si="8"/>
        <v>4.893192416</v>
      </c>
      <c r="AM120" s="33">
        <f t="shared" si="9"/>
        <v>7.46731967</v>
      </c>
      <c r="AO120" s="34">
        <f t="shared" si="10"/>
        <v>13.87411628</v>
      </c>
      <c r="AP120" s="34">
        <f t="shared" si="11"/>
        <v>21.68259518</v>
      </c>
      <c r="AQ120" s="34">
        <f t="shared" si="12"/>
        <v>23.027465</v>
      </c>
      <c r="AR120" s="34">
        <f t="shared" si="13"/>
        <v>6.943919721</v>
      </c>
      <c r="AS120" s="34">
        <f t="shared" si="14"/>
        <v>34.47190382</v>
      </c>
      <c r="AT120" s="35">
        <f t="shared" si="15"/>
        <v>100</v>
      </c>
      <c r="AV120" s="32">
        <f t="shared" si="16"/>
        <v>6725.242</v>
      </c>
    </row>
    <row r="121" ht="14.25" customHeight="1">
      <c r="B121" s="36"/>
      <c r="C121" s="20" t="s">
        <v>46</v>
      </c>
      <c r="D121" s="21"/>
      <c r="E121" s="22" t="s">
        <v>48</v>
      </c>
      <c r="F121" s="42"/>
      <c r="G121" s="27">
        <f t="shared" si="57"/>
        <v>46.28601362</v>
      </c>
      <c r="H121" s="27">
        <f t="shared" si="58"/>
        <v>5.594552122</v>
      </c>
      <c r="I121" s="27">
        <f t="shared" si="59"/>
        <v>47.51178628</v>
      </c>
      <c r="J121" s="51">
        <f t="shared" si="60"/>
        <v>0.5762179151</v>
      </c>
      <c r="K121" s="27">
        <f t="shared" si="61"/>
        <v>0.0314300681</v>
      </c>
      <c r="L121" s="24">
        <v>20.2</v>
      </c>
      <c r="M121" s="25">
        <v>69.32</v>
      </c>
      <c r="N121" s="25">
        <v>5.93</v>
      </c>
      <c r="O121" s="25">
        <v>4.55</v>
      </c>
      <c r="P121" s="25">
        <v>0.21</v>
      </c>
      <c r="Q121" s="45">
        <v>700.0</v>
      </c>
      <c r="R121" s="45" t="s">
        <v>50</v>
      </c>
      <c r="S121" s="25">
        <v>0.0</v>
      </c>
      <c r="T121" s="46" t="s">
        <v>51</v>
      </c>
      <c r="U121" s="25">
        <f>9.23*100/45.77</f>
        <v>20.16604763</v>
      </c>
      <c r="V121" s="25">
        <f>14.92*100/45.77</f>
        <v>32.59777147</v>
      </c>
      <c r="W121" s="25">
        <f>18.74*100/45.77</f>
        <v>40.94384968</v>
      </c>
      <c r="X121" s="25">
        <f>2.88*100/45.77</f>
        <v>6.292331221</v>
      </c>
      <c r="Y121" s="31">
        <f t="shared" si="5"/>
        <v>38.30467976</v>
      </c>
      <c r="Z121" s="52" t="s">
        <v>51</v>
      </c>
      <c r="AA121" s="22" t="s">
        <v>51</v>
      </c>
      <c r="AB121" s="22" t="s">
        <v>51</v>
      </c>
      <c r="AC121" s="32">
        <f t="shared" si="6"/>
        <v>8550.032968</v>
      </c>
      <c r="AD121" s="22" t="s">
        <v>51</v>
      </c>
      <c r="AK121" s="33">
        <f t="shared" si="7"/>
        <v>2.999718595</v>
      </c>
      <c r="AL121" s="33">
        <f t="shared" si="8"/>
        <v>4.831487966</v>
      </c>
      <c r="AM121" s="33">
        <f t="shared" si="9"/>
        <v>7.831206561</v>
      </c>
      <c r="AO121" s="34">
        <f t="shared" si="10"/>
        <v>12.44150766</v>
      </c>
      <c r="AP121" s="34">
        <f t="shared" si="11"/>
        <v>20.1112995</v>
      </c>
      <c r="AQ121" s="34">
        <f t="shared" si="12"/>
        <v>25.26043918</v>
      </c>
      <c r="AR121" s="34">
        <f t="shared" si="13"/>
        <v>3.882073897</v>
      </c>
      <c r="AS121" s="34">
        <f t="shared" si="14"/>
        <v>38.30467976</v>
      </c>
      <c r="AT121" s="35">
        <f t="shared" si="15"/>
        <v>100</v>
      </c>
      <c r="AV121" s="32">
        <f t="shared" si="16"/>
        <v>5274.97022</v>
      </c>
    </row>
    <row r="122" ht="14.25" customHeight="1">
      <c r="B122" s="36"/>
      <c r="C122" s="20" t="s">
        <v>46</v>
      </c>
      <c r="D122" s="21"/>
      <c r="E122" s="22" t="s">
        <v>48</v>
      </c>
      <c r="F122" s="42"/>
      <c r="G122" s="27">
        <f t="shared" si="57"/>
        <v>46.28601362</v>
      </c>
      <c r="H122" s="27">
        <f t="shared" si="58"/>
        <v>5.594552122</v>
      </c>
      <c r="I122" s="27">
        <f t="shared" si="59"/>
        <v>47.51178628</v>
      </c>
      <c r="J122" s="51">
        <f t="shared" si="60"/>
        <v>0.5762179151</v>
      </c>
      <c r="K122" s="27">
        <f t="shared" si="61"/>
        <v>0.0314300681</v>
      </c>
      <c r="L122" s="24">
        <v>20.2</v>
      </c>
      <c r="M122" s="25">
        <v>69.32</v>
      </c>
      <c r="N122" s="25">
        <v>5.93</v>
      </c>
      <c r="O122" s="25">
        <v>4.55</v>
      </c>
      <c r="P122" s="25">
        <v>0.24</v>
      </c>
      <c r="Q122" s="45">
        <v>700.0</v>
      </c>
      <c r="R122" s="45" t="s">
        <v>50</v>
      </c>
      <c r="S122" s="25">
        <v>0.0</v>
      </c>
      <c r="T122" s="46" t="s">
        <v>51</v>
      </c>
      <c r="U122" s="25">
        <f>9.23*100/43.64</f>
        <v>21.15032081</v>
      </c>
      <c r="V122" s="25">
        <f>13.43*100/43.64</f>
        <v>30.77451879</v>
      </c>
      <c r="W122" s="25">
        <f>19.97*100/43.64</f>
        <v>45.76076994</v>
      </c>
      <c r="X122" s="25">
        <f>1.01*100/43.64</f>
        <v>2.314390467</v>
      </c>
      <c r="Y122" s="31">
        <f t="shared" si="5"/>
        <v>41.18390141</v>
      </c>
      <c r="Z122" s="52" t="s">
        <v>51</v>
      </c>
      <c r="AA122" s="22" t="s">
        <v>51</v>
      </c>
      <c r="AB122" s="22" t="s">
        <v>51</v>
      </c>
      <c r="AC122" s="32">
        <f t="shared" si="6"/>
        <v>7000.596193</v>
      </c>
      <c r="AD122" s="22" t="s">
        <v>51</v>
      </c>
      <c r="AK122" s="33">
        <f t="shared" si="7"/>
        <v>3.425309935</v>
      </c>
      <c r="AL122" s="33">
        <f t="shared" si="8"/>
        <v>4.891798979</v>
      </c>
      <c r="AM122" s="33">
        <f t="shared" si="9"/>
        <v>8.317108914</v>
      </c>
      <c r="AO122" s="34">
        <f t="shared" si="10"/>
        <v>12.43979354</v>
      </c>
      <c r="AP122" s="34">
        <f t="shared" si="11"/>
        <v>18.10037131</v>
      </c>
      <c r="AQ122" s="34">
        <f t="shared" si="12"/>
        <v>26.91469956</v>
      </c>
      <c r="AR122" s="34">
        <f t="shared" si="13"/>
        <v>1.361234179</v>
      </c>
      <c r="AS122" s="34">
        <f t="shared" si="14"/>
        <v>41.18390141</v>
      </c>
      <c r="AT122" s="35">
        <f t="shared" si="15"/>
        <v>100</v>
      </c>
      <c r="AV122" s="32">
        <f t="shared" si="16"/>
        <v>4117.477559</v>
      </c>
    </row>
    <row r="123" ht="14.25" customHeight="1">
      <c r="B123" s="36"/>
      <c r="C123" s="20" t="s">
        <v>46</v>
      </c>
      <c r="D123" s="21"/>
      <c r="E123" s="22" t="s">
        <v>48</v>
      </c>
      <c r="F123" s="42"/>
      <c r="G123" s="27">
        <f t="shared" si="57"/>
        <v>46.28601362</v>
      </c>
      <c r="H123" s="27">
        <f t="shared" si="58"/>
        <v>5.594552122</v>
      </c>
      <c r="I123" s="27">
        <f t="shared" si="59"/>
        <v>47.51178628</v>
      </c>
      <c r="J123" s="51">
        <f t="shared" si="60"/>
        <v>0.5762179151</v>
      </c>
      <c r="K123" s="27">
        <f t="shared" si="61"/>
        <v>0.0314300681</v>
      </c>
      <c r="L123" s="24">
        <v>20.2</v>
      </c>
      <c r="M123" s="25">
        <v>69.32</v>
      </c>
      <c r="N123" s="25">
        <v>5.93</v>
      </c>
      <c r="O123" s="25">
        <v>4.55</v>
      </c>
      <c r="P123" s="25">
        <v>0.15</v>
      </c>
      <c r="Q123" s="45">
        <v>750.0</v>
      </c>
      <c r="R123" s="45" t="s">
        <v>50</v>
      </c>
      <c r="S123" s="25">
        <v>0.0</v>
      </c>
      <c r="T123" s="46" t="s">
        <v>51</v>
      </c>
      <c r="U123" s="25">
        <f>11.72*100/54.85</f>
        <v>21.36736554</v>
      </c>
      <c r="V123" s="25">
        <f>22.02*100/54.85</f>
        <v>40.14585232</v>
      </c>
      <c r="W123" s="25">
        <f>15.17*100/54.85</f>
        <v>27.65724704</v>
      </c>
      <c r="X123" s="25">
        <f>5.94*100/54.85</f>
        <v>10.8295351</v>
      </c>
      <c r="Y123" s="31">
        <f t="shared" si="5"/>
        <v>30.45910738</v>
      </c>
      <c r="Z123" s="52" t="s">
        <v>51</v>
      </c>
      <c r="AA123" s="22" t="s">
        <v>51</v>
      </c>
      <c r="AB123" s="22" t="s">
        <v>51</v>
      </c>
      <c r="AC123" s="32">
        <f t="shared" si="6"/>
        <v>11259.07768</v>
      </c>
      <c r="AD123" s="22" t="s">
        <v>51</v>
      </c>
      <c r="AK123" s="33">
        <f t="shared" si="7"/>
        <v>2.148535914</v>
      </c>
      <c r="AL123" s="33">
        <f t="shared" si="8"/>
        <v>4.905301505</v>
      </c>
      <c r="AM123" s="33">
        <f t="shared" si="9"/>
        <v>7.053837419</v>
      </c>
      <c r="AO123" s="34">
        <f t="shared" si="10"/>
        <v>14.85905673</v>
      </c>
      <c r="AP123" s="34">
        <f t="shared" si="11"/>
        <v>27.91778406</v>
      </c>
      <c r="AQ123" s="34">
        <f t="shared" si="12"/>
        <v>19.23309646</v>
      </c>
      <c r="AR123" s="34">
        <f t="shared" si="13"/>
        <v>7.530955372</v>
      </c>
      <c r="AS123" s="34">
        <f t="shared" si="14"/>
        <v>30.45910738</v>
      </c>
      <c r="AT123" s="35">
        <f t="shared" si="15"/>
        <v>100</v>
      </c>
      <c r="AV123" s="32">
        <f t="shared" si="16"/>
        <v>7829.663119</v>
      </c>
    </row>
    <row r="124" ht="14.25" customHeight="1">
      <c r="B124" s="36"/>
      <c r="C124" s="20" t="s">
        <v>46</v>
      </c>
      <c r="D124" s="21"/>
      <c r="E124" s="22" t="s">
        <v>48</v>
      </c>
      <c r="F124" s="42"/>
      <c r="G124" s="27">
        <f t="shared" si="57"/>
        <v>46.28601362</v>
      </c>
      <c r="H124" s="27">
        <f t="shared" si="58"/>
        <v>5.594552122</v>
      </c>
      <c r="I124" s="27">
        <f t="shared" si="59"/>
        <v>47.51178628</v>
      </c>
      <c r="J124" s="51">
        <f t="shared" si="60"/>
        <v>0.5762179151</v>
      </c>
      <c r="K124" s="27">
        <f t="shared" si="61"/>
        <v>0.0314300681</v>
      </c>
      <c r="L124" s="24">
        <v>20.2</v>
      </c>
      <c r="M124" s="25">
        <v>69.32</v>
      </c>
      <c r="N124" s="25">
        <v>5.93</v>
      </c>
      <c r="O124" s="25">
        <v>4.55</v>
      </c>
      <c r="P124" s="25">
        <v>0.18</v>
      </c>
      <c r="Q124" s="45">
        <v>750.0</v>
      </c>
      <c r="R124" s="45" t="s">
        <v>50</v>
      </c>
      <c r="S124" s="25">
        <v>0.0</v>
      </c>
      <c r="T124" s="46" t="s">
        <v>51</v>
      </c>
      <c r="U124" s="25">
        <f>10.16*100/49.89</f>
        <v>20.36480257</v>
      </c>
      <c r="V124" s="25">
        <f>17.93*100/49.89</f>
        <v>35.93906595</v>
      </c>
      <c r="W124" s="25">
        <f>16.51*100/49.89</f>
        <v>33.09280417</v>
      </c>
      <c r="X124" s="25">
        <f>5.29*100/49.89</f>
        <v>10.60332732</v>
      </c>
      <c r="Y124" s="31">
        <f t="shared" si="5"/>
        <v>34.70262169</v>
      </c>
      <c r="Z124" s="52" t="s">
        <v>51</v>
      </c>
      <c r="AA124" s="22" t="s">
        <v>51</v>
      </c>
      <c r="AB124" s="22" t="s">
        <v>51</v>
      </c>
      <c r="AC124" s="32">
        <f t="shared" si="6"/>
        <v>10538.31018</v>
      </c>
      <c r="AD124" s="22" t="s">
        <v>51</v>
      </c>
      <c r="AK124" s="33">
        <f t="shared" si="7"/>
        <v>2.574127254</v>
      </c>
      <c r="AL124" s="33">
        <f t="shared" si="8"/>
        <v>4.843546479</v>
      </c>
      <c r="AM124" s="33">
        <f t="shared" si="9"/>
        <v>7.417673734</v>
      </c>
      <c r="AO124" s="34">
        <f t="shared" si="10"/>
        <v>13.29768217</v>
      </c>
      <c r="AP124" s="34">
        <f t="shared" si="11"/>
        <v>23.46726785</v>
      </c>
      <c r="AQ124" s="34">
        <f t="shared" si="12"/>
        <v>21.60873353</v>
      </c>
      <c r="AR124" s="34">
        <f t="shared" si="13"/>
        <v>6.923694753</v>
      </c>
      <c r="AS124" s="34">
        <f t="shared" si="14"/>
        <v>34.70262169</v>
      </c>
      <c r="AT124" s="35">
        <f t="shared" si="15"/>
        <v>100</v>
      </c>
      <c r="AV124" s="32">
        <f t="shared" si="16"/>
        <v>6881.240262</v>
      </c>
    </row>
    <row r="125" ht="14.25" customHeight="1">
      <c r="B125" s="36"/>
      <c r="C125" s="20" t="s">
        <v>46</v>
      </c>
      <c r="D125" s="21"/>
      <c r="E125" s="22" t="s">
        <v>48</v>
      </c>
      <c r="F125" s="42"/>
      <c r="G125" s="27">
        <f t="shared" si="57"/>
        <v>46.28601362</v>
      </c>
      <c r="H125" s="27">
        <f t="shared" si="58"/>
        <v>5.594552122</v>
      </c>
      <c r="I125" s="27">
        <f t="shared" si="59"/>
        <v>47.51178628</v>
      </c>
      <c r="J125" s="51">
        <f t="shared" si="60"/>
        <v>0.5762179151</v>
      </c>
      <c r="K125" s="27">
        <f t="shared" si="61"/>
        <v>0.0314300681</v>
      </c>
      <c r="L125" s="24">
        <v>20.2</v>
      </c>
      <c r="M125" s="25">
        <v>69.32</v>
      </c>
      <c r="N125" s="25">
        <v>5.93</v>
      </c>
      <c r="O125" s="25">
        <v>4.55</v>
      </c>
      <c r="P125" s="25">
        <v>0.21</v>
      </c>
      <c r="Q125" s="45">
        <v>750.0</v>
      </c>
      <c r="R125" s="45" t="s">
        <v>50</v>
      </c>
      <c r="S125" s="25">
        <v>0.0</v>
      </c>
      <c r="T125" s="46" t="s">
        <v>51</v>
      </c>
      <c r="U125" s="25">
        <f>9.44*100/46.53</f>
        <v>20.28798625</v>
      </c>
      <c r="V125" s="25">
        <f>15.65*100/46.53</f>
        <v>33.63421449</v>
      </c>
      <c r="W125" s="25">
        <f>18.63*100/46.53</f>
        <v>40.03868472</v>
      </c>
      <c r="X125" s="25">
        <f>2.81*100/46.53</f>
        <v>6.03911455</v>
      </c>
      <c r="Y125" s="31">
        <f t="shared" si="5"/>
        <v>38.26856275</v>
      </c>
      <c r="Z125" s="52" t="s">
        <v>51</v>
      </c>
      <c r="AA125" s="22" t="s">
        <v>51</v>
      </c>
      <c r="AB125" s="22" t="s">
        <v>51</v>
      </c>
      <c r="AC125" s="32">
        <f t="shared" si="6"/>
        <v>8603.409667</v>
      </c>
      <c r="AD125" s="22" t="s">
        <v>51</v>
      </c>
      <c r="AK125" s="33">
        <f t="shared" si="7"/>
        <v>2.999718595</v>
      </c>
      <c r="AL125" s="33">
        <f t="shared" si="8"/>
        <v>4.838878884</v>
      </c>
      <c r="AM125" s="33">
        <f t="shared" si="9"/>
        <v>7.838597479</v>
      </c>
      <c r="AO125" s="34">
        <f t="shared" si="10"/>
        <v>12.5240655</v>
      </c>
      <c r="AP125" s="34">
        <f t="shared" si="11"/>
        <v>20.76288401</v>
      </c>
      <c r="AQ125" s="34">
        <f t="shared" si="12"/>
        <v>24.71645553</v>
      </c>
      <c r="AR125" s="34">
        <f t="shared" si="13"/>
        <v>3.728032209</v>
      </c>
      <c r="AS125" s="34">
        <f t="shared" si="14"/>
        <v>38.26856275</v>
      </c>
      <c r="AT125" s="35">
        <f t="shared" si="15"/>
        <v>100</v>
      </c>
      <c r="AV125" s="32">
        <f t="shared" si="16"/>
        <v>5311.00844</v>
      </c>
    </row>
    <row r="126" ht="14.25" customHeight="1">
      <c r="B126" s="36"/>
      <c r="C126" s="20" t="s">
        <v>46</v>
      </c>
      <c r="D126" s="21"/>
      <c r="E126" s="22" t="s">
        <v>48</v>
      </c>
      <c r="F126" s="42"/>
      <c r="G126" s="27">
        <f t="shared" si="57"/>
        <v>46.28601362</v>
      </c>
      <c r="H126" s="27">
        <f t="shared" si="58"/>
        <v>5.594552122</v>
      </c>
      <c r="I126" s="27">
        <f t="shared" si="59"/>
        <v>47.51178628</v>
      </c>
      <c r="J126" s="51">
        <f t="shared" si="60"/>
        <v>0.5762179151</v>
      </c>
      <c r="K126" s="27">
        <f t="shared" si="61"/>
        <v>0.0314300681</v>
      </c>
      <c r="L126" s="24">
        <v>20.2</v>
      </c>
      <c r="M126" s="25">
        <v>69.32</v>
      </c>
      <c r="N126" s="25">
        <v>5.93</v>
      </c>
      <c r="O126" s="25">
        <v>4.55</v>
      </c>
      <c r="P126" s="25">
        <v>0.24</v>
      </c>
      <c r="Q126" s="45">
        <v>750.0</v>
      </c>
      <c r="R126" s="45" t="s">
        <v>50</v>
      </c>
      <c r="S126" s="25">
        <v>0.0</v>
      </c>
      <c r="T126" s="46" t="s">
        <v>51</v>
      </c>
      <c r="U126" s="25">
        <f>9.16*100/44.43</f>
        <v>20.61670043</v>
      </c>
      <c r="V126" s="25">
        <f>13.65*100/44.43</f>
        <v>30.72248481</v>
      </c>
      <c r="W126" s="25">
        <f>19.76*100/44.43</f>
        <v>44.4744542</v>
      </c>
      <c r="X126" s="25">
        <f>1.86*100/44.43</f>
        <v>4.186360567</v>
      </c>
      <c r="Y126" s="31">
        <f t="shared" si="5"/>
        <v>41.34737493</v>
      </c>
      <c r="Z126" s="52" t="s">
        <v>51</v>
      </c>
      <c r="AA126" s="22" t="s">
        <v>51</v>
      </c>
      <c r="AB126" s="22" t="s">
        <v>51</v>
      </c>
      <c r="AC126" s="32">
        <f t="shared" si="6"/>
        <v>7607.165364</v>
      </c>
      <c r="AD126" s="22" t="s">
        <v>51</v>
      </c>
      <c r="AK126" s="33">
        <f t="shared" si="7"/>
        <v>3.425309935</v>
      </c>
      <c r="AL126" s="33">
        <f t="shared" si="8"/>
        <v>4.858915946</v>
      </c>
      <c r="AM126" s="33">
        <f t="shared" si="9"/>
        <v>8.284225882</v>
      </c>
      <c r="AO126" s="34">
        <f t="shared" si="10"/>
        <v>12.092236</v>
      </c>
      <c r="AP126" s="34">
        <f t="shared" si="11"/>
        <v>18.01954383</v>
      </c>
      <c r="AQ126" s="34">
        <f t="shared" si="12"/>
        <v>26.08543487</v>
      </c>
      <c r="AR126" s="34">
        <f t="shared" si="13"/>
        <v>2.455410368</v>
      </c>
      <c r="AS126" s="34">
        <f t="shared" si="14"/>
        <v>41.34737493</v>
      </c>
      <c r="AT126" s="35">
        <f t="shared" si="15"/>
        <v>100</v>
      </c>
      <c r="AV126" s="32">
        <f t="shared" si="16"/>
        <v>4461.80218</v>
      </c>
    </row>
    <row r="127" ht="14.25" customHeight="1">
      <c r="B127" s="36"/>
      <c r="C127" s="20" t="s">
        <v>46</v>
      </c>
      <c r="D127" s="21"/>
      <c r="E127" s="22" t="s">
        <v>48</v>
      </c>
      <c r="F127" s="42"/>
      <c r="G127" s="27">
        <f t="shared" si="57"/>
        <v>46.28601362</v>
      </c>
      <c r="H127" s="27">
        <f t="shared" si="58"/>
        <v>5.594552122</v>
      </c>
      <c r="I127" s="27">
        <f t="shared" si="59"/>
        <v>47.51178628</v>
      </c>
      <c r="J127" s="51">
        <f t="shared" si="60"/>
        <v>0.5762179151</v>
      </c>
      <c r="K127" s="27">
        <f t="shared" si="61"/>
        <v>0.0314300681</v>
      </c>
      <c r="L127" s="24">
        <v>20.2</v>
      </c>
      <c r="M127" s="25">
        <v>69.32</v>
      </c>
      <c r="N127" s="25">
        <v>5.93</v>
      </c>
      <c r="O127" s="25">
        <v>4.55</v>
      </c>
      <c r="P127" s="25">
        <v>0.15</v>
      </c>
      <c r="Q127" s="45">
        <v>800.0</v>
      </c>
      <c r="R127" s="45" t="s">
        <v>50</v>
      </c>
      <c r="S127" s="25">
        <v>0.0</v>
      </c>
      <c r="T127" s="46" t="s">
        <v>51</v>
      </c>
      <c r="U127" s="25">
        <f>13.81*100/68.08</f>
        <v>20.28495887</v>
      </c>
      <c r="V127" s="25">
        <f>27.89*100/68.08</f>
        <v>40.96650999</v>
      </c>
      <c r="W127" s="25">
        <f>19.25*100/68.08</f>
        <v>28.27555817</v>
      </c>
      <c r="X127" s="25">
        <f>7.13*100/68.08</f>
        <v>10.47297297</v>
      </c>
      <c r="Y127" s="31">
        <f t="shared" si="5"/>
        <v>30.74946148</v>
      </c>
      <c r="Z127" s="52" t="s">
        <v>51</v>
      </c>
      <c r="AA127" s="22" t="s">
        <v>51</v>
      </c>
      <c r="AB127" s="22" t="s">
        <v>51</v>
      </c>
      <c r="AC127" s="32">
        <f t="shared" si="6"/>
        <v>11118.14672</v>
      </c>
      <c r="AD127" s="22" t="s">
        <v>51</v>
      </c>
      <c r="AK127" s="33">
        <f t="shared" si="7"/>
        <v>2.148535914</v>
      </c>
      <c r="AL127" s="33">
        <f t="shared" si="8"/>
        <v>4.838695116</v>
      </c>
      <c r="AM127" s="33">
        <f t="shared" si="9"/>
        <v>6.98723103</v>
      </c>
      <c r="AO127" s="34">
        <f t="shared" si="10"/>
        <v>14.04744326</v>
      </c>
      <c r="AP127" s="34">
        <f t="shared" si="11"/>
        <v>28.36952878</v>
      </c>
      <c r="AQ127" s="34">
        <f t="shared" si="12"/>
        <v>19.5809763</v>
      </c>
      <c r="AR127" s="34">
        <f t="shared" si="13"/>
        <v>7.252590183</v>
      </c>
      <c r="AS127" s="34">
        <f t="shared" si="14"/>
        <v>30.74946148</v>
      </c>
      <c r="AT127" s="35">
        <f t="shared" si="15"/>
        <v>100</v>
      </c>
      <c r="AV127" s="32">
        <f t="shared" si="16"/>
        <v>7699.376476</v>
      </c>
    </row>
    <row r="128" ht="14.25" customHeight="1">
      <c r="B128" s="36"/>
      <c r="C128" s="20" t="s">
        <v>46</v>
      </c>
      <c r="D128" s="21"/>
      <c r="E128" s="22" t="s">
        <v>48</v>
      </c>
      <c r="F128" s="42"/>
      <c r="G128" s="27">
        <f t="shared" si="57"/>
        <v>46.28601362</v>
      </c>
      <c r="H128" s="27">
        <f t="shared" si="58"/>
        <v>5.594552122</v>
      </c>
      <c r="I128" s="27">
        <f t="shared" si="59"/>
        <v>47.51178628</v>
      </c>
      <c r="J128" s="51">
        <f t="shared" si="60"/>
        <v>0.5762179151</v>
      </c>
      <c r="K128" s="27">
        <f t="shared" si="61"/>
        <v>0.0314300681</v>
      </c>
      <c r="L128" s="24">
        <v>20.2</v>
      </c>
      <c r="M128" s="25">
        <v>69.32</v>
      </c>
      <c r="N128" s="25">
        <v>5.93</v>
      </c>
      <c r="O128" s="25">
        <v>4.55</v>
      </c>
      <c r="P128" s="25">
        <v>0.18</v>
      </c>
      <c r="Q128" s="45">
        <v>800.0</v>
      </c>
      <c r="R128" s="45" t="s">
        <v>50</v>
      </c>
      <c r="S128" s="25">
        <v>0.0</v>
      </c>
      <c r="T128" s="46" t="s">
        <v>51</v>
      </c>
      <c r="U128" s="25">
        <f>11.99*100/55.8</f>
        <v>21.4874552</v>
      </c>
      <c r="V128" s="25">
        <f>19.75*100/55.8</f>
        <v>35.39426523</v>
      </c>
      <c r="W128" s="25">
        <f>17.94*100/55.8</f>
        <v>32.15053763</v>
      </c>
      <c r="X128" s="25">
        <f>6.12*100/55.8</f>
        <v>10.96774194</v>
      </c>
      <c r="Y128" s="31">
        <f t="shared" si="5"/>
        <v>34.38160455</v>
      </c>
      <c r="Z128" s="52" t="s">
        <v>51</v>
      </c>
      <c r="AA128" s="22" t="s">
        <v>51</v>
      </c>
      <c r="AB128" s="22" t="s">
        <v>51</v>
      </c>
      <c r="AC128" s="32">
        <f t="shared" si="6"/>
        <v>10721.25112</v>
      </c>
      <c r="AD128" s="22" t="s">
        <v>51</v>
      </c>
      <c r="AK128" s="33">
        <f t="shared" si="7"/>
        <v>2.574127254</v>
      </c>
      <c r="AL128" s="33">
        <f t="shared" si="8"/>
        <v>4.912804459</v>
      </c>
      <c r="AM128" s="33">
        <f t="shared" si="9"/>
        <v>7.486931713</v>
      </c>
      <c r="AO128" s="34">
        <f t="shared" si="10"/>
        <v>14.09972332</v>
      </c>
      <c r="AP128" s="34">
        <f t="shared" si="11"/>
        <v>23.22514893</v>
      </c>
      <c r="AQ128" s="34">
        <f t="shared" si="12"/>
        <v>21.09666692</v>
      </c>
      <c r="AR128" s="34">
        <f t="shared" si="13"/>
        <v>7.196856275</v>
      </c>
      <c r="AS128" s="34">
        <f t="shared" si="14"/>
        <v>34.38160455</v>
      </c>
      <c r="AT128" s="35">
        <f t="shared" si="15"/>
        <v>100</v>
      </c>
      <c r="AV128" s="32">
        <f t="shared" si="16"/>
        <v>7035.112957</v>
      </c>
    </row>
    <row r="129" ht="14.25" customHeight="1">
      <c r="B129" s="36"/>
      <c r="C129" s="20" t="s">
        <v>46</v>
      </c>
      <c r="D129" s="21"/>
      <c r="E129" s="22" t="s">
        <v>48</v>
      </c>
      <c r="F129" s="42"/>
      <c r="G129" s="27">
        <f t="shared" si="57"/>
        <v>46.28601362</v>
      </c>
      <c r="H129" s="27">
        <f t="shared" si="58"/>
        <v>5.594552122</v>
      </c>
      <c r="I129" s="27">
        <f t="shared" si="59"/>
        <v>47.51178628</v>
      </c>
      <c r="J129" s="51">
        <f t="shared" si="60"/>
        <v>0.5762179151</v>
      </c>
      <c r="K129" s="27">
        <f t="shared" si="61"/>
        <v>0.0314300681</v>
      </c>
      <c r="L129" s="24">
        <v>20.2</v>
      </c>
      <c r="M129" s="25">
        <v>69.32</v>
      </c>
      <c r="N129" s="25">
        <v>5.93</v>
      </c>
      <c r="O129" s="25">
        <v>4.55</v>
      </c>
      <c r="P129" s="25">
        <v>0.21</v>
      </c>
      <c r="Q129" s="45">
        <v>800.0</v>
      </c>
      <c r="R129" s="45" t="s">
        <v>50</v>
      </c>
      <c r="S129" s="25">
        <v>0.0</v>
      </c>
      <c r="T129" s="46" t="s">
        <v>51</v>
      </c>
      <c r="U129" s="25">
        <f>10.02*100/53.47</f>
        <v>18.73948008</v>
      </c>
      <c r="V129" s="25">
        <f>17.71*100/53.47</f>
        <v>33.12137647</v>
      </c>
      <c r="W129" s="25">
        <f>21.96*100/53.47</f>
        <v>41.06975874</v>
      </c>
      <c r="X129" s="25">
        <f>3.78*100/53.47</f>
        <v>7.069384702</v>
      </c>
      <c r="Y129" s="31">
        <f t="shared" si="5"/>
        <v>38.72409699</v>
      </c>
      <c r="Z129" s="52" t="s">
        <v>51</v>
      </c>
      <c r="AA129" s="22" t="s">
        <v>51</v>
      </c>
      <c r="AB129" s="22" t="s">
        <v>51</v>
      </c>
      <c r="AC129" s="32">
        <f t="shared" si="6"/>
        <v>8740.607216</v>
      </c>
      <c r="AD129" s="22" t="s">
        <v>51</v>
      </c>
      <c r="AK129" s="33">
        <f t="shared" si="7"/>
        <v>2.999718595</v>
      </c>
      <c r="AL129" s="33">
        <f t="shared" si="8"/>
        <v>4.746668869</v>
      </c>
      <c r="AM129" s="33">
        <f t="shared" si="9"/>
        <v>7.746387464</v>
      </c>
      <c r="AO129" s="34">
        <f t="shared" si="10"/>
        <v>11.48278564</v>
      </c>
      <c r="AP129" s="34">
        <f t="shared" si="11"/>
        <v>20.29542252</v>
      </c>
      <c r="AQ129" s="34">
        <f t="shared" si="12"/>
        <v>25.16586553</v>
      </c>
      <c r="AR129" s="34">
        <f t="shared" si="13"/>
        <v>4.331829313</v>
      </c>
      <c r="AS129" s="34">
        <f t="shared" si="14"/>
        <v>38.72409699</v>
      </c>
      <c r="AT129" s="35">
        <f t="shared" si="15"/>
        <v>100</v>
      </c>
      <c r="AV129" s="32">
        <f t="shared" si="16"/>
        <v>5355.886</v>
      </c>
    </row>
    <row r="130" ht="14.25" customHeight="1">
      <c r="B130" s="36"/>
      <c r="C130" s="20" t="s">
        <v>46</v>
      </c>
      <c r="D130" s="21"/>
      <c r="E130" s="22" t="s">
        <v>48</v>
      </c>
      <c r="F130" s="42"/>
      <c r="G130" s="27">
        <f t="shared" si="57"/>
        <v>46.28601362</v>
      </c>
      <c r="H130" s="27">
        <f t="shared" si="58"/>
        <v>5.594552122</v>
      </c>
      <c r="I130" s="27">
        <f t="shared" si="59"/>
        <v>47.51178628</v>
      </c>
      <c r="J130" s="51">
        <f t="shared" si="60"/>
        <v>0.5762179151</v>
      </c>
      <c r="K130" s="27">
        <f t="shared" si="61"/>
        <v>0.0314300681</v>
      </c>
      <c r="L130" s="24">
        <v>20.2</v>
      </c>
      <c r="M130" s="25">
        <v>69.32</v>
      </c>
      <c r="N130" s="25">
        <v>5.93</v>
      </c>
      <c r="O130" s="25">
        <v>4.55</v>
      </c>
      <c r="P130" s="25">
        <v>0.24</v>
      </c>
      <c r="Q130" s="45">
        <v>800.0</v>
      </c>
      <c r="R130" s="45" t="s">
        <v>50</v>
      </c>
      <c r="S130" s="25">
        <v>0.0</v>
      </c>
      <c r="T130" s="46" t="s">
        <v>51</v>
      </c>
      <c r="U130" s="25">
        <f>9.72*100/52.72</f>
        <v>18.4370258</v>
      </c>
      <c r="V130" s="25">
        <f>14.26*100/52.72</f>
        <v>27.04855842</v>
      </c>
      <c r="W130" s="25">
        <f>25.71*100/52.72</f>
        <v>48.76707132</v>
      </c>
      <c r="X130" s="25">
        <f>3.03*100/52.72</f>
        <v>5.747344461</v>
      </c>
      <c r="Y130" s="31">
        <f t="shared" si="5"/>
        <v>42.00578301</v>
      </c>
      <c r="Z130" s="52" t="s">
        <v>51</v>
      </c>
      <c r="AA130" s="22" t="s">
        <v>51</v>
      </c>
      <c r="AB130" s="22" t="s">
        <v>51</v>
      </c>
      <c r="AC130" s="32">
        <f t="shared" si="6"/>
        <v>7467.016617</v>
      </c>
      <c r="AD130" s="22" t="s">
        <v>51</v>
      </c>
      <c r="AK130" s="33">
        <f t="shared" si="7"/>
        <v>3.425309935</v>
      </c>
      <c r="AL130" s="33">
        <f t="shared" si="8"/>
        <v>4.729067128</v>
      </c>
      <c r="AM130" s="33">
        <f t="shared" si="9"/>
        <v>8.154377063</v>
      </c>
      <c r="AO130" s="34">
        <f t="shared" si="10"/>
        <v>10.69240875</v>
      </c>
      <c r="AP130" s="34">
        <f t="shared" si="11"/>
        <v>15.68659966</v>
      </c>
      <c r="AQ130" s="34">
        <f t="shared" si="12"/>
        <v>28.28208116</v>
      </c>
      <c r="AR130" s="34">
        <f t="shared" si="13"/>
        <v>3.333127418</v>
      </c>
      <c r="AS130" s="34">
        <f t="shared" si="14"/>
        <v>42.00578301</v>
      </c>
      <c r="AT130" s="35">
        <f t="shared" si="15"/>
        <v>100</v>
      </c>
      <c r="AV130" s="32">
        <f t="shared" si="16"/>
        <v>4330.437819</v>
      </c>
    </row>
    <row r="131" ht="14.25" customHeight="1">
      <c r="B131" s="36"/>
      <c r="C131" s="20" t="s">
        <v>46</v>
      </c>
      <c r="D131" s="21"/>
      <c r="E131" s="22" t="s">
        <v>48</v>
      </c>
      <c r="F131" s="42"/>
      <c r="G131" s="27">
        <f t="shared" si="57"/>
        <v>46.28601362</v>
      </c>
      <c r="H131" s="27">
        <f t="shared" si="58"/>
        <v>5.594552122</v>
      </c>
      <c r="I131" s="27">
        <f t="shared" si="59"/>
        <v>47.51178628</v>
      </c>
      <c r="J131" s="51">
        <f t="shared" si="60"/>
        <v>0.5762179151</v>
      </c>
      <c r="K131" s="27">
        <f t="shared" si="61"/>
        <v>0.0314300681</v>
      </c>
      <c r="L131" s="24">
        <v>20.2</v>
      </c>
      <c r="M131" s="25">
        <v>69.32</v>
      </c>
      <c r="N131" s="25">
        <v>5.93</v>
      </c>
      <c r="O131" s="25">
        <v>4.55</v>
      </c>
      <c r="P131" s="25">
        <v>0.15</v>
      </c>
      <c r="Q131" s="45">
        <v>750.0</v>
      </c>
      <c r="R131" s="45" t="s">
        <v>50</v>
      </c>
      <c r="S131" s="25">
        <v>0.0</v>
      </c>
      <c r="T131" s="46" t="s">
        <v>51</v>
      </c>
      <c r="U131" s="25">
        <f>9.76*100/53.73</f>
        <v>18.16489857</v>
      </c>
      <c r="V131" s="25">
        <f>20.61*100/53.73</f>
        <v>38.35845896</v>
      </c>
      <c r="W131" s="25">
        <f>17*100/53.73</f>
        <v>31.63967988</v>
      </c>
      <c r="X131" s="25">
        <f>6.36*100/53.73</f>
        <v>11.83696259</v>
      </c>
      <c r="Y131" s="31">
        <f t="shared" si="5"/>
        <v>31.31119638</v>
      </c>
      <c r="Z131" s="52" t="s">
        <v>51</v>
      </c>
      <c r="AA131" s="22" t="s">
        <v>51</v>
      </c>
      <c r="AB131" s="22" t="s">
        <v>51</v>
      </c>
      <c r="AC131" s="32">
        <f t="shared" si="6"/>
        <v>11048.51008</v>
      </c>
      <c r="AD131" s="22" t="s">
        <v>51</v>
      </c>
      <c r="AK131" s="33">
        <f t="shared" si="7"/>
        <v>2.148535914</v>
      </c>
      <c r="AL131" s="33">
        <f t="shared" si="8"/>
        <v>4.713341505</v>
      </c>
      <c r="AM131" s="33">
        <f t="shared" si="9"/>
        <v>6.861877419</v>
      </c>
      <c r="AO131" s="34">
        <f t="shared" si="10"/>
        <v>12.4772515</v>
      </c>
      <c r="AP131" s="34">
        <f t="shared" si="11"/>
        <v>26.34796655</v>
      </c>
      <c r="AQ131" s="34">
        <f t="shared" si="12"/>
        <v>21.73291758</v>
      </c>
      <c r="AR131" s="34">
        <f t="shared" si="13"/>
        <v>8.130667989</v>
      </c>
      <c r="AS131" s="34">
        <f t="shared" si="14"/>
        <v>31.31119638</v>
      </c>
      <c r="AT131" s="35">
        <f t="shared" si="15"/>
        <v>100</v>
      </c>
      <c r="AV131" s="32">
        <f t="shared" si="16"/>
        <v>7589.08939</v>
      </c>
    </row>
    <row r="132" ht="14.25" customHeight="1">
      <c r="B132" s="36"/>
      <c r="C132" s="20" t="s">
        <v>46</v>
      </c>
      <c r="D132" s="21"/>
      <c r="E132" s="22" t="s">
        <v>48</v>
      </c>
      <c r="F132" s="43"/>
      <c r="G132" s="27">
        <f t="shared" si="57"/>
        <v>46.28601362</v>
      </c>
      <c r="H132" s="27">
        <f t="shared" si="58"/>
        <v>5.594552122</v>
      </c>
      <c r="I132" s="27">
        <f t="shared" si="59"/>
        <v>47.51178628</v>
      </c>
      <c r="J132" s="51">
        <f t="shared" si="60"/>
        <v>0.5762179151</v>
      </c>
      <c r="K132" s="27">
        <f t="shared" si="61"/>
        <v>0.0314300681</v>
      </c>
      <c r="L132" s="24">
        <v>20.2</v>
      </c>
      <c r="M132" s="25">
        <v>69.32</v>
      </c>
      <c r="N132" s="25">
        <v>5.93</v>
      </c>
      <c r="O132" s="25">
        <v>4.55</v>
      </c>
      <c r="P132" s="25">
        <v>0.15</v>
      </c>
      <c r="Q132" s="45">
        <v>850.0</v>
      </c>
      <c r="R132" s="45" t="s">
        <v>50</v>
      </c>
      <c r="S132" s="25">
        <v>0.0</v>
      </c>
      <c r="T132" s="46" t="s">
        <v>51</v>
      </c>
      <c r="U132" s="25">
        <f>10.77*100/50.46</f>
        <v>21.34363853</v>
      </c>
      <c r="V132" s="25">
        <f>18.97*100/50.46</f>
        <v>37.59413397</v>
      </c>
      <c r="W132" s="25">
        <f>16.77*100/50.46</f>
        <v>33.23424495</v>
      </c>
      <c r="X132" s="25">
        <f>3.95*100/50.46</f>
        <v>7.82798256</v>
      </c>
      <c r="Y132" s="31">
        <f t="shared" si="5"/>
        <v>30.46549822</v>
      </c>
      <c r="Z132" s="52" t="s">
        <v>51</v>
      </c>
      <c r="AA132" s="22" t="s">
        <v>51</v>
      </c>
      <c r="AB132" s="22" t="s">
        <v>51</v>
      </c>
      <c r="AC132" s="32">
        <f t="shared" si="6"/>
        <v>9858.640153</v>
      </c>
      <c r="AD132" s="22" t="s">
        <v>51</v>
      </c>
      <c r="AK132" s="33">
        <f t="shared" si="7"/>
        <v>2.148535914</v>
      </c>
      <c r="AL132" s="33">
        <f t="shared" si="8"/>
        <v>4.903821801</v>
      </c>
      <c r="AM132" s="33">
        <f t="shared" si="9"/>
        <v>7.052357715</v>
      </c>
      <c r="AO132" s="34">
        <f t="shared" si="10"/>
        <v>14.84119271</v>
      </c>
      <c r="AP132" s="34">
        <f t="shared" si="11"/>
        <v>26.14089375</v>
      </c>
      <c r="AQ132" s="34">
        <f t="shared" si="12"/>
        <v>23.10926664</v>
      </c>
      <c r="AR132" s="34">
        <f t="shared" si="13"/>
        <v>5.443148673</v>
      </c>
      <c r="AS132" s="34">
        <f t="shared" si="14"/>
        <v>30.46549822</v>
      </c>
      <c r="AT132" s="35">
        <f t="shared" si="15"/>
        <v>100</v>
      </c>
      <c r="AV132" s="32">
        <f t="shared" si="16"/>
        <v>6855.156313</v>
      </c>
    </row>
    <row r="133" ht="14.25" customHeight="1">
      <c r="B133" s="36"/>
      <c r="C133" s="44" t="s">
        <v>46</v>
      </c>
      <c r="D133" s="21"/>
      <c r="E133" s="22" t="s">
        <v>53</v>
      </c>
      <c r="F133" s="53" t="s">
        <v>51</v>
      </c>
      <c r="G133" s="27">
        <f t="shared" ref="G133:G135" si="63">49.3*100/(100-O133)</f>
        <v>49.44834504</v>
      </c>
      <c r="H133" s="27">
        <f t="shared" ref="H133:H135" si="64">5.93*100/(100-O133)</f>
        <v>5.947843531</v>
      </c>
      <c r="I133" s="27">
        <f t="shared" ref="I133:I135" si="65">44.43*100/(100-O133)</f>
        <v>44.56369107</v>
      </c>
      <c r="J133" s="51">
        <f t="shared" ref="J133:J135" si="66">0.13*100/(100-O133)</f>
        <v>0.1303911735</v>
      </c>
      <c r="K133" s="25">
        <v>0.0</v>
      </c>
      <c r="L133" s="24">
        <v>17.1</v>
      </c>
      <c r="M133" s="25">
        <v>74.2</v>
      </c>
      <c r="N133" s="25">
        <v>8.4</v>
      </c>
      <c r="O133" s="25">
        <v>0.3</v>
      </c>
      <c r="P133" s="25">
        <v>0.17</v>
      </c>
      <c r="Q133" s="45">
        <v>780.0</v>
      </c>
      <c r="R133" s="45" t="s">
        <v>50</v>
      </c>
      <c r="S133" s="25">
        <v>0.65</v>
      </c>
      <c r="T133" s="52">
        <v>18.5</v>
      </c>
      <c r="U133" s="25">
        <v>20.2</v>
      </c>
      <c r="V133" s="25">
        <v>15.2</v>
      </c>
      <c r="W133" s="25">
        <v>16.4</v>
      </c>
      <c r="X133" s="25">
        <v>4.7</v>
      </c>
      <c r="Y133" s="54">
        <f t="shared" ref="Y133:Y135" si="67">100-SUM(U133:X133)</f>
        <v>43.5</v>
      </c>
      <c r="Z133" s="52" t="s">
        <v>51</v>
      </c>
      <c r="AA133" s="22" t="s">
        <v>51</v>
      </c>
      <c r="AB133" s="22" t="s">
        <v>51</v>
      </c>
      <c r="AC133" s="32">
        <f t="shared" si="6"/>
        <v>5785.124107</v>
      </c>
      <c r="AD133" s="22" t="s">
        <v>51</v>
      </c>
      <c r="AO133" s="34">
        <f t="shared" ref="AO133:AS133" si="62">U133</f>
        <v>20.2</v>
      </c>
      <c r="AP133" s="34">
        <f t="shared" si="62"/>
        <v>15.2</v>
      </c>
      <c r="AQ133" s="34">
        <f t="shared" si="62"/>
        <v>16.4</v>
      </c>
      <c r="AR133" s="34">
        <f t="shared" si="62"/>
        <v>4.7</v>
      </c>
      <c r="AS133" s="34">
        <f t="shared" si="62"/>
        <v>43.5</v>
      </c>
      <c r="AT133" s="35">
        <f t="shared" si="15"/>
        <v>100</v>
      </c>
      <c r="AV133" s="32">
        <f t="shared" si="16"/>
        <v>5785.124107</v>
      </c>
    </row>
    <row r="134" ht="14.25" customHeight="1">
      <c r="B134" s="36"/>
      <c r="C134" s="44" t="s">
        <v>46</v>
      </c>
      <c r="D134" s="21"/>
      <c r="E134" s="22" t="s">
        <v>53</v>
      </c>
      <c r="F134" s="37"/>
      <c r="G134" s="27">
        <f t="shared" si="63"/>
        <v>49.44834504</v>
      </c>
      <c r="H134" s="27">
        <f t="shared" si="64"/>
        <v>5.947843531</v>
      </c>
      <c r="I134" s="27">
        <f t="shared" si="65"/>
        <v>44.56369107</v>
      </c>
      <c r="J134" s="51">
        <f t="shared" si="66"/>
        <v>0.1303911735</v>
      </c>
      <c r="K134" s="25">
        <v>0.0</v>
      </c>
      <c r="L134" s="24">
        <v>17.1</v>
      </c>
      <c r="M134" s="25">
        <v>74.2</v>
      </c>
      <c r="N134" s="25">
        <v>8.4</v>
      </c>
      <c r="O134" s="25">
        <v>0.3</v>
      </c>
      <c r="P134" s="25">
        <v>0.17</v>
      </c>
      <c r="Q134" s="45">
        <v>780.0</v>
      </c>
      <c r="R134" s="45" t="s">
        <v>50</v>
      </c>
      <c r="S134" s="25">
        <v>0.65</v>
      </c>
      <c r="T134" s="52">
        <v>18.5</v>
      </c>
      <c r="U134" s="25">
        <v>19.8</v>
      </c>
      <c r="V134" s="25">
        <v>16.4</v>
      </c>
      <c r="W134" s="25">
        <v>15.9</v>
      </c>
      <c r="X134" s="25">
        <v>4.9</v>
      </c>
      <c r="Y134" s="54">
        <f t="shared" si="67"/>
        <v>43</v>
      </c>
      <c r="Z134" s="52" t="s">
        <v>51</v>
      </c>
      <c r="AA134" s="22" t="s">
        <v>51</v>
      </c>
      <c r="AB134" s="22" t="s">
        <v>51</v>
      </c>
      <c r="AC134" s="32">
        <f t="shared" si="6"/>
        <v>5965.211607</v>
      </c>
      <c r="AD134" s="22" t="s">
        <v>51</v>
      </c>
      <c r="AO134" s="34">
        <f t="shared" ref="AO134:AS134" si="68">U134</f>
        <v>19.8</v>
      </c>
      <c r="AP134" s="34">
        <f t="shared" si="68"/>
        <v>16.4</v>
      </c>
      <c r="AQ134" s="34">
        <f t="shared" si="68"/>
        <v>15.9</v>
      </c>
      <c r="AR134" s="34">
        <f t="shared" si="68"/>
        <v>4.9</v>
      </c>
      <c r="AS134" s="34">
        <f t="shared" si="68"/>
        <v>43</v>
      </c>
      <c r="AT134" s="35">
        <f t="shared" si="15"/>
        <v>100</v>
      </c>
      <c r="AV134" s="32">
        <f t="shared" si="16"/>
        <v>5965.211607</v>
      </c>
    </row>
    <row r="135" ht="14.25" customHeight="1">
      <c r="B135" s="55"/>
      <c r="C135" s="44" t="s">
        <v>46</v>
      </c>
      <c r="D135" s="21"/>
      <c r="E135" s="22" t="s">
        <v>53</v>
      </c>
      <c r="F135" s="38"/>
      <c r="G135" s="27">
        <f t="shared" si="63"/>
        <v>49.44834504</v>
      </c>
      <c r="H135" s="27">
        <f t="shared" si="64"/>
        <v>5.947843531</v>
      </c>
      <c r="I135" s="27">
        <f t="shared" si="65"/>
        <v>44.56369107</v>
      </c>
      <c r="J135" s="51">
        <f t="shared" si="66"/>
        <v>0.1303911735</v>
      </c>
      <c r="K135" s="25">
        <v>0.0</v>
      </c>
      <c r="L135" s="24">
        <v>17.1</v>
      </c>
      <c r="M135" s="25">
        <v>74.2</v>
      </c>
      <c r="N135" s="25">
        <v>8.4</v>
      </c>
      <c r="O135" s="25">
        <v>0.3</v>
      </c>
      <c r="P135" s="25">
        <v>0.17</v>
      </c>
      <c r="Q135" s="45">
        <v>780.0</v>
      </c>
      <c r="R135" s="45" t="s">
        <v>62</v>
      </c>
      <c r="S135" s="25">
        <v>0.65</v>
      </c>
      <c r="T135" s="52">
        <v>18.5</v>
      </c>
      <c r="U135" s="25">
        <v>20.3</v>
      </c>
      <c r="V135" s="25">
        <v>13.8</v>
      </c>
      <c r="W135" s="25">
        <v>16.9</v>
      </c>
      <c r="X135" s="25">
        <v>4.4</v>
      </c>
      <c r="Y135" s="54">
        <f t="shared" si="67"/>
        <v>44.6</v>
      </c>
      <c r="Z135" s="52" t="s">
        <v>51</v>
      </c>
      <c r="AA135" s="22" t="s">
        <v>51</v>
      </c>
      <c r="AB135" s="22" t="s">
        <v>51</v>
      </c>
      <c r="AC135" s="32">
        <f t="shared" si="6"/>
        <v>5511.550893</v>
      </c>
      <c r="AD135" s="22" t="s">
        <v>51</v>
      </c>
      <c r="AO135" s="34">
        <f t="shared" ref="AO135:AS135" si="69">U135</f>
        <v>20.3</v>
      </c>
      <c r="AP135" s="34">
        <f t="shared" si="69"/>
        <v>13.8</v>
      </c>
      <c r="AQ135" s="34">
        <f t="shared" si="69"/>
        <v>16.9</v>
      </c>
      <c r="AR135" s="34">
        <f t="shared" si="69"/>
        <v>4.4</v>
      </c>
      <c r="AS135" s="34">
        <f t="shared" si="69"/>
        <v>44.6</v>
      </c>
      <c r="AT135" s="35">
        <f t="shared" si="15"/>
        <v>100</v>
      </c>
      <c r="AV135" s="32">
        <f t="shared" si="16"/>
        <v>5511.550893</v>
      </c>
    </row>
    <row r="136" ht="14.25" customHeight="1">
      <c r="A136" s="18"/>
      <c r="B136" s="19" t="s">
        <v>70</v>
      </c>
      <c r="C136" s="22" t="s">
        <v>46</v>
      </c>
      <c r="D136" s="56" t="s">
        <v>71</v>
      </c>
      <c r="E136" s="22" t="s">
        <v>48</v>
      </c>
      <c r="F136" s="57" t="s">
        <v>72</v>
      </c>
      <c r="G136" s="27">
        <f t="shared" ref="G136:G137" si="70">46.99*100/(100-O136)</f>
        <v>49.51527924</v>
      </c>
      <c r="H136" s="27">
        <f t="shared" ref="H136:H137" si="71">5.74*100/(100-O136)</f>
        <v>6.048472076</v>
      </c>
      <c r="I136" s="27">
        <f t="shared" ref="I136:I137" si="72">41.4*100/(100-O136)</f>
        <v>43.62486828</v>
      </c>
      <c r="J136" s="27">
        <f t="shared" ref="J136:J137" si="73">0.66*100/(100-O136)</f>
        <v>0.6954689146</v>
      </c>
      <c r="K136" s="27">
        <f t="shared" ref="K136:K137" si="74">0.11*100/(100-O136)</f>
        <v>0.1159114858</v>
      </c>
      <c r="L136" s="26">
        <f t="shared" ref="L136:L432" si="75">100-SUM(M136,N136,O136)</f>
        <v>7.75</v>
      </c>
      <c r="M136" s="22">
        <v>72.15</v>
      </c>
      <c r="N136" s="22">
        <v>15.0</v>
      </c>
      <c r="O136" s="22">
        <v>5.1</v>
      </c>
      <c r="P136" s="22">
        <v>0.25</v>
      </c>
      <c r="Q136" s="22">
        <v>750.0</v>
      </c>
      <c r="R136" s="22" t="s">
        <v>51</v>
      </c>
      <c r="S136" s="58">
        <v>0.0</v>
      </c>
      <c r="T136" s="25">
        <v>15.0</v>
      </c>
      <c r="U136" s="25">
        <v>36.0</v>
      </c>
      <c r="V136" s="25">
        <v>38.3</v>
      </c>
      <c r="W136" s="22">
        <v>23.5</v>
      </c>
      <c r="X136" s="22">
        <v>0.4</v>
      </c>
      <c r="Y136" s="31">
        <f t="shared" ref="Y136:Y137" si="76">(AK136/AM136)*100</f>
        <v>37.88130404</v>
      </c>
      <c r="Z136" s="22">
        <f t="shared" ref="Z136:Z432" si="77">1/AG136</f>
        <v>0.6666666667</v>
      </c>
      <c r="AA136" s="22">
        <v>81.4</v>
      </c>
      <c r="AB136" s="22">
        <v>52.11</v>
      </c>
      <c r="AC136" s="25">
        <f t="shared" ref="AC136:AC432" si="78">1000*AH136</f>
        <v>4000</v>
      </c>
      <c r="AD136" s="22" t="s">
        <v>51</v>
      </c>
      <c r="AG136" s="33">
        <v>1.5</v>
      </c>
      <c r="AH136" s="33">
        <v>4.0</v>
      </c>
      <c r="AK136" s="33">
        <f t="shared" ref="AK136:AK137" si="79">0.79*((P136*(((G136/12)+(H136/4))-((I136/16)/2)))/0.21)+(J136/14)/2</f>
        <v>4.04548125</v>
      </c>
      <c r="AL136" s="33">
        <f t="shared" ref="AL136:AL137" si="80">(100*G136)/(12*(V136+W136+X136))</f>
        <v>6.633879855</v>
      </c>
      <c r="AM136" s="33">
        <f t="shared" ref="AM136:AM137" si="81">AL136+AK136</f>
        <v>10.67936111</v>
      </c>
      <c r="AO136" s="34">
        <f t="shared" ref="AO136:AO137" si="82">((AL136*(U136/100))/AM136)*100</f>
        <v>22.36273055</v>
      </c>
      <c r="AP136" s="34">
        <f t="shared" ref="AP136:AP137" si="83">((AL136*(V136/100))/AM136)*100</f>
        <v>23.79146055</v>
      </c>
      <c r="AQ136" s="34">
        <f t="shared" ref="AQ136:AQ137" si="84">((AL136*(W136/100))/AM136)*100</f>
        <v>14.59789355</v>
      </c>
      <c r="AR136" s="34">
        <f t="shared" ref="AR136:AR137" si="85">((AL136*(X136/100))/AM136)*100</f>
        <v>0.2484747838</v>
      </c>
      <c r="AS136" s="34">
        <f t="shared" ref="AS136:AS137" si="86">Y136</f>
        <v>37.88130404</v>
      </c>
      <c r="AT136" s="35">
        <f t="shared" si="15"/>
        <v>98.88186347</v>
      </c>
      <c r="AV136" s="25">
        <f t="shared" ref="AV136:AV432" si="87">AC136</f>
        <v>4000</v>
      </c>
    </row>
    <row r="137" ht="14.25" customHeight="1">
      <c r="B137" s="36"/>
      <c r="C137" s="22" t="s">
        <v>46</v>
      </c>
      <c r="D137" s="56"/>
      <c r="E137" s="22" t="s">
        <v>48</v>
      </c>
      <c r="F137" s="56"/>
      <c r="G137" s="27">
        <f t="shared" si="70"/>
        <v>49.51527924</v>
      </c>
      <c r="H137" s="27">
        <f t="shared" si="71"/>
        <v>6.048472076</v>
      </c>
      <c r="I137" s="27">
        <f t="shared" si="72"/>
        <v>43.62486828</v>
      </c>
      <c r="J137" s="27">
        <f t="shared" si="73"/>
        <v>0.6954689146</v>
      </c>
      <c r="K137" s="27">
        <f t="shared" si="74"/>
        <v>0.1159114858</v>
      </c>
      <c r="L137" s="26">
        <f t="shared" si="75"/>
        <v>7.75</v>
      </c>
      <c r="M137" s="22">
        <v>72.15</v>
      </c>
      <c r="N137" s="22">
        <v>15.0</v>
      </c>
      <c r="O137" s="22">
        <v>5.1</v>
      </c>
      <c r="P137" s="22">
        <v>0.25</v>
      </c>
      <c r="Q137" s="22">
        <v>750.0</v>
      </c>
      <c r="R137" s="22" t="s">
        <v>51</v>
      </c>
      <c r="S137" s="58">
        <v>0.0</v>
      </c>
      <c r="T137" s="25">
        <v>15.0</v>
      </c>
      <c r="U137" s="25">
        <v>35.8</v>
      </c>
      <c r="V137" s="25">
        <v>38.3</v>
      </c>
      <c r="W137" s="22">
        <v>23.5</v>
      </c>
      <c r="X137" s="22">
        <v>0.6</v>
      </c>
      <c r="Y137" s="31">
        <f t="shared" si="76"/>
        <v>37.95687557</v>
      </c>
      <c r="Z137" s="22">
        <f t="shared" si="77"/>
        <v>0.7692307692</v>
      </c>
      <c r="AA137" s="22">
        <v>83.1</v>
      </c>
      <c r="AB137" s="22">
        <v>31.71</v>
      </c>
      <c r="AC137" s="25">
        <f t="shared" si="78"/>
        <v>4000</v>
      </c>
      <c r="AD137" s="22" t="s">
        <v>51</v>
      </c>
      <c r="AG137" s="33">
        <v>1.3</v>
      </c>
      <c r="AH137" s="33">
        <v>4.0</v>
      </c>
      <c r="AK137" s="33">
        <f t="shared" si="79"/>
        <v>4.04548125</v>
      </c>
      <c r="AL137" s="33">
        <f t="shared" si="80"/>
        <v>6.61261742</v>
      </c>
      <c r="AM137" s="33">
        <f t="shared" si="81"/>
        <v>10.65809867</v>
      </c>
      <c r="AO137" s="34">
        <f t="shared" si="82"/>
        <v>22.21143855</v>
      </c>
      <c r="AP137" s="34">
        <f t="shared" si="83"/>
        <v>23.76251666</v>
      </c>
      <c r="AQ137" s="34">
        <f t="shared" si="84"/>
        <v>14.58013424</v>
      </c>
      <c r="AR137" s="34">
        <f t="shared" si="85"/>
        <v>0.3722587466</v>
      </c>
      <c r="AS137" s="34">
        <f t="shared" si="86"/>
        <v>37.95687557</v>
      </c>
      <c r="AT137" s="35">
        <f t="shared" si="15"/>
        <v>98.88322376</v>
      </c>
      <c r="AV137" s="25">
        <f t="shared" si="87"/>
        <v>4000</v>
      </c>
    </row>
    <row r="138" ht="14.25" customHeight="1">
      <c r="B138" s="36"/>
      <c r="C138" s="22" t="s">
        <v>46</v>
      </c>
      <c r="D138" s="56"/>
      <c r="E138" s="22" t="s">
        <v>48</v>
      </c>
      <c r="F138" s="56"/>
      <c r="G138" s="27">
        <f t="shared" ref="G138:G145" si="89">47.62*100/(100-O138)</f>
        <v>56.57597719</v>
      </c>
      <c r="H138" s="27">
        <f t="shared" ref="H138:H145" si="90">4.62*100/(100-O138)</f>
        <v>5.488891529</v>
      </c>
      <c r="I138" s="27">
        <f t="shared" ref="I138:I145" si="91">31.28*100/(100-O138)</f>
        <v>37.16288464</v>
      </c>
      <c r="J138" s="27">
        <f t="shared" ref="J138:J145" si="92">0.47*100/(100-O138)</f>
        <v>0.558393727</v>
      </c>
      <c r="K138" s="27">
        <f t="shared" ref="K138:K145" si="93">0.18*100/(100-O138)</f>
        <v>0.2138529167</v>
      </c>
      <c r="L138" s="26">
        <f t="shared" si="75"/>
        <v>11.96</v>
      </c>
      <c r="M138" s="22">
        <v>60.01</v>
      </c>
      <c r="N138" s="22">
        <v>12.2</v>
      </c>
      <c r="O138" s="22">
        <v>15.83</v>
      </c>
      <c r="P138" s="22">
        <v>0.32</v>
      </c>
      <c r="Q138" s="22">
        <v>800.0</v>
      </c>
      <c r="R138" s="22" t="s">
        <v>51</v>
      </c>
      <c r="S138" s="58">
        <v>0.0</v>
      </c>
      <c r="T138" s="22">
        <v>16.38</v>
      </c>
      <c r="U138" s="25">
        <v>6.1</v>
      </c>
      <c r="V138" s="25">
        <v>18.5</v>
      </c>
      <c r="W138" s="22">
        <v>13.7</v>
      </c>
      <c r="X138" s="22">
        <v>5.8</v>
      </c>
      <c r="Y138" s="54">
        <f t="shared" ref="Y138:Y144" si="94">100-SUM(U138:X138)</f>
        <v>55.9</v>
      </c>
      <c r="Z138" s="22">
        <f t="shared" si="77"/>
        <v>0.8547008547</v>
      </c>
      <c r="AA138" s="22">
        <v>34.99</v>
      </c>
      <c r="AB138" s="22">
        <v>67.24</v>
      </c>
      <c r="AC138" s="25">
        <f t="shared" si="78"/>
        <v>5100</v>
      </c>
      <c r="AD138" s="22" t="s">
        <v>51</v>
      </c>
      <c r="AG138" s="33">
        <v>1.17</v>
      </c>
      <c r="AH138" s="33">
        <v>5.1</v>
      </c>
      <c r="AO138" s="34">
        <f t="shared" ref="AO138:AS138" si="88">U138</f>
        <v>6.1</v>
      </c>
      <c r="AP138" s="34">
        <f t="shared" si="88"/>
        <v>18.5</v>
      </c>
      <c r="AQ138" s="34">
        <f t="shared" si="88"/>
        <v>13.7</v>
      </c>
      <c r="AR138" s="34">
        <f t="shared" si="88"/>
        <v>5.8</v>
      </c>
      <c r="AS138" s="34">
        <f t="shared" si="88"/>
        <v>55.9</v>
      </c>
      <c r="AT138" s="35">
        <f t="shared" si="15"/>
        <v>100</v>
      </c>
      <c r="AV138" s="25">
        <f t="shared" si="87"/>
        <v>5100</v>
      </c>
    </row>
    <row r="139" ht="14.25" customHeight="1">
      <c r="B139" s="36"/>
      <c r="C139" s="22" t="s">
        <v>46</v>
      </c>
      <c r="D139" s="56"/>
      <c r="E139" s="22" t="s">
        <v>48</v>
      </c>
      <c r="F139" s="56"/>
      <c r="G139" s="27">
        <f t="shared" si="89"/>
        <v>56.57597719</v>
      </c>
      <c r="H139" s="27">
        <f t="shared" si="90"/>
        <v>5.488891529</v>
      </c>
      <c r="I139" s="27">
        <f t="shared" si="91"/>
        <v>37.16288464</v>
      </c>
      <c r="J139" s="27">
        <f t="shared" si="92"/>
        <v>0.558393727</v>
      </c>
      <c r="K139" s="27">
        <f t="shared" si="93"/>
        <v>0.2138529167</v>
      </c>
      <c r="L139" s="26">
        <f t="shared" si="75"/>
        <v>11.96</v>
      </c>
      <c r="M139" s="22">
        <v>60.01</v>
      </c>
      <c r="N139" s="22">
        <v>12.2</v>
      </c>
      <c r="O139" s="22">
        <v>15.83</v>
      </c>
      <c r="P139" s="22">
        <v>0.26</v>
      </c>
      <c r="Q139" s="22">
        <v>800.0</v>
      </c>
      <c r="R139" s="22" t="s">
        <v>51</v>
      </c>
      <c r="S139" s="58">
        <v>0.0</v>
      </c>
      <c r="T139" s="22">
        <v>16.38</v>
      </c>
      <c r="U139" s="25">
        <v>5.7</v>
      </c>
      <c r="V139" s="25">
        <v>18.9</v>
      </c>
      <c r="W139" s="22">
        <v>13.4</v>
      </c>
      <c r="X139" s="22">
        <v>6.8</v>
      </c>
      <c r="Y139" s="54">
        <f t="shared" si="94"/>
        <v>55.2</v>
      </c>
      <c r="Z139" s="22">
        <f t="shared" si="77"/>
        <v>0.7751937984</v>
      </c>
      <c r="AA139" s="22">
        <v>40.86</v>
      </c>
      <c r="AB139" s="22">
        <v>76.29</v>
      </c>
      <c r="AC139" s="25">
        <f t="shared" si="78"/>
        <v>5400</v>
      </c>
      <c r="AD139" s="22" t="s">
        <v>51</v>
      </c>
      <c r="AG139" s="33">
        <v>1.29</v>
      </c>
      <c r="AH139" s="33">
        <v>5.4</v>
      </c>
      <c r="AO139" s="34">
        <f t="shared" ref="AO139:AS139" si="95">U139</f>
        <v>5.7</v>
      </c>
      <c r="AP139" s="34">
        <f t="shared" si="95"/>
        <v>18.9</v>
      </c>
      <c r="AQ139" s="34">
        <f t="shared" si="95"/>
        <v>13.4</v>
      </c>
      <c r="AR139" s="34">
        <f t="shared" si="95"/>
        <v>6.8</v>
      </c>
      <c r="AS139" s="34">
        <f t="shared" si="95"/>
        <v>55.2</v>
      </c>
      <c r="AT139" s="35">
        <f t="shared" si="15"/>
        <v>100</v>
      </c>
      <c r="AV139" s="25">
        <f t="shared" si="87"/>
        <v>5400</v>
      </c>
    </row>
    <row r="140" ht="14.25" customHeight="1">
      <c r="B140" s="36"/>
      <c r="C140" s="22" t="s">
        <v>46</v>
      </c>
      <c r="D140" s="56"/>
      <c r="E140" s="22" t="s">
        <v>48</v>
      </c>
      <c r="F140" s="56"/>
      <c r="G140" s="27">
        <f t="shared" si="89"/>
        <v>56.57597719</v>
      </c>
      <c r="H140" s="27">
        <f t="shared" si="90"/>
        <v>5.488891529</v>
      </c>
      <c r="I140" s="27">
        <f t="shared" si="91"/>
        <v>37.16288464</v>
      </c>
      <c r="J140" s="27">
        <f t="shared" si="92"/>
        <v>0.558393727</v>
      </c>
      <c r="K140" s="27">
        <f t="shared" si="93"/>
        <v>0.2138529167</v>
      </c>
      <c r="L140" s="26">
        <f t="shared" si="75"/>
        <v>11.96</v>
      </c>
      <c r="M140" s="22">
        <v>60.01</v>
      </c>
      <c r="N140" s="22">
        <v>12.2</v>
      </c>
      <c r="O140" s="22">
        <v>15.83</v>
      </c>
      <c r="P140" s="22">
        <v>0.25</v>
      </c>
      <c r="Q140" s="22">
        <v>800.0</v>
      </c>
      <c r="R140" s="22" t="s">
        <v>51</v>
      </c>
      <c r="S140" s="58">
        <v>0.0</v>
      </c>
      <c r="T140" s="22">
        <v>16.38</v>
      </c>
      <c r="U140" s="25">
        <v>6.9</v>
      </c>
      <c r="V140" s="25">
        <v>21.7</v>
      </c>
      <c r="W140" s="22">
        <v>11.9</v>
      </c>
      <c r="X140" s="22">
        <v>5.4</v>
      </c>
      <c r="Y140" s="54">
        <f t="shared" si="94"/>
        <v>54.1</v>
      </c>
      <c r="Z140" s="22">
        <f t="shared" si="77"/>
        <v>0.6944444444</v>
      </c>
      <c r="AA140" s="22">
        <v>45.61</v>
      </c>
      <c r="AB140" s="22">
        <v>84.94</v>
      </c>
      <c r="AC140" s="25">
        <f t="shared" si="78"/>
        <v>5400</v>
      </c>
      <c r="AD140" s="22" t="s">
        <v>51</v>
      </c>
      <c r="AG140" s="33">
        <v>1.44</v>
      </c>
      <c r="AH140" s="33">
        <v>5.4</v>
      </c>
      <c r="AO140" s="34">
        <f t="shared" ref="AO140:AS140" si="96">U140</f>
        <v>6.9</v>
      </c>
      <c r="AP140" s="34">
        <f t="shared" si="96"/>
        <v>21.7</v>
      </c>
      <c r="AQ140" s="34">
        <f t="shared" si="96"/>
        <v>11.9</v>
      </c>
      <c r="AR140" s="34">
        <f t="shared" si="96"/>
        <v>5.4</v>
      </c>
      <c r="AS140" s="34">
        <f t="shared" si="96"/>
        <v>54.1</v>
      </c>
      <c r="AT140" s="35">
        <f t="shared" si="15"/>
        <v>100</v>
      </c>
      <c r="AV140" s="25">
        <f t="shared" si="87"/>
        <v>5400</v>
      </c>
    </row>
    <row r="141" ht="14.25" customHeight="1">
      <c r="B141" s="36"/>
      <c r="C141" s="22" t="s">
        <v>46</v>
      </c>
      <c r="D141" s="56"/>
      <c r="E141" s="22" t="s">
        <v>48</v>
      </c>
      <c r="F141" s="56"/>
      <c r="G141" s="27">
        <f t="shared" si="89"/>
        <v>56.57597719</v>
      </c>
      <c r="H141" s="27">
        <f t="shared" si="90"/>
        <v>5.488891529</v>
      </c>
      <c r="I141" s="27">
        <f t="shared" si="91"/>
        <v>37.16288464</v>
      </c>
      <c r="J141" s="27">
        <f t="shared" si="92"/>
        <v>0.558393727</v>
      </c>
      <c r="K141" s="27">
        <f t="shared" si="93"/>
        <v>0.2138529167</v>
      </c>
      <c r="L141" s="26">
        <f t="shared" si="75"/>
        <v>11.96</v>
      </c>
      <c r="M141" s="22">
        <v>60.01</v>
      </c>
      <c r="N141" s="22">
        <v>12.2</v>
      </c>
      <c r="O141" s="22">
        <v>15.83</v>
      </c>
      <c r="P141" s="22">
        <v>0.26</v>
      </c>
      <c r="Q141" s="22">
        <v>800.0</v>
      </c>
      <c r="R141" s="22" t="s">
        <v>51</v>
      </c>
      <c r="S141" s="58">
        <v>0.0</v>
      </c>
      <c r="T141" s="22">
        <v>16.38</v>
      </c>
      <c r="U141" s="25">
        <v>6.0</v>
      </c>
      <c r="V141" s="25">
        <v>16.1</v>
      </c>
      <c r="W141" s="22">
        <v>14.4</v>
      </c>
      <c r="X141" s="22">
        <v>6.3</v>
      </c>
      <c r="Y141" s="54">
        <f t="shared" si="94"/>
        <v>57.2</v>
      </c>
      <c r="Z141" s="22">
        <f t="shared" si="77"/>
        <v>0.8064516129</v>
      </c>
      <c r="AA141" s="22">
        <v>35.64</v>
      </c>
      <c r="AB141" s="22">
        <v>69.02</v>
      </c>
      <c r="AC141" s="25">
        <f t="shared" si="78"/>
        <v>4900</v>
      </c>
      <c r="AD141" s="22" t="s">
        <v>51</v>
      </c>
      <c r="AG141" s="33">
        <v>1.24</v>
      </c>
      <c r="AH141" s="33">
        <v>4.9</v>
      </c>
      <c r="AO141" s="34">
        <f t="shared" ref="AO141:AS141" si="97">U141</f>
        <v>6</v>
      </c>
      <c r="AP141" s="34">
        <f t="shared" si="97"/>
        <v>16.1</v>
      </c>
      <c r="AQ141" s="34">
        <f t="shared" si="97"/>
        <v>14.4</v>
      </c>
      <c r="AR141" s="34">
        <f t="shared" si="97"/>
        <v>6.3</v>
      </c>
      <c r="AS141" s="34">
        <f t="shared" si="97"/>
        <v>57.2</v>
      </c>
      <c r="AT141" s="35">
        <f t="shared" si="15"/>
        <v>100</v>
      </c>
      <c r="AV141" s="25">
        <f t="shared" si="87"/>
        <v>4900</v>
      </c>
    </row>
    <row r="142" ht="14.25" customHeight="1">
      <c r="B142" s="36"/>
      <c r="C142" s="22" t="s">
        <v>46</v>
      </c>
      <c r="D142" s="56"/>
      <c r="E142" s="22" t="s">
        <v>48</v>
      </c>
      <c r="F142" s="56"/>
      <c r="G142" s="27">
        <f t="shared" si="89"/>
        <v>56.57597719</v>
      </c>
      <c r="H142" s="27">
        <f t="shared" si="90"/>
        <v>5.488891529</v>
      </c>
      <c r="I142" s="27">
        <f t="shared" si="91"/>
        <v>37.16288464</v>
      </c>
      <c r="J142" s="27">
        <f t="shared" si="92"/>
        <v>0.558393727</v>
      </c>
      <c r="K142" s="27">
        <f t="shared" si="93"/>
        <v>0.2138529167</v>
      </c>
      <c r="L142" s="26">
        <f t="shared" si="75"/>
        <v>11.96</v>
      </c>
      <c r="M142" s="22">
        <v>60.01</v>
      </c>
      <c r="N142" s="22">
        <v>12.2</v>
      </c>
      <c r="O142" s="22">
        <v>15.83</v>
      </c>
      <c r="P142" s="22">
        <v>0.32</v>
      </c>
      <c r="Q142" s="22">
        <v>850.0</v>
      </c>
      <c r="R142" s="22" t="s">
        <v>51</v>
      </c>
      <c r="S142" s="58">
        <v>0.0</v>
      </c>
      <c r="T142" s="22">
        <v>16.38</v>
      </c>
      <c r="U142" s="25">
        <v>11.0</v>
      </c>
      <c r="V142" s="25">
        <v>12.9</v>
      </c>
      <c r="W142" s="22">
        <v>9.1</v>
      </c>
      <c r="X142" s="22">
        <v>0.6</v>
      </c>
      <c r="Y142" s="54">
        <f t="shared" si="94"/>
        <v>66.4</v>
      </c>
      <c r="Z142" s="22">
        <f t="shared" si="77"/>
        <v>0.3636363636</v>
      </c>
      <c r="AA142" s="22">
        <v>48.39</v>
      </c>
      <c r="AB142" s="22">
        <v>94.0</v>
      </c>
      <c r="AC142" s="25">
        <f t="shared" si="78"/>
        <v>3000</v>
      </c>
      <c r="AD142" s="22" t="s">
        <v>51</v>
      </c>
      <c r="AG142" s="33">
        <v>2.75</v>
      </c>
      <c r="AH142" s="33">
        <v>3.0</v>
      </c>
      <c r="AO142" s="34">
        <f t="shared" ref="AO142:AS142" si="98">U142</f>
        <v>11</v>
      </c>
      <c r="AP142" s="34">
        <f t="shared" si="98"/>
        <v>12.9</v>
      </c>
      <c r="AQ142" s="34">
        <f t="shared" si="98"/>
        <v>9.1</v>
      </c>
      <c r="AR142" s="34">
        <f t="shared" si="98"/>
        <v>0.6</v>
      </c>
      <c r="AS142" s="34">
        <f t="shared" si="98"/>
        <v>66.4</v>
      </c>
      <c r="AT142" s="35">
        <f t="shared" si="15"/>
        <v>100</v>
      </c>
      <c r="AV142" s="25">
        <f t="shared" si="87"/>
        <v>3000</v>
      </c>
    </row>
    <row r="143" ht="14.25" customHeight="1">
      <c r="B143" s="36"/>
      <c r="C143" s="22" t="s">
        <v>46</v>
      </c>
      <c r="D143" s="56"/>
      <c r="E143" s="22" t="s">
        <v>48</v>
      </c>
      <c r="F143" s="56"/>
      <c r="G143" s="27">
        <f t="shared" si="89"/>
        <v>56.57597719</v>
      </c>
      <c r="H143" s="27">
        <f t="shared" si="90"/>
        <v>5.488891529</v>
      </c>
      <c r="I143" s="27">
        <f t="shared" si="91"/>
        <v>37.16288464</v>
      </c>
      <c r="J143" s="27">
        <f t="shared" si="92"/>
        <v>0.558393727</v>
      </c>
      <c r="K143" s="27">
        <f t="shared" si="93"/>
        <v>0.2138529167</v>
      </c>
      <c r="L143" s="26">
        <f t="shared" si="75"/>
        <v>11.96</v>
      </c>
      <c r="M143" s="22">
        <v>60.01</v>
      </c>
      <c r="N143" s="22">
        <v>12.2</v>
      </c>
      <c r="O143" s="22">
        <v>15.83</v>
      </c>
      <c r="P143" s="22">
        <v>0.26</v>
      </c>
      <c r="Q143" s="22">
        <v>850.0</v>
      </c>
      <c r="R143" s="22" t="s">
        <v>51</v>
      </c>
      <c r="S143" s="58">
        <v>0.0</v>
      </c>
      <c r="T143" s="22">
        <v>16.38</v>
      </c>
      <c r="U143" s="25">
        <v>12.3</v>
      </c>
      <c r="V143" s="25">
        <v>13.9</v>
      </c>
      <c r="W143" s="22">
        <v>8.9</v>
      </c>
      <c r="X143" s="22">
        <v>1.2</v>
      </c>
      <c r="Y143" s="54">
        <f t="shared" si="94"/>
        <v>63.7</v>
      </c>
      <c r="Z143" s="22">
        <f t="shared" si="77"/>
        <v>0.3816793893</v>
      </c>
      <c r="AA143" s="22">
        <v>53.78</v>
      </c>
      <c r="AB143" s="22">
        <v>95.1</v>
      </c>
      <c r="AC143" s="25">
        <f t="shared" si="78"/>
        <v>3500</v>
      </c>
      <c r="AD143" s="22" t="s">
        <v>51</v>
      </c>
      <c r="AG143" s="33">
        <v>2.62</v>
      </c>
      <c r="AH143" s="33">
        <v>3.5</v>
      </c>
      <c r="AO143" s="34">
        <f t="shared" ref="AO143:AS143" si="99">U143</f>
        <v>12.3</v>
      </c>
      <c r="AP143" s="34">
        <f t="shared" si="99"/>
        <v>13.9</v>
      </c>
      <c r="AQ143" s="34">
        <f t="shared" si="99"/>
        <v>8.9</v>
      </c>
      <c r="AR143" s="34">
        <f t="shared" si="99"/>
        <v>1.2</v>
      </c>
      <c r="AS143" s="34">
        <f t="shared" si="99"/>
        <v>63.7</v>
      </c>
      <c r="AT143" s="35">
        <f t="shared" si="15"/>
        <v>100</v>
      </c>
      <c r="AV143" s="25">
        <f t="shared" si="87"/>
        <v>3500</v>
      </c>
    </row>
    <row r="144" ht="14.25" customHeight="1">
      <c r="B144" s="36"/>
      <c r="C144" s="22" t="s">
        <v>46</v>
      </c>
      <c r="D144" s="56"/>
      <c r="E144" s="22" t="s">
        <v>48</v>
      </c>
      <c r="F144" s="56"/>
      <c r="G144" s="27">
        <f t="shared" si="89"/>
        <v>56.57597719</v>
      </c>
      <c r="H144" s="27">
        <f t="shared" si="90"/>
        <v>5.488891529</v>
      </c>
      <c r="I144" s="27">
        <f t="shared" si="91"/>
        <v>37.16288464</v>
      </c>
      <c r="J144" s="27">
        <f t="shared" si="92"/>
        <v>0.558393727</v>
      </c>
      <c r="K144" s="27">
        <f t="shared" si="93"/>
        <v>0.2138529167</v>
      </c>
      <c r="L144" s="26">
        <f t="shared" si="75"/>
        <v>11.96</v>
      </c>
      <c r="M144" s="22">
        <v>60.01</v>
      </c>
      <c r="N144" s="22">
        <v>12.2</v>
      </c>
      <c r="O144" s="22">
        <v>15.83</v>
      </c>
      <c r="P144" s="22">
        <v>0.25</v>
      </c>
      <c r="Q144" s="22">
        <v>850.0</v>
      </c>
      <c r="R144" s="22" t="s">
        <v>51</v>
      </c>
      <c r="S144" s="58">
        <v>0.0</v>
      </c>
      <c r="T144" s="22">
        <v>16.38</v>
      </c>
      <c r="U144" s="25">
        <v>13.7</v>
      </c>
      <c r="V144" s="25">
        <v>15.5</v>
      </c>
      <c r="W144" s="22">
        <v>8.2</v>
      </c>
      <c r="X144" s="22">
        <v>13.7</v>
      </c>
      <c r="Y144" s="54">
        <f t="shared" si="94"/>
        <v>48.9</v>
      </c>
      <c r="Z144" s="22">
        <f t="shared" si="77"/>
        <v>0.3703703704</v>
      </c>
      <c r="AA144" s="22">
        <v>58.59</v>
      </c>
      <c r="AB144" s="22">
        <v>152.73</v>
      </c>
      <c r="AC144" s="25">
        <f t="shared" si="78"/>
        <v>3700</v>
      </c>
      <c r="AD144" s="22" t="s">
        <v>51</v>
      </c>
      <c r="AG144" s="33">
        <v>2.7</v>
      </c>
      <c r="AH144" s="33">
        <v>3.7</v>
      </c>
      <c r="AO144" s="34">
        <f t="shared" ref="AO144:AS144" si="100">U144</f>
        <v>13.7</v>
      </c>
      <c r="AP144" s="34">
        <f t="shared" si="100"/>
        <v>15.5</v>
      </c>
      <c r="AQ144" s="34">
        <f t="shared" si="100"/>
        <v>8.2</v>
      </c>
      <c r="AR144" s="34">
        <f t="shared" si="100"/>
        <v>13.7</v>
      </c>
      <c r="AS144" s="34">
        <f t="shared" si="100"/>
        <v>48.9</v>
      </c>
      <c r="AT144" s="35">
        <f t="shared" si="15"/>
        <v>100</v>
      </c>
      <c r="AV144" s="25">
        <f t="shared" si="87"/>
        <v>3700</v>
      </c>
    </row>
    <row r="145" ht="14.25" customHeight="1">
      <c r="B145" s="36"/>
      <c r="C145" s="22" t="s">
        <v>46</v>
      </c>
      <c r="D145" s="56"/>
      <c r="E145" s="22" t="s">
        <v>48</v>
      </c>
      <c r="F145" s="56"/>
      <c r="G145" s="27">
        <f t="shared" si="89"/>
        <v>56.57597719</v>
      </c>
      <c r="H145" s="27">
        <f t="shared" si="90"/>
        <v>5.488891529</v>
      </c>
      <c r="I145" s="27">
        <f t="shared" si="91"/>
        <v>37.16288464</v>
      </c>
      <c r="J145" s="27">
        <f t="shared" si="92"/>
        <v>0.558393727</v>
      </c>
      <c r="K145" s="27">
        <f t="shared" si="93"/>
        <v>0.2138529167</v>
      </c>
      <c r="L145" s="26">
        <f t="shared" si="75"/>
        <v>11.96</v>
      </c>
      <c r="M145" s="22">
        <v>60.01</v>
      </c>
      <c r="N145" s="22">
        <v>12.2</v>
      </c>
      <c r="O145" s="22">
        <v>15.83</v>
      </c>
      <c r="P145" s="22">
        <v>0.26</v>
      </c>
      <c r="Q145" s="22">
        <v>850.0</v>
      </c>
      <c r="R145" s="22" t="s">
        <v>51</v>
      </c>
      <c r="S145" s="58">
        <v>0.0</v>
      </c>
      <c r="T145" s="22">
        <v>16.38</v>
      </c>
      <c r="U145" s="25">
        <v>19.1</v>
      </c>
      <c r="V145" s="25">
        <v>35.8</v>
      </c>
      <c r="W145" s="22">
        <v>5.8</v>
      </c>
      <c r="X145" s="22">
        <v>19.1</v>
      </c>
      <c r="Y145" s="31">
        <f>(AK145/AM145)*100</f>
        <v>38.37914506</v>
      </c>
      <c r="Z145" s="22">
        <f t="shared" si="77"/>
        <v>0.5263157895</v>
      </c>
      <c r="AA145" s="22">
        <v>74.66</v>
      </c>
      <c r="AB145" s="22">
        <v>174.43</v>
      </c>
      <c r="AC145" s="25">
        <f t="shared" si="78"/>
        <v>6700</v>
      </c>
      <c r="AD145" s="22" t="s">
        <v>51</v>
      </c>
      <c r="AG145" s="33">
        <v>1.9</v>
      </c>
      <c r="AH145" s="33">
        <v>6.7</v>
      </c>
      <c r="AK145" s="33">
        <f>0.79*((P145*(((G145/12)+(H145/4))-((I145/16)/2)))/0.21)+(J145/14)/2</f>
        <v>4.837597191</v>
      </c>
      <c r="AL145" s="33">
        <f>(100*G145)/(12*(V145+W145+X145))</f>
        <v>7.767157769</v>
      </c>
      <c r="AM145" s="33">
        <f>AL145+AK145</f>
        <v>12.60475496</v>
      </c>
      <c r="AO145" s="34">
        <f>((AL145*(U145/100))/AM145)*100</f>
        <v>11.76958329</v>
      </c>
      <c r="AP145" s="34">
        <f>((AL145*(V145/100))/AM145)*100</f>
        <v>22.06026607</v>
      </c>
      <c r="AQ145" s="34">
        <f>((AL145*(W145/100))/AM145)*100</f>
        <v>3.574009586</v>
      </c>
      <c r="AR145" s="34">
        <f>((AL145*(X145/100))/AM145)*100</f>
        <v>11.76958329</v>
      </c>
      <c r="AS145" s="34">
        <f>Y145</f>
        <v>38.37914506</v>
      </c>
      <c r="AT145" s="35">
        <f t="shared" si="15"/>
        <v>87.5525873</v>
      </c>
      <c r="AV145" s="25">
        <f t="shared" si="87"/>
        <v>6700</v>
      </c>
    </row>
    <row r="146" ht="14.25" customHeight="1">
      <c r="B146" s="36"/>
      <c r="C146" s="22" t="s">
        <v>46</v>
      </c>
      <c r="D146" s="56"/>
      <c r="E146" s="22" t="s">
        <v>48</v>
      </c>
      <c r="F146" s="56"/>
      <c r="G146" s="27">
        <f t="shared" ref="G146:G149" si="102">46.6*100/(100-O146)</f>
        <v>46.83887828</v>
      </c>
      <c r="H146" s="27">
        <f t="shared" ref="H146:H149" si="103">5.07*100/(100-O146)</f>
        <v>5.095989547</v>
      </c>
      <c r="I146" s="27">
        <f t="shared" ref="I146:I149" si="104">47.76*100/(100-O146)</f>
        <v>48.00482461</v>
      </c>
      <c r="J146" s="27">
        <f t="shared" ref="J146:J149" si="105">0.04*100/(100-O146)</f>
        <v>0.04020504573</v>
      </c>
      <c r="K146" s="27">
        <f t="shared" ref="K146:K149" si="106">0.02*100/(100-O146)</f>
        <v>0.02010252287</v>
      </c>
      <c r="L146" s="26">
        <f t="shared" si="75"/>
        <v>7.06</v>
      </c>
      <c r="M146" s="22">
        <v>78.69</v>
      </c>
      <c r="N146" s="22">
        <v>13.74</v>
      </c>
      <c r="O146" s="22">
        <v>0.51</v>
      </c>
      <c r="P146" s="22">
        <v>0.3</v>
      </c>
      <c r="Q146" s="22">
        <v>900.0</v>
      </c>
      <c r="R146" s="22" t="s">
        <v>51</v>
      </c>
      <c r="S146" s="58">
        <v>0.0</v>
      </c>
      <c r="T146" s="22">
        <v>18.73</v>
      </c>
      <c r="U146" s="25">
        <v>11.8</v>
      </c>
      <c r="V146" s="25">
        <v>12.5</v>
      </c>
      <c r="W146" s="22">
        <v>8.5</v>
      </c>
      <c r="X146" s="22">
        <v>1.0</v>
      </c>
      <c r="Y146" s="54">
        <f t="shared" ref="Y146:Y196" si="107">100-SUM(U146:X146)</f>
        <v>66.2</v>
      </c>
      <c r="Z146" s="22">
        <f t="shared" si="77"/>
        <v>0.4504504505</v>
      </c>
      <c r="AA146" s="22">
        <v>36.55</v>
      </c>
      <c r="AB146" s="22">
        <v>56.11</v>
      </c>
      <c r="AC146" s="25">
        <f t="shared" si="78"/>
        <v>3270</v>
      </c>
      <c r="AD146" s="22" t="s">
        <v>51</v>
      </c>
      <c r="AG146" s="33">
        <v>2.22</v>
      </c>
      <c r="AH146" s="33">
        <v>3.27</v>
      </c>
      <c r="AO146" s="34">
        <f t="shared" ref="AO146:AS146" si="101">U146</f>
        <v>11.8</v>
      </c>
      <c r="AP146" s="34">
        <f t="shared" si="101"/>
        <v>12.5</v>
      </c>
      <c r="AQ146" s="34">
        <f t="shared" si="101"/>
        <v>8.5</v>
      </c>
      <c r="AR146" s="34">
        <f t="shared" si="101"/>
        <v>1</v>
      </c>
      <c r="AS146" s="34">
        <f t="shared" si="101"/>
        <v>66.2</v>
      </c>
      <c r="AT146" s="35">
        <f t="shared" si="15"/>
        <v>100</v>
      </c>
      <c r="AV146" s="25">
        <f t="shared" si="87"/>
        <v>3270</v>
      </c>
    </row>
    <row r="147" ht="14.25" customHeight="1">
      <c r="B147" s="36"/>
      <c r="C147" s="22" t="s">
        <v>46</v>
      </c>
      <c r="D147" s="56"/>
      <c r="E147" s="22" t="s">
        <v>48</v>
      </c>
      <c r="F147" s="56"/>
      <c r="G147" s="27">
        <f t="shared" si="102"/>
        <v>46.83887828</v>
      </c>
      <c r="H147" s="27">
        <f t="shared" si="103"/>
        <v>5.095989547</v>
      </c>
      <c r="I147" s="27">
        <f t="shared" si="104"/>
        <v>48.00482461</v>
      </c>
      <c r="J147" s="27">
        <f t="shared" si="105"/>
        <v>0.04020504573</v>
      </c>
      <c r="K147" s="27">
        <f t="shared" si="106"/>
        <v>0.02010252287</v>
      </c>
      <c r="L147" s="26">
        <f t="shared" si="75"/>
        <v>7.06</v>
      </c>
      <c r="M147" s="22">
        <v>78.69</v>
      </c>
      <c r="N147" s="22">
        <v>13.74</v>
      </c>
      <c r="O147" s="22">
        <v>0.51</v>
      </c>
      <c r="P147" s="22">
        <v>0.3</v>
      </c>
      <c r="Q147" s="22">
        <v>900.0</v>
      </c>
      <c r="R147" s="22" t="s">
        <v>51</v>
      </c>
      <c r="S147" s="58">
        <v>0.0</v>
      </c>
      <c r="T147" s="22">
        <v>18.73</v>
      </c>
      <c r="U147" s="25">
        <v>13.4</v>
      </c>
      <c r="V147" s="25">
        <v>14.1</v>
      </c>
      <c r="W147" s="22">
        <v>9.5</v>
      </c>
      <c r="X147" s="22">
        <v>1.2</v>
      </c>
      <c r="Y147" s="54">
        <f t="shared" si="107"/>
        <v>61.8</v>
      </c>
      <c r="Z147" s="22">
        <f t="shared" si="77"/>
        <v>0.462962963</v>
      </c>
      <c r="AA147" s="22">
        <v>40.56</v>
      </c>
      <c r="AB147" s="22">
        <v>61.7</v>
      </c>
      <c r="AC147" s="25">
        <f t="shared" si="78"/>
        <v>3720</v>
      </c>
      <c r="AD147" s="22" t="s">
        <v>51</v>
      </c>
      <c r="AG147" s="33">
        <v>2.16</v>
      </c>
      <c r="AH147" s="33">
        <v>3.72</v>
      </c>
      <c r="AO147" s="34">
        <f t="shared" ref="AO147:AS147" si="108">U147</f>
        <v>13.4</v>
      </c>
      <c r="AP147" s="34">
        <f t="shared" si="108"/>
        <v>14.1</v>
      </c>
      <c r="AQ147" s="34">
        <f t="shared" si="108"/>
        <v>9.5</v>
      </c>
      <c r="AR147" s="34">
        <f t="shared" si="108"/>
        <v>1.2</v>
      </c>
      <c r="AS147" s="34">
        <f t="shared" si="108"/>
        <v>61.8</v>
      </c>
      <c r="AT147" s="35">
        <f t="shared" si="15"/>
        <v>100</v>
      </c>
      <c r="AV147" s="25">
        <f t="shared" si="87"/>
        <v>3720</v>
      </c>
    </row>
    <row r="148" ht="14.25" customHeight="1">
      <c r="B148" s="36"/>
      <c r="C148" s="22" t="s">
        <v>46</v>
      </c>
      <c r="D148" s="56"/>
      <c r="E148" s="22" t="s">
        <v>48</v>
      </c>
      <c r="F148" s="56"/>
      <c r="G148" s="27">
        <f t="shared" si="102"/>
        <v>46.83887828</v>
      </c>
      <c r="H148" s="27">
        <f t="shared" si="103"/>
        <v>5.095989547</v>
      </c>
      <c r="I148" s="27">
        <f t="shared" si="104"/>
        <v>48.00482461</v>
      </c>
      <c r="J148" s="27">
        <f t="shared" si="105"/>
        <v>0.04020504573</v>
      </c>
      <c r="K148" s="27">
        <f t="shared" si="106"/>
        <v>0.02010252287</v>
      </c>
      <c r="L148" s="26">
        <f t="shared" si="75"/>
        <v>7.06</v>
      </c>
      <c r="M148" s="22">
        <v>78.69</v>
      </c>
      <c r="N148" s="22">
        <v>13.74</v>
      </c>
      <c r="O148" s="22">
        <v>0.51</v>
      </c>
      <c r="P148" s="22">
        <v>0.3</v>
      </c>
      <c r="Q148" s="22">
        <v>900.0</v>
      </c>
      <c r="R148" s="22" t="s">
        <v>51</v>
      </c>
      <c r="S148" s="58">
        <v>0.0</v>
      </c>
      <c r="T148" s="22">
        <v>18.73</v>
      </c>
      <c r="U148" s="25">
        <v>14.0</v>
      </c>
      <c r="V148" s="25">
        <v>14.2</v>
      </c>
      <c r="W148" s="22">
        <v>10.4</v>
      </c>
      <c r="X148" s="22">
        <v>1.5</v>
      </c>
      <c r="Y148" s="54">
        <f t="shared" si="107"/>
        <v>59.9</v>
      </c>
      <c r="Z148" s="22">
        <f t="shared" si="77"/>
        <v>0.4366812227</v>
      </c>
      <c r="AA148" s="22">
        <v>45.12</v>
      </c>
      <c r="AB148" s="22">
        <v>68.73</v>
      </c>
      <c r="AC148" s="25">
        <f t="shared" si="78"/>
        <v>3910</v>
      </c>
      <c r="AD148" s="22" t="s">
        <v>51</v>
      </c>
      <c r="AG148" s="33">
        <v>2.29</v>
      </c>
      <c r="AH148" s="33">
        <v>3.91</v>
      </c>
      <c r="AO148" s="34">
        <f t="shared" ref="AO148:AS148" si="109">U148</f>
        <v>14</v>
      </c>
      <c r="AP148" s="34">
        <f t="shared" si="109"/>
        <v>14.2</v>
      </c>
      <c r="AQ148" s="34">
        <f t="shared" si="109"/>
        <v>10.4</v>
      </c>
      <c r="AR148" s="34">
        <f t="shared" si="109"/>
        <v>1.5</v>
      </c>
      <c r="AS148" s="34">
        <f t="shared" si="109"/>
        <v>59.9</v>
      </c>
      <c r="AT148" s="35">
        <f t="shared" si="15"/>
        <v>100</v>
      </c>
      <c r="AV148" s="25">
        <f t="shared" si="87"/>
        <v>3910</v>
      </c>
    </row>
    <row r="149" ht="14.25" customHeight="1">
      <c r="B149" s="36"/>
      <c r="C149" s="22" t="s">
        <v>46</v>
      </c>
      <c r="D149" s="56"/>
      <c r="E149" s="22" t="s">
        <v>48</v>
      </c>
      <c r="F149" s="56"/>
      <c r="G149" s="27">
        <f t="shared" si="102"/>
        <v>46.83887828</v>
      </c>
      <c r="H149" s="27">
        <f t="shared" si="103"/>
        <v>5.095989547</v>
      </c>
      <c r="I149" s="27">
        <f t="shared" si="104"/>
        <v>48.00482461</v>
      </c>
      <c r="J149" s="27">
        <f t="shared" si="105"/>
        <v>0.04020504573</v>
      </c>
      <c r="K149" s="27">
        <f t="shared" si="106"/>
        <v>0.02010252287</v>
      </c>
      <c r="L149" s="26">
        <f t="shared" si="75"/>
        <v>7.06</v>
      </c>
      <c r="M149" s="22">
        <v>78.69</v>
      </c>
      <c r="N149" s="22">
        <v>13.74</v>
      </c>
      <c r="O149" s="22">
        <v>0.51</v>
      </c>
      <c r="P149" s="22">
        <v>0.3</v>
      </c>
      <c r="Q149" s="22">
        <v>900.0</v>
      </c>
      <c r="R149" s="22" t="s">
        <v>51</v>
      </c>
      <c r="S149" s="58">
        <v>0.0</v>
      </c>
      <c r="T149" s="22">
        <v>18.73</v>
      </c>
      <c r="U149" s="25">
        <v>14.1</v>
      </c>
      <c r="V149" s="25">
        <v>15.1</v>
      </c>
      <c r="W149" s="22">
        <v>10.2</v>
      </c>
      <c r="X149" s="22">
        <v>1.5</v>
      </c>
      <c r="Y149" s="54">
        <f t="shared" si="107"/>
        <v>59.1</v>
      </c>
      <c r="Z149" s="22">
        <f t="shared" si="77"/>
        <v>0.4761904762</v>
      </c>
      <c r="AA149" s="22">
        <v>42.67</v>
      </c>
      <c r="AB149" s="22">
        <v>64.75</v>
      </c>
      <c r="AC149" s="25">
        <f t="shared" si="78"/>
        <v>4030</v>
      </c>
      <c r="AD149" s="22" t="s">
        <v>51</v>
      </c>
      <c r="AG149" s="33">
        <v>2.1</v>
      </c>
      <c r="AH149" s="33">
        <v>4.03</v>
      </c>
      <c r="AO149" s="34">
        <f t="shared" ref="AO149:AS149" si="110">U149</f>
        <v>14.1</v>
      </c>
      <c r="AP149" s="34">
        <f t="shared" si="110"/>
        <v>15.1</v>
      </c>
      <c r="AQ149" s="34">
        <f t="shared" si="110"/>
        <v>10.2</v>
      </c>
      <c r="AR149" s="34">
        <f t="shared" si="110"/>
        <v>1.5</v>
      </c>
      <c r="AS149" s="34">
        <f t="shared" si="110"/>
        <v>59.1</v>
      </c>
      <c r="AT149" s="35">
        <f t="shared" si="15"/>
        <v>100</v>
      </c>
      <c r="AV149" s="25">
        <f t="shared" si="87"/>
        <v>4030</v>
      </c>
    </row>
    <row r="150" ht="14.25" customHeight="1">
      <c r="B150" s="36"/>
      <c r="C150" s="22" t="s">
        <v>46</v>
      </c>
      <c r="D150" s="56"/>
      <c r="E150" s="22" t="s">
        <v>48</v>
      </c>
      <c r="F150" s="56"/>
      <c r="G150" s="27">
        <f t="shared" ref="G150:G157" si="112">38.47*100/(100-O150)</f>
        <v>60.61131243</v>
      </c>
      <c r="H150" s="27">
        <f t="shared" ref="H150:H157" si="113">3.86*100/(100-O150)</f>
        <v>6.081613361</v>
      </c>
      <c r="I150" s="27">
        <f t="shared" ref="I150:I157" si="114">20.46*100/(100-O150)</f>
        <v>32.23570191</v>
      </c>
      <c r="J150" s="27">
        <f t="shared" ref="J150:J157" si="115">0.56*100/(100-O150)</f>
        <v>0.8823066015</v>
      </c>
      <c r="K150" s="27">
        <f t="shared" ref="K150:K157" si="116">0.12*100/(100-O150)</f>
        <v>0.1890657003</v>
      </c>
      <c r="L150" s="26">
        <f t="shared" si="75"/>
        <v>22.09</v>
      </c>
      <c r="M150" s="22">
        <v>30.21</v>
      </c>
      <c r="N150" s="22">
        <v>11.17</v>
      </c>
      <c r="O150" s="22">
        <v>36.53</v>
      </c>
      <c r="P150" s="22">
        <v>0.75</v>
      </c>
      <c r="Q150" s="22">
        <v>900.0</v>
      </c>
      <c r="R150" s="22" t="s">
        <v>51</v>
      </c>
      <c r="S150" s="58">
        <v>0.0</v>
      </c>
      <c r="T150" s="22">
        <v>14.42</v>
      </c>
      <c r="U150" s="25">
        <v>10.6</v>
      </c>
      <c r="V150" s="25">
        <v>21.5</v>
      </c>
      <c r="W150" s="22">
        <v>5.51</v>
      </c>
      <c r="X150" s="22">
        <v>0.0</v>
      </c>
      <c r="Y150" s="54">
        <f t="shared" si="107"/>
        <v>62.39</v>
      </c>
      <c r="Z150" s="22">
        <f t="shared" si="77"/>
        <v>1.515151515</v>
      </c>
      <c r="AA150" s="22">
        <v>44.0</v>
      </c>
      <c r="AB150" s="22">
        <v>28.6</v>
      </c>
      <c r="AC150" s="25">
        <f t="shared" si="78"/>
        <v>4310</v>
      </c>
      <c r="AD150" s="22" t="s">
        <v>51</v>
      </c>
      <c r="AG150" s="33">
        <v>0.66</v>
      </c>
      <c r="AH150" s="33">
        <v>4.31</v>
      </c>
      <c r="AO150" s="34">
        <f t="shared" ref="AO150:AS150" si="111">U150</f>
        <v>10.6</v>
      </c>
      <c r="AP150" s="34">
        <f t="shared" si="111"/>
        <v>21.5</v>
      </c>
      <c r="AQ150" s="34">
        <f t="shared" si="111"/>
        <v>5.51</v>
      </c>
      <c r="AR150" s="34">
        <f t="shared" si="111"/>
        <v>0</v>
      </c>
      <c r="AS150" s="34">
        <f t="shared" si="111"/>
        <v>62.39</v>
      </c>
      <c r="AT150" s="35">
        <f t="shared" si="15"/>
        <v>100</v>
      </c>
      <c r="AV150" s="25">
        <f t="shared" si="87"/>
        <v>4310</v>
      </c>
    </row>
    <row r="151" ht="14.25" customHeight="1">
      <c r="B151" s="36"/>
      <c r="C151" s="22" t="s">
        <v>46</v>
      </c>
      <c r="D151" s="56"/>
      <c r="E151" s="22" t="s">
        <v>48</v>
      </c>
      <c r="F151" s="56"/>
      <c r="G151" s="27">
        <f t="shared" si="112"/>
        <v>60.61131243</v>
      </c>
      <c r="H151" s="27">
        <f t="shared" si="113"/>
        <v>6.081613361</v>
      </c>
      <c r="I151" s="27">
        <f t="shared" si="114"/>
        <v>32.23570191</v>
      </c>
      <c r="J151" s="27">
        <f t="shared" si="115"/>
        <v>0.8823066015</v>
      </c>
      <c r="K151" s="27">
        <f t="shared" si="116"/>
        <v>0.1890657003</v>
      </c>
      <c r="L151" s="26">
        <f t="shared" si="75"/>
        <v>22.09</v>
      </c>
      <c r="M151" s="22">
        <v>30.21</v>
      </c>
      <c r="N151" s="22">
        <v>11.17</v>
      </c>
      <c r="O151" s="22">
        <v>36.53</v>
      </c>
      <c r="P151" s="22">
        <v>0.75</v>
      </c>
      <c r="Q151" s="22">
        <v>1000.0</v>
      </c>
      <c r="R151" s="22" t="s">
        <v>51</v>
      </c>
      <c r="S151" s="58">
        <v>0.0</v>
      </c>
      <c r="T151" s="22">
        <v>14.42</v>
      </c>
      <c r="U151" s="25">
        <v>12.2</v>
      </c>
      <c r="V151" s="25">
        <v>23.1</v>
      </c>
      <c r="W151" s="22">
        <v>8.64</v>
      </c>
      <c r="X151" s="22">
        <v>0.0</v>
      </c>
      <c r="Y151" s="54">
        <f t="shared" si="107"/>
        <v>56.06</v>
      </c>
      <c r="Z151" s="22">
        <f t="shared" si="77"/>
        <v>1.041666667</v>
      </c>
      <c r="AA151" s="22">
        <v>53.4</v>
      </c>
      <c r="AB151" s="22">
        <v>42.62</v>
      </c>
      <c r="AC151" s="25">
        <f t="shared" si="78"/>
        <v>6260</v>
      </c>
      <c r="AD151" s="22" t="s">
        <v>51</v>
      </c>
      <c r="AG151" s="33">
        <v>0.96</v>
      </c>
      <c r="AH151" s="33">
        <v>6.26</v>
      </c>
      <c r="AO151" s="34">
        <f t="shared" ref="AO151:AS151" si="117">U151</f>
        <v>12.2</v>
      </c>
      <c r="AP151" s="34">
        <f t="shared" si="117"/>
        <v>23.1</v>
      </c>
      <c r="AQ151" s="34">
        <f t="shared" si="117"/>
        <v>8.64</v>
      </c>
      <c r="AR151" s="34">
        <f t="shared" si="117"/>
        <v>0</v>
      </c>
      <c r="AS151" s="34">
        <f t="shared" si="117"/>
        <v>56.06</v>
      </c>
      <c r="AT151" s="35">
        <f t="shared" si="15"/>
        <v>100</v>
      </c>
      <c r="AV151" s="25">
        <f t="shared" si="87"/>
        <v>6260</v>
      </c>
    </row>
    <row r="152" ht="14.25" customHeight="1">
      <c r="B152" s="36"/>
      <c r="C152" s="22" t="s">
        <v>46</v>
      </c>
      <c r="D152" s="56"/>
      <c r="E152" s="22" t="s">
        <v>48</v>
      </c>
      <c r="F152" s="56"/>
      <c r="G152" s="27">
        <f t="shared" si="112"/>
        <v>60.61131243</v>
      </c>
      <c r="H152" s="27">
        <f t="shared" si="113"/>
        <v>6.081613361</v>
      </c>
      <c r="I152" s="27">
        <f t="shared" si="114"/>
        <v>32.23570191</v>
      </c>
      <c r="J152" s="27">
        <f t="shared" si="115"/>
        <v>0.8823066015</v>
      </c>
      <c r="K152" s="27">
        <f t="shared" si="116"/>
        <v>0.1890657003</v>
      </c>
      <c r="L152" s="26">
        <f t="shared" si="75"/>
        <v>22.09</v>
      </c>
      <c r="M152" s="22">
        <v>30.21</v>
      </c>
      <c r="N152" s="22">
        <v>11.17</v>
      </c>
      <c r="O152" s="22">
        <v>36.53</v>
      </c>
      <c r="P152" s="22">
        <v>0.75</v>
      </c>
      <c r="Q152" s="22">
        <v>1100.0</v>
      </c>
      <c r="R152" s="22" t="s">
        <v>51</v>
      </c>
      <c r="S152" s="58">
        <v>0.0</v>
      </c>
      <c r="T152" s="22">
        <v>14.42</v>
      </c>
      <c r="U152" s="25">
        <v>13.8</v>
      </c>
      <c r="V152" s="25">
        <v>24.1</v>
      </c>
      <c r="W152" s="22">
        <v>6.03</v>
      </c>
      <c r="X152" s="22">
        <v>0.0</v>
      </c>
      <c r="Y152" s="54">
        <f t="shared" si="107"/>
        <v>56.07</v>
      </c>
      <c r="Z152" s="22">
        <f t="shared" si="77"/>
        <v>0.7462686567</v>
      </c>
      <c r="AA152" s="22">
        <v>55.9</v>
      </c>
      <c r="AB152" s="22">
        <v>44.85</v>
      </c>
      <c r="AC152" s="25">
        <f t="shared" si="78"/>
        <v>9120</v>
      </c>
      <c r="AD152" s="22" t="s">
        <v>51</v>
      </c>
      <c r="AG152" s="33">
        <v>1.34</v>
      </c>
      <c r="AH152" s="33">
        <v>9.12</v>
      </c>
      <c r="AO152" s="34">
        <f t="shared" ref="AO152:AS152" si="118">U152</f>
        <v>13.8</v>
      </c>
      <c r="AP152" s="34">
        <f t="shared" si="118"/>
        <v>24.1</v>
      </c>
      <c r="AQ152" s="34">
        <f t="shared" si="118"/>
        <v>6.03</v>
      </c>
      <c r="AR152" s="34">
        <f t="shared" si="118"/>
        <v>0</v>
      </c>
      <c r="AS152" s="34">
        <f t="shared" si="118"/>
        <v>56.07</v>
      </c>
      <c r="AT152" s="35">
        <f t="shared" si="15"/>
        <v>100</v>
      </c>
      <c r="AV152" s="25">
        <f t="shared" si="87"/>
        <v>9120</v>
      </c>
    </row>
    <row r="153" ht="14.25" customHeight="1">
      <c r="B153" s="36"/>
      <c r="C153" s="22" t="s">
        <v>46</v>
      </c>
      <c r="D153" s="56"/>
      <c r="E153" s="22" t="s">
        <v>48</v>
      </c>
      <c r="F153" s="56"/>
      <c r="G153" s="27">
        <f t="shared" si="112"/>
        <v>60.61131243</v>
      </c>
      <c r="H153" s="27">
        <f t="shared" si="113"/>
        <v>6.081613361</v>
      </c>
      <c r="I153" s="27">
        <f t="shared" si="114"/>
        <v>32.23570191</v>
      </c>
      <c r="J153" s="27">
        <f t="shared" si="115"/>
        <v>0.8823066015</v>
      </c>
      <c r="K153" s="27">
        <f t="shared" si="116"/>
        <v>0.1890657003</v>
      </c>
      <c r="L153" s="26">
        <f t="shared" si="75"/>
        <v>22.09</v>
      </c>
      <c r="M153" s="22">
        <v>30.21</v>
      </c>
      <c r="N153" s="22">
        <v>11.17</v>
      </c>
      <c r="O153" s="22">
        <v>36.53</v>
      </c>
      <c r="P153" s="22">
        <v>0.75</v>
      </c>
      <c r="Q153" s="22">
        <v>1200.0</v>
      </c>
      <c r="R153" s="22" t="s">
        <v>51</v>
      </c>
      <c r="S153" s="58">
        <v>0.0</v>
      </c>
      <c r="T153" s="22">
        <v>14.42</v>
      </c>
      <c r="U153" s="25">
        <v>14.6</v>
      </c>
      <c r="V153" s="25">
        <v>23.6</v>
      </c>
      <c r="W153" s="22">
        <v>6.77</v>
      </c>
      <c r="X153" s="22">
        <v>0.0</v>
      </c>
      <c r="Y153" s="54">
        <f t="shared" si="107"/>
        <v>55.03</v>
      </c>
      <c r="Z153" s="22">
        <f t="shared" si="77"/>
        <v>0.6944444444</v>
      </c>
      <c r="AA153" s="22">
        <v>66.1</v>
      </c>
      <c r="AB153" s="22">
        <v>45.53</v>
      </c>
      <c r="AC153" s="25">
        <f t="shared" si="78"/>
        <v>9370</v>
      </c>
      <c r="AD153" s="22" t="s">
        <v>51</v>
      </c>
      <c r="AG153" s="33">
        <v>1.44</v>
      </c>
      <c r="AH153" s="33">
        <v>9.37</v>
      </c>
      <c r="AO153" s="34">
        <f t="shared" ref="AO153:AS153" si="119">U153</f>
        <v>14.6</v>
      </c>
      <c r="AP153" s="34">
        <f t="shared" si="119"/>
        <v>23.6</v>
      </c>
      <c r="AQ153" s="34">
        <f t="shared" si="119"/>
        <v>6.77</v>
      </c>
      <c r="AR153" s="34">
        <f t="shared" si="119"/>
        <v>0</v>
      </c>
      <c r="AS153" s="34">
        <f t="shared" si="119"/>
        <v>55.03</v>
      </c>
      <c r="AT153" s="35">
        <f t="shared" si="15"/>
        <v>100</v>
      </c>
      <c r="AV153" s="25">
        <f t="shared" si="87"/>
        <v>9370</v>
      </c>
    </row>
    <row r="154" ht="14.25" customHeight="1">
      <c r="B154" s="36"/>
      <c r="C154" s="22" t="s">
        <v>46</v>
      </c>
      <c r="D154" s="56"/>
      <c r="E154" s="22" t="s">
        <v>48</v>
      </c>
      <c r="F154" s="56"/>
      <c r="G154" s="27">
        <f t="shared" si="112"/>
        <v>60.61131243</v>
      </c>
      <c r="H154" s="27">
        <f t="shared" si="113"/>
        <v>6.081613361</v>
      </c>
      <c r="I154" s="27">
        <f t="shared" si="114"/>
        <v>32.23570191</v>
      </c>
      <c r="J154" s="27">
        <f t="shared" si="115"/>
        <v>0.8823066015</v>
      </c>
      <c r="K154" s="27">
        <f t="shared" si="116"/>
        <v>0.1890657003</v>
      </c>
      <c r="L154" s="26">
        <f t="shared" si="75"/>
        <v>22.09</v>
      </c>
      <c r="M154" s="22">
        <v>30.21</v>
      </c>
      <c r="N154" s="22">
        <v>11.17</v>
      </c>
      <c r="O154" s="22">
        <v>36.53</v>
      </c>
      <c r="P154" s="22">
        <v>0.75</v>
      </c>
      <c r="Q154" s="22">
        <v>900.0</v>
      </c>
      <c r="R154" s="22" t="s">
        <v>51</v>
      </c>
      <c r="S154" s="58">
        <v>0.0</v>
      </c>
      <c r="T154" s="22">
        <v>14.42</v>
      </c>
      <c r="U154" s="25">
        <v>13.3</v>
      </c>
      <c r="V154" s="25">
        <v>28.1</v>
      </c>
      <c r="W154" s="22">
        <v>3.29</v>
      </c>
      <c r="X154" s="22">
        <v>0.0</v>
      </c>
      <c r="Y154" s="54">
        <f t="shared" si="107"/>
        <v>55.31</v>
      </c>
      <c r="Z154" s="22">
        <f t="shared" si="77"/>
        <v>0.5681818182</v>
      </c>
      <c r="AA154" s="22">
        <v>75.9</v>
      </c>
      <c r="AB154" s="22">
        <v>45.4</v>
      </c>
      <c r="AC154" s="25">
        <f t="shared" si="78"/>
        <v>13700</v>
      </c>
      <c r="AD154" s="22" t="s">
        <v>51</v>
      </c>
      <c r="AG154" s="33">
        <v>1.76</v>
      </c>
      <c r="AH154" s="33">
        <v>13.7</v>
      </c>
      <c r="AO154" s="34">
        <f t="shared" ref="AO154:AS154" si="120">U154</f>
        <v>13.3</v>
      </c>
      <c r="AP154" s="34">
        <f t="shared" si="120"/>
        <v>28.1</v>
      </c>
      <c r="AQ154" s="34">
        <f t="shared" si="120"/>
        <v>3.29</v>
      </c>
      <c r="AR154" s="34">
        <f t="shared" si="120"/>
        <v>0</v>
      </c>
      <c r="AS154" s="34">
        <f t="shared" si="120"/>
        <v>55.31</v>
      </c>
      <c r="AT154" s="35">
        <f t="shared" si="15"/>
        <v>100</v>
      </c>
      <c r="AV154" s="25">
        <f t="shared" si="87"/>
        <v>13700</v>
      </c>
    </row>
    <row r="155" ht="14.25" customHeight="1">
      <c r="B155" s="36"/>
      <c r="C155" s="22" t="s">
        <v>46</v>
      </c>
      <c r="D155" s="56"/>
      <c r="E155" s="22" t="s">
        <v>48</v>
      </c>
      <c r="F155" s="56"/>
      <c r="G155" s="27">
        <f t="shared" si="112"/>
        <v>60.61131243</v>
      </c>
      <c r="H155" s="27">
        <f t="shared" si="113"/>
        <v>6.081613361</v>
      </c>
      <c r="I155" s="27">
        <f t="shared" si="114"/>
        <v>32.23570191</v>
      </c>
      <c r="J155" s="27">
        <f t="shared" si="115"/>
        <v>0.8823066015</v>
      </c>
      <c r="K155" s="27">
        <f t="shared" si="116"/>
        <v>0.1890657003</v>
      </c>
      <c r="L155" s="26">
        <f t="shared" si="75"/>
        <v>22.09</v>
      </c>
      <c r="M155" s="22">
        <v>30.21</v>
      </c>
      <c r="N155" s="22">
        <v>11.17</v>
      </c>
      <c r="O155" s="22">
        <v>36.53</v>
      </c>
      <c r="P155" s="22">
        <v>0.75</v>
      </c>
      <c r="Q155" s="22">
        <v>1000.0</v>
      </c>
      <c r="R155" s="22" t="s">
        <v>51</v>
      </c>
      <c r="S155" s="58">
        <v>0.0</v>
      </c>
      <c r="T155" s="22">
        <v>14.42</v>
      </c>
      <c r="U155" s="25">
        <v>14.5</v>
      </c>
      <c r="V155" s="25">
        <v>22.0</v>
      </c>
      <c r="W155" s="22">
        <v>8.15</v>
      </c>
      <c r="X155" s="22">
        <v>0.0</v>
      </c>
      <c r="Y155" s="54">
        <f t="shared" si="107"/>
        <v>55.35</v>
      </c>
      <c r="Z155" s="22">
        <f t="shared" si="77"/>
        <v>0.7874015748</v>
      </c>
      <c r="AA155" s="22">
        <v>60.7</v>
      </c>
      <c r="AB155" s="22">
        <v>46.0</v>
      </c>
      <c r="AC155" s="25">
        <f t="shared" si="78"/>
        <v>7790</v>
      </c>
      <c r="AD155" s="22" t="s">
        <v>51</v>
      </c>
      <c r="AG155" s="33">
        <v>1.27</v>
      </c>
      <c r="AH155" s="33">
        <v>7.79</v>
      </c>
      <c r="AO155" s="34">
        <f t="shared" ref="AO155:AS155" si="121">U155</f>
        <v>14.5</v>
      </c>
      <c r="AP155" s="34">
        <f t="shared" si="121"/>
        <v>22</v>
      </c>
      <c r="AQ155" s="34">
        <f t="shared" si="121"/>
        <v>8.15</v>
      </c>
      <c r="AR155" s="34">
        <f t="shared" si="121"/>
        <v>0</v>
      </c>
      <c r="AS155" s="34">
        <f t="shared" si="121"/>
        <v>55.35</v>
      </c>
      <c r="AT155" s="35">
        <f t="shared" si="15"/>
        <v>100</v>
      </c>
      <c r="AV155" s="25">
        <f t="shared" si="87"/>
        <v>7790</v>
      </c>
    </row>
    <row r="156" ht="14.25" customHeight="1">
      <c r="B156" s="36"/>
      <c r="C156" s="22" t="s">
        <v>46</v>
      </c>
      <c r="D156" s="56"/>
      <c r="E156" s="22" t="s">
        <v>48</v>
      </c>
      <c r="F156" s="56"/>
      <c r="G156" s="27">
        <f t="shared" si="112"/>
        <v>60.61131243</v>
      </c>
      <c r="H156" s="27">
        <f t="shared" si="113"/>
        <v>6.081613361</v>
      </c>
      <c r="I156" s="27">
        <f t="shared" si="114"/>
        <v>32.23570191</v>
      </c>
      <c r="J156" s="27">
        <f t="shared" si="115"/>
        <v>0.8823066015</v>
      </c>
      <c r="K156" s="27">
        <f t="shared" si="116"/>
        <v>0.1890657003</v>
      </c>
      <c r="L156" s="26">
        <f t="shared" si="75"/>
        <v>22.09</v>
      </c>
      <c r="M156" s="22">
        <v>30.21</v>
      </c>
      <c r="N156" s="22">
        <v>11.17</v>
      </c>
      <c r="O156" s="22">
        <v>36.53</v>
      </c>
      <c r="P156" s="22">
        <v>0.75</v>
      </c>
      <c r="Q156" s="22">
        <v>1100.0</v>
      </c>
      <c r="R156" s="22" t="s">
        <v>51</v>
      </c>
      <c r="S156" s="58">
        <v>0.0</v>
      </c>
      <c r="T156" s="22">
        <v>14.42</v>
      </c>
      <c r="U156" s="25">
        <v>14.9</v>
      </c>
      <c r="V156" s="25">
        <v>21.8</v>
      </c>
      <c r="W156" s="22">
        <v>7.54</v>
      </c>
      <c r="X156" s="22">
        <v>0.0</v>
      </c>
      <c r="Y156" s="54">
        <f t="shared" si="107"/>
        <v>55.76</v>
      </c>
      <c r="Z156" s="22">
        <f t="shared" si="77"/>
        <v>0.7575757576</v>
      </c>
      <c r="AA156" s="22">
        <v>66.8</v>
      </c>
      <c r="AB156" s="22">
        <v>44.91</v>
      </c>
      <c r="AC156" s="25">
        <f t="shared" si="78"/>
        <v>8030</v>
      </c>
      <c r="AD156" s="22" t="s">
        <v>51</v>
      </c>
      <c r="AG156" s="33">
        <v>1.32</v>
      </c>
      <c r="AH156" s="33">
        <v>8.03</v>
      </c>
      <c r="AO156" s="34">
        <f t="shared" ref="AO156:AS156" si="122">U156</f>
        <v>14.9</v>
      </c>
      <c r="AP156" s="34">
        <f t="shared" si="122"/>
        <v>21.8</v>
      </c>
      <c r="AQ156" s="34">
        <f t="shared" si="122"/>
        <v>7.54</v>
      </c>
      <c r="AR156" s="34">
        <f t="shared" si="122"/>
        <v>0</v>
      </c>
      <c r="AS156" s="34">
        <f t="shared" si="122"/>
        <v>55.76</v>
      </c>
      <c r="AT156" s="35">
        <f t="shared" si="15"/>
        <v>100</v>
      </c>
      <c r="AV156" s="25">
        <f t="shared" si="87"/>
        <v>8030</v>
      </c>
    </row>
    <row r="157" ht="14.25" customHeight="1">
      <c r="B157" s="36"/>
      <c r="C157" s="22" t="s">
        <v>46</v>
      </c>
      <c r="D157" s="56"/>
      <c r="E157" s="22" t="s">
        <v>48</v>
      </c>
      <c r="F157" s="56"/>
      <c r="G157" s="27">
        <f t="shared" si="112"/>
        <v>60.61131243</v>
      </c>
      <c r="H157" s="27">
        <f t="shared" si="113"/>
        <v>6.081613361</v>
      </c>
      <c r="I157" s="27">
        <f t="shared" si="114"/>
        <v>32.23570191</v>
      </c>
      <c r="J157" s="27">
        <f t="shared" si="115"/>
        <v>0.8823066015</v>
      </c>
      <c r="K157" s="27">
        <f t="shared" si="116"/>
        <v>0.1890657003</v>
      </c>
      <c r="L157" s="26">
        <f t="shared" si="75"/>
        <v>22.09</v>
      </c>
      <c r="M157" s="22">
        <v>30.21</v>
      </c>
      <c r="N157" s="22">
        <v>11.17</v>
      </c>
      <c r="O157" s="22">
        <v>36.53</v>
      </c>
      <c r="P157" s="22">
        <v>0.75</v>
      </c>
      <c r="Q157" s="22">
        <v>1200.0</v>
      </c>
      <c r="R157" s="22" t="s">
        <v>51</v>
      </c>
      <c r="S157" s="58">
        <v>0.0</v>
      </c>
      <c r="T157" s="22">
        <v>14.42</v>
      </c>
      <c r="U157" s="25">
        <v>13.7</v>
      </c>
      <c r="V157" s="25">
        <v>21.5</v>
      </c>
      <c r="W157" s="22">
        <v>8.35</v>
      </c>
      <c r="X157" s="22">
        <v>0.0</v>
      </c>
      <c r="Y157" s="54">
        <f t="shared" si="107"/>
        <v>56.45</v>
      </c>
      <c r="Z157" s="22">
        <f t="shared" si="77"/>
        <v>0.8928571429</v>
      </c>
      <c r="AA157" s="22">
        <v>56.5</v>
      </c>
      <c r="AB157" s="22">
        <v>38.5</v>
      </c>
      <c r="AC157" s="25">
        <f t="shared" si="78"/>
        <v>6840</v>
      </c>
      <c r="AD157" s="22" t="s">
        <v>51</v>
      </c>
      <c r="AG157" s="33">
        <v>1.12</v>
      </c>
      <c r="AH157" s="33">
        <v>6.84</v>
      </c>
      <c r="AO157" s="34">
        <f t="shared" ref="AO157:AS157" si="123">U157</f>
        <v>13.7</v>
      </c>
      <c r="AP157" s="34">
        <f t="shared" si="123"/>
        <v>21.5</v>
      </c>
      <c r="AQ157" s="34">
        <f t="shared" si="123"/>
        <v>8.35</v>
      </c>
      <c r="AR157" s="34">
        <f t="shared" si="123"/>
        <v>0</v>
      </c>
      <c r="AS157" s="34">
        <f t="shared" si="123"/>
        <v>56.45</v>
      </c>
      <c r="AT157" s="35">
        <f t="shared" si="15"/>
        <v>100</v>
      </c>
      <c r="AV157" s="25">
        <f t="shared" si="87"/>
        <v>6840</v>
      </c>
    </row>
    <row r="158" ht="14.25" customHeight="1">
      <c r="B158" s="36"/>
      <c r="C158" s="22" t="s">
        <v>46</v>
      </c>
      <c r="D158" s="56"/>
      <c r="E158" s="22" t="s">
        <v>48</v>
      </c>
      <c r="F158" s="56"/>
      <c r="G158" s="27">
        <f t="shared" ref="G158:G169" si="125">34.18*100/(100-O158)</f>
        <v>59.8703801</v>
      </c>
      <c r="H158" s="27">
        <f t="shared" ref="H158:H169" si="126">3.47*100/(100-O158)</f>
        <v>6.078122263</v>
      </c>
      <c r="I158" s="27">
        <f t="shared" ref="I158:I169" si="127">16.68*100/(100-O158)</f>
        <v>29.21702575</v>
      </c>
      <c r="J158" s="27">
        <f t="shared" ref="J158:J169" si="128">0.61*100/(100-O158)</f>
        <v>1.068488352</v>
      </c>
      <c r="K158" s="27">
        <f t="shared" ref="K158:K169" si="129">2.15*100/(100-O158)</f>
        <v>3.765983535</v>
      </c>
      <c r="L158" s="26">
        <f t="shared" si="75"/>
        <v>25.739</v>
      </c>
      <c r="M158" s="59">
        <v>20.291</v>
      </c>
      <c r="N158" s="22">
        <v>11.06</v>
      </c>
      <c r="O158" s="60">
        <v>42.91</v>
      </c>
      <c r="P158" s="22">
        <v>0.1</v>
      </c>
      <c r="Q158" s="22">
        <v>1100.0</v>
      </c>
      <c r="R158" s="22" t="s">
        <v>51</v>
      </c>
      <c r="S158" s="61">
        <v>0.0</v>
      </c>
      <c r="T158" s="22">
        <v>12.85</v>
      </c>
      <c r="U158" s="25">
        <v>22.4</v>
      </c>
      <c r="V158" s="25">
        <v>28.1</v>
      </c>
      <c r="W158" s="22">
        <v>0.17</v>
      </c>
      <c r="X158" s="22">
        <v>0.03</v>
      </c>
      <c r="Y158" s="54">
        <f t="shared" si="107"/>
        <v>49.3</v>
      </c>
      <c r="Z158" s="22">
        <f t="shared" si="77"/>
        <v>1.694915254</v>
      </c>
      <c r="AA158" s="22">
        <v>50.2</v>
      </c>
      <c r="AB158" s="22">
        <v>26.79</v>
      </c>
      <c r="AC158" s="25">
        <f t="shared" si="78"/>
        <v>3760</v>
      </c>
      <c r="AD158" s="22" t="s">
        <v>51</v>
      </c>
      <c r="AG158" s="33">
        <v>0.59</v>
      </c>
      <c r="AH158" s="33">
        <v>3.76</v>
      </c>
      <c r="AO158" s="34">
        <f t="shared" ref="AO158:AS158" si="124">U158</f>
        <v>22.4</v>
      </c>
      <c r="AP158" s="34">
        <f t="shared" si="124"/>
        <v>28.1</v>
      </c>
      <c r="AQ158" s="34">
        <f t="shared" si="124"/>
        <v>0.17</v>
      </c>
      <c r="AR158" s="34">
        <f t="shared" si="124"/>
        <v>0.03</v>
      </c>
      <c r="AS158" s="34">
        <f t="shared" si="124"/>
        <v>49.3</v>
      </c>
      <c r="AT158" s="35">
        <f t="shared" si="15"/>
        <v>100</v>
      </c>
      <c r="AV158" s="25">
        <f t="shared" si="87"/>
        <v>3760</v>
      </c>
    </row>
    <row r="159" ht="14.25" customHeight="1">
      <c r="B159" s="36"/>
      <c r="C159" s="22" t="s">
        <v>46</v>
      </c>
      <c r="D159" s="56"/>
      <c r="E159" s="22" t="s">
        <v>48</v>
      </c>
      <c r="F159" s="56"/>
      <c r="G159" s="27">
        <f t="shared" si="125"/>
        <v>59.8703801</v>
      </c>
      <c r="H159" s="27">
        <f t="shared" si="126"/>
        <v>6.078122263</v>
      </c>
      <c r="I159" s="27">
        <f t="shared" si="127"/>
        <v>29.21702575</v>
      </c>
      <c r="J159" s="27">
        <f t="shared" si="128"/>
        <v>1.068488352</v>
      </c>
      <c r="K159" s="27">
        <f t="shared" si="129"/>
        <v>3.765983535</v>
      </c>
      <c r="L159" s="26">
        <f t="shared" si="75"/>
        <v>25.739</v>
      </c>
      <c r="M159" s="59">
        <v>20.291</v>
      </c>
      <c r="N159" s="22">
        <v>11.06</v>
      </c>
      <c r="O159" s="60">
        <v>42.91</v>
      </c>
      <c r="P159" s="22">
        <v>0.2</v>
      </c>
      <c r="Q159" s="22">
        <v>1100.0</v>
      </c>
      <c r="R159" s="22" t="s">
        <v>51</v>
      </c>
      <c r="S159" s="61">
        <v>0.0</v>
      </c>
      <c r="T159" s="22">
        <v>12.85</v>
      </c>
      <c r="U159" s="25">
        <v>19.0</v>
      </c>
      <c r="V159" s="25">
        <v>31.1</v>
      </c>
      <c r="W159" s="22">
        <v>0.39</v>
      </c>
      <c r="X159" s="22">
        <v>0.01</v>
      </c>
      <c r="Y159" s="54">
        <f t="shared" si="107"/>
        <v>49.5</v>
      </c>
      <c r="Z159" s="22">
        <f t="shared" si="77"/>
        <v>1.470588235</v>
      </c>
      <c r="AA159" s="22">
        <v>58.4</v>
      </c>
      <c r="AB159" s="22">
        <v>34.37</v>
      </c>
      <c r="AC159" s="25">
        <f t="shared" si="78"/>
        <v>4850</v>
      </c>
      <c r="AD159" s="22" t="s">
        <v>51</v>
      </c>
      <c r="AG159" s="33">
        <v>0.68</v>
      </c>
      <c r="AH159" s="33">
        <v>4.85</v>
      </c>
      <c r="AO159" s="34">
        <f t="shared" ref="AO159:AS159" si="130">U159</f>
        <v>19</v>
      </c>
      <c r="AP159" s="34">
        <f t="shared" si="130"/>
        <v>31.1</v>
      </c>
      <c r="AQ159" s="34">
        <f t="shared" si="130"/>
        <v>0.39</v>
      </c>
      <c r="AR159" s="34">
        <f t="shared" si="130"/>
        <v>0.01</v>
      </c>
      <c r="AS159" s="34">
        <f t="shared" si="130"/>
        <v>49.5</v>
      </c>
      <c r="AT159" s="35">
        <f t="shared" si="15"/>
        <v>100</v>
      </c>
      <c r="AV159" s="25">
        <f t="shared" si="87"/>
        <v>4850</v>
      </c>
    </row>
    <row r="160" ht="14.25" customHeight="1">
      <c r="B160" s="36"/>
      <c r="C160" s="22" t="s">
        <v>46</v>
      </c>
      <c r="D160" s="56"/>
      <c r="E160" s="22" t="s">
        <v>48</v>
      </c>
      <c r="F160" s="56"/>
      <c r="G160" s="27">
        <f t="shared" si="125"/>
        <v>59.8703801</v>
      </c>
      <c r="H160" s="27">
        <f t="shared" si="126"/>
        <v>6.078122263</v>
      </c>
      <c r="I160" s="27">
        <f t="shared" si="127"/>
        <v>29.21702575</v>
      </c>
      <c r="J160" s="27">
        <f t="shared" si="128"/>
        <v>1.068488352</v>
      </c>
      <c r="K160" s="27">
        <f t="shared" si="129"/>
        <v>3.765983535</v>
      </c>
      <c r="L160" s="26">
        <f t="shared" si="75"/>
        <v>25.739</v>
      </c>
      <c r="M160" s="62">
        <v>20.291</v>
      </c>
      <c r="N160" s="22">
        <v>11.06</v>
      </c>
      <c r="O160" s="60">
        <v>42.91</v>
      </c>
      <c r="P160" s="22">
        <v>0.6</v>
      </c>
      <c r="Q160" s="22">
        <v>1100.0</v>
      </c>
      <c r="R160" s="22" t="s">
        <v>51</v>
      </c>
      <c r="S160" s="61">
        <v>0.0</v>
      </c>
      <c r="T160" s="22">
        <v>12.85</v>
      </c>
      <c r="U160" s="25">
        <v>4.92</v>
      </c>
      <c r="V160" s="25">
        <v>11.6</v>
      </c>
      <c r="W160" s="22">
        <v>10.5</v>
      </c>
      <c r="X160" s="22">
        <v>0.0</v>
      </c>
      <c r="Y160" s="54">
        <f t="shared" si="107"/>
        <v>72.98</v>
      </c>
      <c r="Z160" s="22">
        <f t="shared" si="77"/>
        <v>1.694915254</v>
      </c>
      <c r="AA160" s="22">
        <v>24.9</v>
      </c>
      <c r="AB160" s="22">
        <v>20.92</v>
      </c>
      <c r="AC160" s="25">
        <f t="shared" si="78"/>
        <v>2850</v>
      </c>
      <c r="AD160" s="22" t="s">
        <v>51</v>
      </c>
      <c r="AG160" s="33">
        <v>0.59</v>
      </c>
      <c r="AH160" s="33">
        <v>2.85</v>
      </c>
      <c r="AO160" s="34">
        <f t="shared" ref="AO160:AS160" si="131">U160</f>
        <v>4.92</v>
      </c>
      <c r="AP160" s="34">
        <f t="shared" si="131"/>
        <v>11.6</v>
      </c>
      <c r="AQ160" s="34">
        <f t="shared" si="131"/>
        <v>10.5</v>
      </c>
      <c r="AR160" s="34">
        <f t="shared" si="131"/>
        <v>0</v>
      </c>
      <c r="AS160" s="34">
        <f t="shared" si="131"/>
        <v>72.98</v>
      </c>
      <c r="AT160" s="35">
        <f t="shared" si="15"/>
        <v>100</v>
      </c>
      <c r="AV160" s="25">
        <f t="shared" si="87"/>
        <v>2850</v>
      </c>
    </row>
    <row r="161" ht="14.25" customHeight="1">
      <c r="B161" s="36"/>
      <c r="C161" s="22" t="s">
        <v>46</v>
      </c>
      <c r="D161" s="56"/>
      <c r="E161" s="22" t="s">
        <v>48</v>
      </c>
      <c r="F161" s="56"/>
      <c r="G161" s="27">
        <f t="shared" si="125"/>
        <v>59.8703801</v>
      </c>
      <c r="H161" s="27">
        <f t="shared" si="126"/>
        <v>6.078122263</v>
      </c>
      <c r="I161" s="27">
        <f t="shared" si="127"/>
        <v>29.21702575</v>
      </c>
      <c r="J161" s="27">
        <f t="shared" si="128"/>
        <v>1.068488352</v>
      </c>
      <c r="K161" s="27">
        <f t="shared" si="129"/>
        <v>3.765983535</v>
      </c>
      <c r="L161" s="26">
        <f t="shared" si="75"/>
        <v>25.739</v>
      </c>
      <c r="M161" s="59">
        <v>20.291</v>
      </c>
      <c r="N161" s="22">
        <v>11.06</v>
      </c>
      <c r="O161" s="60">
        <v>42.91</v>
      </c>
      <c r="P161" s="22">
        <v>0.2</v>
      </c>
      <c r="Q161" s="22">
        <v>1100.0</v>
      </c>
      <c r="R161" s="22" t="s">
        <v>51</v>
      </c>
      <c r="S161" s="61">
        <v>0.0</v>
      </c>
      <c r="T161" s="22">
        <v>12.85</v>
      </c>
      <c r="U161" s="25">
        <v>22.8</v>
      </c>
      <c r="V161" s="25">
        <v>27.7</v>
      </c>
      <c r="W161" s="22">
        <v>3.39</v>
      </c>
      <c r="X161" s="22">
        <v>0.0</v>
      </c>
      <c r="Y161" s="54">
        <f t="shared" si="107"/>
        <v>46.11</v>
      </c>
      <c r="Z161" s="22">
        <f t="shared" si="77"/>
        <v>1.265822785</v>
      </c>
      <c r="AA161" s="22">
        <v>75.3</v>
      </c>
      <c r="AB161" s="22">
        <v>39.41</v>
      </c>
      <c r="AC161" s="25">
        <f t="shared" si="78"/>
        <v>4330</v>
      </c>
      <c r="AD161" s="22" t="s">
        <v>51</v>
      </c>
      <c r="AG161" s="33">
        <v>0.79</v>
      </c>
      <c r="AH161" s="33">
        <v>4.33</v>
      </c>
      <c r="AO161" s="34">
        <f t="shared" ref="AO161:AS161" si="132">U161</f>
        <v>22.8</v>
      </c>
      <c r="AP161" s="34">
        <f t="shared" si="132"/>
        <v>27.7</v>
      </c>
      <c r="AQ161" s="34">
        <f t="shared" si="132"/>
        <v>3.39</v>
      </c>
      <c r="AR161" s="34">
        <f t="shared" si="132"/>
        <v>0</v>
      </c>
      <c r="AS161" s="34">
        <f t="shared" si="132"/>
        <v>46.11</v>
      </c>
      <c r="AT161" s="35">
        <f t="shared" si="15"/>
        <v>100</v>
      </c>
      <c r="AV161" s="25">
        <f t="shared" si="87"/>
        <v>4330</v>
      </c>
    </row>
    <row r="162" ht="14.25" customHeight="1">
      <c r="B162" s="36"/>
      <c r="C162" s="22" t="s">
        <v>46</v>
      </c>
      <c r="D162" s="56"/>
      <c r="E162" s="22" t="s">
        <v>48</v>
      </c>
      <c r="F162" s="56"/>
      <c r="G162" s="27">
        <f t="shared" si="125"/>
        <v>59.8703801</v>
      </c>
      <c r="H162" s="27">
        <f t="shared" si="126"/>
        <v>6.078122263</v>
      </c>
      <c r="I162" s="27">
        <f t="shared" si="127"/>
        <v>29.21702575</v>
      </c>
      <c r="J162" s="27">
        <f t="shared" si="128"/>
        <v>1.068488352</v>
      </c>
      <c r="K162" s="27">
        <f t="shared" si="129"/>
        <v>3.765983535</v>
      </c>
      <c r="L162" s="26">
        <f t="shared" si="75"/>
        <v>25.739</v>
      </c>
      <c r="M162" s="59">
        <v>20.291</v>
      </c>
      <c r="N162" s="22">
        <v>11.06</v>
      </c>
      <c r="O162" s="60">
        <v>42.91</v>
      </c>
      <c r="P162" s="22">
        <v>0.4</v>
      </c>
      <c r="Q162" s="22">
        <v>1100.0</v>
      </c>
      <c r="R162" s="22" t="s">
        <v>51</v>
      </c>
      <c r="S162" s="61">
        <v>0.0</v>
      </c>
      <c r="T162" s="22">
        <v>12.85</v>
      </c>
      <c r="U162" s="25">
        <v>12.3</v>
      </c>
      <c r="V162" s="25">
        <v>16.9</v>
      </c>
      <c r="W162" s="22">
        <v>7.83</v>
      </c>
      <c r="X162" s="22">
        <v>0.0</v>
      </c>
      <c r="Y162" s="54">
        <f t="shared" si="107"/>
        <v>62.97</v>
      </c>
      <c r="Z162" s="22">
        <f t="shared" si="77"/>
        <v>1.428571429</v>
      </c>
      <c r="AA162" s="22">
        <v>48.4</v>
      </c>
      <c r="AB162" s="22">
        <v>27.77</v>
      </c>
      <c r="AC162" s="25">
        <f t="shared" si="78"/>
        <v>3340</v>
      </c>
      <c r="AD162" s="22" t="s">
        <v>51</v>
      </c>
      <c r="AG162" s="33">
        <v>0.7</v>
      </c>
      <c r="AH162" s="33">
        <v>3.34</v>
      </c>
      <c r="AO162" s="34">
        <f t="shared" ref="AO162:AS162" si="133">U162</f>
        <v>12.3</v>
      </c>
      <c r="AP162" s="34">
        <f t="shared" si="133"/>
        <v>16.9</v>
      </c>
      <c r="AQ162" s="34">
        <f t="shared" si="133"/>
        <v>7.83</v>
      </c>
      <c r="AR162" s="34">
        <f t="shared" si="133"/>
        <v>0</v>
      </c>
      <c r="AS162" s="34">
        <f t="shared" si="133"/>
        <v>62.97</v>
      </c>
      <c r="AT162" s="35">
        <f t="shared" si="15"/>
        <v>100</v>
      </c>
      <c r="AV162" s="25">
        <f t="shared" si="87"/>
        <v>3340</v>
      </c>
    </row>
    <row r="163" ht="14.25" customHeight="1">
      <c r="B163" s="36"/>
      <c r="C163" s="22" t="s">
        <v>46</v>
      </c>
      <c r="D163" s="56"/>
      <c r="E163" s="22" t="s">
        <v>48</v>
      </c>
      <c r="F163" s="56"/>
      <c r="G163" s="27">
        <f t="shared" si="125"/>
        <v>59.8703801</v>
      </c>
      <c r="H163" s="27">
        <f t="shared" si="126"/>
        <v>6.078122263</v>
      </c>
      <c r="I163" s="27">
        <f t="shared" si="127"/>
        <v>29.21702575</v>
      </c>
      <c r="J163" s="27">
        <f t="shared" si="128"/>
        <v>1.068488352</v>
      </c>
      <c r="K163" s="27">
        <f t="shared" si="129"/>
        <v>3.765983535</v>
      </c>
      <c r="L163" s="26">
        <f t="shared" si="75"/>
        <v>25.739</v>
      </c>
      <c r="M163" s="59">
        <v>20.291</v>
      </c>
      <c r="N163" s="22">
        <v>11.06</v>
      </c>
      <c r="O163" s="60">
        <v>42.91</v>
      </c>
      <c r="P163" s="22">
        <v>0.6</v>
      </c>
      <c r="Q163" s="22">
        <v>1100.0</v>
      </c>
      <c r="R163" s="22" t="s">
        <v>51</v>
      </c>
      <c r="S163" s="61">
        <v>0.0</v>
      </c>
      <c r="T163" s="22">
        <v>12.85</v>
      </c>
      <c r="U163" s="25">
        <v>5.89</v>
      </c>
      <c r="V163" s="25">
        <v>9.16</v>
      </c>
      <c r="W163" s="22">
        <v>11.3</v>
      </c>
      <c r="X163" s="22">
        <v>0.0</v>
      </c>
      <c r="Y163" s="54">
        <f t="shared" si="107"/>
        <v>73.65</v>
      </c>
      <c r="Z163" s="22">
        <f t="shared" si="77"/>
        <v>1.612903226</v>
      </c>
      <c r="AA163" s="22">
        <v>26.5</v>
      </c>
      <c r="AB163" s="22">
        <v>20.35</v>
      </c>
      <c r="AC163" s="25">
        <f t="shared" si="78"/>
        <v>2190</v>
      </c>
      <c r="AD163" s="22" t="s">
        <v>51</v>
      </c>
      <c r="AG163" s="33">
        <v>0.62</v>
      </c>
      <c r="AH163" s="33">
        <v>2.19</v>
      </c>
      <c r="AO163" s="34">
        <f t="shared" ref="AO163:AS163" si="134">U163</f>
        <v>5.89</v>
      </c>
      <c r="AP163" s="34">
        <f t="shared" si="134"/>
        <v>9.16</v>
      </c>
      <c r="AQ163" s="34">
        <f t="shared" si="134"/>
        <v>11.3</v>
      </c>
      <c r="AR163" s="34">
        <f t="shared" si="134"/>
        <v>0</v>
      </c>
      <c r="AS163" s="34">
        <f t="shared" si="134"/>
        <v>73.65</v>
      </c>
      <c r="AT163" s="35">
        <f t="shared" si="15"/>
        <v>100</v>
      </c>
      <c r="AV163" s="25">
        <f t="shared" si="87"/>
        <v>2190</v>
      </c>
    </row>
    <row r="164" ht="14.25" customHeight="1">
      <c r="B164" s="36"/>
      <c r="C164" s="22" t="s">
        <v>46</v>
      </c>
      <c r="D164" s="56"/>
      <c r="E164" s="22" t="s">
        <v>48</v>
      </c>
      <c r="F164" s="56"/>
      <c r="G164" s="27">
        <f t="shared" si="125"/>
        <v>59.8703801</v>
      </c>
      <c r="H164" s="27">
        <f t="shared" si="126"/>
        <v>6.078122263</v>
      </c>
      <c r="I164" s="27">
        <f t="shared" si="127"/>
        <v>29.21702575</v>
      </c>
      <c r="J164" s="27">
        <f t="shared" si="128"/>
        <v>1.068488352</v>
      </c>
      <c r="K164" s="27">
        <f t="shared" si="129"/>
        <v>3.765983535</v>
      </c>
      <c r="L164" s="26">
        <f t="shared" si="75"/>
        <v>25.739</v>
      </c>
      <c r="M164" s="59">
        <v>20.291</v>
      </c>
      <c r="N164" s="22">
        <v>11.06</v>
      </c>
      <c r="O164" s="60">
        <v>42.91</v>
      </c>
      <c r="P164" s="22">
        <v>0.2</v>
      </c>
      <c r="Q164" s="22">
        <v>1100.0</v>
      </c>
      <c r="R164" s="22" t="s">
        <v>51</v>
      </c>
      <c r="S164" s="61">
        <v>0.0</v>
      </c>
      <c r="T164" s="22">
        <v>12.85</v>
      </c>
      <c r="U164" s="25">
        <v>23.4</v>
      </c>
      <c r="V164" s="25">
        <v>21.1</v>
      </c>
      <c r="W164" s="22">
        <v>6.47</v>
      </c>
      <c r="X164" s="22">
        <v>0.0</v>
      </c>
      <c r="Y164" s="54">
        <f t="shared" si="107"/>
        <v>49.03</v>
      </c>
      <c r="Z164" s="22">
        <f t="shared" si="77"/>
        <v>1.219512195</v>
      </c>
      <c r="AA164" s="22">
        <v>82.9</v>
      </c>
      <c r="AB164" s="22">
        <v>36.27</v>
      </c>
      <c r="AC164" s="25">
        <f t="shared" si="78"/>
        <v>3320</v>
      </c>
      <c r="AD164" s="22" t="s">
        <v>51</v>
      </c>
      <c r="AG164" s="33">
        <v>0.82</v>
      </c>
      <c r="AH164" s="33">
        <v>3.32</v>
      </c>
      <c r="AO164" s="34">
        <f t="shared" ref="AO164:AS164" si="135">U164</f>
        <v>23.4</v>
      </c>
      <c r="AP164" s="34">
        <f t="shared" si="135"/>
        <v>21.1</v>
      </c>
      <c r="AQ164" s="34">
        <f t="shared" si="135"/>
        <v>6.47</v>
      </c>
      <c r="AR164" s="34">
        <f t="shared" si="135"/>
        <v>0</v>
      </c>
      <c r="AS164" s="34">
        <f t="shared" si="135"/>
        <v>49.03</v>
      </c>
      <c r="AT164" s="35">
        <f t="shared" si="15"/>
        <v>100</v>
      </c>
      <c r="AV164" s="25">
        <f t="shared" si="87"/>
        <v>3320</v>
      </c>
    </row>
    <row r="165" ht="14.25" customHeight="1">
      <c r="B165" s="36"/>
      <c r="C165" s="22" t="s">
        <v>46</v>
      </c>
      <c r="D165" s="56"/>
      <c r="E165" s="22" t="s">
        <v>48</v>
      </c>
      <c r="F165" s="56"/>
      <c r="G165" s="27">
        <f t="shared" si="125"/>
        <v>59.8703801</v>
      </c>
      <c r="H165" s="27">
        <f t="shared" si="126"/>
        <v>6.078122263</v>
      </c>
      <c r="I165" s="27">
        <f t="shared" si="127"/>
        <v>29.21702575</v>
      </c>
      <c r="J165" s="27">
        <f t="shared" si="128"/>
        <v>1.068488352</v>
      </c>
      <c r="K165" s="27">
        <f t="shared" si="129"/>
        <v>3.765983535</v>
      </c>
      <c r="L165" s="26">
        <f t="shared" si="75"/>
        <v>25.739</v>
      </c>
      <c r="M165" s="59">
        <v>20.291</v>
      </c>
      <c r="N165" s="22">
        <v>11.06</v>
      </c>
      <c r="O165" s="60">
        <v>42.91</v>
      </c>
      <c r="P165" s="22">
        <v>0.4</v>
      </c>
      <c r="Q165" s="22">
        <v>1100.0</v>
      </c>
      <c r="R165" s="22" t="s">
        <v>51</v>
      </c>
      <c r="S165" s="61">
        <v>0.0</v>
      </c>
      <c r="T165" s="22">
        <v>12.85</v>
      </c>
      <c r="U165" s="25">
        <v>12.8</v>
      </c>
      <c r="V165" s="25">
        <v>12.8</v>
      </c>
      <c r="W165" s="22">
        <v>9.42</v>
      </c>
      <c r="X165" s="22">
        <v>0.0</v>
      </c>
      <c r="Y165" s="54">
        <f t="shared" si="107"/>
        <v>64.98</v>
      </c>
      <c r="Z165" s="22">
        <f t="shared" si="77"/>
        <v>1.408450704</v>
      </c>
      <c r="AA165" s="22">
        <v>51.5</v>
      </c>
      <c r="AB165" s="22">
        <v>25.31</v>
      </c>
      <c r="AC165" s="25">
        <f t="shared" si="78"/>
        <v>2510</v>
      </c>
      <c r="AD165" s="22" t="s">
        <v>51</v>
      </c>
      <c r="AG165" s="33">
        <v>0.71</v>
      </c>
      <c r="AH165" s="33">
        <v>2.51</v>
      </c>
      <c r="AO165" s="34">
        <f t="shared" ref="AO165:AS165" si="136">U165</f>
        <v>12.8</v>
      </c>
      <c r="AP165" s="34">
        <f t="shared" si="136"/>
        <v>12.8</v>
      </c>
      <c r="AQ165" s="34">
        <f t="shared" si="136"/>
        <v>9.42</v>
      </c>
      <c r="AR165" s="34">
        <f t="shared" si="136"/>
        <v>0</v>
      </c>
      <c r="AS165" s="34">
        <f t="shared" si="136"/>
        <v>64.98</v>
      </c>
      <c r="AT165" s="35">
        <f t="shared" si="15"/>
        <v>100</v>
      </c>
      <c r="AV165" s="25">
        <f t="shared" si="87"/>
        <v>2510</v>
      </c>
    </row>
    <row r="166" ht="14.25" customHeight="1">
      <c r="B166" s="36"/>
      <c r="C166" s="22" t="s">
        <v>46</v>
      </c>
      <c r="D166" s="56"/>
      <c r="E166" s="22" t="s">
        <v>48</v>
      </c>
      <c r="F166" s="56"/>
      <c r="G166" s="27">
        <f t="shared" si="125"/>
        <v>59.8703801</v>
      </c>
      <c r="H166" s="27">
        <f t="shared" si="126"/>
        <v>6.078122263</v>
      </c>
      <c r="I166" s="27">
        <f t="shared" si="127"/>
        <v>29.21702575</v>
      </c>
      <c r="J166" s="27">
        <f t="shared" si="128"/>
        <v>1.068488352</v>
      </c>
      <c r="K166" s="27">
        <f t="shared" si="129"/>
        <v>3.765983535</v>
      </c>
      <c r="L166" s="26">
        <f t="shared" si="75"/>
        <v>25.739</v>
      </c>
      <c r="M166" s="59">
        <v>20.291</v>
      </c>
      <c r="N166" s="22">
        <v>11.06</v>
      </c>
      <c r="O166" s="60">
        <v>42.91</v>
      </c>
      <c r="P166" s="22">
        <v>0.6</v>
      </c>
      <c r="Q166" s="22">
        <v>1100.0</v>
      </c>
      <c r="R166" s="22" t="s">
        <v>51</v>
      </c>
      <c r="S166" s="61">
        <v>0.0</v>
      </c>
      <c r="T166" s="22">
        <v>12.85</v>
      </c>
      <c r="U166" s="25">
        <v>6.13</v>
      </c>
      <c r="V166" s="25">
        <v>6.81</v>
      </c>
      <c r="W166" s="22">
        <v>11.9</v>
      </c>
      <c r="X166" s="22">
        <v>0.0</v>
      </c>
      <c r="Y166" s="54">
        <f t="shared" si="107"/>
        <v>75.16</v>
      </c>
      <c r="Z166" s="22">
        <f t="shared" si="77"/>
        <v>1.639344262</v>
      </c>
      <c r="AA166" s="22">
        <v>36.7</v>
      </c>
      <c r="AB166" s="22">
        <v>18.31</v>
      </c>
      <c r="AC166" s="25">
        <f t="shared" si="78"/>
        <v>1590</v>
      </c>
      <c r="AD166" s="22" t="s">
        <v>51</v>
      </c>
      <c r="AG166" s="33">
        <v>0.61</v>
      </c>
      <c r="AH166" s="33">
        <v>1.59</v>
      </c>
      <c r="AO166" s="34">
        <f t="shared" ref="AO166:AS166" si="137">U166</f>
        <v>6.13</v>
      </c>
      <c r="AP166" s="34">
        <f t="shared" si="137"/>
        <v>6.81</v>
      </c>
      <c r="AQ166" s="34">
        <f t="shared" si="137"/>
        <v>11.9</v>
      </c>
      <c r="AR166" s="34">
        <f t="shared" si="137"/>
        <v>0</v>
      </c>
      <c r="AS166" s="34">
        <f t="shared" si="137"/>
        <v>75.16</v>
      </c>
      <c r="AT166" s="35">
        <f t="shared" si="15"/>
        <v>100</v>
      </c>
      <c r="AV166" s="25">
        <f t="shared" si="87"/>
        <v>1590</v>
      </c>
    </row>
    <row r="167" ht="14.25" customHeight="1">
      <c r="B167" s="36"/>
      <c r="C167" s="22" t="s">
        <v>46</v>
      </c>
      <c r="D167" s="56"/>
      <c r="E167" s="22" t="s">
        <v>48</v>
      </c>
      <c r="F167" s="56"/>
      <c r="G167" s="27">
        <f t="shared" si="125"/>
        <v>59.8703801</v>
      </c>
      <c r="H167" s="27">
        <f t="shared" si="126"/>
        <v>6.078122263</v>
      </c>
      <c r="I167" s="27">
        <f t="shared" si="127"/>
        <v>29.21702575</v>
      </c>
      <c r="J167" s="27">
        <f t="shared" si="128"/>
        <v>1.068488352</v>
      </c>
      <c r="K167" s="27">
        <f t="shared" si="129"/>
        <v>3.765983535</v>
      </c>
      <c r="L167" s="26">
        <f t="shared" si="75"/>
        <v>25.739</v>
      </c>
      <c r="M167" s="59">
        <v>20.291</v>
      </c>
      <c r="N167" s="22">
        <v>11.06</v>
      </c>
      <c r="O167" s="60">
        <v>42.91</v>
      </c>
      <c r="P167" s="22">
        <v>0.2</v>
      </c>
      <c r="Q167" s="22">
        <v>1100.0</v>
      </c>
      <c r="R167" s="22" t="s">
        <v>51</v>
      </c>
      <c r="S167" s="61">
        <v>0.0</v>
      </c>
      <c r="T167" s="22">
        <v>12.85</v>
      </c>
      <c r="U167" s="25">
        <v>20.5</v>
      </c>
      <c r="V167" s="25">
        <v>10.8</v>
      </c>
      <c r="W167" s="22">
        <v>9.41</v>
      </c>
      <c r="X167" s="22">
        <v>0.0</v>
      </c>
      <c r="Y167" s="54">
        <f t="shared" si="107"/>
        <v>59.29</v>
      </c>
      <c r="Z167" s="22">
        <f t="shared" si="77"/>
        <v>1.282051282</v>
      </c>
      <c r="AA167" s="22">
        <v>95.4</v>
      </c>
      <c r="AB167" s="22">
        <v>25.29</v>
      </c>
      <c r="AC167" s="25">
        <f t="shared" si="78"/>
        <v>1740</v>
      </c>
      <c r="AD167" s="22" t="s">
        <v>51</v>
      </c>
      <c r="AG167" s="33">
        <v>0.78</v>
      </c>
      <c r="AH167" s="33">
        <v>1.74</v>
      </c>
      <c r="AO167" s="34">
        <f t="shared" ref="AO167:AS167" si="138">U167</f>
        <v>20.5</v>
      </c>
      <c r="AP167" s="34">
        <f t="shared" si="138"/>
        <v>10.8</v>
      </c>
      <c r="AQ167" s="34">
        <f t="shared" si="138"/>
        <v>9.41</v>
      </c>
      <c r="AR167" s="34">
        <f t="shared" si="138"/>
        <v>0</v>
      </c>
      <c r="AS167" s="34">
        <f t="shared" si="138"/>
        <v>59.29</v>
      </c>
      <c r="AT167" s="35">
        <f t="shared" si="15"/>
        <v>100</v>
      </c>
      <c r="AV167" s="25">
        <f t="shared" si="87"/>
        <v>1740</v>
      </c>
    </row>
    <row r="168" ht="14.25" customHeight="1">
      <c r="B168" s="36"/>
      <c r="C168" s="22" t="s">
        <v>46</v>
      </c>
      <c r="D168" s="56"/>
      <c r="E168" s="22" t="s">
        <v>48</v>
      </c>
      <c r="F168" s="56"/>
      <c r="G168" s="27">
        <f t="shared" si="125"/>
        <v>59.8703801</v>
      </c>
      <c r="H168" s="27">
        <f t="shared" si="126"/>
        <v>6.078122263</v>
      </c>
      <c r="I168" s="27">
        <f t="shared" si="127"/>
        <v>29.21702575</v>
      </c>
      <c r="J168" s="27">
        <f t="shared" si="128"/>
        <v>1.068488352</v>
      </c>
      <c r="K168" s="27">
        <f t="shared" si="129"/>
        <v>3.765983535</v>
      </c>
      <c r="L168" s="26">
        <f t="shared" si="75"/>
        <v>25.739</v>
      </c>
      <c r="M168" s="59">
        <v>20.291</v>
      </c>
      <c r="N168" s="22">
        <v>11.06</v>
      </c>
      <c r="O168" s="60">
        <v>42.91</v>
      </c>
      <c r="P168" s="22">
        <v>0.4</v>
      </c>
      <c r="Q168" s="22">
        <v>1100.0</v>
      </c>
      <c r="R168" s="22" t="s">
        <v>51</v>
      </c>
      <c r="S168" s="61">
        <v>0.0</v>
      </c>
      <c r="T168" s="22">
        <v>12.85</v>
      </c>
      <c r="U168" s="25">
        <v>10.9</v>
      </c>
      <c r="V168" s="25">
        <v>6.26</v>
      </c>
      <c r="W168" s="22">
        <v>10.6</v>
      </c>
      <c r="X168" s="22">
        <v>0.0</v>
      </c>
      <c r="Y168" s="54">
        <f t="shared" si="107"/>
        <v>72.24</v>
      </c>
      <c r="Z168" s="22">
        <f t="shared" si="77"/>
        <v>1.538461538</v>
      </c>
      <c r="AA168" s="22">
        <v>52.7</v>
      </c>
      <c r="AB168" s="22">
        <v>17.58</v>
      </c>
      <c r="AC168" s="25">
        <f t="shared" si="78"/>
        <v>1210</v>
      </c>
      <c r="AD168" s="22" t="s">
        <v>51</v>
      </c>
      <c r="AG168" s="33">
        <v>0.65</v>
      </c>
      <c r="AH168" s="33">
        <v>1.21</v>
      </c>
      <c r="AO168" s="34">
        <f t="shared" ref="AO168:AS168" si="139">U168</f>
        <v>10.9</v>
      </c>
      <c r="AP168" s="34">
        <f t="shared" si="139"/>
        <v>6.26</v>
      </c>
      <c r="AQ168" s="34">
        <f t="shared" si="139"/>
        <v>10.6</v>
      </c>
      <c r="AR168" s="34">
        <f t="shared" si="139"/>
        <v>0</v>
      </c>
      <c r="AS168" s="34">
        <f t="shared" si="139"/>
        <v>72.24</v>
      </c>
      <c r="AT168" s="35">
        <f t="shared" si="15"/>
        <v>100</v>
      </c>
      <c r="AV168" s="25">
        <f t="shared" si="87"/>
        <v>1210</v>
      </c>
    </row>
    <row r="169" ht="14.25" customHeight="1">
      <c r="B169" s="36"/>
      <c r="C169" s="22" t="s">
        <v>46</v>
      </c>
      <c r="D169" s="56"/>
      <c r="E169" s="22" t="s">
        <v>48</v>
      </c>
      <c r="F169" s="56"/>
      <c r="G169" s="27">
        <f t="shared" si="125"/>
        <v>59.8703801</v>
      </c>
      <c r="H169" s="27">
        <f t="shared" si="126"/>
        <v>6.078122263</v>
      </c>
      <c r="I169" s="27">
        <f t="shared" si="127"/>
        <v>29.21702575</v>
      </c>
      <c r="J169" s="27">
        <f t="shared" si="128"/>
        <v>1.068488352</v>
      </c>
      <c r="K169" s="27">
        <f t="shared" si="129"/>
        <v>3.765983535</v>
      </c>
      <c r="L169" s="26">
        <f t="shared" si="75"/>
        <v>25.739</v>
      </c>
      <c r="M169" s="59">
        <v>20.291</v>
      </c>
      <c r="N169" s="22">
        <v>11.06</v>
      </c>
      <c r="O169" s="60">
        <v>42.91</v>
      </c>
      <c r="P169" s="22">
        <v>0.6</v>
      </c>
      <c r="Q169" s="22">
        <v>1100.0</v>
      </c>
      <c r="R169" s="22" t="s">
        <v>51</v>
      </c>
      <c r="S169" s="61">
        <v>0.0</v>
      </c>
      <c r="T169" s="22">
        <v>12.85</v>
      </c>
      <c r="U169" s="25">
        <v>4.42</v>
      </c>
      <c r="V169" s="25">
        <v>2.74</v>
      </c>
      <c r="W169" s="22">
        <v>11.7</v>
      </c>
      <c r="X169" s="22">
        <v>0.0</v>
      </c>
      <c r="Y169" s="54">
        <f t="shared" si="107"/>
        <v>81.14</v>
      </c>
      <c r="Z169" s="22">
        <f t="shared" si="77"/>
        <v>1.886792453</v>
      </c>
      <c r="AA169" s="22">
        <v>20.8</v>
      </c>
      <c r="AB169" s="22">
        <v>12.28</v>
      </c>
      <c r="AC169" s="25">
        <f t="shared" si="78"/>
        <v>620</v>
      </c>
      <c r="AD169" s="22" t="s">
        <v>51</v>
      </c>
      <c r="AG169" s="33">
        <v>0.53</v>
      </c>
      <c r="AH169" s="33">
        <v>0.62</v>
      </c>
      <c r="AO169" s="34">
        <f t="shared" ref="AO169:AS169" si="140">U169</f>
        <v>4.42</v>
      </c>
      <c r="AP169" s="34">
        <f t="shared" si="140"/>
        <v>2.74</v>
      </c>
      <c r="AQ169" s="34">
        <f t="shared" si="140"/>
        <v>11.7</v>
      </c>
      <c r="AR169" s="34">
        <f t="shared" si="140"/>
        <v>0</v>
      </c>
      <c r="AS169" s="34">
        <f t="shared" si="140"/>
        <v>81.14</v>
      </c>
      <c r="AT169" s="35">
        <f t="shared" si="15"/>
        <v>100</v>
      </c>
      <c r="AV169" s="25">
        <f t="shared" si="87"/>
        <v>620</v>
      </c>
    </row>
    <row r="170" ht="14.25" customHeight="1">
      <c r="B170" s="36"/>
      <c r="C170" s="22" t="s">
        <v>46</v>
      </c>
      <c r="D170" s="56"/>
      <c r="E170" s="22" t="s">
        <v>48</v>
      </c>
      <c r="F170" s="56"/>
      <c r="G170" s="27">
        <f t="shared" ref="G170:G181" si="142">51.43*100/(100-O170)</f>
        <v>51.61063723</v>
      </c>
      <c r="H170" s="27">
        <f t="shared" ref="H170:H181" si="143">6.1*100/(100-O170)</f>
        <v>6.121424987</v>
      </c>
      <c r="I170" s="27">
        <f t="shared" ref="I170:I181" si="144">41.85*100/(100-O170)</f>
        <v>41.99698946</v>
      </c>
      <c r="J170" s="27">
        <f t="shared" ref="J170:J181" si="145">0.26*100/(100-O170)</f>
        <v>0.2609131962</v>
      </c>
      <c r="K170" s="27">
        <f t="shared" ref="K170:K181" si="146">0.01*100/(100-O170)</f>
        <v>0.01003512293</v>
      </c>
      <c r="L170" s="26">
        <f t="shared" si="75"/>
        <v>1.43</v>
      </c>
      <c r="M170" s="22">
        <v>86.44</v>
      </c>
      <c r="N170" s="22">
        <v>11.78</v>
      </c>
      <c r="O170" s="22">
        <v>0.35</v>
      </c>
      <c r="P170" s="22">
        <v>0.1</v>
      </c>
      <c r="Q170" s="22">
        <v>900.0</v>
      </c>
      <c r="R170" s="22" t="s">
        <v>51</v>
      </c>
      <c r="S170" s="58">
        <v>0.0</v>
      </c>
      <c r="T170" s="22">
        <v>19.31</v>
      </c>
      <c r="U170" s="25">
        <v>33.2</v>
      </c>
      <c r="V170" s="25">
        <v>38.7</v>
      </c>
      <c r="W170" s="22">
        <v>0.12</v>
      </c>
      <c r="X170" s="22">
        <v>0.0</v>
      </c>
      <c r="Y170" s="54">
        <f t="shared" si="107"/>
        <v>27.98</v>
      </c>
      <c r="Z170" s="22">
        <f t="shared" si="77"/>
        <v>0.6849315068</v>
      </c>
      <c r="AA170" s="22">
        <v>90.5</v>
      </c>
      <c r="AB170" s="22">
        <v>59.0</v>
      </c>
      <c r="AC170" s="25">
        <f t="shared" si="78"/>
        <v>9820</v>
      </c>
      <c r="AD170" s="22" t="s">
        <v>51</v>
      </c>
      <c r="AG170" s="33">
        <v>1.46</v>
      </c>
      <c r="AH170" s="33">
        <v>9.82</v>
      </c>
      <c r="AO170" s="34">
        <f t="shared" ref="AO170:AS170" si="141">U170</f>
        <v>33.2</v>
      </c>
      <c r="AP170" s="34">
        <f t="shared" si="141"/>
        <v>38.7</v>
      </c>
      <c r="AQ170" s="34">
        <f t="shared" si="141"/>
        <v>0.12</v>
      </c>
      <c r="AR170" s="34">
        <f t="shared" si="141"/>
        <v>0</v>
      </c>
      <c r="AS170" s="34">
        <f t="shared" si="141"/>
        <v>27.98</v>
      </c>
      <c r="AT170" s="35">
        <f t="shared" si="15"/>
        <v>100</v>
      </c>
      <c r="AV170" s="25">
        <f t="shared" si="87"/>
        <v>9820</v>
      </c>
    </row>
    <row r="171" ht="14.25" customHeight="1">
      <c r="B171" s="36"/>
      <c r="C171" s="22" t="s">
        <v>46</v>
      </c>
      <c r="D171" s="56"/>
      <c r="E171" s="22" t="s">
        <v>48</v>
      </c>
      <c r="F171" s="56"/>
      <c r="G171" s="27">
        <f t="shared" si="142"/>
        <v>51.61063723</v>
      </c>
      <c r="H171" s="27">
        <f t="shared" si="143"/>
        <v>6.121424987</v>
      </c>
      <c r="I171" s="27">
        <f t="shared" si="144"/>
        <v>41.99698946</v>
      </c>
      <c r="J171" s="27">
        <f t="shared" si="145"/>
        <v>0.2609131962</v>
      </c>
      <c r="K171" s="27">
        <f t="shared" si="146"/>
        <v>0.01003512293</v>
      </c>
      <c r="L171" s="26">
        <f t="shared" si="75"/>
        <v>1.43</v>
      </c>
      <c r="M171" s="22">
        <v>86.44</v>
      </c>
      <c r="N171" s="22">
        <v>11.78</v>
      </c>
      <c r="O171" s="22">
        <v>0.35</v>
      </c>
      <c r="P171" s="22">
        <v>0.2</v>
      </c>
      <c r="Q171" s="22">
        <v>900.0</v>
      </c>
      <c r="R171" s="22" t="s">
        <v>51</v>
      </c>
      <c r="S171" s="58">
        <v>0.0</v>
      </c>
      <c r="T171" s="22">
        <v>19.31</v>
      </c>
      <c r="U171" s="25">
        <v>27.6</v>
      </c>
      <c r="V171" s="25">
        <v>39.4</v>
      </c>
      <c r="W171" s="22">
        <v>0.58</v>
      </c>
      <c r="X171" s="22">
        <v>0.0</v>
      </c>
      <c r="Y171" s="54">
        <f t="shared" si="107"/>
        <v>32.42</v>
      </c>
      <c r="Z171" s="22">
        <f t="shared" si="77"/>
        <v>0.6134969325</v>
      </c>
      <c r="AA171" s="22">
        <v>100.0</v>
      </c>
      <c r="AB171" s="22">
        <v>67.84</v>
      </c>
      <c r="AC171" s="25">
        <f t="shared" si="78"/>
        <v>11900</v>
      </c>
      <c r="AD171" s="22" t="s">
        <v>51</v>
      </c>
      <c r="AG171" s="33">
        <v>1.63</v>
      </c>
      <c r="AH171" s="33">
        <v>11.9</v>
      </c>
      <c r="AO171" s="34">
        <f t="shared" ref="AO171:AS171" si="147">U171</f>
        <v>27.6</v>
      </c>
      <c r="AP171" s="34">
        <f t="shared" si="147"/>
        <v>39.4</v>
      </c>
      <c r="AQ171" s="34">
        <f t="shared" si="147"/>
        <v>0.58</v>
      </c>
      <c r="AR171" s="34">
        <f t="shared" si="147"/>
        <v>0</v>
      </c>
      <c r="AS171" s="34">
        <f t="shared" si="147"/>
        <v>32.42</v>
      </c>
      <c r="AT171" s="35">
        <f t="shared" si="15"/>
        <v>100</v>
      </c>
      <c r="AV171" s="25">
        <f t="shared" si="87"/>
        <v>11900</v>
      </c>
    </row>
    <row r="172" ht="14.25" customHeight="1">
      <c r="B172" s="36"/>
      <c r="C172" s="22" t="s">
        <v>46</v>
      </c>
      <c r="D172" s="56"/>
      <c r="E172" s="22" t="s">
        <v>48</v>
      </c>
      <c r="F172" s="56"/>
      <c r="G172" s="27">
        <f t="shared" si="142"/>
        <v>51.61063723</v>
      </c>
      <c r="H172" s="27">
        <f t="shared" si="143"/>
        <v>6.121424987</v>
      </c>
      <c r="I172" s="27">
        <f t="shared" si="144"/>
        <v>41.99698946</v>
      </c>
      <c r="J172" s="27">
        <f t="shared" si="145"/>
        <v>0.2609131962</v>
      </c>
      <c r="K172" s="27">
        <f t="shared" si="146"/>
        <v>0.01003512293</v>
      </c>
      <c r="L172" s="26">
        <f t="shared" si="75"/>
        <v>1.43</v>
      </c>
      <c r="M172" s="22">
        <v>86.44</v>
      </c>
      <c r="N172" s="22">
        <v>11.78</v>
      </c>
      <c r="O172" s="22">
        <v>0.35</v>
      </c>
      <c r="P172" s="22">
        <v>0.6</v>
      </c>
      <c r="Q172" s="22">
        <v>900.0</v>
      </c>
      <c r="R172" s="22" t="s">
        <v>51</v>
      </c>
      <c r="S172" s="58">
        <v>0.0</v>
      </c>
      <c r="T172" s="22">
        <v>19.31</v>
      </c>
      <c r="U172" s="25">
        <v>7.23</v>
      </c>
      <c r="V172" s="25">
        <v>13.3</v>
      </c>
      <c r="W172" s="22">
        <v>11.2</v>
      </c>
      <c r="X172" s="22">
        <v>0.0</v>
      </c>
      <c r="Y172" s="54">
        <f t="shared" si="107"/>
        <v>68.27</v>
      </c>
      <c r="Z172" s="22">
        <f t="shared" si="77"/>
        <v>0.7874015748</v>
      </c>
      <c r="AA172" s="22">
        <v>38.0</v>
      </c>
      <c r="AB172" s="22">
        <v>32.39</v>
      </c>
      <c r="AC172" s="25">
        <f t="shared" si="78"/>
        <v>6540</v>
      </c>
      <c r="AD172" s="22" t="s">
        <v>51</v>
      </c>
      <c r="AG172" s="33">
        <v>1.27</v>
      </c>
      <c r="AH172" s="33">
        <v>6.54</v>
      </c>
      <c r="AO172" s="34">
        <f t="shared" ref="AO172:AS172" si="148">U172</f>
        <v>7.23</v>
      </c>
      <c r="AP172" s="34">
        <f t="shared" si="148"/>
        <v>13.3</v>
      </c>
      <c r="AQ172" s="34">
        <f t="shared" si="148"/>
        <v>11.2</v>
      </c>
      <c r="AR172" s="34">
        <f t="shared" si="148"/>
        <v>0</v>
      </c>
      <c r="AS172" s="34">
        <f t="shared" si="148"/>
        <v>68.27</v>
      </c>
      <c r="AT172" s="35">
        <f t="shared" si="15"/>
        <v>100</v>
      </c>
      <c r="AV172" s="25">
        <f t="shared" si="87"/>
        <v>6540</v>
      </c>
    </row>
    <row r="173" ht="14.25" customHeight="1">
      <c r="B173" s="36"/>
      <c r="C173" s="22" t="s">
        <v>46</v>
      </c>
      <c r="D173" s="56"/>
      <c r="E173" s="22" t="s">
        <v>48</v>
      </c>
      <c r="F173" s="56"/>
      <c r="G173" s="27">
        <f t="shared" si="142"/>
        <v>51.61063723</v>
      </c>
      <c r="H173" s="27">
        <f t="shared" si="143"/>
        <v>6.121424987</v>
      </c>
      <c r="I173" s="27">
        <f t="shared" si="144"/>
        <v>41.99698946</v>
      </c>
      <c r="J173" s="27">
        <f t="shared" si="145"/>
        <v>0.2609131962</v>
      </c>
      <c r="K173" s="27">
        <f t="shared" si="146"/>
        <v>0.01003512293</v>
      </c>
      <c r="L173" s="26">
        <f t="shared" si="75"/>
        <v>1.43</v>
      </c>
      <c r="M173" s="22">
        <v>86.44</v>
      </c>
      <c r="N173" s="22">
        <v>11.78</v>
      </c>
      <c r="O173" s="22">
        <v>0.35</v>
      </c>
      <c r="P173" s="22">
        <v>0.2</v>
      </c>
      <c r="Q173" s="22">
        <v>900.0</v>
      </c>
      <c r="R173" s="22" t="s">
        <v>51</v>
      </c>
      <c r="S173" s="58">
        <v>0.0</v>
      </c>
      <c r="T173" s="22">
        <v>19.31</v>
      </c>
      <c r="U173" s="25">
        <v>28.3</v>
      </c>
      <c r="V173" s="25">
        <v>34.8</v>
      </c>
      <c r="W173" s="22">
        <v>2.88</v>
      </c>
      <c r="X173" s="22">
        <v>0.0</v>
      </c>
      <c r="Y173" s="54">
        <f t="shared" si="107"/>
        <v>34.02</v>
      </c>
      <c r="Z173" s="22">
        <f t="shared" si="77"/>
        <v>0.5988023952</v>
      </c>
      <c r="AA173" s="22">
        <v>104.1</v>
      </c>
      <c r="AB173" s="22">
        <v>65.51</v>
      </c>
      <c r="AC173" s="25">
        <f t="shared" si="78"/>
        <v>10000</v>
      </c>
      <c r="AD173" s="22" t="s">
        <v>51</v>
      </c>
      <c r="AG173" s="33">
        <v>1.67</v>
      </c>
      <c r="AH173" s="33">
        <v>10.0</v>
      </c>
      <c r="AO173" s="34">
        <f t="shared" ref="AO173:AS173" si="149">U173</f>
        <v>28.3</v>
      </c>
      <c r="AP173" s="34">
        <f t="shared" si="149"/>
        <v>34.8</v>
      </c>
      <c r="AQ173" s="34">
        <f t="shared" si="149"/>
        <v>2.88</v>
      </c>
      <c r="AR173" s="34">
        <f t="shared" si="149"/>
        <v>0</v>
      </c>
      <c r="AS173" s="34">
        <f t="shared" si="149"/>
        <v>34.02</v>
      </c>
      <c r="AT173" s="35">
        <f t="shared" si="15"/>
        <v>100</v>
      </c>
      <c r="AV173" s="25">
        <f t="shared" si="87"/>
        <v>10000</v>
      </c>
    </row>
    <row r="174" ht="14.25" customHeight="1">
      <c r="B174" s="36"/>
      <c r="C174" s="22" t="s">
        <v>46</v>
      </c>
      <c r="D174" s="56"/>
      <c r="E174" s="22" t="s">
        <v>48</v>
      </c>
      <c r="F174" s="56"/>
      <c r="G174" s="27">
        <f t="shared" si="142"/>
        <v>51.61063723</v>
      </c>
      <c r="H174" s="27">
        <f t="shared" si="143"/>
        <v>6.121424987</v>
      </c>
      <c r="I174" s="27">
        <f t="shared" si="144"/>
        <v>41.99698946</v>
      </c>
      <c r="J174" s="27">
        <f t="shared" si="145"/>
        <v>0.2609131962</v>
      </c>
      <c r="K174" s="27">
        <f t="shared" si="146"/>
        <v>0.01003512293</v>
      </c>
      <c r="L174" s="26">
        <f t="shared" si="75"/>
        <v>1.43</v>
      </c>
      <c r="M174" s="22">
        <v>86.44</v>
      </c>
      <c r="N174" s="22">
        <v>11.78</v>
      </c>
      <c r="O174" s="22">
        <v>0.35</v>
      </c>
      <c r="P174" s="22">
        <v>0.4</v>
      </c>
      <c r="Q174" s="22">
        <v>900.0</v>
      </c>
      <c r="R174" s="22" t="s">
        <v>51</v>
      </c>
      <c r="S174" s="58">
        <v>0.0</v>
      </c>
      <c r="T174" s="22">
        <v>19.31</v>
      </c>
      <c r="U174" s="25">
        <v>15.2</v>
      </c>
      <c r="V174" s="25">
        <v>21.0</v>
      </c>
      <c r="W174" s="22">
        <v>7.97</v>
      </c>
      <c r="X174" s="22">
        <v>0.0</v>
      </c>
      <c r="Y174" s="54">
        <f t="shared" si="107"/>
        <v>55.83</v>
      </c>
      <c r="Z174" s="22">
        <f t="shared" si="77"/>
        <v>0.006802721088</v>
      </c>
      <c r="AA174" s="22">
        <v>68.2</v>
      </c>
      <c r="AB174" s="22">
        <v>44.33</v>
      </c>
      <c r="AC174" s="25">
        <f t="shared" si="78"/>
        <v>7870</v>
      </c>
      <c r="AD174" s="22" t="s">
        <v>51</v>
      </c>
      <c r="AG174" s="33">
        <v>147.0</v>
      </c>
      <c r="AH174" s="33">
        <v>7.87</v>
      </c>
      <c r="AO174" s="34">
        <f t="shared" ref="AO174:AS174" si="150">U174</f>
        <v>15.2</v>
      </c>
      <c r="AP174" s="34">
        <f t="shared" si="150"/>
        <v>21</v>
      </c>
      <c r="AQ174" s="34">
        <f t="shared" si="150"/>
        <v>7.97</v>
      </c>
      <c r="AR174" s="34">
        <f t="shared" si="150"/>
        <v>0</v>
      </c>
      <c r="AS174" s="34">
        <f t="shared" si="150"/>
        <v>55.83</v>
      </c>
      <c r="AT174" s="35">
        <f t="shared" si="15"/>
        <v>100</v>
      </c>
      <c r="AV174" s="25">
        <f t="shared" si="87"/>
        <v>7870</v>
      </c>
    </row>
    <row r="175" ht="14.25" customHeight="1">
      <c r="B175" s="36"/>
      <c r="C175" s="22" t="s">
        <v>46</v>
      </c>
      <c r="D175" s="56"/>
      <c r="E175" s="22" t="s">
        <v>48</v>
      </c>
      <c r="F175" s="56"/>
      <c r="G175" s="27">
        <f t="shared" si="142"/>
        <v>51.61063723</v>
      </c>
      <c r="H175" s="27">
        <f t="shared" si="143"/>
        <v>6.121424987</v>
      </c>
      <c r="I175" s="27">
        <f t="shared" si="144"/>
        <v>41.99698946</v>
      </c>
      <c r="J175" s="27">
        <f t="shared" si="145"/>
        <v>0.2609131962</v>
      </c>
      <c r="K175" s="27">
        <f t="shared" si="146"/>
        <v>0.01003512293</v>
      </c>
      <c r="L175" s="26">
        <f t="shared" si="75"/>
        <v>1.43</v>
      </c>
      <c r="M175" s="22">
        <v>86.44</v>
      </c>
      <c r="N175" s="22">
        <v>11.78</v>
      </c>
      <c r="O175" s="22">
        <v>0.35</v>
      </c>
      <c r="P175" s="22">
        <v>0.6</v>
      </c>
      <c r="Q175" s="22">
        <v>900.0</v>
      </c>
      <c r="R175" s="22" t="s">
        <v>51</v>
      </c>
      <c r="S175" s="58">
        <v>0.0</v>
      </c>
      <c r="T175" s="22">
        <v>19.31</v>
      </c>
      <c r="U175" s="25">
        <v>7.59</v>
      </c>
      <c r="V175" s="25">
        <v>11.8</v>
      </c>
      <c r="W175" s="22">
        <v>11.7</v>
      </c>
      <c r="X175" s="22">
        <v>0.0</v>
      </c>
      <c r="Y175" s="54">
        <f t="shared" si="107"/>
        <v>68.91</v>
      </c>
      <c r="Z175" s="22">
        <f t="shared" si="77"/>
        <v>0.78125</v>
      </c>
      <c r="AA175" s="22">
        <v>39.4</v>
      </c>
      <c r="AB175" s="22">
        <v>31.31</v>
      </c>
      <c r="AC175" s="25">
        <f t="shared" si="78"/>
        <v>5450</v>
      </c>
      <c r="AD175" s="22" t="s">
        <v>51</v>
      </c>
      <c r="AG175" s="33">
        <v>1.28</v>
      </c>
      <c r="AH175" s="33">
        <v>5.45</v>
      </c>
      <c r="AO175" s="34">
        <f t="shared" ref="AO175:AS175" si="151">U175</f>
        <v>7.59</v>
      </c>
      <c r="AP175" s="34">
        <f t="shared" si="151"/>
        <v>11.8</v>
      </c>
      <c r="AQ175" s="34">
        <f t="shared" si="151"/>
        <v>11.7</v>
      </c>
      <c r="AR175" s="34">
        <f t="shared" si="151"/>
        <v>0</v>
      </c>
      <c r="AS175" s="34">
        <f t="shared" si="151"/>
        <v>68.91</v>
      </c>
      <c r="AT175" s="35">
        <f t="shared" si="15"/>
        <v>100</v>
      </c>
      <c r="AV175" s="25">
        <f t="shared" si="87"/>
        <v>5450</v>
      </c>
    </row>
    <row r="176" ht="14.25" customHeight="1">
      <c r="B176" s="36"/>
      <c r="C176" s="22" t="s">
        <v>46</v>
      </c>
      <c r="D176" s="56"/>
      <c r="E176" s="22" t="s">
        <v>48</v>
      </c>
      <c r="F176" s="56"/>
      <c r="G176" s="27">
        <f t="shared" si="142"/>
        <v>51.61063723</v>
      </c>
      <c r="H176" s="27">
        <f t="shared" si="143"/>
        <v>6.121424987</v>
      </c>
      <c r="I176" s="27">
        <f t="shared" si="144"/>
        <v>41.99698946</v>
      </c>
      <c r="J176" s="27">
        <f t="shared" si="145"/>
        <v>0.2609131962</v>
      </c>
      <c r="K176" s="27">
        <f t="shared" si="146"/>
        <v>0.01003512293</v>
      </c>
      <c r="L176" s="26">
        <f t="shared" si="75"/>
        <v>1.43</v>
      </c>
      <c r="M176" s="22">
        <v>86.44</v>
      </c>
      <c r="N176" s="22">
        <v>11.78</v>
      </c>
      <c r="O176" s="22">
        <v>0.35</v>
      </c>
      <c r="P176" s="22">
        <v>0.2</v>
      </c>
      <c r="Q176" s="22">
        <v>900.0</v>
      </c>
      <c r="R176" s="22" t="s">
        <v>51</v>
      </c>
      <c r="S176" s="58">
        <v>0.0</v>
      </c>
      <c r="T176" s="22">
        <v>19.31</v>
      </c>
      <c r="U176" s="25">
        <v>28.1</v>
      </c>
      <c r="V176" s="25">
        <v>29.9</v>
      </c>
      <c r="W176" s="22">
        <v>5.09</v>
      </c>
      <c r="X176" s="22">
        <v>0.0</v>
      </c>
      <c r="Y176" s="54">
        <f t="shared" si="107"/>
        <v>36.91</v>
      </c>
      <c r="Z176" s="22">
        <f t="shared" si="77"/>
        <v>0.5988023952</v>
      </c>
      <c r="AA176" s="22">
        <v>105.4</v>
      </c>
      <c r="AB176" s="22">
        <v>60.83</v>
      </c>
      <c r="AC176" s="25">
        <f t="shared" si="78"/>
        <v>8240</v>
      </c>
      <c r="AD176" s="22" t="s">
        <v>51</v>
      </c>
      <c r="AG176" s="33">
        <v>1.67</v>
      </c>
      <c r="AH176" s="33">
        <v>8.24</v>
      </c>
      <c r="AO176" s="34">
        <f t="shared" ref="AO176:AS176" si="152">U176</f>
        <v>28.1</v>
      </c>
      <c r="AP176" s="34">
        <f t="shared" si="152"/>
        <v>29.9</v>
      </c>
      <c r="AQ176" s="34">
        <f t="shared" si="152"/>
        <v>5.09</v>
      </c>
      <c r="AR176" s="34">
        <f t="shared" si="152"/>
        <v>0</v>
      </c>
      <c r="AS176" s="34">
        <f t="shared" si="152"/>
        <v>36.91</v>
      </c>
      <c r="AT176" s="35">
        <f t="shared" si="15"/>
        <v>100</v>
      </c>
      <c r="AV176" s="25">
        <f t="shared" si="87"/>
        <v>8240</v>
      </c>
    </row>
    <row r="177" ht="14.25" customHeight="1">
      <c r="B177" s="36"/>
      <c r="C177" s="22" t="s">
        <v>46</v>
      </c>
      <c r="D177" s="56"/>
      <c r="E177" s="22" t="s">
        <v>48</v>
      </c>
      <c r="F177" s="56"/>
      <c r="G177" s="27">
        <f t="shared" si="142"/>
        <v>51.61063723</v>
      </c>
      <c r="H177" s="27">
        <f t="shared" si="143"/>
        <v>6.121424987</v>
      </c>
      <c r="I177" s="27">
        <f t="shared" si="144"/>
        <v>41.99698946</v>
      </c>
      <c r="J177" s="27">
        <f t="shared" si="145"/>
        <v>0.2609131962</v>
      </c>
      <c r="K177" s="27">
        <f t="shared" si="146"/>
        <v>0.01003512293</v>
      </c>
      <c r="L177" s="26">
        <f t="shared" si="75"/>
        <v>1.43</v>
      </c>
      <c r="M177" s="22">
        <v>86.44</v>
      </c>
      <c r="N177" s="22">
        <v>11.78</v>
      </c>
      <c r="O177" s="22">
        <v>0.35</v>
      </c>
      <c r="P177" s="22">
        <v>0.4</v>
      </c>
      <c r="Q177" s="22">
        <v>900.0</v>
      </c>
      <c r="R177" s="22" t="s">
        <v>51</v>
      </c>
      <c r="S177" s="58">
        <v>0.0</v>
      </c>
      <c r="T177" s="22">
        <v>19.31</v>
      </c>
      <c r="U177" s="25">
        <v>15.2</v>
      </c>
      <c r="V177" s="25">
        <v>18.0</v>
      </c>
      <c r="W177" s="22">
        <v>9.18</v>
      </c>
      <c r="X177" s="22">
        <v>0.0</v>
      </c>
      <c r="Y177" s="54">
        <f t="shared" si="107"/>
        <v>57.62</v>
      </c>
      <c r="Z177" s="22">
        <f t="shared" si="77"/>
        <v>0.6896551724</v>
      </c>
      <c r="AA177" s="22">
        <v>67.5</v>
      </c>
      <c r="AB177" s="22">
        <v>41.03</v>
      </c>
      <c r="AC177" s="25">
        <f t="shared" si="78"/>
        <v>6390</v>
      </c>
      <c r="AD177" s="22" t="s">
        <v>51</v>
      </c>
      <c r="AG177" s="33">
        <v>1.45</v>
      </c>
      <c r="AH177" s="33">
        <v>6.39</v>
      </c>
      <c r="AO177" s="34">
        <f t="shared" ref="AO177:AS177" si="153">U177</f>
        <v>15.2</v>
      </c>
      <c r="AP177" s="34">
        <f t="shared" si="153"/>
        <v>18</v>
      </c>
      <c r="AQ177" s="34">
        <f t="shared" si="153"/>
        <v>9.18</v>
      </c>
      <c r="AR177" s="34">
        <f t="shared" si="153"/>
        <v>0</v>
      </c>
      <c r="AS177" s="34">
        <f t="shared" si="153"/>
        <v>57.62</v>
      </c>
      <c r="AT177" s="35">
        <f t="shared" si="15"/>
        <v>100</v>
      </c>
      <c r="AV177" s="25">
        <f t="shared" si="87"/>
        <v>6390</v>
      </c>
    </row>
    <row r="178" ht="14.25" customHeight="1">
      <c r="B178" s="36"/>
      <c r="C178" s="22" t="s">
        <v>46</v>
      </c>
      <c r="D178" s="56"/>
      <c r="E178" s="22" t="s">
        <v>48</v>
      </c>
      <c r="F178" s="56"/>
      <c r="G178" s="27">
        <f t="shared" si="142"/>
        <v>51.61063723</v>
      </c>
      <c r="H178" s="27">
        <f t="shared" si="143"/>
        <v>6.121424987</v>
      </c>
      <c r="I178" s="27">
        <f t="shared" si="144"/>
        <v>41.99698946</v>
      </c>
      <c r="J178" s="27">
        <f t="shared" si="145"/>
        <v>0.2609131962</v>
      </c>
      <c r="K178" s="27">
        <f t="shared" si="146"/>
        <v>0.01003512293</v>
      </c>
      <c r="L178" s="26">
        <f t="shared" si="75"/>
        <v>1.43</v>
      </c>
      <c r="M178" s="22">
        <v>86.44</v>
      </c>
      <c r="N178" s="22">
        <v>11.78</v>
      </c>
      <c r="O178" s="22">
        <v>0.35</v>
      </c>
      <c r="P178" s="22">
        <v>0.6</v>
      </c>
      <c r="Q178" s="22">
        <v>900.0</v>
      </c>
      <c r="R178" s="22" t="s">
        <v>51</v>
      </c>
      <c r="S178" s="58">
        <v>0.0</v>
      </c>
      <c r="T178" s="22">
        <v>19.31</v>
      </c>
      <c r="U178" s="25">
        <v>7.01</v>
      </c>
      <c r="V178" s="25">
        <v>9.93</v>
      </c>
      <c r="W178" s="22">
        <v>12.3</v>
      </c>
      <c r="X178" s="22">
        <v>0.0</v>
      </c>
      <c r="Y178" s="54">
        <f t="shared" si="107"/>
        <v>70.76</v>
      </c>
      <c r="Z178" s="22">
        <f t="shared" si="77"/>
        <v>0.7936507937</v>
      </c>
      <c r="AA178" s="22">
        <v>37.6</v>
      </c>
      <c r="AB178" s="22">
        <v>29.15</v>
      </c>
      <c r="AC178" s="25">
        <f t="shared" si="78"/>
        <v>4310</v>
      </c>
      <c r="AD178" s="22" t="s">
        <v>51</v>
      </c>
      <c r="AG178" s="33">
        <v>1.26</v>
      </c>
      <c r="AH178" s="33">
        <v>4.31</v>
      </c>
      <c r="AO178" s="34">
        <f t="shared" ref="AO178:AS178" si="154">U178</f>
        <v>7.01</v>
      </c>
      <c r="AP178" s="34">
        <f t="shared" si="154"/>
        <v>9.93</v>
      </c>
      <c r="AQ178" s="34">
        <f t="shared" si="154"/>
        <v>12.3</v>
      </c>
      <c r="AR178" s="34">
        <f t="shared" si="154"/>
        <v>0</v>
      </c>
      <c r="AS178" s="34">
        <f t="shared" si="154"/>
        <v>70.76</v>
      </c>
      <c r="AT178" s="35">
        <f t="shared" si="15"/>
        <v>100</v>
      </c>
      <c r="AV178" s="25">
        <f t="shared" si="87"/>
        <v>4310</v>
      </c>
    </row>
    <row r="179" ht="14.25" customHeight="1">
      <c r="B179" s="36"/>
      <c r="C179" s="22" t="s">
        <v>46</v>
      </c>
      <c r="D179" s="56"/>
      <c r="E179" s="22" t="s">
        <v>48</v>
      </c>
      <c r="F179" s="56"/>
      <c r="G179" s="27">
        <f t="shared" si="142"/>
        <v>51.61063723</v>
      </c>
      <c r="H179" s="27">
        <f t="shared" si="143"/>
        <v>6.121424987</v>
      </c>
      <c r="I179" s="27">
        <f t="shared" si="144"/>
        <v>41.99698946</v>
      </c>
      <c r="J179" s="27">
        <f t="shared" si="145"/>
        <v>0.2609131962</v>
      </c>
      <c r="K179" s="27">
        <f t="shared" si="146"/>
        <v>0.01003512293</v>
      </c>
      <c r="L179" s="26">
        <f t="shared" si="75"/>
        <v>1.43</v>
      </c>
      <c r="M179" s="22">
        <v>86.44</v>
      </c>
      <c r="N179" s="22">
        <v>11.78</v>
      </c>
      <c r="O179" s="22">
        <v>0.35</v>
      </c>
      <c r="P179" s="22">
        <v>0.2</v>
      </c>
      <c r="Q179" s="22">
        <v>900.0</v>
      </c>
      <c r="R179" s="22" t="s">
        <v>51</v>
      </c>
      <c r="S179" s="58">
        <v>0.0</v>
      </c>
      <c r="T179" s="22">
        <v>19.31</v>
      </c>
      <c r="U179" s="25">
        <v>25.7</v>
      </c>
      <c r="V179" s="25">
        <v>19.7</v>
      </c>
      <c r="W179" s="22">
        <v>8.77</v>
      </c>
      <c r="X179" s="22">
        <v>0.0</v>
      </c>
      <c r="Y179" s="54">
        <f t="shared" si="107"/>
        <v>45.83</v>
      </c>
      <c r="Z179" s="22">
        <f t="shared" si="77"/>
        <v>0.6493506494</v>
      </c>
      <c r="AA179" s="22">
        <v>97.5</v>
      </c>
      <c r="AB179" s="22">
        <v>45.64</v>
      </c>
      <c r="AC179" s="25">
        <f t="shared" si="78"/>
        <v>5010</v>
      </c>
      <c r="AD179" s="22" t="s">
        <v>51</v>
      </c>
      <c r="AG179" s="33">
        <v>1.54</v>
      </c>
      <c r="AH179" s="33">
        <v>5.01</v>
      </c>
      <c r="AO179" s="34">
        <f t="shared" ref="AO179:AS179" si="155">U179</f>
        <v>25.7</v>
      </c>
      <c r="AP179" s="34">
        <f t="shared" si="155"/>
        <v>19.7</v>
      </c>
      <c r="AQ179" s="34">
        <f t="shared" si="155"/>
        <v>8.77</v>
      </c>
      <c r="AR179" s="34">
        <f t="shared" si="155"/>
        <v>0</v>
      </c>
      <c r="AS179" s="34">
        <f t="shared" si="155"/>
        <v>45.83</v>
      </c>
      <c r="AT179" s="35">
        <f t="shared" si="15"/>
        <v>100</v>
      </c>
      <c r="AV179" s="25">
        <f t="shared" si="87"/>
        <v>5010</v>
      </c>
    </row>
    <row r="180" ht="14.25" customHeight="1">
      <c r="B180" s="36"/>
      <c r="C180" s="22" t="s">
        <v>46</v>
      </c>
      <c r="D180" s="56"/>
      <c r="E180" s="22" t="s">
        <v>48</v>
      </c>
      <c r="F180" s="56"/>
      <c r="G180" s="27">
        <f t="shared" si="142"/>
        <v>51.61063723</v>
      </c>
      <c r="H180" s="27">
        <f t="shared" si="143"/>
        <v>6.121424987</v>
      </c>
      <c r="I180" s="27">
        <f t="shared" si="144"/>
        <v>41.99698946</v>
      </c>
      <c r="J180" s="27">
        <f t="shared" si="145"/>
        <v>0.2609131962</v>
      </c>
      <c r="K180" s="27">
        <f t="shared" si="146"/>
        <v>0.01003512293</v>
      </c>
      <c r="L180" s="26">
        <f t="shared" si="75"/>
        <v>1.43</v>
      </c>
      <c r="M180" s="22">
        <v>86.44</v>
      </c>
      <c r="N180" s="22">
        <v>11.78</v>
      </c>
      <c r="O180" s="22">
        <v>0.35</v>
      </c>
      <c r="P180" s="22">
        <v>0.4</v>
      </c>
      <c r="Q180" s="22">
        <v>900.0</v>
      </c>
      <c r="R180" s="22" t="s">
        <v>51</v>
      </c>
      <c r="S180" s="58">
        <v>0.0</v>
      </c>
      <c r="T180" s="22">
        <v>19.31</v>
      </c>
      <c r="U180" s="25">
        <v>13.4</v>
      </c>
      <c r="V180" s="25">
        <v>11.3</v>
      </c>
      <c r="W180" s="22">
        <v>11.2</v>
      </c>
      <c r="X180" s="22">
        <v>0.0</v>
      </c>
      <c r="Y180" s="54">
        <f t="shared" si="107"/>
        <v>64.1</v>
      </c>
      <c r="Z180" s="22">
        <f t="shared" si="77"/>
        <v>0.7692307692</v>
      </c>
      <c r="AA180" s="22">
        <v>56.5</v>
      </c>
      <c r="AB180" s="22">
        <v>30.45</v>
      </c>
      <c r="AC180" s="25">
        <f t="shared" si="78"/>
        <v>3630</v>
      </c>
      <c r="AD180" s="22" t="s">
        <v>51</v>
      </c>
      <c r="AG180" s="33">
        <v>1.3</v>
      </c>
      <c r="AH180" s="33">
        <v>3.63</v>
      </c>
      <c r="AO180" s="34">
        <f t="shared" ref="AO180:AS180" si="156">U180</f>
        <v>13.4</v>
      </c>
      <c r="AP180" s="34">
        <f t="shared" si="156"/>
        <v>11.3</v>
      </c>
      <c r="AQ180" s="34">
        <f t="shared" si="156"/>
        <v>11.2</v>
      </c>
      <c r="AR180" s="34">
        <f t="shared" si="156"/>
        <v>0</v>
      </c>
      <c r="AS180" s="34">
        <f t="shared" si="156"/>
        <v>64.1</v>
      </c>
      <c r="AT180" s="35">
        <f t="shared" si="15"/>
        <v>100</v>
      </c>
      <c r="AV180" s="25">
        <f t="shared" si="87"/>
        <v>3630</v>
      </c>
    </row>
    <row r="181" ht="14.25" customHeight="1">
      <c r="B181" s="36"/>
      <c r="C181" s="22" t="s">
        <v>46</v>
      </c>
      <c r="D181" s="56"/>
      <c r="E181" s="22" t="s">
        <v>48</v>
      </c>
      <c r="F181" s="56"/>
      <c r="G181" s="27">
        <f t="shared" si="142"/>
        <v>51.61063723</v>
      </c>
      <c r="H181" s="27">
        <f t="shared" si="143"/>
        <v>6.121424987</v>
      </c>
      <c r="I181" s="27">
        <f t="shared" si="144"/>
        <v>41.99698946</v>
      </c>
      <c r="J181" s="27">
        <f t="shared" si="145"/>
        <v>0.2609131962</v>
      </c>
      <c r="K181" s="27">
        <f t="shared" si="146"/>
        <v>0.01003512293</v>
      </c>
      <c r="L181" s="26">
        <f t="shared" si="75"/>
        <v>1.43</v>
      </c>
      <c r="M181" s="22">
        <v>86.44</v>
      </c>
      <c r="N181" s="22">
        <v>11.78</v>
      </c>
      <c r="O181" s="22">
        <v>0.35</v>
      </c>
      <c r="P181" s="22">
        <v>0.6</v>
      </c>
      <c r="Q181" s="22">
        <v>900.0</v>
      </c>
      <c r="R181" s="22" t="s">
        <v>51</v>
      </c>
      <c r="S181" s="58">
        <v>0.0</v>
      </c>
      <c r="T181" s="22">
        <v>19.31</v>
      </c>
      <c r="U181" s="25">
        <v>5.73</v>
      </c>
      <c r="V181" s="25">
        <v>15.36</v>
      </c>
      <c r="W181" s="22">
        <v>13.2</v>
      </c>
      <c r="X181" s="22">
        <v>0.0</v>
      </c>
      <c r="Y181" s="54">
        <f t="shared" si="107"/>
        <v>65.71</v>
      </c>
      <c r="Z181" s="22">
        <f t="shared" si="77"/>
        <v>0.9259259259</v>
      </c>
      <c r="AA181" s="22">
        <v>25.6</v>
      </c>
      <c r="AB181" s="22">
        <v>32.11</v>
      </c>
      <c r="AC181" s="25">
        <f t="shared" si="78"/>
        <v>2090</v>
      </c>
      <c r="AD181" s="22" t="s">
        <v>51</v>
      </c>
      <c r="AG181" s="33">
        <v>1.08</v>
      </c>
      <c r="AH181" s="33">
        <v>2.09</v>
      </c>
      <c r="AO181" s="34">
        <f t="shared" ref="AO181:AS181" si="157">U181</f>
        <v>5.73</v>
      </c>
      <c r="AP181" s="34">
        <f t="shared" si="157"/>
        <v>15.36</v>
      </c>
      <c r="AQ181" s="34">
        <f t="shared" si="157"/>
        <v>13.2</v>
      </c>
      <c r="AR181" s="34">
        <f t="shared" si="157"/>
        <v>0</v>
      </c>
      <c r="AS181" s="34">
        <f t="shared" si="157"/>
        <v>65.71</v>
      </c>
      <c r="AT181" s="35">
        <f t="shared" si="15"/>
        <v>100</v>
      </c>
      <c r="AV181" s="25">
        <f t="shared" si="87"/>
        <v>2090</v>
      </c>
    </row>
    <row r="182" ht="14.25" customHeight="1">
      <c r="B182" s="36"/>
      <c r="C182" s="22" t="s">
        <v>46</v>
      </c>
      <c r="D182" s="56"/>
      <c r="E182" s="22" t="s">
        <v>48</v>
      </c>
      <c r="F182" s="56"/>
      <c r="G182" s="22">
        <v>49.0</v>
      </c>
      <c r="H182" s="22">
        <v>6.3</v>
      </c>
      <c r="I182" s="22">
        <v>44.4</v>
      </c>
      <c r="J182" s="22">
        <v>0.2</v>
      </c>
      <c r="K182" s="22">
        <v>0.1</v>
      </c>
      <c r="L182" s="26">
        <f t="shared" si="75"/>
        <v>13.2</v>
      </c>
      <c r="M182" s="22">
        <v>77.86</v>
      </c>
      <c r="N182" s="22">
        <v>8.15</v>
      </c>
      <c r="O182" s="22">
        <v>0.79</v>
      </c>
      <c r="P182" s="22">
        <v>0.4</v>
      </c>
      <c r="Q182" s="22">
        <v>850.0</v>
      </c>
      <c r="R182" s="22" t="s">
        <v>51</v>
      </c>
      <c r="S182" s="58">
        <v>0.0</v>
      </c>
      <c r="T182" s="22">
        <v>18.39</v>
      </c>
      <c r="U182" s="25">
        <v>17.0</v>
      </c>
      <c r="V182" s="25">
        <v>17.8</v>
      </c>
      <c r="W182" s="22">
        <v>4.0</v>
      </c>
      <c r="X182" s="22">
        <v>1.4</v>
      </c>
      <c r="Y182" s="54">
        <f t="shared" si="107"/>
        <v>59.8</v>
      </c>
      <c r="Z182" s="22">
        <f t="shared" si="77"/>
        <v>1.233045623</v>
      </c>
      <c r="AA182" s="22">
        <v>18.93</v>
      </c>
      <c r="AB182" s="22">
        <v>17.01</v>
      </c>
      <c r="AC182" s="25">
        <f t="shared" si="78"/>
        <v>4610</v>
      </c>
      <c r="AD182" s="22" t="s">
        <v>51</v>
      </c>
      <c r="AG182" s="33">
        <v>0.811</v>
      </c>
      <c r="AH182" s="33">
        <v>4.61</v>
      </c>
      <c r="AO182" s="34">
        <f t="shared" ref="AO182:AS182" si="158">U182</f>
        <v>17</v>
      </c>
      <c r="AP182" s="34">
        <f t="shared" si="158"/>
        <v>17.8</v>
      </c>
      <c r="AQ182" s="34">
        <f t="shared" si="158"/>
        <v>4</v>
      </c>
      <c r="AR182" s="34">
        <f t="shared" si="158"/>
        <v>1.4</v>
      </c>
      <c r="AS182" s="34">
        <f t="shared" si="158"/>
        <v>59.8</v>
      </c>
      <c r="AT182" s="35">
        <f t="shared" si="15"/>
        <v>100</v>
      </c>
      <c r="AV182" s="25">
        <f t="shared" si="87"/>
        <v>4610</v>
      </c>
    </row>
    <row r="183" ht="14.25" customHeight="1">
      <c r="B183" s="36"/>
      <c r="C183" s="22" t="s">
        <v>46</v>
      </c>
      <c r="D183" s="56"/>
      <c r="E183" s="22" t="s">
        <v>48</v>
      </c>
      <c r="F183" s="56"/>
      <c r="G183" s="22">
        <v>49.0</v>
      </c>
      <c r="H183" s="22">
        <v>6.3</v>
      </c>
      <c r="I183" s="22">
        <v>44.4</v>
      </c>
      <c r="J183" s="22">
        <v>0.2</v>
      </c>
      <c r="K183" s="22">
        <v>0.1</v>
      </c>
      <c r="L183" s="26">
        <f t="shared" si="75"/>
        <v>13.2</v>
      </c>
      <c r="M183" s="22">
        <v>77.86</v>
      </c>
      <c r="N183" s="22">
        <v>8.15</v>
      </c>
      <c r="O183" s="22">
        <v>0.79</v>
      </c>
      <c r="P183" s="22">
        <v>0.4</v>
      </c>
      <c r="Q183" s="22">
        <v>850.0</v>
      </c>
      <c r="R183" s="22" t="s">
        <v>51</v>
      </c>
      <c r="S183" s="58">
        <v>0.0</v>
      </c>
      <c r="T183" s="22">
        <v>18.39</v>
      </c>
      <c r="U183" s="25">
        <v>16.2</v>
      </c>
      <c r="V183" s="25">
        <v>15.4</v>
      </c>
      <c r="W183" s="22">
        <v>4.0</v>
      </c>
      <c r="X183" s="22">
        <v>1.6</v>
      </c>
      <c r="Y183" s="54">
        <f t="shared" si="107"/>
        <v>62.8</v>
      </c>
      <c r="Z183" s="22">
        <f t="shared" si="77"/>
        <v>1.052631579</v>
      </c>
      <c r="AA183" s="22">
        <v>20.49</v>
      </c>
      <c r="AB183" s="22">
        <v>17.61</v>
      </c>
      <c r="AC183" s="25">
        <f t="shared" si="78"/>
        <v>4270</v>
      </c>
      <c r="AD183" s="22" t="s">
        <v>51</v>
      </c>
      <c r="AG183" s="33">
        <v>0.95</v>
      </c>
      <c r="AH183" s="33">
        <v>4.27</v>
      </c>
      <c r="AO183" s="34">
        <f t="shared" ref="AO183:AS183" si="159">U183</f>
        <v>16.2</v>
      </c>
      <c r="AP183" s="34">
        <f t="shared" si="159"/>
        <v>15.4</v>
      </c>
      <c r="AQ183" s="34">
        <f t="shared" si="159"/>
        <v>4</v>
      </c>
      <c r="AR183" s="34">
        <f t="shared" si="159"/>
        <v>1.6</v>
      </c>
      <c r="AS183" s="34">
        <f t="shared" si="159"/>
        <v>62.8</v>
      </c>
      <c r="AT183" s="35">
        <f t="shared" si="15"/>
        <v>100</v>
      </c>
      <c r="AV183" s="25">
        <f t="shared" si="87"/>
        <v>4270</v>
      </c>
    </row>
    <row r="184" ht="14.25" customHeight="1">
      <c r="B184" s="36"/>
      <c r="C184" s="22" t="s">
        <v>46</v>
      </c>
      <c r="D184" s="56"/>
      <c r="E184" s="22" t="s">
        <v>48</v>
      </c>
      <c r="F184" s="56"/>
      <c r="G184" s="22">
        <v>49.0</v>
      </c>
      <c r="H184" s="22">
        <v>6.3</v>
      </c>
      <c r="I184" s="22">
        <v>44.4</v>
      </c>
      <c r="J184" s="22">
        <v>0.2</v>
      </c>
      <c r="K184" s="22">
        <v>0.1</v>
      </c>
      <c r="L184" s="26">
        <f t="shared" si="75"/>
        <v>13.2</v>
      </c>
      <c r="M184" s="22">
        <v>77.86</v>
      </c>
      <c r="N184" s="22">
        <v>8.15</v>
      </c>
      <c r="O184" s="22">
        <v>0.79</v>
      </c>
      <c r="P184" s="22">
        <v>0.4</v>
      </c>
      <c r="Q184" s="22">
        <v>850.0</v>
      </c>
      <c r="R184" s="22" t="s">
        <v>51</v>
      </c>
      <c r="S184" s="58">
        <v>0.0</v>
      </c>
      <c r="T184" s="22">
        <v>18.39</v>
      </c>
      <c r="U184" s="25">
        <v>16.0</v>
      </c>
      <c r="V184" s="25">
        <v>21.0</v>
      </c>
      <c r="W184" s="22">
        <v>4.0</v>
      </c>
      <c r="X184" s="22">
        <v>1.7</v>
      </c>
      <c r="Y184" s="54">
        <f t="shared" si="107"/>
        <v>57.3</v>
      </c>
      <c r="Z184" s="22">
        <f t="shared" si="77"/>
        <v>0.9259259259</v>
      </c>
      <c r="AA184" s="22">
        <v>27.44</v>
      </c>
      <c r="AB184" s="22">
        <v>26.78</v>
      </c>
      <c r="AC184" s="25">
        <f t="shared" si="78"/>
        <v>5020</v>
      </c>
      <c r="AD184" s="22" t="s">
        <v>51</v>
      </c>
      <c r="AG184" s="33">
        <v>1.08</v>
      </c>
      <c r="AH184" s="33">
        <v>5.02</v>
      </c>
      <c r="AO184" s="34">
        <f t="shared" ref="AO184:AS184" si="160">U184</f>
        <v>16</v>
      </c>
      <c r="AP184" s="34">
        <f t="shared" si="160"/>
        <v>21</v>
      </c>
      <c r="AQ184" s="34">
        <f t="shared" si="160"/>
        <v>4</v>
      </c>
      <c r="AR184" s="34">
        <f t="shared" si="160"/>
        <v>1.7</v>
      </c>
      <c r="AS184" s="34">
        <f t="shared" si="160"/>
        <v>57.3</v>
      </c>
      <c r="AT184" s="35">
        <f t="shared" si="15"/>
        <v>100</v>
      </c>
      <c r="AV184" s="25">
        <f t="shared" si="87"/>
        <v>5020</v>
      </c>
    </row>
    <row r="185" ht="14.25" customHeight="1">
      <c r="B185" s="36"/>
      <c r="C185" s="22" t="s">
        <v>46</v>
      </c>
      <c r="D185" s="56"/>
      <c r="E185" s="22" t="s">
        <v>48</v>
      </c>
      <c r="F185" s="56"/>
      <c r="G185" s="22">
        <v>49.0</v>
      </c>
      <c r="H185" s="22">
        <v>6.3</v>
      </c>
      <c r="I185" s="22">
        <v>44.4</v>
      </c>
      <c r="J185" s="22">
        <v>0.2</v>
      </c>
      <c r="K185" s="22">
        <v>0.1</v>
      </c>
      <c r="L185" s="26">
        <f t="shared" si="75"/>
        <v>13.2</v>
      </c>
      <c r="M185" s="22">
        <v>77.86</v>
      </c>
      <c r="N185" s="22">
        <v>8.15</v>
      </c>
      <c r="O185" s="22">
        <v>0.79</v>
      </c>
      <c r="P185" s="22">
        <v>0.4</v>
      </c>
      <c r="Q185" s="22">
        <v>850.0</v>
      </c>
      <c r="R185" s="22" t="s">
        <v>51</v>
      </c>
      <c r="S185" s="58">
        <v>0.0</v>
      </c>
      <c r="T185" s="22">
        <v>18.39</v>
      </c>
      <c r="U185" s="25">
        <v>19.0</v>
      </c>
      <c r="V185" s="25">
        <v>12.2</v>
      </c>
      <c r="W185" s="22">
        <v>4.0</v>
      </c>
      <c r="X185" s="22">
        <v>1.6</v>
      </c>
      <c r="Y185" s="54">
        <f t="shared" si="107"/>
        <v>63.2</v>
      </c>
      <c r="Z185" s="22">
        <f t="shared" si="77"/>
        <v>1.234567901</v>
      </c>
      <c r="AA185" s="22">
        <v>17.33</v>
      </c>
      <c r="AB185" s="22">
        <v>12.23</v>
      </c>
      <c r="AC185" s="25">
        <f t="shared" si="78"/>
        <v>4220</v>
      </c>
      <c r="AD185" s="22" t="s">
        <v>51</v>
      </c>
      <c r="AG185" s="33">
        <v>0.81</v>
      </c>
      <c r="AH185" s="33">
        <v>4.22</v>
      </c>
      <c r="AO185" s="34">
        <f t="shared" ref="AO185:AS185" si="161">U185</f>
        <v>19</v>
      </c>
      <c r="AP185" s="34">
        <f t="shared" si="161"/>
        <v>12.2</v>
      </c>
      <c r="AQ185" s="34">
        <f t="shared" si="161"/>
        <v>4</v>
      </c>
      <c r="AR185" s="34">
        <f t="shared" si="161"/>
        <v>1.6</v>
      </c>
      <c r="AS185" s="34">
        <f t="shared" si="161"/>
        <v>63.2</v>
      </c>
      <c r="AT185" s="35">
        <f t="shared" si="15"/>
        <v>100</v>
      </c>
      <c r="AV185" s="25">
        <f t="shared" si="87"/>
        <v>4220</v>
      </c>
    </row>
    <row r="186" ht="14.25" customHeight="1">
      <c r="B186" s="36"/>
      <c r="C186" s="22" t="s">
        <v>46</v>
      </c>
      <c r="D186" s="56"/>
      <c r="E186" s="22" t="s">
        <v>48</v>
      </c>
      <c r="F186" s="56"/>
      <c r="G186" s="22">
        <v>49.0</v>
      </c>
      <c r="H186" s="22">
        <v>6.3</v>
      </c>
      <c r="I186" s="22">
        <v>44.4</v>
      </c>
      <c r="J186" s="22">
        <v>0.2</v>
      </c>
      <c r="K186" s="22">
        <v>0.1</v>
      </c>
      <c r="L186" s="26">
        <f t="shared" si="75"/>
        <v>13.2</v>
      </c>
      <c r="M186" s="22">
        <v>77.86</v>
      </c>
      <c r="N186" s="22">
        <v>8.15</v>
      </c>
      <c r="O186" s="22">
        <v>0.79</v>
      </c>
      <c r="P186" s="22">
        <v>0.4</v>
      </c>
      <c r="Q186" s="22">
        <v>850.0</v>
      </c>
      <c r="R186" s="22" t="s">
        <v>51</v>
      </c>
      <c r="S186" s="58">
        <v>0.0</v>
      </c>
      <c r="T186" s="22">
        <v>18.39</v>
      </c>
      <c r="U186" s="25">
        <v>21.0</v>
      </c>
      <c r="V186" s="25">
        <v>8.7</v>
      </c>
      <c r="W186" s="22">
        <v>4.0</v>
      </c>
      <c r="X186" s="22">
        <v>1.4</v>
      </c>
      <c r="Y186" s="54">
        <f t="shared" si="107"/>
        <v>64.9</v>
      </c>
      <c r="Z186" s="22">
        <f t="shared" si="77"/>
        <v>1.052631579</v>
      </c>
      <c r="AA186" s="22">
        <v>18.67</v>
      </c>
      <c r="AB186" s="22">
        <v>10.46</v>
      </c>
      <c r="AC186" s="25">
        <f t="shared" si="78"/>
        <v>3890</v>
      </c>
      <c r="AD186" s="22" t="s">
        <v>51</v>
      </c>
      <c r="AG186" s="33">
        <v>0.95</v>
      </c>
      <c r="AH186" s="33">
        <v>3.89</v>
      </c>
      <c r="AO186" s="34">
        <f t="shared" ref="AO186:AS186" si="162">U186</f>
        <v>21</v>
      </c>
      <c r="AP186" s="34">
        <f t="shared" si="162"/>
        <v>8.7</v>
      </c>
      <c r="AQ186" s="34">
        <f t="shared" si="162"/>
        <v>4</v>
      </c>
      <c r="AR186" s="34">
        <f t="shared" si="162"/>
        <v>1.4</v>
      </c>
      <c r="AS186" s="34">
        <f t="shared" si="162"/>
        <v>64.9</v>
      </c>
      <c r="AT186" s="35">
        <f t="shared" si="15"/>
        <v>100</v>
      </c>
      <c r="AV186" s="25">
        <f t="shared" si="87"/>
        <v>3890</v>
      </c>
    </row>
    <row r="187" ht="14.25" customHeight="1">
      <c r="B187" s="36"/>
      <c r="C187" s="22" t="s">
        <v>46</v>
      </c>
      <c r="D187" s="56"/>
      <c r="E187" s="22" t="s">
        <v>48</v>
      </c>
      <c r="F187" s="56"/>
      <c r="G187" s="22">
        <v>49.0</v>
      </c>
      <c r="H187" s="22">
        <v>6.3</v>
      </c>
      <c r="I187" s="22">
        <v>44.4</v>
      </c>
      <c r="J187" s="22">
        <v>0.2</v>
      </c>
      <c r="K187" s="22">
        <v>0.1</v>
      </c>
      <c r="L187" s="26">
        <f t="shared" si="75"/>
        <v>13.2</v>
      </c>
      <c r="M187" s="22">
        <v>77.86</v>
      </c>
      <c r="N187" s="22">
        <v>8.15</v>
      </c>
      <c r="O187" s="22">
        <v>0.79</v>
      </c>
      <c r="P187" s="22">
        <v>0.4</v>
      </c>
      <c r="Q187" s="22">
        <v>850.0</v>
      </c>
      <c r="R187" s="22" t="s">
        <v>51</v>
      </c>
      <c r="S187" s="58">
        <v>0.0</v>
      </c>
      <c r="T187" s="22">
        <v>18.39</v>
      </c>
      <c r="U187" s="25">
        <v>18.0</v>
      </c>
      <c r="V187" s="25">
        <v>8.3</v>
      </c>
      <c r="W187" s="22">
        <v>4.0</v>
      </c>
      <c r="X187" s="22">
        <v>1.6</v>
      </c>
      <c r="Y187" s="54">
        <f t="shared" si="107"/>
        <v>68.1</v>
      </c>
      <c r="Z187" s="22">
        <f t="shared" si="77"/>
        <v>0.9259259259</v>
      </c>
      <c r="AA187" s="22">
        <v>19.62</v>
      </c>
      <c r="AB187" s="22">
        <v>11.68</v>
      </c>
      <c r="AC187" s="25">
        <f t="shared" si="78"/>
        <v>3590</v>
      </c>
      <c r="AD187" s="22" t="s">
        <v>51</v>
      </c>
      <c r="AG187" s="33">
        <v>1.08</v>
      </c>
      <c r="AH187" s="33">
        <v>3.59</v>
      </c>
      <c r="AO187" s="34">
        <f t="shared" ref="AO187:AS187" si="163">U187</f>
        <v>18</v>
      </c>
      <c r="AP187" s="34">
        <f t="shared" si="163"/>
        <v>8.3</v>
      </c>
      <c r="AQ187" s="34">
        <f t="shared" si="163"/>
        <v>4</v>
      </c>
      <c r="AR187" s="34">
        <f t="shared" si="163"/>
        <v>1.6</v>
      </c>
      <c r="AS187" s="34">
        <f t="shared" si="163"/>
        <v>68.1</v>
      </c>
      <c r="AT187" s="35">
        <f t="shared" si="15"/>
        <v>100</v>
      </c>
      <c r="AV187" s="25">
        <f t="shared" si="87"/>
        <v>3590</v>
      </c>
    </row>
    <row r="188" ht="14.25" customHeight="1">
      <c r="B188" s="36"/>
      <c r="C188" s="22" t="s">
        <v>46</v>
      </c>
      <c r="D188" s="56"/>
      <c r="E188" s="22" t="s">
        <v>48</v>
      </c>
      <c r="F188" s="56"/>
      <c r="G188" s="22">
        <v>49.0</v>
      </c>
      <c r="H188" s="22">
        <v>6.3</v>
      </c>
      <c r="I188" s="22">
        <v>44.4</v>
      </c>
      <c r="J188" s="22">
        <v>0.2</v>
      </c>
      <c r="K188" s="22">
        <v>0.1</v>
      </c>
      <c r="L188" s="26">
        <f t="shared" si="75"/>
        <v>13.2</v>
      </c>
      <c r="M188" s="22">
        <v>77.86</v>
      </c>
      <c r="N188" s="22">
        <v>8.15</v>
      </c>
      <c r="O188" s="22">
        <v>0.79</v>
      </c>
      <c r="P188" s="22">
        <v>0.4</v>
      </c>
      <c r="Q188" s="22">
        <v>850.0</v>
      </c>
      <c r="R188" s="22" t="s">
        <v>51</v>
      </c>
      <c r="S188" s="58">
        <v>0.0</v>
      </c>
      <c r="T188" s="22">
        <v>18.39</v>
      </c>
      <c r="U188" s="25">
        <v>19.0</v>
      </c>
      <c r="V188" s="25">
        <v>7.2</v>
      </c>
      <c r="W188" s="22">
        <v>4.0</v>
      </c>
      <c r="X188" s="22">
        <v>1.6</v>
      </c>
      <c r="Y188" s="54">
        <f t="shared" si="107"/>
        <v>68.2</v>
      </c>
      <c r="Z188" s="22">
        <f t="shared" si="77"/>
        <v>1.234567901</v>
      </c>
      <c r="AA188" s="22">
        <v>14.45</v>
      </c>
      <c r="AB188" s="22">
        <v>7.8</v>
      </c>
      <c r="AC188" s="25">
        <f t="shared" si="78"/>
        <v>3520</v>
      </c>
      <c r="AD188" s="22" t="s">
        <v>51</v>
      </c>
      <c r="AG188" s="33">
        <v>0.81</v>
      </c>
      <c r="AH188" s="33">
        <v>3.52</v>
      </c>
      <c r="AO188" s="34">
        <f t="shared" ref="AO188:AS188" si="164">U188</f>
        <v>19</v>
      </c>
      <c r="AP188" s="34">
        <f t="shared" si="164"/>
        <v>7.2</v>
      </c>
      <c r="AQ188" s="34">
        <f t="shared" si="164"/>
        <v>4</v>
      </c>
      <c r="AR188" s="34">
        <f t="shared" si="164"/>
        <v>1.6</v>
      </c>
      <c r="AS188" s="34">
        <f t="shared" si="164"/>
        <v>68.2</v>
      </c>
      <c r="AT188" s="35">
        <f t="shared" si="15"/>
        <v>100</v>
      </c>
      <c r="AV188" s="25">
        <f t="shared" si="87"/>
        <v>3520</v>
      </c>
    </row>
    <row r="189" ht="14.25" customHeight="1">
      <c r="B189" s="36"/>
      <c r="C189" s="22" t="s">
        <v>46</v>
      </c>
      <c r="D189" s="56"/>
      <c r="E189" s="22" t="s">
        <v>48</v>
      </c>
      <c r="F189" s="56"/>
      <c r="G189" s="22">
        <v>49.0</v>
      </c>
      <c r="H189" s="22">
        <v>6.3</v>
      </c>
      <c r="I189" s="22">
        <v>44.4</v>
      </c>
      <c r="J189" s="22">
        <v>0.2</v>
      </c>
      <c r="K189" s="22">
        <v>0.1</v>
      </c>
      <c r="L189" s="26">
        <f t="shared" si="75"/>
        <v>13.2</v>
      </c>
      <c r="M189" s="22">
        <v>77.86</v>
      </c>
      <c r="N189" s="22">
        <v>8.15</v>
      </c>
      <c r="O189" s="22">
        <v>0.79</v>
      </c>
      <c r="P189" s="22">
        <v>0.4</v>
      </c>
      <c r="Q189" s="22">
        <v>850.0</v>
      </c>
      <c r="R189" s="22" t="s">
        <v>51</v>
      </c>
      <c r="S189" s="58">
        <v>0.0</v>
      </c>
      <c r="T189" s="22">
        <v>18.39</v>
      </c>
      <c r="U189" s="25">
        <v>18.0</v>
      </c>
      <c r="V189" s="25">
        <v>12.8</v>
      </c>
      <c r="W189" s="22">
        <v>4.0</v>
      </c>
      <c r="X189" s="22">
        <v>1.7</v>
      </c>
      <c r="Y189" s="54">
        <f t="shared" si="107"/>
        <v>63.5</v>
      </c>
      <c r="Z189" s="22">
        <f t="shared" si="77"/>
        <v>1.052631579</v>
      </c>
      <c r="AA189" s="22">
        <v>20.15</v>
      </c>
      <c r="AB189" s="22">
        <v>15.02</v>
      </c>
      <c r="AC189" s="25">
        <f t="shared" si="78"/>
        <v>4200</v>
      </c>
      <c r="AD189" s="22" t="s">
        <v>51</v>
      </c>
      <c r="AG189" s="33">
        <v>0.95</v>
      </c>
      <c r="AH189" s="33">
        <v>4.2</v>
      </c>
      <c r="AO189" s="34">
        <f t="shared" ref="AO189:AS189" si="165">U189</f>
        <v>18</v>
      </c>
      <c r="AP189" s="34">
        <f t="shared" si="165"/>
        <v>12.8</v>
      </c>
      <c r="AQ189" s="34">
        <f t="shared" si="165"/>
        <v>4</v>
      </c>
      <c r="AR189" s="34">
        <f t="shared" si="165"/>
        <v>1.7</v>
      </c>
      <c r="AS189" s="34">
        <f t="shared" si="165"/>
        <v>63.5</v>
      </c>
      <c r="AT189" s="35">
        <f t="shared" si="15"/>
        <v>100</v>
      </c>
      <c r="AV189" s="25">
        <f t="shared" si="87"/>
        <v>4200</v>
      </c>
    </row>
    <row r="190" ht="14.25" customHeight="1">
      <c r="B190" s="36"/>
      <c r="C190" s="22" t="s">
        <v>46</v>
      </c>
      <c r="D190" s="56"/>
      <c r="E190" s="22" t="s">
        <v>48</v>
      </c>
      <c r="F190" s="56"/>
      <c r="G190" s="22">
        <v>49.0</v>
      </c>
      <c r="H190" s="22">
        <v>6.3</v>
      </c>
      <c r="I190" s="22">
        <v>44.4</v>
      </c>
      <c r="J190" s="22">
        <v>0.2</v>
      </c>
      <c r="K190" s="22">
        <v>0.1</v>
      </c>
      <c r="L190" s="26">
        <f t="shared" si="75"/>
        <v>13.2</v>
      </c>
      <c r="M190" s="22">
        <v>77.86</v>
      </c>
      <c r="N190" s="22">
        <v>8.15</v>
      </c>
      <c r="O190" s="22">
        <v>0.79</v>
      </c>
      <c r="P190" s="22">
        <v>0.4</v>
      </c>
      <c r="Q190" s="22">
        <v>850.0</v>
      </c>
      <c r="R190" s="22" t="s">
        <v>51</v>
      </c>
      <c r="S190" s="58">
        <v>0.0</v>
      </c>
      <c r="T190" s="22">
        <v>18.39</v>
      </c>
      <c r="U190" s="25">
        <v>20.0</v>
      </c>
      <c r="V190" s="25">
        <v>11.1</v>
      </c>
      <c r="W190" s="22">
        <v>4.0</v>
      </c>
      <c r="X190" s="22">
        <v>1.7</v>
      </c>
      <c r="Y190" s="54">
        <f t="shared" si="107"/>
        <v>63.2</v>
      </c>
      <c r="Z190" s="22">
        <f t="shared" si="77"/>
        <v>0.9259259259</v>
      </c>
      <c r="AA190" s="22">
        <v>22.96</v>
      </c>
      <c r="AB190" s="22">
        <v>15.1</v>
      </c>
      <c r="AC190" s="25">
        <f t="shared" si="78"/>
        <v>4200</v>
      </c>
      <c r="AD190" s="22" t="s">
        <v>51</v>
      </c>
      <c r="AG190" s="33">
        <v>1.08</v>
      </c>
      <c r="AH190" s="33">
        <v>4.2</v>
      </c>
      <c r="AO190" s="34">
        <f t="shared" ref="AO190:AS190" si="166">U190</f>
        <v>20</v>
      </c>
      <c r="AP190" s="34">
        <f t="shared" si="166"/>
        <v>11.1</v>
      </c>
      <c r="AQ190" s="34">
        <f t="shared" si="166"/>
        <v>4</v>
      </c>
      <c r="AR190" s="34">
        <f t="shared" si="166"/>
        <v>1.7</v>
      </c>
      <c r="AS190" s="34">
        <f t="shared" si="166"/>
        <v>63.2</v>
      </c>
      <c r="AT190" s="35">
        <f t="shared" si="15"/>
        <v>100</v>
      </c>
      <c r="AV190" s="25">
        <f t="shared" si="87"/>
        <v>4200</v>
      </c>
    </row>
    <row r="191" ht="14.25" customHeight="1">
      <c r="B191" s="36"/>
      <c r="C191" s="22" t="s">
        <v>46</v>
      </c>
      <c r="D191" s="56"/>
      <c r="E191" s="22" t="s">
        <v>48</v>
      </c>
      <c r="F191" s="56"/>
      <c r="G191" s="22">
        <v>49.0</v>
      </c>
      <c r="H191" s="22">
        <v>6.3</v>
      </c>
      <c r="I191" s="22">
        <v>44.4</v>
      </c>
      <c r="J191" s="22">
        <v>0.2</v>
      </c>
      <c r="K191" s="22">
        <v>0.1</v>
      </c>
      <c r="L191" s="26">
        <f t="shared" si="75"/>
        <v>13.2</v>
      </c>
      <c r="M191" s="22">
        <v>77.86</v>
      </c>
      <c r="N191" s="22">
        <v>8.15</v>
      </c>
      <c r="O191" s="22">
        <v>0.79</v>
      </c>
      <c r="P191" s="22">
        <v>0.4</v>
      </c>
      <c r="Q191" s="22">
        <v>850.0</v>
      </c>
      <c r="R191" s="22" t="s">
        <v>51</v>
      </c>
      <c r="S191" s="58">
        <v>0.0</v>
      </c>
      <c r="T191" s="22">
        <v>18.39</v>
      </c>
      <c r="U191" s="25">
        <v>34.1</v>
      </c>
      <c r="V191" s="25">
        <v>23.2</v>
      </c>
      <c r="W191" s="22">
        <v>4.0</v>
      </c>
      <c r="X191" s="22">
        <v>3.5</v>
      </c>
      <c r="Y191" s="54">
        <f t="shared" si="107"/>
        <v>35.2</v>
      </c>
      <c r="Z191" s="22">
        <f t="shared" si="77"/>
        <v>5.882352941</v>
      </c>
      <c r="AA191" s="22">
        <v>6.81</v>
      </c>
      <c r="AB191" s="22">
        <v>4.97</v>
      </c>
      <c r="AC191" s="25">
        <f t="shared" si="78"/>
        <v>7900</v>
      </c>
      <c r="AD191" s="22" t="s">
        <v>51</v>
      </c>
      <c r="AG191" s="33">
        <v>0.17</v>
      </c>
      <c r="AH191" s="33">
        <v>7.9</v>
      </c>
      <c r="AO191" s="34">
        <f t="shared" ref="AO191:AS191" si="167">U191</f>
        <v>34.1</v>
      </c>
      <c r="AP191" s="34">
        <f t="shared" si="167"/>
        <v>23.2</v>
      </c>
      <c r="AQ191" s="34">
        <f t="shared" si="167"/>
        <v>4</v>
      </c>
      <c r="AR191" s="34">
        <f t="shared" si="167"/>
        <v>3.5</v>
      </c>
      <c r="AS191" s="34">
        <f t="shared" si="167"/>
        <v>35.2</v>
      </c>
      <c r="AT191" s="35">
        <f t="shared" si="15"/>
        <v>100</v>
      </c>
      <c r="AV191" s="25">
        <f t="shared" si="87"/>
        <v>7900</v>
      </c>
    </row>
    <row r="192" ht="14.25" customHeight="1">
      <c r="B192" s="36"/>
      <c r="C192" s="22" t="s">
        <v>46</v>
      </c>
      <c r="D192" s="56"/>
      <c r="E192" s="22" t="s">
        <v>48</v>
      </c>
      <c r="F192" s="56"/>
      <c r="G192" s="22">
        <v>49.0</v>
      </c>
      <c r="H192" s="22">
        <v>6.3</v>
      </c>
      <c r="I192" s="22">
        <v>44.4</v>
      </c>
      <c r="J192" s="22">
        <v>0.2</v>
      </c>
      <c r="K192" s="22">
        <v>0.1</v>
      </c>
      <c r="L192" s="26">
        <f t="shared" si="75"/>
        <v>13.2</v>
      </c>
      <c r="M192" s="22">
        <v>77.86</v>
      </c>
      <c r="N192" s="22">
        <v>8.15</v>
      </c>
      <c r="O192" s="22">
        <v>0.79</v>
      </c>
      <c r="P192" s="22">
        <v>0.4</v>
      </c>
      <c r="Q192" s="22">
        <v>850.0</v>
      </c>
      <c r="R192" s="22" t="s">
        <v>51</v>
      </c>
      <c r="S192" s="58">
        <v>0.0</v>
      </c>
      <c r="T192" s="22">
        <v>18.39</v>
      </c>
      <c r="U192" s="25">
        <v>34.7</v>
      </c>
      <c r="V192" s="25">
        <v>20.8</v>
      </c>
      <c r="W192" s="22">
        <v>4.0</v>
      </c>
      <c r="X192" s="22">
        <v>3.2</v>
      </c>
      <c r="Y192" s="54">
        <f t="shared" si="107"/>
        <v>37.3</v>
      </c>
      <c r="Z192" s="22">
        <f t="shared" si="77"/>
        <v>5</v>
      </c>
      <c r="AA192" s="22">
        <v>7.71</v>
      </c>
      <c r="AB192" s="22">
        <v>5.21</v>
      </c>
      <c r="AC192" s="25">
        <f t="shared" si="78"/>
        <v>7660</v>
      </c>
      <c r="AD192" s="22" t="s">
        <v>51</v>
      </c>
      <c r="AG192" s="33">
        <v>0.2</v>
      </c>
      <c r="AH192" s="33">
        <v>7.66</v>
      </c>
      <c r="AO192" s="34">
        <f t="shared" ref="AO192:AS192" si="168">U192</f>
        <v>34.7</v>
      </c>
      <c r="AP192" s="34">
        <f t="shared" si="168"/>
        <v>20.8</v>
      </c>
      <c r="AQ192" s="34">
        <f t="shared" si="168"/>
        <v>4</v>
      </c>
      <c r="AR192" s="34">
        <f t="shared" si="168"/>
        <v>3.2</v>
      </c>
      <c r="AS192" s="34">
        <f t="shared" si="168"/>
        <v>37.3</v>
      </c>
      <c r="AT192" s="35">
        <f t="shared" si="15"/>
        <v>100</v>
      </c>
      <c r="AV192" s="25">
        <f t="shared" si="87"/>
        <v>7660</v>
      </c>
    </row>
    <row r="193" ht="14.25" customHeight="1">
      <c r="B193" s="36"/>
      <c r="C193" s="22" t="s">
        <v>46</v>
      </c>
      <c r="D193" s="56"/>
      <c r="E193" s="22" t="s">
        <v>48</v>
      </c>
      <c r="F193" s="56"/>
      <c r="G193" s="22">
        <v>49.0</v>
      </c>
      <c r="H193" s="22">
        <v>6.3</v>
      </c>
      <c r="I193" s="22">
        <v>44.4</v>
      </c>
      <c r="J193" s="22">
        <v>0.2</v>
      </c>
      <c r="K193" s="22">
        <v>0.1</v>
      </c>
      <c r="L193" s="26">
        <f t="shared" si="75"/>
        <v>13.2</v>
      </c>
      <c r="M193" s="22">
        <v>77.86</v>
      </c>
      <c r="N193" s="22">
        <v>8.15</v>
      </c>
      <c r="O193" s="22">
        <v>0.79</v>
      </c>
      <c r="P193" s="22">
        <v>0.4</v>
      </c>
      <c r="Q193" s="22">
        <v>850.0</v>
      </c>
      <c r="R193" s="22" t="s">
        <v>51</v>
      </c>
      <c r="S193" s="58">
        <v>0.0</v>
      </c>
      <c r="T193" s="22">
        <v>18.39</v>
      </c>
      <c r="U193" s="25">
        <v>27.4</v>
      </c>
      <c r="V193" s="25">
        <v>24.3</v>
      </c>
      <c r="W193" s="22">
        <v>4.0</v>
      </c>
      <c r="X193" s="22">
        <v>5.4</v>
      </c>
      <c r="Y193" s="54">
        <f t="shared" si="107"/>
        <v>38.9</v>
      </c>
      <c r="Z193" s="22">
        <f t="shared" si="77"/>
        <v>4.347826087</v>
      </c>
      <c r="AA193" s="22">
        <v>9.15</v>
      </c>
      <c r="AB193" s="22">
        <v>7.37</v>
      </c>
      <c r="AC193" s="25">
        <f t="shared" si="78"/>
        <v>7960</v>
      </c>
      <c r="AD193" s="22" t="s">
        <v>51</v>
      </c>
      <c r="AG193" s="33">
        <v>0.23</v>
      </c>
      <c r="AH193" s="33">
        <v>7.96</v>
      </c>
      <c r="AO193" s="34">
        <f t="shared" ref="AO193:AS193" si="169">U193</f>
        <v>27.4</v>
      </c>
      <c r="AP193" s="34">
        <f t="shared" si="169"/>
        <v>24.3</v>
      </c>
      <c r="AQ193" s="34">
        <f t="shared" si="169"/>
        <v>4</v>
      </c>
      <c r="AR193" s="34">
        <f t="shared" si="169"/>
        <v>5.4</v>
      </c>
      <c r="AS193" s="34">
        <f t="shared" si="169"/>
        <v>38.9</v>
      </c>
      <c r="AT193" s="35">
        <f t="shared" si="15"/>
        <v>100</v>
      </c>
      <c r="AV193" s="25">
        <f t="shared" si="87"/>
        <v>7960</v>
      </c>
    </row>
    <row r="194" ht="14.25" customHeight="1">
      <c r="B194" s="36"/>
      <c r="C194" s="22" t="s">
        <v>46</v>
      </c>
      <c r="D194" s="56"/>
      <c r="E194" s="22" t="s">
        <v>48</v>
      </c>
      <c r="F194" s="56"/>
      <c r="G194" s="22">
        <v>49.0</v>
      </c>
      <c r="H194" s="22">
        <v>6.3</v>
      </c>
      <c r="I194" s="22">
        <v>44.4</v>
      </c>
      <c r="J194" s="22">
        <v>0.2</v>
      </c>
      <c r="K194" s="22">
        <v>0.1</v>
      </c>
      <c r="L194" s="26">
        <f t="shared" si="75"/>
        <v>13.2</v>
      </c>
      <c r="M194" s="22">
        <v>77.86</v>
      </c>
      <c r="N194" s="22">
        <v>8.15</v>
      </c>
      <c r="O194" s="22">
        <v>0.79</v>
      </c>
      <c r="P194" s="22">
        <v>0.4</v>
      </c>
      <c r="Q194" s="22">
        <v>850.0</v>
      </c>
      <c r="R194" s="22" t="s">
        <v>51</v>
      </c>
      <c r="S194" s="58">
        <v>0.0</v>
      </c>
      <c r="T194" s="22">
        <v>18.39</v>
      </c>
      <c r="U194" s="25">
        <v>32.6</v>
      </c>
      <c r="V194" s="25">
        <v>17.8</v>
      </c>
      <c r="W194" s="22">
        <v>4.0</v>
      </c>
      <c r="X194" s="22">
        <v>3.6</v>
      </c>
      <c r="Y194" s="54">
        <f t="shared" si="107"/>
        <v>42</v>
      </c>
      <c r="Z194" s="22">
        <f t="shared" si="77"/>
        <v>5.882352941</v>
      </c>
      <c r="AA194" s="22">
        <v>6.1</v>
      </c>
      <c r="AB194" s="22">
        <v>3.98</v>
      </c>
      <c r="AC194" s="25">
        <f t="shared" si="78"/>
        <v>7070</v>
      </c>
      <c r="AD194" s="22" t="s">
        <v>51</v>
      </c>
      <c r="AG194" s="33">
        <v>0.17</v>
      </c>
      <c r="AH194" s="33">
        <v>7.07</v>
      </c>
      <c r="AO194" s="34">
        <f t="shared" ref="AO194:AS194" si="170">U194</f>
        <v>32.6</v>
      </c>
      <c r="AP194" s="34">
        <f t="shared" si="170"/>
        <v>17.8</v>
      </c>
      <c r="AQ194" s="34">
        <f t="shared" si="170"/>
        <v>4</v>
      </c>
      <c r="AR194" s="34">
        <f t="shared" si="170"/>
        <v>3.6</v>
      </c>
      <c r="AS194" s="34">
        <f t="shared" si="170"/>
        <v>42</v>
      </c>
      <c r="AT194" s="35">
        <f t="shared" si="15"/>
        <v>100</v>
      </c>
      <c r="AV194" s="25">
        <f t="shared" si="87"/>
        <v>7070</v>
      </c>
    </row>
    <row r="195" ht="14.25" customHeight="1">
      <c r="B195" s="36"/>
      <c r="C195" s="22" t="s">
        <v>46</v>
      </c>
      <c r="D195" s="56"/>
      <c r="E195" s="22" t="s">
        <v>48</v>
      </c>
      <c r="F195" s="56"/>
      <c r="G195" s="22">
        <v>49.0</v>
      </c>
      <c r="H195" s="22">
        <v>6.3</v>
      </c>
      <c r="I195" s="22">
        <v>44.4</v>
      </c>
      <c r="J195" s="22">
        <v>0.2</v>
      </c>
      <c r="K195" s="22">
        <v>0.1</v>
      </c>
      <c r="L195" s="26">
        <f t="shared" si="75"/>
        <v>13.2</v>
      </c>
      <c r="M195" s="22">
        <v>77.86</v>
      </c>
      <c r="N195" s="22">
        <v>8.15</v>
      </c>
      <c r="O195" s="22">
        <v>0.79</v>
      </c>
      <c r="P195" s="22">
        <v>0.4</v>
      </c>
      <c r="Q195" s="22">
        <v>850.0</v>
      </c>
      <c r="R195" s="22" t="s">
        <v>51</v>
      </c>
      <c r="S195" s="58">
        <v>0.0</v>
      </c>
      <c r="T195" s="22">
        <v>18.39</v>
      </c>
      <c r="U195" s="25">
        <v>33.0</v>
      </c>
      <c r="V195" s="25">
        <v>24.8</v>
      </c>
      <c r="W195" s="22">
        <v>4.0</v>
      </c>
      <c r="X195" s="22">
        <v>4.5</v>
      </c>
      <c r="Y195" s="54">
        <f t="shared" si="107"/>
        <v>33.7</v>
      </c>
      <c r="Z195" s="22">
        <f t="shared" si="77"/>
        <v>5</v>
      </c>
      <c r="AA195" s="22">
        <v>8.4</v>
      </c>
      <c r="AB195" s="22">
        <v>6.36</v>
      </c>
      <c r="AC195" s="25">
        <f t="shared" si="78"/>
        <v>8350</v>
      </c>
      <c r="AD195" s="22" t="s">
        <v>51</v>
      </c>
      <c r="AG195" s="33">
        <v>0.2</v>
      </c>
      <c r="AH195" s="33">
        <v>8.35</v>
      </c>
      <c r="AO195" s="34">
        <f t="shared" ref="AO195:AS195" si="171">U195</f>
        <v>33</v>
      </c>
      <c r="AP195" s="34">
        <f t="shared" si="171"/>
        <v>24.8</v>
      </c>
      <c r="AQ195" s="34">
        <f t="shared" si="171"/>
        <v>4</v>
      </c>
      <c r="AR195" s="34">
        <f t="shared" si="171"/>
        <v>4.5</v>
      </c>
      <c r="AS195" s="34">
        <f t="shared" si="171"/>
        <v>33.7</v>
      </c>
      <c r="AT195" s="35">
        <f t="shared" si="15"/>
        <v>100</v>
      </c>
      <c r="AV195" s="25">
        <f t="shared" si="87"/>
        <v>8350</v>
      </c>
    </row>
    <row r="196" ht="14.25" customHeight="1">
      <c r="B196" s="36"/>
      <c r="C196" s="22" t="s">
        <v>46</v>
      </c>
      <c r="D196" s="56"/>
      <c r="E196" s="22" t="s">
        <v>48</v>
      </c>
      <c r="F196" s="56"/>
      <c r="G196" s="22">
        <v>49.0</v>
      </c>
      <c r="H196" s="22">
        <v>6.3</v>
      </c>
      <c r="I196" s="22">
        <v>44.4</v>
      </c>
      <c r="J196" s="22">
        <v>0.2</v>
      </c>
      <c r="K196" s="22">
        <v>0.1</v>
      </c>
      <c r="L196" s="26">
        <f t="shared" si="75"/>
        <v>13.2</v>
      </c>
      <c r="M196" s="22">
        <v>77.86</v>
      </c>
      <c r="N196" s="22">
        <v>8.15</v>
      </c>
      <c r="O196" s="22">
        <v>0.79</v>
      </c>
      <c r="P196" s="22">
        <v>0.4</v>
      </c>
      <c r="Q196" s="22">
        <v>850.0</v>
      </c>
      <c r="R196" s="22" t="s">
        <v>51</v>
      </c>
      <c r="S196" s="58">
        <v>0.0</v>
      </c>
      <c r="T196" s="22">
        <v>18.39</v>
      </c>
      <c r="U196" s="25">
        <v>33.3</v>
      </c>
      <c r="V196" s="25">
        <v>18.0</v>
      </c>
      <c r="W196" s="22">
        <v>4.0</v>
      </c>
      <c r="X196" s="22">
        <v>3.4</v>
      </c>
      <c r="Y196" s="54">
        <f t="shared" si="107"/>
        <v>41.3</v>
      </c>
      <c r="Z196" s="22">
        <f t="shared" si="77"/>
        <v>4.347826087</v>
      </c>
      <c r="AA196" s="22">
        <v>8.2</v>
      </c>
      <c r="AB196" s="22">
        <v>5.31</v>
      </c>
      <c r="AC196" s="25">
        <f t="shared" si="78"/>
        <v>7130</v>
      </c>
      <c r="AD196" s="22" t="s">
        <v>51</v>
      </c>
      <c r="AG196" s="33">
        <v>0.23</v>
      </c>
      <c r="AH196" s="33">
        <v>7.13</v>
      </c>
      <c r="AO196" s="34">
        <f t="shared" ref="AO196:AS196" si="172">U196</f>
        <v>33.3</v>
      </c>
      <c r="AP196" s="34">
        <f t="shared" si="172"/>
        <v>18</v>
      </c>
      <c r="AQ196" s="34">
        <f t="shared" si="172"/>
        <v>4</v>
      </c>
      <c r="AR196" s="34">
        <f t="shared" si="172"/>
        <v>3.4</v>
      </c>
      <c r="AS196" s="34">
        <f t="shared" si="172"/>
        <v>41.3</v>
      </c>
      <c r="AT196" s="35">
        <f t="shared" si="15"/>
        <v>100</v>
      </c>
      <c r="AV196" s="25">
        <f t="shared" si="87"/>
        <v>7130</v>
      </c>
    </row>
    <row r="197" ht="14.25" customHeight="1">
      <c r="B197" s="36"/>
      <c r="C197" s="22" t="s">
        <v>46</v>
      </c>
      <c r="D197" s="56"/>
      <c r="E197" s="22" t="s">
        <v>48</v>
      </c>
      <c r="F197" s="56"/>
      <c r="G197" s="22">
        <v>51.81</v>
      </c>
      <c r="H197" s="22">
        <v>5.76</v>
      </c>
      <c r="I197" s="63">
        <f t="shared" ref="I197:I202" si="173">100-SUM(G197,H197,J197,K197)</f>
        <v>41.81</v>
      </c>
      <c r="J197" s="22">
        <v>0.26</v>
      </c>
      <c r="K197" s="22">
        <v>0.36</v>
      </c>
      <c r="L197" s="26">
        <f t="shared" si="75"/>
        <v>11.74</v>
      </c>
      <c r="M197" s="22">
        <v>82.28</v>
      </c>
      <c r="N197" s="64">
        <v>0.0</v>
      </c>
      <c r="O197" s="22">
        <v>5.98</v>
      </c>
      <c r="P197" s="22">
        <v>0.6</v>
      </c>
      <c r="Q197" s="22">
        <v>700.0</v>
      </c>
      <c r="R197" s="22" t="s">
        <v>51</v>
      </c>
      <c r="S197" s="61">
        <v>0.0</v>
      </c>
      <c r="T197" s="22">
        <v>21.31</v>
      </c>
      <c r="U197" s="25">
        <v>27.01</v>
      </c>
      <c r="V197" s="25">
        <v>9.34</v>
      </c>
      <c r="W197" s="22">
        <v>35.25</v>
      </c>
      <c r="X197" s="22">
        <v>20.3</v>
      </c>
      <c r="Y197" s="31">
        <f t="shared" ref="Y197:Y220" si="174">(AK197/AM197)*100</f>
        <v>60.18034589</v>
      </c>
      <c r="Z197" s="22">
        <f t="shared" si="77"/>
        <v>1.351351351</v>
      </c>
      <c r="AA197" s="22">
        <v>49.58</v>
      </c>
      <c r="AB197" s="22">
        <v>62.05</v>
      </c>
      <c r="AC197" s="25">
        <f t="shared" si="78"/>
        <v>14440</v>
      </c>
      <c r="AD197" s="22" t="s">
        <v>51</v>
      </c>
      <c r="AG197" s="33">
        <v>0.74</v>
      </c>
      <c r="AH197" s="33">
        <v>14.44</v>
      </c>
      <c r="AK197" s="33">
        <f t="shared" ref="AK197:AK220" si="175">0.79*((P197*(((G197/12)+(H197/4))-((I197/16)/2)))/0.21)+(J197/14)/2</f>
        <v>10.0556875</v>
      </c>
      <c r="AL197" s="33">
        <f t="shared" ref="AL197:AL220" si="176">(100*G197)/(12*(V197+W197+X197))</f>
        <v>6.653567576</v>
      </c>
      <c r="AM197" s="33">
        <f t="shared" ref="AM197:AM220" si="177">AL197+AK197</f>
        <v>16.70925508</v>
      </c>
      <c r="AO197" s="34">
        <f t="shared" ref="AO197:AO220" si="178">((AL197*(U197/100))/AM197)*100</f>
        <v>10.75528858</v>
      </c>
      <c r="AP197" s="34">
        <f t="shared" ref="AP197:AP220" si="179">((AL197*(V197/100))/AM197)*100</f>
        <v>3.719155694</v>
      </c>
      <c r="AQ197" s="34">
        <f t="shared" ref="AQ197:AQ220" si="180">((AL197*(W197/100))/AM197)*100</f>
        <v>14.03642807</v>
      </c>
      <c r="AR197" s="34">
        <f t="shared" ref="AR197:AR220" si="181">((AL197*(X197/100))/AM197)*100</f>
        <v>8.083389785</v>
      </c>
      <c r="AS197" s="34">
        <f t="shared" ref="AS197:AS220" si="182">Y197</f>
        <v>60.18034589</v>
      </c>
      <c r="AT197" s="35">
        <f t="shared" si="15"/>
        <v>96.77460802</v>
      </c>
      <c r="AV197" s="25">
        <f t="shared" si="87"/>
        <v>14440</v>
      </c>
    </row>
    <row r="198" ht="14.25" customHeight="1">
      <c r="B198" s="36"/>
      <c r="C198" s="22" t="s">
        <v>46</v>
      </c>
      <c r="D198" s="56"/>
      <c r="E198" s="22" t="s">
        <v>48</v>
      </c>
      <c r="F198" s="56"/>
      <c r="G198" s="22">
        <v>51.81</v>
      </c>
      <c r="H198" s="22">
        <v>5.76</v>
      </c>
      <c r="I198" s="63">
        <f t="shared" si="173"/>
        <v>41.81</v>
      </c>
      <c r="J198" s="22">
        <v>0.26</v>
      </c>
      <c r="K198" s="22">
        <v>0.36</v>
      </c>
      <c r="L198" s="26">
        <f t="shared" si="75"/>
        <v>11.74</v>
      </c>
      <c r="M198" s="22">
        <v>82.28</v>
      </c>
      <c r="N198" s="64">
        <v>0.0</v>
      </c>
      <c r="O198" s="22">
        <v>5.98</v>
      </c>
      <c r="P198" s="22">
        <v>0.6</v>
      </c>
      <c r="Q198" s="22">
        <v>950.0</v>
      </c>
      <c r="R198" s="22" t="s">
        <v>51</v>
      </c>
      <c r="S198" s="61">
        <v>0.0</v>
      </c>
      <c r="T198" s="22">
        <v>21.31</v>
      </c>
      <c r="U198" s="25">
        <v>34.7</v>
      </c>
      <c r="V198" s="25">
        <v>11.16</v>
      </c>
      <c r="W198" s="22">
        <v>30.86</v>
      </c>
      <c r="X198" s="22">
        <v>17.89</v>
      </c>
      <c r="Y198" s="31">
        <f t="shared" si="174"/>
        <v>58.25220022</v>
      </c>
      <c r="Z198" s="22">
        <f t="shared" si="77"/>
        <v>1.176470588</v>
      </c>
      <c r="AA198" s="22">
        <v>52.58</v>
      </c>
      <c r="AB198" s="22">
        <v>62.13</v>
      </c>
      <c r="AC198" s="25">
        <f t="shared" si="78"/>
        <v>13470</v>
      </c>
      <c r="AD198" s="22" t="s">
        <v>51</v>
      </c>
      <c r="AG198" s="33">
        <v>0.85</v>
      </c>
      <c r="AH198" s="33">
        <v>13.47</v>
      </c>
      <c r="AK198" s="33">
        <f t="shared" si="175"/>
        <v>10.0556875</v>
      </c>
      <c r="AL198" s="33">
        <f t="shared" si="176"/>
        <v>7.206643298</v>
      </c>
      <c r="AM198" s="33">
        <f t="shared" si="177"/>
        <v>17.2623308</v>
      </c>
      <c r="AO198" s="34">
        <f t="shared" si="178"/>
        <v>14.48648652</v>
      </c>
      <c r="AP198" s="34">
        <f t="shared" si="179"/>
        <v>4.659054455</v>
      </c>
      <c r="AQ198" s="34">
        <f t="shared" si="180"/>
        <v>12.88337101</v>
      </c>
      <c r="AR198" s="34">
        <f t="shared" si="181"/>
        <v>7.46868138</v>
      </c>
      <c r="AS198" s="34">
        <f t="shared" si="182"/>
        <v>58.25220022</v>
      </c>
      <c r="AT198" s="35">
        <f t="shared" si="15"/>
        <v>97.74979359</v>
      </c>
      <c r="AV198" s="25">
        <f t="shared" si="87"/>
        <v>13470</v>
      </c>
    </row>
    <row r="199" ht="14.25" customHeight="1">
      <c r="B199" s="36"/>
      <c r="C199" s="22" t="s">
        <v>46</v>
      </c>
      <c r="D199" s="56"/>
      <c r="E199" s="22" t="s">
        <v>48</v>
      </c>
      <c r="F199" s="56"/>
      <c r="G199" s="22">
        <v>51.81</v>
      </c>
      <c r="H199" s="22">
        <v>5.76</v>
      </c>
      <c r="I199" s="63">
        <f t="shared" si="173"/>
        <v>41.81</v>
      </c>
      <c r="J199" s="22">
        <v>0.26</v>
      </c>
      <c r="K199" s="22">
        <v>0.36</v>
      </c>
      <c r="L199" s="26">
        <f t="shared" si="75"/>
        <v>11.74</v>
      </c>
      <c r="M199" s="22">
        <v>82.28</v>
      </c>
      <c r="N199" s="64">
        <v>0.0</v>
      </c>
      <c r="O199" s="22">
        <v>5.98</v>
      </c>
      <c r="P199" s="22">
        <v>0.6</v>
      </c>
      <c r="Q199" s="22">
        <v>950.0</v>
      </c>
      <c r="R199" s="22" t="s">
        <v>51</v>
      </c>
      <c r="S199" s="61">
        <v>0.0</v>
      </c>
      <c r="T199" s="22">
        <v>21.31</v>
      </c>
      <c r="U199" s="25">
        <v>40.64</v>
      </c>
      <c r="V199" s="25">
        <v>12.65</v>
      </c>
      <c r="W199" s="22">
        <v>26.61</v>
      </c>
      <c r="X199" s="22">
        <v>15.57</v>
      </c>
      <c r="Y199" s="31">
        <f t="shared" si="174"/>
        <v>56.08294876</v>
      </c>
      <c r="Z199" s="22">
        <f t="shared" si="77"/>
        <v>1.020408163</v>
      </c>
      <c r="AA199" s="22">
        <v>55.49</v>
      </c>
      <c r="AB199" s="22">
        <v>64.74</v>
      </c>
      <c r="AC199" s="25">
        <f t="shared" si="78"/>
        <v>12620</v>
      </c>
      <c r="AD199" s="22" t="s">
        <v>51</v>
      </c>
      <c r="AG199" s="33">
        <v>0.98</v>
      </c>
      <c r="AH199" s="33">
        <v>12.62</v>
      </c>
      <c r="AK199" s="33">
        <f t="shared" si="175"/>
        <v>10.0556875</v>
      </c>
      <c r="AL199" s="33">
        <f t="shared" si="176"/>
        <v>7.874338866</v>
      </c>
      <c r="AM199" s="33">
        <f t="shared" si="177"/>
        <v>17.93002637</v>
      </c>
      <c r="AO199" s="34">
        <f t="shared" si="178"/>
        <v>17.84788962</v>
      </c>
      <c r="AP199" s="34">
        <f t="shared" si="179"/>
        <v>5.555506981</v>
      </c>
      <c r="AQ199" s="34">
        <f t="shared" si="180"/>
        <v>11.68632733</v>
      </c>
      <c r="AR199" s="34">
        <f t="shared" si="181"/>
        <v>6.837884877</v>
      </c>
      <c r="AS199" s="34">
        <f t="shared" si="182"/>
        <v>56.08294876</v>
      </c>
      <c r="AT199" s="35">
        <f t="shared" si="15"/>
        <v>98.01055758</v>
      </c>
      <c r="AV199" s="25">
        <f t="shared" si="87"/>
        <v>12620</v>
      </c>
    </row>
    <row r="200" ht="14.25" customHeight="1">
      <c r="B200" s="36"/>
      <c r="C200" s="22" t="s">
        <v>46</v>
      </c>
      <c r="D200" s="56"/>
      <c r="E200" s="22" t="s">
        <v>48</v>
      </c>
      <c r="F200" s="56"/>
      <c r="G200" s="22">
        <v>51.81</v>
      </c>
      <c r="H200" s="22">
        <v>5.76</v>
      </c>
      <c r="I200" s="63">
        <f t="shared" si="173"/>
        <v>41.81</v>
      </c>
      <c r="J200" s="22">
        <v>0.26</v>
      </c>
      <c r="K200" s="22">
        <v>0.36</v>
      </c>
      <c r="L200" s="26">
        <f t="shared" si="75"/>
        <v>11.74</v>
      </c>
      <c r="M200" s="22">
        <v>82.28</v>
      </c>
      <c r="N200" s="64">
        <v>0.0</v>
      </c>
      <c r="O200" s="22">
        <v>5.98</v>
      </c>
      <c r="P200" s="22">
        <v>0.6</v>
      </c>
      <c r="Q200" s="22">
        <v>950.0</v>
      </c>
      <c r="R200" s="22" t="s">
        <v>51</v>
      </c>
      <c r="S200" s="61">
        <v>0.0</v>
      </c>
      <c r="T200" s="22">
        <v>21.31</v>
      </c>
      <c r="U200" s="25">
        <v>45.6</v>
      </c>
      <c r="V200" s="25">
        <v>13.46</v>
      </c>
      <c r="W200" s="22">
        <v>24.23</v>
      </c>
      <c r="X200" s="22">
        <v>12.24</v>
      </c>
      <c r="Y200" s="31">
        <f t="shared" si="174"/>
        <v>53.7656983</v>
      </c>
      <c r="Z200" s="22">
        <f t="shared" si="77"/>
        <v>0.8928571429</v>
      </c>
      <c r="AA200" s="22">
        <v>57.74</v>
      </c>
      <c r="AB200" s="22">
        <v>68.18</v>
      </c>
      <c r="AC200" s="25">
        <f t="shared" si="78"/>
        <v>11740</v>
      </c>
      <c r="AD200" s="22" t="s">
        <v>51</v>
      </c>
      <c r="AG200" s="33">
        <v>1.12</v>
      </c>
      <c r="AH200" s="33">
        <v>11.74</v>
      </c>
      <c r="AK200" s="33">
        <f t="shared" si="175"/>
        <v>10.0556875</v>
      </c>
      <c r="AL200" s="33">
        <f t="shared" si="176"/>
        <v>8.647105948</v>
      </c>
      <c r="AM200" s="33">
        <f t="shared" si="177"/>
        <v>18.70279345</v>
      </c>
      <c r="AO200" s="34">
        <f t="shared" si="178"/>
        <v>21.08284157</v>
      </c>
      <c r="AP200" s="34">
        <f t="shared" si="179"/>
        <v>6.223137008</v>
      </c>
      <c r="AQ200" s="34">
        <f t="shared" si="180"/>
        <v>11.2025713</v>
      </c>
      <c r="AR200" s="34">
        <f t="shared" si="181"/>
        <v>5.659078527</v>
      </c>
      <c r="AS200" s="34">
        <f t="shared" si="182"/>
        <v>53.7656983</v>
      </c>
      <c r="AT200" s="35">
        <f t="shared" si="15"/>
        <v>97.93332671</v>
      </c>
      <c r="AV200" s="25">
        <f t="shared" si="87"/>
        <v>11740</v>
      </c>
    </row>
    <row r="201" ht="14.25" customHeight="1">
      <c r="B201" s="36"/>
      <c r="C201" s="22" t="s">
        <v>46</v>
      </c>
      <c r="D201" s="56"/>
      <c r="E201" s="22" t="s">
        <v>48</v>
      </c>
      <c r="F201" s="56"/>
      <c r="G201" s="22">
        <v>51.81</v>
      </c>
      <c r="H201" s="22">
        <v>5.76</v>
      </c>
      <c r="I201" s="63">
        <f t="shared" si="173"/>
        <v>41.81</v>
      </c>
      <c r="J201" s="22">
        <v>0.26</v>
      </c>
      <c r="K201" s="22">
        <v>0.36</v>
      </c>
      <c r="L201" s="26">
        <f t="shared" si="75"/>
        <v>11.74</v>
      </c>
      <c r="M201" s="22">
        <v>82.28</v>
      </c>
      <c r="N201" s="64">
        <v>0.0</v>
      </c>
      <c r="O201" s="22">
        <v>5.98</v>
      </c>
      <c r="P201" s="22">
        <v>0.6</v>
      </c>
      <c r="Q201" s="22">
        <v>950.0</v>
      </c>
      <c r="R201" s="22" t="s">
        <v>51</v>
      </c>
      <c r="S201" s="61">
        <v>0.0</v>
      </c>
      <c r="T201" s="22">
        <v>21.31</v>
      </c>
      <c r="U201" s="25">
        <v>48.63</v>
      </c>
      <c r="V201" s="25">
        <v>14.85</v>
      </c>
      <c r="W201" s="22">
        <v>23.59</v>
      </c>
      <c r="X201" s="22">
        <v>9.62</v>
      </c>
      <c r="Y201" s="31">
        <f t="shared" si="174"/>
        <v>52.81556601</v>
      </c>
      <c r="Z201" s="22">
        <f t="shared" si="77"/>
        <v>0.78125</v>
      </c>
      <c r="AA201" s="22">
        <v>63.52</v>
      </c>
      <c r="AB201" s="22">
        <v>72.37</v>
      </c>
      <c r="AC201" s="25">
        <f t="shared" si="78"/>
        <v>10740</v>
      </c>
      <c r="AD201" s="22" t="s">
        <v>51</v>
      </c>
      <c r="AG201" s="33">
        <v>1.28</v>
      </c>
      <c r="AH201" s="33">
        <v>10.74</v>
      </c>
      <c r="AK201" s="33">
        <f t="shared" si="175"/>
        <v>10.0556875</v>
      </c>
      <c r="AL201" s="33">
        <f t="shared" si="176"/>
        <v>8.983562214</v>
      </c>
      <c r="AM201" s="33">
        <f t="shared" si="177"/>
        <v>19.03924971</v>
      </c>
      <c r="AO201" s="34">
        <f t="shared" si="178"/>
        <v>22.94579025</v>
      </c>
      <c r="AP201" s="34">
        <f t="shared" si="179"/>
        <v>7.006888448</v>
      </c>
      <c r="AQ201" s="34">
        <f t="shared" si="180"/>
        <v>11.13080798</v>
      </c>
      <c r="AR201" s="34">
        <f t="shared" si="181"/>
        <v>4.53914255</v>
      </c>
      <c r="AS201" s="34">
        <f t="shared" si="182"/>
        <v>52.81556601</v>
      </c>
      <c r="AT201" s="35">
        <f t="shared" si="15"/>
        <v>98.43819523</v>
      </c>
      <c r="AV201" s="25">
        <f t="shared" si="87"/>
        <v>10740</v>
      </c>
    </row>
    <row r="202" ht="14.25" customHeight="1">
      <c r="B202" s="36"/>
      <c r="C202" s="22" t="s">
        <v>46</v>
      </c>
      <c r="D202" s="56"/>
      <c r="E202" s="22" t="s">
        <v>48</v>
      </c>
      <c r="F202" s="56"/>
      <c r="G202" s="22">
        <v>51.81</v>
      </c>
      <c r="H202" s="22">
        <v>5.76</v>
      </c>
      <c r="I202" s="63">
        <f t="shared" si="173"/>
        <v>41.81</v>
      </c>
      <c r="J202" s="22">
        <v>0.26</v>
      </c>
      <c r="K202" s="22">
        <v>0.36</v>
      </c>
      <c r="L202" s="26">
        <f t="shared" si="75"/>
        <v>11.74</v>
      </c>
      <c r="M202" s="22">
        <v>82.28</v>
      </c>
      <c r="N202" s="64">
        <v>0.0</v>
      </c>
      <c r="O202" s="22">
        <v>5.98</v>
      </c>
      <c r="P202" s="22">
        <v>0.6</v>
      </c>
      <c r="Q202" s="22">
        <v>950.0</v>
      </c>
      <c r="R202" s="22" t="s">
        <v>51</v>
      </c>
      <c r="S202" s="61">
        <v>0.0</v>
      </c>
      <c r="T202" s="22">
        <v>21.31</v>
      </c>
      <c r="U202" s="25">
        <v>53.29</v>
      </c>
      <c r="V202" s="25">
        <v>16.92</v>
      </c>
      <c r="W202" s="22">
        <v>22.05</v>
      </c>
      <c r="X202" s="22">
        <v>5.76</v>
      </c>
      <c r="Y202" s="31">
        <f t="shared" si="174"/>
        <v>51.02325949</v>
      </c>
      <c r="Z202" s="22">
        <f t="shared" si="77"/>
        <v>0.6756756757</v>
      </c>
      <c r="AA202" s="22">
        <v>68.36</v>
      </c>
      <c r="AB202" s="22">
        <v>74.51</v>
      </c>
      <c r="AC202" s="25">
        <f t="shared" si="78"/>
        <v>9360</v>
      </c>
      <c r="AD202" s="22" t="s">
        <v>51</v>
      </c>
      <c r="AG202" s="33">
        <v>1.48</v>
      </c>
      <c r="AH202" s="33">
        <v>9.36</v>
      </c>
      <c r="AK202" s="33">
        <f t="shared" si="175"/>
        <v>10.0556875</v>
      </c>
      <c r="AL202" s="33">
        <f t="shared" si="176"/>
        <v>9.652358596</v>
      </c>
      <c r="AM202" s="33">
        <f t="shared" si="177"/>
        <v>19.7080461</v>
      </c>
      <c r="AO202" s="34">
        <f t="shared" si="178"/>
        <v>26.09970502</v>
      </c>
      <c r="AP202" s="34">
        <f t="shared" si="179"/>
        <v>8.286864494</v>
      </c>
      <c r="AQ202" s="34">
        <f t="shared" si="180"/>
        <v>10.79937128</v>
      </c>
      <c r="AR202" s="34">
        <f t="shared" si="181"/>
        <v>2.821060253</v>
      </c>
      <c r="AS202" s="34">
        <f t="shared" si="182"/>
        <v>51.02325949</v>
      </c>
      <c r="AT202" s="35">
        <f t="shared" si="15"/>
        <v>99.03026054</v>
      </c>
      <c r="AV202" s="25">
        <f t="shared" si="87"/>
        <v>9360</v>
      </c>
    </row>
    <row r="203" ht="14.25" customHeight="1">
      <c r="B203" s="36"/>
      <c r="C203" s="60" t="s">
        <v>46</v>
      </c>
      <c r="D203" s="56"/>
      <c r="E203" s="22" t="s">
        <v>48</v>
      </c>
      <c r="F203" s="56"/>
      <c r="G203" s="27">
        <f t="shared" ref="G203:G217" si="183">50.54*100/(100-O203)</f>
        <v>50.81950729</v>
      </c>
      <c r="H203" s="27">
        <f t="shared" ref="H203:H217" si="184">7.08*100/(100-O203)</f>
        <v>7.119155354</v>
      </c>
      <c r="I203" s="27">
        <f t="shared" ref="I203:I217" si="185">41.11*100/(100-O203)</f>
        <v>41.33735546</v>
      </c>
      <c r="J203" s="27">
        <f t="shared" ref="J203:J217" si="186">0.15*100/(100-O203)</f>
        <v>0.1508295626</v>
      </c>
      <c r="K203" s="27">
        <f t="shared" ref="K203:K217" si="187">0.57*100/(100-O203)</f>
        <v>0.5731523379</v>
      </c>
      <c r="L203" s="26">
        <f t="shared" si="75"/>
        <v>9.16</v>
      </c>
      <c r="M203" s="22">
        <v>82.29</v>
      </c>
      <c r="N203" s="22">
        <v>8.0</v>
      </c>
      <c r="O203" s="22">
        <v>0.55</v>
      </c>
      <c r="P203" s="22">
        <v>0.22</v>
      </c>
      <c r="Q203" s="22">
        <v>900.0</v>
      </c>
      <c r="R203" s="22" t="s">
        <v>51</v>
      </c>
      <c r="S203" s="58">
        <v>0.0</v>
      </c>
      <c r="T203" s="22">
        <v>19.15</v>
      </c>
      <c r="U203" s="25">
        <v>31.4</v>
      </c>
      <c r="V203" s="25">
        <v>29.56</v>
      </c>
      <c r="W203" s="22">
        <v>30.02</v>
      </c>
      <c r="X203" s="22">
        <v>6.23</v>
      </c>
      <c r="Y203" s="31">
        <f t="shared" si="174"/>
        <v>37.8207742</v>
      </c>
      <c r="Z203" s="22">
        <f t="shared" si="77"/>
        <v>1.098901099</v>
      </c>
      <c r="AA203" s="22">
        <v>24.1</v>
      </c>
      <c r="AB203" s="22">
        <v>63.48</v>
      </c>
      <c r="AC203" s="25">
        <f t="shared" si="78"/>
        <v>5440</v>
      </c>
      <c r="AD203" s="22" t="s">
        <v>51</v>
      </c>
      <c r="AG203" s="33">
        <v>0.91</v>
      </c>
      <c r="AH203" s="33">
        <v>5.44</v>
      </c>
      <c r="AK203" s="33">
        <f t="shared" si="175"/>
        <v>3.914194638</v>
      </c>
      <c r="AL203" s="33">
        <f t="shared" si="176"/>
        <v>6.43512983</v>
      </c>
      <c r="AM203" s="33">
        <f t="shared" si="177"/>
        <v>10.34932447</v>
      </c>
      <c r="AO203" s="34">
        <f t="shared" si="178"/>
        <v>19.5242769</v>
      </c>
      <c r="AP203" s="34">
        <f t="shared" si="179"/>
        <v>18.38017915</v>
      </c>
      <c r="AQ203" s="34">
        <f t="shared" si="180"/>
        <v>18.66620359</v>
      </c>
      <c r="AR203" s="34">
        <f t="shared" si="181"/>
        <v>3.873765767</v>
      </c>
      <c r="AS203" s="34">
        <f t="shared" si="182"/>
        <v>37.8207742</v>
      </c>
      <c r="AT203" s="35">
        <f t="shared" si="15"/>
        <v>98.2651996</v>
      </c>
      <c r="AV203" s="25">
        <f t="shared" si="87"/>
        <v>5440</v>
      </c>
    </row>
    <row r="204" ht="14.25" customHeight="1">
      <c r="B204" s="36"/>
      <c r="C204" s="60" t="s">
        <v>46</v>
      </c>
      <c r="D204" s="56"/>
      <c r="E204" s="22" t="s">
        <v>48</v>
      </c>
      <c r="F204" s="56"/>
      <c r="G204" s="27">
        <f t="shared" si="183"/>
        <v>50.81950729</v>
      </c>
      <c r="H204" s="27">
        <f t="shared" si="184"/>
        <v>7.119155354</v>
      </c>
      <c r="I204" s="27">
        <f t="shared" si="185"/>
        <v>41.33735546</v>
      </c>
      <c r="J204" s="27">
        <f t="shared" si="186"/>
        <v>0.1508295626</v>
      </c>
      <c r="K204" s="27">
        <f t="shared" si="187"/>
        <v>0.5731523379</v>
      </c>
      <c r="L204" s="26">
        <f t="shared" si="75"/>
        <v>9.16</v>
      </c>
      <c r="M204" s="22">
        <v>82.29</v>
      </c>
      <c r="N204" s="22">
        <v>8.0</v>
      </c>
      <c r="O204" s="22">
        <v>0.55</v>
      </c>
      <c r="P204" s="22">
        <v>0.25</v>
      </c>
      <c r="Q204" s="22">
        <v>900.0</v>
      </c>
      <c r="R204" s="22" t="s">
        <v>51</v>
      </c>
      <c r="S204" s="58">
        <v>0.0</v>
      </c>
      <c r="T204" s="22">
        <v>19.15</v>
      </c>
      <c r="U204" s="25">
        <v>28.44</v>
      </c>
      <c r="V204" s="25">
        <v>24.59</v>
      </c>
      <c r="W204" s="22">
        <v>36.41</v>
      </c>
      <c r="X204" s="22">
        <v>6.5</v>
      </c>
      <c r="Y204" s="31">
        <f t="shared" si="174"/>
        <v>41.48045588</v>
      </c>
      <c r="Z204" s="22">
        <f t="shared" si="77"/>
        <v>1.136363636</v>
      </c>
      <c r="AA204" s="22">
        <v>21.59</v>
      </c>
      <c r="AB204" s="22">
        <v>62.96</v>
      </c>
      <c r="AC204" s="25">
        <f t="shared" si="78"/>
        <v>5040</v>
      </c>
      <c r="AD204" s="22" t="s">
        <v>51</v>
      </c>
      <c r="AG204" s="33">
        <v>0.88</v>
      </c>
      <c r="AH204" s="33">
        <v>5.04</v>
      </c>
      <c r="AK204" s="33">
        <f t="shared" si="175"/>
        <v>4.447213893</v>
      </c>
      <c r="AL204" s="33">
        <f t="shared" si="176"/>
        <v>6.274013246</v>
      </c>
      <c r="AM204" s="33">
        <f t="shared" si="177"/>
        <v>10.72122714</v>
      </c>
      <c r="AO204" s="34">
        <f t="shared" si="178"/>
        <v>16.64295835</v>
      </c>
      <c r="AP204" s="34">
        <f t="shared" si="179"/>
        <v>14.3899559</v>
      </c>
      <c r="AQ204" s="34">
        <f t="shared" si="180"/>
        <v>21.30696601</v>
      </c>
      <c r="AR204" s="34">
        <f t="shared" si="181"/>
        <v>3.803770368</v>
      </c>
      <c r="AS204" s="34">
        <f t="shared" si="182"/>
        <v>41.48045588</v>
      </c>
      <c r="AT204" s="35">
        <f t="shared" si="15"/>
        <v>97.62410651</v>
      </c>
      <c r="AV204" s="25">
        <f t="shared" si="87"/>
        <v>5040</v>
      </c>
    </row>
    <row r="205" ht="14.25" customHeight="1">
      <c r="B205" s="36"/>
      <c r="C205" s="60" t="s">
        <v>46</v>
      </c>
      <c r="D205" s="56"/>
      <c r="E205" s="22" t="s">
        <v>48</v>
      </c>
      <c r="F205" s="56"/>
      <c r="G205" s="27">
        <f t="shared" si="183"/>
        <v>50.81950729</v>
      </c>
      <c r="H205" s="27">
        <f t="shared" si="184"/>
        <v>7.119155354</v>
      </c>
      <c r="I205" s="27">
        <f t="shared" si="185"/>
        <v>41.33735546</v>
      </c>
      <c r="J205" s="27">
        <f t="shared" si="186"/>
        <v>0.1508295626</v>
      </c>
      <c r="K205" s="27">
        <f t="shared" si="187"/>
        <v>0.5731523379</v>
      </c>
      <c r="L205" s="26">
        <f t="shared" si="75"/>
        <v>9.16</v>
      </c>
      <c r="M205" s="22">
        <v>82.29</v>
      </c>
      <c r="N205" s="22">
        <v>8.0</v>
      </c>
      <c r="O205" s="22">
        <v>0.55</v>
      </c>
      <c r="P205" s="22">
        <v>0.24</v>
      </c>
      <c r="Q205" s="22">
        <v>900.0</v>
      </c>
      <c r="R205" s="22" t="s">
        <v>51</v>
      </c>
      <c r="S205" s="58">
        <v>0.0</v>
      </c>
      <c r="T205" s="22">
        <v>19.15</v>
      </c>
      <c r="U205" s="25">
        <v>28.93</v>
      </c>
      <c r="V205" s="25">
        <v>25.53</v>
      </c>
      <c r="W205" s="22">
        <v>34.88</v>
      </c>
      <c r="X205" s="22">
        <v>6.82</v>
      </c>
      <c r="Y205" s="31">
        <f t="shared" si="174"/>
        <v>40.39778069</v>
      </c>
      <c r="Z205" s="22">
        <f t="shared" si="77"/>
        <v>1.219512195</v>
      </c>
      <c r="AA205" s="22">
        <v>19.0</v>
      </c>
      <c r="AB205" s="22">
        <v>58.44</v>
      </c>
      <c r="AC205" s="25">
        <f t="shared" si="78"/>
        <v>4760</v>
      </c>
      <c r="AD205" s="22" t="s">
        <v>51</v>
      </c>
      <c r="AG205" s="33">
        <v>0.82</v>
      </c>
      <c r="AH205" s="33">
        <v>4.76</v>
      </c>
      <c r="AK205" s="33">
        <f t="shared" si="175"/>
        <v>4.269540808</v>
      </c>
      <c r="AL205" s="33">
        <f t="shared" si="176"/>
        <v>6.299210086</v>
      </c>
      <c r="AM205" s="33">
        <f t="shared" si="177"/>
        <v>10.56875089</v>
      </c>
      <c r="AO205" s="34">
        <f t="shared" si="178"/>
        <v>17.24292205</v>
      </c>
      <c r="AP205" s="34">
        <f t="shared" si="179"/>
        <v>15.21644659</v>
      </c>
      <c r="AQ205" s="34">
        <f t="shared" si="180"/>
        <v>20.7892541</v>
      </c>
      <c r="AR205" s="34">
        <f t="shared" si="181"/>
        <v>4.064871357</v>
      </c>
      <c r="AS205" s="34">
        <f t="shared" si="182"/>
        <v>40.39778069</v>
      </c>
      <c r="AT205" s="35">
        <f t="shared" si="15"/>
        <v>97.71127478</v>
      </c>
      <c r="AV205" s="25">
        <f t="shared" si="87"/>
        <v>4760</v>
      </c>
    </row>
    <row r="206" ht="14.25" customHeight="1">
      <c r="B206" s="36"/>
      <c r="C206" s="60" t="s">
        <v>46</v>
      </c>
      <c r="D206" s="56"/>
      <c r="E206" s="22" t="s">
        <v>48</v>
      </c>
      <c r="F206" s="56"/>
      <c r="G206" s="27">
        <f t="shared" si="183"/>
        <v>50.81950729</v>
      </c>
      <c r="H206" s="27">
        <f t="shared" si="184"/>
        <v>7.119155354</v>
      </c>
      <c r="I206" s="27">
        <f t="shared" si="185"/>
        <v>41.33735546</v>
      </c>
      <c r="J206" s="27">
        <f t="shared" si="186"/>
        <v>0.1508295626</v>
      </c>
      <c r="K206" s="27">
        <f t="shared" si="187"/>
        <v>0.5731523379</v>
      </c>
      <c r="L206" s="26">
        <f t="shared" si="75"/>
        <v>9.16</v>
      </c>
      <c r="M206" s="22">
        <v>82.29</v>
      </c>
      <c r="N206" s="22">
        <v>8.0</v>
      </c>
      <c r="O206" s="22">
        <v>0.55</v>
      </c>
      <c r="P206" s="22">
        <v>0.26</v>
      </c>
      <c r="Q206" s="22">
        <v>900.0</v>
      </c>
      <c r="R206" s="22" t="s">
        <v>51</v>
      </c>
      <c r="S206" s="58">
        <v>0.0</v>
      </c>
      <c r="T206" s="22">
        <v>19.15</v>
      </c>
      <c r="U206" s="25">
        <v>29.16</v>
      </c>
      <c r="V206" s="25">
        <v>25.2</v>
      </c>
      <c r="W206" s="22">
        <v>34.36</v>
      </c>
      <c r="X206" s="22">
        <v>8.21</v>
      </c>
      <c r="Y206" s="31">
        <f t="shared" si="174"/>
        <v>42.53198218</v>
      </c>
      <c r="Z206" s="22">
        <f t="shared" si="77"/>
        <v>1.176470588</v>
      </c>
      <c r="AA206" s="22">
        <v>20.9</v>
      </c>
      <c r="AB206" s="22">
        <v>61.06</v>
      </c>
      <c r="AC206" s="25">
        <f t="shared" si="78"/>
        <v>5050</v>
      </c>
      <c r="AD206" s="22" t="s">
        <v>51</v>
      </c>
      <c r="AG206" s="33">
        <v>0.85</v>
      </c>
      <c r="AH206" s="33">
        <v>5.05</v>
      </c>
      <c r="AK206" s="33">
        <f t="shared" si="175"/>
        <v>4.624886978</v>
      </c>
      <c r="AL206" s="33">
        <f t="shared" si="176"/>
        <v>6.249017177</v>
      </c>
      <c r="AM206" s="33">
        <f t="shared" si="177"/>
        <v>10.87390415</v>
      </c>
      <c r="AO206" s="34">
        <f t="shared" si="178"/>
        <v>16.757674</v>
      </c>
      <c r="AP206" s="34">
        <f t="shared" si="179"/>
        <v>14.48194049</v>
      </c>
      <c r="AQ206" s="34">
        <f t="shared" si="180"/>
        <v>19.74601092</v>
      </c>
      <c r="AR206" s="34">
        <f t="shared" si="181"/>
        <v>4.718124263</v>
      </c>
      <c r="AS206" s="34">
        <f t="shared" si="182"/>
        <v>42.53198218</v>
      </c>
      <c r="AT206" s="35">
        <f t="shared" si="15"/>
        <v>98.23573185</v>
      </c>
      <c r="AV206" s="25">
        <f t="shared" si="87"/>
        <v>5050</v>
      </c>
    </row>
    <row r="207" ht="14.25" customHeight="1">
      <c r="B207" s="36"/>
      <c r="C207" s="60" t="s">
        <v>46</v>
      </c>
      <c r="D207" s="56"/>
      <c r="E207" s="22" t="s">
        <v>48</v>
      </c>
      <c r="F207" s="56"/>
      <c r="G207" s="27">
        <f t="shared" si="183"/>
        <v>50.81950729</v>
      </c>
      <c r="H207" s="27">
        <f t="shared" si="184"/>
        <v>7.119155354</v>
      </c>
      <c r="I207" s="27">
        <f t="shared" si="185"/>
        <v>41.33735546</v>
      </c>
      <c r="J207" s="27">
        <f t="shared" si="186"/>
        <v>0.1508295626</v>
      </c>
      <c r="K207" s="27">
        <f t="shared" si="187"/>
        <v>0.5731523379</v>
      </c>
      <c r="L207" s="26">
        <f t="shared" si="75"/>
        <v>9.16</v>
      </c>
      <c r="M207" s="22">
        <v>82.29</v>
      </c>
      <c r="N207" s="22">
        <v>8.0</v>
      </c>
      <c r="O207" s="22">
        <v>0.55</v>
      </c>
      <c r="P207" s="22">
        <v>0.25</v>
      </c>
      <c r="Q207" s="22">
        <v>900.0</v>
      </c>
      <c r="R207" s="22" t="s">
        <v>51</v>
      </c>
      <c r="S207" s="58">
        <v>0.0</v>
      </c>
      <c r="T207" s="22">
        <v>19.15</v>
      </c>
      <c r="U207" s="25">
        <v>35.39</v>
      </c>
      <c r="V207" s="25">
        <v>27.92</v>
      </c>
      <c r="W207" s="22">
        <v>30.11</v>
      </c>
      <c r="X207" s="22">
        <v>4.36</v>
      </c>
      <c r="Y207" s="31">
        <f t="shared" si="174"/>
        <v>39.58323401</v>
      </c>
      <c r="Z207" s="22">
        <f t="shared" si="77"/>
        <v>1.063829787</v>
      </c>
      <c r="AA207" s="22">
        <v>23.66</v>
      </c>
      <c r="AB207" s="22">
        <v>62.16</v>
      </c>
      <c r="AC207" s="25">
        <f t="shared" si="78"/>
        <v>5170</v>
      </c>
      <c r="AD207" s="22" t="s">
        <v>51</v>
      </c>
      <c r="AG207" s="33">
        <v>0.94</v>
      </c>
      <c r="AH207" s="33">
        <v>5.17</v>
      </c>
      <c r="AK207" s="33">
        <f t="shared" si="175"/>
        <v>4.447213893</v>
      </c>
      <c r="AL207" s="33">
        <f t="shared" si="176"/>
        <v>6.787880976</v>
      </c>
      <c r="AM207" s="33">
        <f t="shared" si="177"/>
        <v>11.23509487</v>
      </c>
      <c r="AO207" s="34">
        <f t="shared" si="178"/>
        <v>21.38149349</v>
      </c>
      <c r="AP207" s="34">
        <f t="shared" si="179"/>
        <v>16.86836107</v>
      </c>
      <c r="AQ207" s="34">
        <f t="shared" si="180"/>
        <v>18.19148824</v>
      </c>
      <c r="AR207" s="34">
        <f t="shared" si="181"/>
        <v>2.634170997</v>
      </c>
      <c r="AS207" s="34">
        <f t="shared" si="182"/>
        <v>39.58323401</v>
      </c>
      <c r="AT207" s="35">
        <f t="shared" si="15"/>
        <v>98.65874779</v>
      </c>
      <c r="AV207" s="25">
        <f t="shared" si="87"/>
        <v>5170</v>
      </c>
    </row>
    <row r="208" ht="14.25" customHeight="1">
      <c r="B208" s="36"/>
      <c r="C208" s="60" t="s">
        <v>46</v>
      </c>
      <c r="D208" s="56"/>
      <c r="E208" s="22" t="s">
        <v>48</v>
      </c>
      <c r="F208" s="56"/>
      <c r="G208" s="27">
        <f t="shared" si="183"/>
        <v>50.81950729</v>
      </c>
      <c r="H208" s="27">
        <f t="shared" si="184"/>
        <v>7.119155354</v>
      </c>
      <c r="I208" s="27">
        <f t="shared" si="185"/>
        <v>41.33735546</v>
      </c>
      <c r="J208" s="27">
        <f t="shared" si="186"/>
        <v>0.1508295626</v>
      </c>
      <c r="K208" s="27">
        <f t="shared" si="187"/>
        <v>0.5731523379</v>
      </c>
      <c r="L208" s="26">
        <f t="shared" si="75"/>
        <v>9.16</v>
      </c>
      <c r="M208" s="22">
        <v>82.29</v>
      </c>
      <c r="N208" s="22">
        <v>8.0</v>
      </c>
      <c r="O208" s="22">
        <v>0.55</v>
      </c>
      <c r="P208" s="22">
        <v>0.25</v>
      </c>
      <c r="Q208" s="22">
        <v>900.0</v>
      </c>
      <c r="R208" s="22" t="s">
        <v>51</v>
      </c>
      <c r="S208" s="58">
        <v>0.0</v>
      </c>
      <c r="T208" s="22">
        <v>19.15</v>
      </c>
      <c r="U208" s="25">
        <v>31.88</v>
      </c>
      <c r="V208" s="25">
        <v>28.77</v>
      </c>
      <c r="W208" s="22">
        <v>31.76</v>
      </c>
      <c r="X208" s="22">
        <v>5.54</v>
      </c>
      <c r="Y208" s="31">
        <f t="shared" si="174"/>
        <v>40.96164384</v>
      </c>
      <c r="Z208" s="22">
        <f t="shared" si="77"/>
        <v>1.098901099</v>
      </c>
      <c r="AA208" s="22">
        <v>21.18</v>
      </c>
      <c r="AB208" s="22">
        <v>63.73</v>
      </c>
      <c r="AC208" s="25">
        <f t="shared" si="78"/>
        <v>4780</v>
      </c>
      <c r="AD208" s="22" t="s">
        <v>51</v>
      </c>
      <c r="AG208" s="33">
        <v>0.91</v>
      </c>
      <c r="AH208" s="33">
        <v>4.78</v>
      </c>
      <c r="AK208" s="33">
        <f t="shared" si="175"/>
        <v>4.447213893</v>
      </c>
      <c r="AL208" s="33">
        <f t="shared" si="176"/>
        <v>6.409806177</v>
      </c>
      <c r="AM208" s="33">
        <f t="shared" si="177"/>
        <v>10.85702007</v>
      </c>
      <c r="AO208" s="34">
        <f t="shared" si="178"/>
        <v>18.82142794</v>
      </c>
      <c r="AP208" s="34">
        <f t="shared" si="179"/>
        <v>16.98533507</v>
      </c>
      <c r="AQ208" s="34">
        <f t="shared" si="180"/>
        <v>18.75058192</v>
      </c>
      <c r="AR208" s="34">
        <f t="shared" si="181"/>
        <v>3.270724931</v>
      </c>
      <c r="AS208" s="34">
        <f t="shared" si="182"/>
        <v>40.96164384</v>
      </c>
      <c r="AT208" s="35">
        <f t="shared" si="15"/>
        <v>98.7897137</v>
      </c>
      <c r="AV208" s="25">
        <f t="shared" si="87"/>
        <v>4780</v>
      </c>
    </row>
    <row r="209" ht="14.25" customHeight="1">
      <c r="B209" s="36"/>
      <c r="C209" s="60" t="s">
        <v>46</v>
      </c>
      <c r="D209" s="56"/>
      <c r="E209" s="22" t="s">
        <v>48</v>
      </c>
      <c r="F209" s="56"/>
      <c r="G209" s="27">
        <f t="shared" si="183"/>
        <v>50.81950729</v>
      </c>
      <c r="H209" s="27">
        <f t="shared" si="184"/>
        <v>7.119155354</v>
      </c>
      <c r="I209" s="27">
        <f t="shared" si="185"/>
        <v>41.33735546</v>
      </c>
      <c r="J209" s="27">
        <f t="shared" si="186"/>
        <v>0.1508295626</v>
      </c>
      <c r="K209" s="27">
        <f t="shared" si="187"/>
        <v>0.5731523379</v>
      </c>
      <c r="L209" s="26">
        <f t="shared" si="75"/>
        <v>9.16</v>
      </c>
      <c r="M209" s="22">
        <v>82.29</v>
      </c>
      <c r="N209" s="22">
        <v>8.0</v>
      </c>
      <c r="O209" s="22">
        <v>0.55</v>
      </c>
      <c r="P209" s="22">
        <v>0.25</v>
      </c>
      <c r="Q209" s="22">
        <v>900.0</v>
      </c>
      <c r="R209" s="22" t="s">
        <v>51</v>
      </c>
      <c r="S209" s="58">
        <v>0.0</v>
      </c>
      <c r="T209" s="22">
        <v>19.15</v>
      </c>
      <c r="U209" s="25">
        <v>31.47</v>
      </c>
      <c r="V209" s="25">
        <v>27.52</v>
      </c>
      <c r="W209" s="22">
        <v>33.39</v>
      </c>
      <c r="X209" s="22">
        <v>5.7</v>
      </c>
      <c r="Y209" s="31">
        <f t="shared" si="174"/>
        <v>41.15863628</v>
      </c>
      <c r="Z209" s="22">
        <f t="shared" si="77"/>
        <v>1.136363636</v>
      </c>
      <c r="AA209" s="22">
        <v>19.71</v>
      </c>
      <c r="AB209" s="22">
        <v>62.13</v>
      </c>
      <c r="AC209" s="25">
        <f t="shared" si="78"/>
        <v>4600</v>
      </c>
      <c r="AD209" s="22" t="s">
        <v>51</v>
      </c>
      <c r="AG209" s="33">
        <v>0.88</v>
      </c>
      <c r="AH209" s="33">
        <v>4.6</v>
      </c>
      <c r="AK209" s="33">
        <f t="shared" si="175"/>
        <v>4.447213893</v>
      </c>
      <c r="AL209" s="33">
        <f t="shared" si="176"/>
        <v>6.357842577</v>
      </c>
      <c r="AM209" s="33">
        <f t="shared" si="177"/>
        <v>10.80505647</v>
      </c>
      <c r="AO209" s="34">
        <f t="shared" si="178"/>
        <v>18.51737716</v>
      </c>
      <c r="AP209" s="34">
        <f t="shared" si="179"/>
        <v>16.1931433</v>
      </c>
      <c r="AQ209" s="34">
        <f t="shared" si="180"/>
        <v>19.64713135</v>
      </c>
      <c r="AR209" s="34">
        <f t="shared" si="181"/>
        <v>3.353957732</v>
      </c>
      <c r="AS209" s="34">
        <f t="shared" si="182"/>
        <v>41.15863628</v>
      </c>
      <c r="AT209" s="35">
        <f t="shared" si="15"/>
        <v>98.87024582</v>
      </c>
      <c r="AV209" s="25">
        <f t="shared" si="87"/>
        <v>4600</v>
      </c>
    </row>
    <row r="210" ht="14.25" customHeight="1">
      <c r="B210" s="36"/>
      <c r="C210" s="60" t="s">
        <v>46</v>
      </c>
      <c r="D210" s="56"/>
      <c r="E210" s="22" t="s">
        <v>48</v>
      </c>
      <c r="F210" s="56"/>
      <c r="G210" s="27">
        <f t="shared" si="183"/>
        <v>50.81950729</v>
      </c>
      <c r="H210" s="27">
        <f t="shared" si="184"/>
        <v>7.119155354</v>
      </c>
      <c r="I210" s="27">
        <f t="shared" si="185"/>
        <v>41.33735546</v>
      </c>
      <c r="J210" s="27">
        <f t="shared" si="186"/>
        <v>0.1508295626</v>
      </c>
      <c r="K210" s="27">
        <f t="shared" si="187"/>
        <v>0.5731523379</v>
      </c>
      <c r="L210" s="26">
        <f t="shared" si="75"/>
        <v>9.16</v>
      </c>
      <c r="M210" s="22">
        <v>82.29</v>
      </c>
      <c r="N210" s="22">
        <v>8.0</v>
      </c>
      <c r="O210" s="22">
        <v>0.55</v>
      </c>
      <c r="P210" s="22">
        <v>0.28</v>
      </c>
      <c r="Q210" s="22">
        <v>900.0</v>
      </c>
      <c r="R210" s="22" t="s">
        <v>51</v>
      </c>
      <c r="S210" s="58">
        <v>0.0</v>
      </c>
      <c r="T210" s="22">
        <v>19.15</v>
      </c>
      <c r="U210" s="25">
        <v>31.17</v>
      </c>
      <c r="V210" s="25">
        <v>25.81</v>
      </c>
      <c r="W210" s="22">
        <v>33.32</v>
      </c>
      <c r="X210" s="22">
        <v>6.01</v>
      </c>
      <c r="Y210" s="31">
        <f t="shared" si="174"/>
        <v>43.3759587</v>
      </c>
      <c r="Z210" s="22">
        <f t="shared" si="77"/>
        <v>1.162790698</v>
      </c>
      <c r="AA210" s="22">
        <v>20.18</v>
      </c>
      <c r="AB210" s="22">
        <v>59.38</v>
      </c>
      <c r="AC210" s="25">
        <f t="shared" si="78"/>
        <v>4820</v>
      </c>
      <c r="AD210" s="22" t="s">
        <v>51</v>
      </c>
      <c r="AG210" s="33">
        <v>0.86</v>
      </c>
      <c r="AH210" s="33">
        <v>4.82</v>
      </c>
      <c r="AK210" s="33">
        <f t="shared" si="175"/>
        <v>4.980233147</v>
      </c>
      <c r="AL210" s="33">
        <f t="shared" si="176"/>
        <v>6.501318607</v>
      </c>
      <c r="AM210" s="33">
        <f t="shared" si="177"/>
        <v>11.48155175</v>
      </c>
      <c r="AO210" s="34">
        <f t="shared" si="178"/>
        <v>17.64971367</v>
      </c>
      <c r="AP210" s="34">
        <f t="shared" si="179"/>
        <v>14.61466506</v>
      </c>
      <c r="AQ210" s="34">
        <f t="shared" si="180"/>
        <v>18.86713056</v>
      </c>
      <c r="AR210" s="34">
        <f t="shared" si="181"/>
        <v>3.403104882</v>
      </c>
      <c r="AS210" s="34">
        <f t="shared" si="182"/>
        <v>43.3759587</v>
      </c>
      <c r="AT210" s="35">
        <f t="shared" si="15"/>
        <v>97.91057288</v>
      </c>
      <c r="AV210" s="25">
        <f t="shared" si="87"/>
        <v>4820</v>
      </c>
    </row>
    <row r="211" ht="14.25" customHeight="1">
      <c r="B211" s="36"/>
      <c r="C211" s="60" t="s">
        <v>46</v>
      </c>
      <c r="D211" s="56"/>
      <c r="E211" s="22" t="s">
        <v>48</v>
      </c>
      <c r="F211" s="56"/>
      <c r="G211" s="27">
        <f t="shared" si="183"/>
        <v>50.81950729</v>
      </c>
      <c r="H211" s="27">
        <f t="shared" si="184"/>
        <v>7.119155354</v>
      </c>
      <c r="I211" s="27">
        <f t="shared" si="185"/>
        <v>41.33735546</v>
      </c>
      <c r="J211" s="27">
        <f t="shared" si="186"/>
        <v>0.1508295626</v>
      </c>
      <c r="K211" s="27">
        <f t="shared" si="187"/>
        <v>0.5731523379</v>
      </c>
      <c r="L211" s="26">
        <f t="shared" si="75"/>
        <v>9.16</v>
      </c>
      <c r="M211" s="22">
        <v>82.29</v>
      </c>
      <c r="N211" s="22">
        <v>8.0</v>
      </c>
      <c r="O211" s="22">
        <v>0.55</v>
      </c>
      <c r="P211" s="22">
        <v>0.27</v>
      </c>
      <c r="Q211" s="22">
        <v>900.0</v>
      </c>
      <c r="R211" s="22" t="s">
        <v>51</v>
      </c>
      <c r="S211" s="58">
        <v>0.0</v>
      </c>
      <c r="T211" s="22">
        <v>19.15</v>
      </c>
      <c r="U211" s="25">
        <v>29.16</v>
      </c>
      <c r="V211" s="25">
        <v>25.2</v>
      </c>
      <c r="W211" s="22">
        <v>34.36</v>
      </c>
      <c r="X211" s="22">
        <v>8.21</v>
      </c>
      <c r="Y211" s="31">
        <f t="shared" si="174"/>
        <v>43.45587927</v>
      </c>
      <c r="Z211" s="22">
        <f t="shared" si="77"/>
        <v>1.176470588</v>
      </c>
      <c r="AA211" s="22">
        <v>20.9</v>
      </c>
      <c r="AB211" s="22">
        <v>61.06</v>
      </c>
      <c r="AC211" s="25">
        <f t="shared" si="78"/>
        <v>5050</v>
      </c>
      <c r="AD211" s="22" t="s">
        <v>51</v>
      </c>
      <c r="AG211" s="33">
        <v>0.85</v>
      </c>
      <c r="AH211" s="33">
        <v>5.05</v>
      </c>
      <c r="AK211" s="33">
        <f t="shared" si="175"/>
        <v>4.802560062</v>
      </c>
      <c r="AL211" s="33">
        <f t="shared" si="176"/>
        <v>6.249017177</v>
      </c>
      <c r="AM211" s="33">
        <f t="shared" si="177"/>
        <v>11.05157724</v>
      </c>
      <c r="AO211" s="34">
        <f t="shared" si="178"/>
        <v>16.48826561</v>
      </c>
      <c r="AP211" s="34">
        <f t="shared" si="179"/>
        <v>14.24911842</v>
      </c>
      <c r="AQ211" s="34">
        <f t="shared" si="180"/>
        <v>19.42855988</v>
      </c>
      <c r="AR211" s="34">
        <f t="shared" si="181"/>
        <v>4.642272312</v>
      </c>
      <c r="AS211" s="34">
        <f t="shared" si="182"/>
        <v>43.45587927</v>
      </c>
      <c r="AT211" s="35">
        <f t="shared" si="15"/>
        <v>98.26409549</v>
      </c>
      <c r="AV211" s="25">
        <f t="shared" si="87"/>
        <v>5050</v>
      </c>
    </row>
    <row r="212" ht="14.25" customHeight="1">
      <c r="B212" s="36"/>
      <c r="C212" s="60" t="s">
        <v>46</v>
      </c>
      <c r="D212" s="56"/>
      <c r="E212" s="22" t="s">
        <v>48</v>
      </c>
      <c r="F212" s="56"/>
      <c r="G212" s="27">
        <f t="shared" si="183"/>
        <v>50.81950729</v>
      </c>
      <c r="H212" s="27">
        <f t="shared" si="184"/>
        <v>7.119155354</v>
      </c>
      <c r="I212" s="27">
        <f t="shared" si="185"/>
        <v>41.33735546</v>
      </c>
      <c r="J212" s="27">
        <f t="shared" si="186"/>
        <v>0.1508295626</v>
      </c>
      <c r="K212" s="27">
        <f t="shared" si="187"/>
        <v>0.5731523379</v>
      </c>
      <c r="L212" s="26">
        <f t="shared" si="75"/>
        <v>9.16</v>
      </c>
      <c r="M212" s="22">
        <v>82.29</v>
      </c>
      <c r="N212" s="22">
        <v>8.0</v>
      </c>
      <c r="O212" s="22">
        <v>0.55</v>
      </c>
      <c r="P212" s="22">
        <v>0.24</v>
      </c>
      <c r="Q212" s="22">
        <v>900.0</v>
      </c>
      <c r="R212" s="22" t="s">
        <v>51</v>
      </c>
      <c r="S212" s="58">
        <v>0.0</v>
      </c>
      <c r="T212" s="22">
        <v>19.15</v>
      </c>
      <c r="U212" s="25">
        <v>27.12</v>
      </c>
      <c r="V212" s="25">
        <v>25.07</v>
      </c>
      <c r="W212" s="22">
        <v>35.62</v>
      </c>
      <c r="X212" s="22">
        <v>9.02</v>
      </c>
      <c r="Y212" s="31">
        <f t="shared" si="174"/>
        <v>41.27293448</v>
      </c>
      <c r="Z212" s="22">
        <f t="shared" si="77"/>
        <v>1.282051282</v>
      </c>
      <c r="AA212" s="22">
        <v>19.97</v>
      </c>
      <c r="AB212" s="22">
        <v>57.64</v>
      </c>
      <c r="AC212" s="25">
        <f t="shared" si="78"/>
        <v>5260</v>
      </c>
      <c r="AD212" s="22" t="s">
        <v>51</v>
      </c>
      <c r="AG212" s="33">
        <v>0.78</v>
      </c>
      <c r="AH212" s="33">
        <v>5.26</v>
      </c>
      <c r="AK212" s="33">
        <f t="shared" si="175"/>
        <v>4.269540808</v>
      </c>
      <c r="AL212" s="33">
        <f t="shared" si="176"/>
        <v>6.075109655</v>
      </c>
      <c r="AM212" s="33">
        <f t="shared" si="177"/>
        <v>10.34465046</v>
      </c>
      <c r="AO212" s="34">
        <f t="shared" si="178"/>
        <v>15.92678017</v>
      </c>
      <c r="AP212" s="34">
        <f t="shared" si="179"/>
        <v>14.72287533</v>
      </c>
      <c r="AQ212" s="34">
        <f t="shared" si="180"/>
        <v>20.91858074</v>
      </c>
      <c r="AR212" s="34">
        <f t="shared" si="181"/>
        <v>5.29718131</v>
      </c>
      <c r="AS212" s="34">
        <f t="shared" si="182"/>
        <v>41.27293448</v>
      </c>
      <c r="AT212" s="35">
        <f t="shared" si="15"/>
        <v>98.13835202</v>
      </c>
      <c r="AV212" s="25">
        <f t="shared" si="87"/>
        <v>5260</v>
      </c>
    </row>
    <row r="213" ht="14.25" customHeight="1">
      <c r="B213" s="36"/>
      <c r="C213" s="60" t="s">
        <v>46</v>
      </c>
      <c r="D213" s="56"/>
      <c r="E213" s="22" t="s">
        <v>48</v>
      </c>
      <c r="F213" s="56"/>
      <c r="G213" s="27">
        <f t="shared" si="183"/>
        <v>50.81950729</v>
      </c>
      <c r="H213" s="27">
        <f t="shared" si="184"/>
        <v>7.119155354</v>
      </c>
      <c r="I213" s="27">
        <f t="shared" si="185"/>
        <v>41.33735546</v>
      </c>
      <c r="J213" s="27">
        <f t="shared" si="186"/>
        <v>0.1508295626</v>
      </c>
      <c r="K213" s="27">
        <f t="shared" si="187"/>
        <v>0.5731523379</v>
      </c>
      <c r="L213" s="26">
        <f t="shared" si="75"/>
        <v>9.16</v>
      </c>
      <c r="M213" s="22">
        <v>82.29</v>
      </c>
      <c r="N213" s="22">
        <v>8.0</v>
      </c>
      <c r="O213" s="22">
        <v>0.55</v>
      </c>
      <c r="P213" s="22">
        <v>0.27</v>
      </c>
      <c r="Q213" s="22">
        <v>900.0</v>
      </c>
      <c r="R213" s="22" t="s">
        <v>51</v>
      </c>
      <c r="S213" s="58">
        <v>0.0</v>
      </c>
      <c r="T213" s="22">
        <v>19.15</v>
      </c>
      <c r="U213" s="25">
        <v>26.42</v>
      </c>
      <c r="V213" s="25">
        <v>36.85</v>
      </c>
      <c r="W213" s="22">
        <v>31.96</v>
      </c>
      <c r="X213" s="22">
        <v>3.52</v>
      </c>
      <c r="Y213" s="31">
        <f t="shared" si="174"/>
        <v>45.06225354</v>
      </c>
      <c r="Z213" s="22">
        <f t="shared" si="77"/>
        <v>0.6666666667</v>
      </c>
      <c r="AA213" s="22">
        <v>66.02</v>
      </c>
      <c r="AB213" s="22">
        <v>115.0</v>
      </c>
      <c r="AC213" s="25">
        <f t="shared" si="78"/>
        <v>9040</v>
      </c>
      <c r="AD213" s="22" t="s">
        <v>51</v>
      </c>
      <c r="AG213" s="33">
        <v>1.5</v>
      </c>
      <c r="AH213" s="33">
        <v>9.04</v>
      </c>
      <c r="AK213" s="33">
        <f t="shared" si="175"/>
        <v>4.802560062</v>
      </c>
      <c r="AL213" s="33">
        <f t="shared" si="176"/>
        <v>5.855051764</v>
      </c>
      <c r="AM213" s="33">
        <f t="shared" si="177"/>
        <v>10.65761183</v>
      </c>
      <c r="AO213" s="34">
        <f t="shared" si="178"/>
        <v>14.51455261</v>
      </c>
      <c r="AP213" s="34">
        <f t="shared" si="179"/>
        <v>20.24455957</v>
      </c>
      <c r="AQ213" s="34">
        <f t="shared" si="180"/>
        <v>17.55810377</v>
      </c>
      <c r="AR213" s="34">
        <f t="shared" si="181"/>
        <v>1.933808675</v>
      </c>
      <c r="AS213" s="34">
        <f t="shared" si="182"/>
        <v>45.06225354</v>
      </c>
      <c r="AT213" s="35">
        <f t="shared" si="15"/>
        <v>99.31327817</v>
      </c>
      <c r="AV213" s="25">
        <f t="shared" si="87"/>
        <v>9040</v>
      </c>
    </row>
    <row r="214" ht="14.25" customHeight="1">
      <c r="B214" s="36"/>
      <c r="C214" s="60" t="s">
        <v>46</v>
      </c>
      <c r="D214" s="56"/>
      <c r="E214" s="22" t="s">
        <v>48</v>
      </c>
      <c r="F214" s="56"/>
      <c r="G214" s="27">
        <f t="shared" si="183"/>
        <v>50.81950729</v>
      </c>
      <c r="H214" s="27">
        <f t="shared" si="184"/>
        <v>7.119155354</v>
      </c>
      <c r="I214" s="27">
        <f t="shared" si="185"/>
        <v>41.33735546</v>
      </c>
      <c r="J214" s="27">
        <f t="shared" si="186"/>
        <v>0.1508295626</v>
      </c>
      <c r="K214" s="27">
        <f t="shared" si="187"/>
        <v>0.5731523379</v>
      </c>
      <c r="L214" s="26">
        <f t="shared" si="75"/>
        <v>9.16</v>
      </c>
      <c r="M214" s="22">
        <v>82.29</v>
      </c>
      <c r="N214" s="22">
        <v>8.0</v>
      </c>
      <c r="O214" s="22">
        <v>0.55</v>
      </c>
      <c r="P214" s="22">
        <v>0.27</v>
      </c>
      <c r="Q214" s="22">
        <v>900.0</v>
      </c>
      <c r="R214" s="22" t="s">
        <v>51</v>
      </c>
      <c r="S214" s="58">
        <v>0.0</v>
      </c>
      <c r="T214" s="22">
        <v>19.15</v>
      </c>
      <c r="U214" s="25">
        <v>30.51</v>
      </c>
      <c r="V214" s="25">
        <v>39.21</v>
      </c>
      <c r="W214" s="22">
        <v>25.75</v>
      </c>
      <c r="X214" s="22">
        <v>3.29</v>
      </c>
      <c r="Y214" s="31">
        <f t="shared" si="174"/>
        <v>43.62938151</v>
      </c>
      <c r="Z214" s="22">
        <f t="shared" si="77"/>
        <v>0.6172839506</v>
      </c>
      <c r="AA214" s="22">
        <v>77.92</v>
      </c>
      <c r="AB214" s="22">
        <v>117.2</v>
      </c>
      <c r="AC214" s="25">
        <f t="shared" si="78"/>
        <v>9880</v>
      </c>
      <c r="AD214" s="22" t="s">
        <v>51</v>
      </c>
      <c r="AG214" s="33">
        <v>1.62</v>
      </c>
      <c r="AH214" s="33">
        <v>9.88</v>
      </c>
      <c r="AK214" s="33">
        <f t="shared" si="175"/>
        <v>4.802560062</v>
      </c>
      <c r="AL214" s="33">
        <f t="shared" si="176"/>
        <v>6.205068045</v>
      </c>
      <c r="AM214" s="33">
        <f t="shared" si="177"/>
        <v>11.00762811</v>
      </c>
      <c r="AO214" s="34">
        <f t="shared" si="178"/>
        <v>17.1986757</v>
      </c>
      <c r="AP214" s="34">
        <f t="shared" si="179"/>
        <v>22.10291951</v>
      </c>
      <c r="AQ214" s="34">
        <f t="shared" si="180"/>
        <v>14.51543426</v>
      </c>
      <c r="AR214" s="34">
        <f t="shared" si="181"/>
        <v>1.854593348</v>
      </c>
      <c r="AS214" s="34">
        <f t="shared" si="182"/>
        <v>43.62938151</v>
      </c>
      <c r="AT214" s="35">
        <f t="shared" si="15"/>
        <v>99.30100433</v>
      </c>
      <c r="AV214" s="25">
        <f t="shared" si="87"/>
        <v>9880</v>
      </c>
    </row>
    <row r="215" ht="14.25" customHeight="1">
      <c r="B215" s="36"/>
      <c r="C215" s="60" t="s">
        <v>46</v>
      </c>
      <c r="D215" s="56"/>
      <c r="E215" s="22" t="s">
        <v>48</v>
      </c>
      <c r="F215" s="56"/>
      <c r="G215" s="27">
        <f t="shared" si="183"/>
        <v>50.81950729</v>
      </c>
      <c r="H215" s="27">
        <f t="shared" si="184"/>
        <v>7.119155354</v>
      </c>
      <c r="I215" s="27">
        <f t="shared" si="185"/>
        <v>41.33735546</v>
      </c>
      <c r="J215" s="27">
        <f t="shared" si="186"/>
        <v>0.1508295626</v>
      </c>
      <c r="K215" s="27">
        <f t="shared" si="187"/>
        <v>0.5731523379</v>
      </c>
      <c r="L215" s="26">
        <f t="shared" si="75"/>
        <v>9.16</v>
      </c>
      <c r="M215" s="22">
        <v>82.29</v>
      </c>
      <c r="N215" s="22">
        <v>8.0</v>
      </c>
      <c r="O215" s="22">
        <v>0.55</v>
      </c>
      <c r="P215" s="22">
        <v>0.27</v>
      </c>
      <c r="Q215" s="22">
        <v>900.0</v>
      </c>
      <c r="R215" s="22" t="s">
        <v>51</v>
      </c>
      <c r="S215" s="58">
        <v>0.0</v>
      </c>
      <c r="T215" s="22">
        <v>19.15</v>
      </c>
      <c r="U215" s="25">
        <v>28.58</v>
      </c>
      <c r="V215" s="25">
        <v>38.66</v>
      </c>
      <c r="W215" s="22">
        <v>24.45</v>
      </c>
      <c r="X215" s="22">
        <v>6.01</v>
      </c>
      <c r="Y215" s="31">
        <f t="shared" si="174"/>
        <v>43.94115544</v>
      </c>
      <c r="Z215" s="22">
        <f t="shared" si="77"/>
        <v>0.7042253521</v>
      </c>
      <c r="AA215" s="22">
        <v>76.81</v>
      </c>
      <c r="AB215" s="22">
        <v>104.04</v>
      </c>
      <c r="AC215" s="25">
        <f t="shared" si="78"/>
        <v>11110</v>
      </c>
      <c r="AD215" s="22" t="s">
        <v>51</v>
      </c>
      <c r="AG215" s="33">
        <v>1.42</v>
      </c>
      <c r="AH215" s="33">
        <v>11.11</v>
      </c>
      <c r="AK215" s="33">
        <f t="shared" si="175"/>
        <v>4.802560062</v>
      </c>
      <c r="AL215" s="33">
        <f t="shared" si="176"/>
        <v>6.12696606</v>
      </c>
      <c r="AM215" s="33">
        <f t="shared" si="177"/>
        <v>10.92952612</v>
      </c>
      <c r="AO215" s="34">
        <f t="shared" si="178"/>
        <v>16.02161778</v>
      </c>
      <c r="AP215" s="34">
        <f t="shared" si="179"/>
        <v>21.67234931</v>
      </c>
      <c r="AQ215" s="34">
        <f t="shared" si="180"/>
        <v>13.70638749</v>
      </c>
      <c r="AR215" s="34">
        <f t="shared" si="181"/>
        <v>3.369136558</v>
      </c>
      <c r="AS215" s="34">
        <f t="shared" si="182"/>
        <v>43.94115544</v>
      </c>
      <c r="AT215" s="35">
        <f t="shared" si="15"/>
        <v>98.71064658</v>
      </c>
      <c r="AV215" s="25">
        <f t="shared" si="87"/>
        <v>11110</v>
      </c>
    </row>
    <row r="216" ht="14.25" customHeight="1">
      <c r="B216" s="36"/>
      <c r="C216" s="60" t="s">
        <v>46</v>
      </c>
      <c r="D216" s="56"/>
      <c r="E216" s="22" t="s">
        <v>48</v>
      </c>
      <c r="F216" s="56"/>
      <c r="G216" s="27">
        <f t="shared" si="183"/>
        <v>50.81950729</v>
      </c>
      <c r="H216" s="27">
        <f t="shared" si="184"/>
        <v>7.119155354</v>
      </c>
      <c r="I216" s="27">
        <f t="shared" si="185"/>
        <v>41.33735546</v>
      </c>
      <c r="J216" s="27">
        <f t="shared" si="186"/>
        <v>0.1508295626</v>
      </c>
      <c r="K216" s="27">
        <f t="shared" si="187"/>
        <v>0.5731523379</v>
      </c>
      <c r="L216" s="26">
        <f t="shared" si="75"/>
        <v>9.16</v>
      </c>
      <c r="M216" s="22">
        <v>82.29</v>
      </c>
      <c r="N216" s="22">
        <v>8.0</v>
      </c>
      <c r="O216" s="22">
        <v>0.55</v>
      </c>
      <c r="P216" s="22">
        <v>0.27</v>
      </c>
      <c r="Q216" s="22">
        <v>900.0</v>
      </c>
      <c r="R216" s="22" t="s">
        <v>51</v>
      </c>
      <c r="S216" s="58">
        <v>0.0</v>
      </c>
      <c r="T216" s="22">
        <v>19.15</v>
      </c>
      <c r="U216" s="25">
        <v>29.91</v>
      </c>
      <c r="V216" s="25">
        <v>42.65</v>
      </c>
      <c r="W216" s="22">
        <v>22.29</v>
      </c>
      <c r="X216" s="22">
        <v>3.58</v>
      </c>
      <c r="Y216" s="31">
        <f t="shared" si="174"/>
        <v>43.72650942</v>
      </c>
      <c r="Z216" s="22">
        <f t="shared" si="77"/>
        <v>0.8064516129</v>
      </c>
      <c r="AA216" s="22">
        <v>62.6</v>
      </c>
      <c r="AB216" s="22">
        <v>90.06</v>
      </c>
      <c r="AC216" s="25">
        <f t="shared" si="78"/>
        <v>10370</v>
      </c>
      <c r="AD216" s="22" t="s">
        <v>51</v>
      </c>
      <c r="AG216" s="33">
        <v>1.24</v>
      </c>
      <c r="AH216" s="33">
        <v>10.37</v>
      </c>
      <c r="AK216" s="33">
        <f t="shared" si="175"/>
        <v>4.802560062</v>
      </c>
      <c r="AL216" s="33">
        <f t="shared" si="176"/>
        <v>6.180617252</v>
      </c>
      <c r="AM216" s="33">
        <f t="shared" si="177"/>
        <v>10.98317731</v>
      </c>
      <c r="AO216" s="34">
        <f t="shared" si="178"/>
        <v>16.83140103</v>
      </c>
      <c r="AP216" s="34">
        <f t="shared" si="179"/>
        <v>24.00064373</v>
      </c>
      <c r="AQ216" s="34">
        <f t="shared" si="180"/>
        <v>12.54336105</v>
      </c>
      <c r="AR216" s="34">
        <f t="shared" si="181"/>
        <v>2.014590963</v>
      </c>
      <c r="AS216" s="34">
        <f t="shared" si="182"/>
        <v>43.72650942</v>
      </c>
      <c r="AT216" s="35">
        <f t="shared" si="15"/>
        <v>99.1165062</v>
      </c>
      <c r="AV216" s="25">
        <f t="shared" si="87"/>
        <v>10370</v>
      </c>
    </row>
    <row r="217" ht="14.25" customHeight="1">
      <c r="B217" s="36"/>
      <c r="C217" s="60" t="s">
        <v>46</v>
      </c>
      <c r="D217" s="56"/>
      <c r="E217" s="22" t="s">
        <v>48</v>
      </c>
      <c r="F217" s="56"/>
      <c r="G217" s="27">
        <f t="shared" si="183"/>
        <v>50.81950729</v>
      </c>
      <c r="H217" s="27">
        <f t="shared" si="184"/>
        <v>7.119155354</v>
      </c>
      <c r="I217" s="27">
        <f t="shared" si="185"/>
        <v>41.33735546</v>
      </c>
      <c r="J217" s="27">
        <f t="shared" si="186"/>
        <v>0.1508295626</v>
      </c>
      <c r="K217" s="27">
        <f t="shared" si="187"/>
        <v>0.5731523379</v>
      </c>
      <c r="L217" s="26">
        <f t="shared" si="75"/>
        <v>9.16</v>
      </c>
      <c r="M217" s="22">
        <v>82.29</v>
      </c>
      <c r="N217" s="22">
        <v>8.0</v>
      </c>
      <c r="O217" s="22">
        <v>0.55</v>
      </c>
      <c r="P217" s="22">
        <v>0.27</v>
      </c>
      <c r="Q217" s="22">
        <v>900.0</v>
      </c>
      <c r="R217" s="22" t="s">
        <v>51</v>
      </c>
      <c r="S217" s="58">
        <v>0.0</v>
      </c>
      <c r="T217" s="22">
        <v>19.15</v>
      </c>
      <c r="U217" s="25">
        <v>27.17</v>
      </c>
      <c r="V217" s="25">
        <v>37.65</v>
      </c>
      <c r="W217" s="22">
        <v>28.89</v>
      </c>
      <c r="X217" s="22">
        <v>4.78</v>
      </c>
      <c r="Y217" s="31">
        <f t="shared" si="174"/>
        <v>44.71437468</v>
      </c>
      <c r="Z217" s="22">
        <f t="shared" si="77"/>
        <v>0.7575757576</v>
      </c>
      <c r="AA217" s="22">
        <v>62.66</v>
      </c>
      <c r="AB217" s="22">
        <v>99.79</v>
      </c>
      <c r="AC217" s="25">
        <f t="shared" si="78"/>
        <v>9750</v>
      </c>
      <c r="AD217" s="22" t="s">
        <v>51</v>
      </c>
      <c r="AG217" s="33">
        <v>1.32</v>
      </c>
      <c r="AH217" s="33">
        <v>9.75</v>
      </c>
      <c r="AK217" s="33">
        <f t="shared" si="175"/>
        <v>4.802560062</v>
      </c>
      <c r="AL217" s="33">
        <f t="shared" si="176"/>
        <v>5.937968229</v>
      </c>
      <c r="AM217" s="33">
        <f t="shared" si="177"/>
        <v>10.74052829</v>
      </c>
      <c r="AO217" s="34">
        <f t="shared" si="178"/>
        <v>15.0211044</v>
      </c>
      <c r="AP217" s="34">
        <f t="shared" si="179"/>
        <v>20.81503793</v>
      </c>
      <c r="AQ217" s="34">
        <f t="shared" si="180"/>
        <v>15.97201716</v>
      </c>
      <c r="AR217" s="34">
        <f t="shared" si="181"/>
        <v>2.64265289</v>
      </c>
      <c r="AS217" s="34">
        <f t="shared" si="182"/>
        <v>44.71437468</v>
      </c>
      <c r="AT217" s="35">
        <f t="shared" si="15"/>
        <v>99.16518706</v>
      </c>
      <c r="AV217" s="25">
        <f t="shared" si="87"/>
        <v>9750</v>
      </c>
    </row>
    <row r="218" ht="14.25" customHeight="1">
      <c r="B218" s="36"/>
      <c r="C218" s="60" t="s">
        <v>46</v>
      </c>
      <c r="D218" s="56"/>
      <c r="E218" s="22" t="s">
        <v>48</v>
      </c>
      <c r="F218" s="56"/>
      <c r="G218" s="22">
        <v>51.3</v>
      </c>
      <c r="H218" s="22">
        <v>6.1</v>
      </c>
      <c r="I218" s="22">
        <v>42.59</v>
      </c>
      <c r="J218" s="22">
        <v>0.0</v>
      </c>
      <c r="K218" s="22">
        <v>0.01</v>
      </c>
      <c r="L218" s="26">
        <f t="shared" si="75"/>
        <v>11.27</v>
      </c>
      <c r="M218" s="22">
        <v>79.67</v>
      </c>
      <c r="N218" s="22">
        <v>7.9</v>
      </c>
      <c r="O218" s="22">
        <v>1.16</v>
      </c>
      <c r="P218" s="22">
        <v>0.25</v>
      </c>
      <c r="Q218" s="22">
        <v>770.0</v>
      </c>
      <c r="R218" s="22" t="s">
        <v>51</v>
      </c>
      <c r="S218" s="58">
        <v>0.0</v>
      </c>
      <c r="T218" s="22">
        <v>18.35</v>
      </c>
      <c r="U218" s="25">
        <v>43.6</v>
      </c>
      <c r="V218" s="25">
        <v>33.2</v>
      </c>
      <c r="W218" s="22">
        <v>11.7</v>
      </c>
      <c r="X218" s="22">
        <v>11.5</v>
      </c>
      <c r="Y218" s="31">
        <f t="shared" si="174"/>
        <v>35.67093312</v>
      </c>
      <c r="Z218" s="22">
        <f t="shared" si="77"/>
        <v>0.9090909091</v>
      </c>
      <c r="AA218" s="22">
        <v>77.99</v>
      </c>
      <c r="AB218" s="22">
        <v>64.79</v>
      </c>
      <c r="AC218" s="25">
        <f t="shared" si="78"/>
        <v>13010</v>
      </c>
      <c r="AD218" s="22" t="s">
        <v>51</v>
      </c>
      <c r="AG218" s="33">
        <v>1.1</v>
      </c>
      <c r="AH218" s="33">
        <v>13.01</v>
      </c>
      <c r="AK218" s="33">
        <f t="shared" si="175"/>
        <v>4.203046875</v>
      </c>
      <c r="AL218" s="33">
        <f t="shared" si="176"/>
        <v>7.579787234</v>
      </c>
      <c r="AM218" s="33">
        <f t="shared" si="177"/>
        <v>11.78283411</v>
      </c>
      <c r="AO218" s="34">
        <f t="shared" si="178"/>
        <v>28.04747316</v>
      </c>
      <c r="AP218" s="34">
        <f t="shared" si="179"/>
        <v>21.3572502</v>
      </c>
      <c r="AQ218" s="34">
        <f t="shared" si="180"/>
        <v>7.526500825</v>
      </c>
      <c r="AR218" s="34">
        <f t="shared" si="181"/>
        <v>7.397842691</v>
      </c>
      <c r="AS218" s="34">
        <f t="shared" si="182"/>
        <v>35.67093312</v>
      </c>
      <c r="AT218" s="35">
        <f t="shared" si="15"/>
        <v>100</v>
      </c>
      <c r="AV218" s="25">
        <f t="shared" si="87"/>
        <v>13010</v>
      </c>
    </row>
    <row r="219" ht="14.25" customHeight="1">
      <c r="B219" s="36"/>
      <c r="C219" s="60" t="s">
        <v>46</v>
      </c>
      <c r="D219" s="56"/>
      <c r="E219" s="22" t="s">
        <v>48</v>
      </c>
      <c r="F219" s="56"/>
      <c r="G219" s="22">
        <v>51.3</v>
      </c>
      <c r="H219" s="22">
        <v>6.1</v>
      </c>
      <c r="I219" s="22">
        <v>42.59</v>
      </c>
      <c r="J219" s="22">
        <v>0.0</v>
      </c>
      <c r="K219" s="22">
        <v>0.01</v>
      </c>
      <c r="L219" s="26">
        <f t="shared" si="75"/>
        <v>11.27</v>
      </c>
      <c r="M219" s="22">
        <v>79.67</v>
      </c>
      <c r="N219" s="22">
        <v>7.9</v>
      </c>
      <c r="O219" s="22">
        <v>1.16</v>
      </c>
      <c r="P219" s="22">
        <v>0.25</v>
      </c>
      <c r="Q219" s="22">
        <v>770.0</v>
      </c>
      <c r="R219" s="22" t="s">
        <v>51</v>
      </c>
      <c r="S219" s="58">
        <v>0.0</v>
      </c>
      <c r="T219" s="22">
        <v>18.35</v>
      </c>
      <c r="U219" s="25">
        <v>55.5</v>
      </c>
      <c r="V219" s="25">
        <v>24.0</v>
      </c>
      <c r="W219" s="22">
        <v>14.1</v>
      </c>
      <c r="X219" s="22">
        <v>6.4</v>
      </c>
      <c r="Y219" s="31">
        <f t="shared" si="174"/>
        <v>30.43527344</v>
      </c>
      <c r="Z219" s="22">
        <f t="shared" si="77"/>
        <v>0.5263157895</v>
      </c>
      <c r="AA219" s="22">
        <v>113.28</v>
      </c>
      <c r="AB219" s="22">
        <v>88.29</v>
      </c>
      <c r="AC219" s="25">
        <f t="shared" si="78"/>
        <v>10940</v>
      </c>
      <c r="AD219" s="22" t="s">
        <v>51</v>
      </c>
      <c r="AG219" s="33">
        <v>1.9</v>
      </c>
      <c r="AH219" s="33">
        <v>10.94</v>
      </c>
      <c r="AK219" s="33">
        <f t="shared" si="175"/>
        <v>4.203046875</v>
      </c>
      <c r="AL219" s="33">
        <f t="shared" si="176"/>
        <v>9.606741573</v>
      </c>
      <c r="AM219" s="33">
        <f t="shared" si="177"/>
        <v>13.80978845</v>
      </c>
      <c r="AO219" s="34">
        <f t="shared" si="178"/>
        <v>38.60842324</v>
      </c>
      <c r="AP219" s="34">
        <f t="shared" si="179"/>
        <v>16.69553438</v>
      </c>
      <c r="AQ219" s="34">
        <f t="shared" si="180"/>
        <v>9.808626446</v>
      </c>
      <c r="AR219" s="34">
        <f t="shared" si="181"/>
        <v>4.4521425</v>
      </c>
      <c r="AS219" s="34">
        <f t="shared" si="182"/>
        <v>30.43527344</v>
      </c>
      <c r="AT219" s="35">
        <f t="shared" si="15"/>
        <v>100</v>
      </c>
      <c r="AV219" s="25">
        <f t="shared" si="87"/>
        <v>10940</v>
      </c>
    </row>
    <row r="220" ht="14.25" customHeight="1">
      <c r="B220" s="36"/>
      <c r="C220" s="60" t="s">
        <v>46</v>
      </c>
      <c r="D220" s="56"/>
      <c r="E220" s="22" t="s">
        <v>48</v>
      </c>
      <c r="F220" s="56"/>
      <c r="G220" s="22">
        <v>51.3</v>
      </c>
      <c r="H220" s="22">
        <v>6.1</v>
      </c>
      <c r="I220" s="22">
        <v>42.59</v>
      </c>
      <c r="J220" s="22">
        <v>0.0</v>
      </c>
      <c r="K220" s="22">
        <v>0.01</v>
      </c>
      <c r="L220" s="26">
        <f t="shared" si="75"/>
        <v>11.27</v>
      </c>
      <c r="M220" s="22">
        <v>79.67</v>
      </c>
      <c r="N220" s="22">
        <v>7.9</v>
      </c>
      <c r="O220" s="22">
        <v>1.16</v>
      </c>
      <c r="P220" s="22">
        <v>0.25</v>
      </c>
      <c r="Q220" s="22">
        <v>770.0</v>
      </c>
      <c r="R220" s="22" t="s">
        <v>51</v>
      </c>
      <c r="S220" s="58">
        <v>0.0</v>
      </c>
      <c r="T220" s="22">
        <v>18.35</v>
      </c>
      <c r="U220" s="25">
        <v>52.2</v>
      </c>
      <c r="V220" s="25">
        <v>23.0</v>
      </c>
      <c r="W220" s="22">
        <v>19.9</v>
      </c>
      <c r="X220" s="22">
        <v>7.9</v>
      </c>
      <c r="Y220" s="31">
        <f t="shared" si="174"/>
        <v>33.30887017</v>
      </c>
      <c r="Z220" s="22">
        <f t="shared" si="77"/>
        <v>0.5882352941</v>
      </c>
      <c r="AA220" s="22">
        <v>105.34</v>
      </c>
      <c r="AB220" s="22">
        <v>90.18</v>
      </c>
      <c r="AC220" s="25">
        <f t="shared" si="78"/>
        <v>11370</v>
      </c>
      <c r="AD220" s="22" t="s">
        <v>51</v>
      </c>
      <c r="AG220" s="33">
        <v>1.7</v>
      </c>
      <c r="AH220" s="33">
        <v>11.37</v>
      </c>
      <c r="AK220" s="33">
        <f t="shared" si="175"/>
        <v>4.203046875</v>
      </c>
      <c r="AL220" s="33">
        <f t="shared" si="176"/>
        <v>8.415354331</v>
      </c>
      <c r="AM220" s="33">
        <f t="shared" si="177"/>
        <v>12.61840121</v>
      </c>
      <c r="AO220" s="34">
        <f t="shared" si="178"/>
        <v>34.81276977</v>
      </c>
      <c r="AP220" s="34">
        <f t="shared" si="179"/>
        <v>15.33895986</v>
      </c>
      <c r="AQ220" s="34">
        <f t="shared" si="180"/>
        <v>13.27153484</v>
      </c>
      <c r="AR220" s="34">
        <f t="shared" si="181"/>
        <v>5.268599257</v>
      </c>
      <c r="AS220" s="34">
        <f t="shared" si="182"/>
        <v>33.30887017</v>
      </c>
      <c r="AT220" s="35">
        <f t="shared" si="15"/>
        <v>102.0007339</v>
      </c>
      <c r="AV220" s="25">
        <f t="shared" si="87"/>
        <v>11370</v>
      </c>
    </row>
    <row r="221" ht="14.25" customHeight="1">
      <c r="B221" s="36"/>
      <c r="C221" s="22" t="s">
        <v>46</v>
      </c>
      <c r="D221" s="56"/>
      <c r="E221" s="22" t="s">
        <v>48</v>
      </c>
      <c r="F221" s="56"/>
      <c r="G221" s="27">
        <f t="shared" ref="G221:G227" si="189">42.01*100/(100-O221)</f>
        <v>44.65823323</v>
      </c>
      <c r="H221" s="27">
        <f t="shared" ref="H221:H227" si="190">5.95*100/(100-O221)</f>
        <v>6.32507707</v>
      </c>
      <c r="I221" s="27">
        <f t="shared" ref="I221:I227" si="191">45.01*100/(100-O221)</f>
        <v>47.84734772</v>
      </c>
      <c r="J221" s="27">
        <f t="shared" ref="J221:J227" si="192">0.97*100/(100-O221)</f>
        <v>1.031147018</v>
      </c>
      <c r="K221" s="27">
        <f t="shared" ref="K221:K227" si="193">0.13*100/(100-O221)</f>
        <v>0.1381949612</v>
      </c>
      <c r="L221" s="26">
        <f t="shared" si="75"/>
        <v>11.95</v>
      </c>
      <c r="M221" s="22">
        <v>75.95</v>
      </c>
      <c r="N221" s="22">
        <v>6.17</v>
      </c>
      <c r="O221" s="22">
        <v>5.93</v>
      </c>
      <c r="P221" s="22">
        <v>0.18</v>
      </c>
      <c r="Q221" s="22">
        <v>700.0</v>
      </c>
      <c r="R221" s="22" t="s">
        <v>51</v>
      </c>
      <c r="S221" s="58">
        <v>0.0</v>
      </c>
      <c r="T221" s="22">
        <v>17.75</v>
      </c>
      <c r="U221" s="25">
        <v>6.11</v>
      </c>
      <c r="V221" s="25">
        <v>11.35</v>
      </c>
      <c r="W221" s="22">
        <v>23.93</v>
      </c>
      <c r="X221" s="22">
        <v>1.27</v>
      </c>
      <c r="Y221" s="54">
        <f t="shared" ref="Y221:Y227" si="194">100-SUM(U221:X221)</f>
        <v>57.34</v>
      </c>
      <c r="Z221" s="22">
        <f t="shared" si="77"/>
        <v>0.7407407407</v>
      </c>
      <c r="AA221" s="22">
        <v>21.17</v>
      </c>
      <c r="AB221" s="22">
        <v>60.3</v>
      </c>
      <c r="AC221" s="25">
        <f t="shared" si="78"/>
        <v>2690</v>
      </c>
      <c r="AD221" s="22" t="s">
        <v>51</v>
      </c>
      <c r="AG221" s="33">
        <v>1.35</v>
      </c>
      <c r="AH221" s="33">
        <v>2.69</v>
      </c>
      <c r="AO221" s="34">
        <f t="shared" ref="AO221:AS221" si="188">U221</f>
        <v>6.11</v>
      </c>
      <c r="AP221" s="34">
        <f t="shared" si="188"/>
        <v>11.35</v>
      </c>
      <c r="AQ221" s="34">
        <f t="shared" si="188"/>
        <v>23.93</v>
      </c>
      <c r="AR221" s="34">
        <f t="shared" si="188"/>
        <v>1.27</v>
      </c>
      <c r="AS221" s="34">
        <f t="shared" si="188"/>
        <v>57.34</v>
      </c>
      <c r="AT221" s="35">
        <f t="shared" si="15"/>
        <v>100</v>
      </c>
      <c r="AV221" s="25">
        <f t="shared" si="87"/>
        <v>2690</v>
      </c>
    </row>
    <row r="222" ht="14.25" customHeight="1">
      <c r="B222" s="36"/>
      <c r="C222" s="22" t="s">
        <v>46</v>
      </c>
      <c r="D222" s="56"/>
      <c r="E222" s="22" t="s">
        <v>48</v>
      </c>
      <c r="F222" s="56"/>
      <c r="G222" s="27">
        <f t="shared" si="189"/>
        <v>44.65823323</v>
      </c>
      <c r="H222" s="27">
        <f t="shared" si="190"/>
        <v>6.32507707</v>
      </c>
      <c r="I222" s="27">
        <f t="shared" si="191"/>
        <v>47.84734772</v>
      </c>
      <c r="J222" s="27">
        <f t="shared" si="192"/>
        <v>1.031147018</v>
      </c>
      <c r="K222" s="27">
        <f t="shared" si="193"/>
        <v>0.1381949612</v>
      </c>
      <c r="L222" s="26">
        <f t="shared" si="75"/>
        <v>11.95</v>
      </c>
      <c r="M222" s="22">
        <v>75.95</v>
      </c>
      <c r="N222" s="22">
        <v>6.17</v>
      </c>
      <c r="O222" s="22">
        <v>5.93</v>
      </c>
      <c r="P222" s="22">
        <v>0.21</v>
      </c>
      <c r="Q222" s="22">
        <v>800.0</v>
      </c>
      <c r="R222" s="22" t="s">
        <v>51</v>
      </c>
      <c r="S222" s="58">
        <v>0.0</v>
      </c>
      <c r="T222" s="22">
        <v>17.75</v>
      </c>
      <c r="U222" s="25">
        <v>8.23</v>
      </c>
      <c r="V222" s="25">
        <v>13.55</v>
      </c>
      <c r="W222" s="22">
        <v>20.37</v>
      </c>
      <c r="X222" s="22">
        <v>1.84</v>
      </c>
      <c r="Y222" s="54">
        <f t="shared" si="194"/>
        <v>56.01</v>
      </c>
      <c r="Z222" s="22">
        <f t="shared" si="77"/>
        <v>0.6802721088</v>
      </c>
      <c r="AA222" s="22">
        <v>28.46</v>
      </c>
      <c r="AB222" s="22">
        <v>64.24</v>
      </c>
      <c r="AC222" s="25">
        <f t="shared" si="78"/>
        <v>3320</v>
      </c>
      <c r="AD222" s="22" t="s">
        <v>51</v>
      </c>
      <c r="AG222" s="33">
        <v>1.47</v>
      </c>
      <c r="AH222" s="33">
        <v>3.32</v>
      </c>
      <c r="AO222" s="34">
        <f t="shared" ref="AO222:AS222" si="195">U222</f>
        <v>8.23</v>
      </c>
      <c r="AP222" s="34">
        <f t="shared" si="195"/>
        <v>13.55</v>
      </c>
      <c r="AQ222" s="34">
        <f t="shared" si="195"/>
        <v>20.37</v>
      </c>
      <c r="AR222" s="34">
        <f t="shared" si="195"/>
        <v>1.84</v>
      </c>
      <c r="AS222" s="34">
        <f t="shared" si="195"/>
        <v>56.01</v>
      </c>
      <c r="AT222" s="35">
        <f t="shared" si="15"/>
        <v>100</v>
      </c>
      <c r="AV222" s="25">
        <f t="shared" si="87"/>
        <v>3320</v>
      </c>
    </row>
    <row r="223" ht="14.25" customHeight="1">
      <c r="B223" s="36"/>
      <c r="C223" s="22" t="s">
        <v>46</v>
      </c>
      <c r="D223" s="56"/>
      <c r="E223" s="22" t="s">
        <v>48</v>
      </c>
      <c r="F223" s="56"/>
      <c r="G223" s="27">
        <f t="shared" si="189"/>
        <v>44.65823323</v>
      </c>
      <c r="H223" s="27">
        <f t="shared" si="190"/>
        <v>6.32507707</v>
      </c>
      <c r="I223" s="27">
        <f t="shared" si="191"/>
        <v>47.84734772</v>
      </c>
      <c r="J223" s="27">
        <f t="shared" si="192"/>
        <v>1.031147018</v>
      </c>
      <c r="K223" s="27">
        <f t="shared" si="193"/>
        <v>0.1381949612</v>
      </c>
      <c r="L223" s="26">
        <f t="shared" si="75"/>
        <v>11.95</v>
      </c>
      <c r="M223" s="22">
        <v>75.95</v>
      </c>
      <c r="N223" s="22">
        <v>6.17</v>
      </c>
      <c r="O223" s="22">
        <v>5.93</v>
      </c>
      <c r="P223" s="22">
        <v>0.24</v>
      </c>
      <c r="Q223" s="22">
        <v>800.0</v>
      </c>
      <c r="R223" s="22" t="s">
        <v>51</v>
      </c>
      <c r="S223" s="58">
        <v>0.0</v>
      </c>
      <c r="T223" s="22">
        <v>17.75</v>
      </c>
      <c r="U223" s="25">
        <v>10.92</v>
      </c>
      <c r="V223" s="25">
        <v>16.72</v>
      </c>
      <c r="W223" s="22">
        <v>16.48</v>
      </c>
      <c r="X223" s="22">
        <v>2.98</v>
      </c>
      <c r="Y223" s="54">
        <f t="shared" si="194"/>
        <v>52.9</v>
      </c>
      <c r="Z223" s="22">
        <f t="shared" si="77"/>
        <v>0.6172839506</v>
      </c>
      <c r="AA223" s="22">
        <v>41.85</v>
      </c>
      <c r="AB223" s="22">
        <v>71.62</v>
      </c>
      <c r="AC223" s="25">
        <f t="shared" si="78"/>
        <v>4430</v>
      </c>
      <c r="AD223" s="22" t="s">
        <v>51</v>
      </c>
      <c r="AG223" s="33">
        <v>1.62</v>
      </c>
      <c r="AH223" s="33">
        <v>4.43</v>
      </c>
      <c r="AO223" s="34">
        <f t="shared" ref="AO223:AS223" si="196">U223</f>
        <v>10.92</v>
      </c>
      <c r="AP223" s="34">
        <f t="shared" si="196"/>
        <v>16.72</v>
      </c>
      <c r="AQ223" s="34">
        <f t="shared" si="196"/>
        <v>16.48</v>
      </c>
      <c r="AR223" s="34">
        <f t="shared" si="196"/>
        <v>2.98</v>
      </c>
      <c r="AS223" s="34">
        <f t="shared" si="196"/>
        <v>52.9</v>
      </c>
      <c r="AT223" s="35">
        <f t="shared" si="15"/>
        <v>100</v>
      </c>
      <c r="AV223" s="25">
        <f t="shared" si="87"/>
        <v>4430</v>
      </c>
    </row>
    <row r="224" ht="14.25" customHeight="1">
      <c r="B224" s="36"/>
      <c r="C224" s="22" t="s">
        <v>46</v>
      </c>
      <c r="D224" s="56"/>
      <c r="E224" s="22" t="s">
        <v>48</v>
      </c>
      <c r="F224" s="56"/>
      <c r="G224" s="27">
        <f t="shared" si="189"/>
        <v>44.65823323</v>
      </c>
      <c r="H224" s="27">
        <f t="shared" si="190"/>
        <v>6.32507707</v>
      </c>
      <c r="I224" s="27">
        <f t="shared" si="191"/>
        <v>47.84734772</v>
      </c>
      <c r="J224" s="27">
        <f t="shared" si="192"/>
        <v>1.031147018</v>
      </c>
      <c r="K224" s="27">
        <f t="shared" si="193"/>
        <v>0.1381949612</v>
      </c>
      <c r="L224" s="26">
        <f t="shared" si="75"/>
        <v>11.95</v>
      </c>
      <c r="M224" s="22">
        <v>75.95</v>
      </c>
      <c r="N224" s="22">
        <v>6.17</v>
      </c>
      <c r="O224" s="22">
        <v>5.93</v>
      </c>
      <c r="P224" s="22">
        <v>0.28</v>
      </c>
      <c r="Q224" s="22">
        <v>800.0</v>
      </c>
      <c r="R224" s="22" t="s">
        <v>51</v>
      </c>
      <c r="S224" s="58">
        <v>0.0</v>
      </c>
      <c r="T224" s="22">
        <v>17.75</v>
      </c>
      <c r="U224" s="25">
        <v>12.78</v>
      </c>
      <c r="V224" s="25">
        <v>18.99</v>
      </c>
      <c r="W224" s="22">
        <v>13.11</v>
      </c>
      <c r="X224" s="22">
        <v>3.96</v>
      </c>
      <c r="Y224" s="54">
        <f t="shared" si="194"/>
        <v>51.16</v>
      </c>
      <c r="Z224" s="22">
        <f t="shared" si="77"/>
        <v>0.5524861878</v>
      </c>
      <c r="AA224" s="22">
        <v>55.94</v>
      </c>
      <c r="AB224" s="22">
        <v>79.76</v>
      </c>
      <c r="AC224" s="25">
        <f t="shared" si="78"/>
        <v>5300</v>
      </c>
      <c r="AD224" s="22" t="s">
        <v>51</v>
      </c>
      <c r="AG224" s="33">
        <v>1.81</v>
      </c>
      <c r="AH224" s="33">
        <v>5.3</v>
      </c>
      <c r="AO224" s="34">
        <f t="shared" ref="AO224:AS224" si="197">U224</f>
        <v>12.78</v>
      </c>
      <c r="AP224" s="34">
        <f t="shared" si="197"/>
        <v>18.99</v>
      </c>
      <c r="AQ224" s="34">
        <f t="shared" si="197"/>
        <v>13.11</v>
      </c>
      <c r="AR224" s="34">
        <f t="shared" si="197"/>
        <v>3.96</v>
      </c>
      <c r="AS224" s="34">
        <f t="shared" si="197"/>
        <v>51.16</v>
      </c>
      <c r="AT224" s="35">
        <f t="shared" si="15"/>
        <v>100</v>
      </c>
      <c r="AV224" s="25">
        <f t="shared" si="87"/>
        <v>5300</v>
      </c>
    </row>
    <row r="225" ht="14.25" customHeight="1">
      <c r="B225" s="36"/>
      <c r="C225" s="22" t="s">
        <v>46</v>
      </c>
      <c r="D225" s="56"/>
      <c r="E225" s="22" t="s">
        <v>48</v>
      </c>
      <c r="F225" s="56"/>
      <c r="G225" s="27">
        <f t="shared" si="189"/>
        <v>44.65823323</v>
      </c>
      <c r="H225" s="27">
        <f t="shared" si="190"/>
        <v>6.32507707</v>
      </c>
      <c r="I225" s="27">
        <f t="shared" si="191"/>
        <v>47.84734772</v>
      </c>
      <c r="J225" s="27">
        <f t="shared" si="192"/>
        <v>1.031147018</v>
      </c>
      <c r="K225" s="27">
        <f t="shared" si="193"/>
        <v>0.1381949612</v>
      </c>
      <c r="L225" s="26">
        <f t="shared" si="75"/>
        <v>11.95</v>
      </c>
      <c r="M225" s="22">
        <v>75.95</v>
      </c>
      <c r="N225" s="22">
        <v>6.17</v>
      </c>
      <c r="O225" s="22">
        <v>5.93</v>
      </c>
      <c r="P225" s="22">
        <v>0.32</v>
      </c>
      <c r="Q225" s="22">
        <v>800.0</v>
      </c>
      <c r="R225" s="22" t="s">
        <v>51</v>
      </c>
      <c r="S225" s="58">
        <v>0.0</v>
      </c>
      <c r="T225" s="22">
        <v>17.75</v>
      </c>
      <c r="U225" s="25">
        <v>13.51</v>
      </c>
      <c r="V225" s="25">
        <v>14.81</v>
      </c>
      <c r="W225" s="22">
        <v>11.58</v>
      </c>
      <c r="X225" s="22">
        <v>3.72</v>
      </c>
      <c r="Y225" s="54">
        <f t="shared" si="194"/>
        <v>56.38</v>
      </c>
      <c r="Z225" s="22">
        <f t="shared" si="77"/>
        <v>0.4672897196</v>
      </c>
      <c r="AA225" s="22">
        <v>67.26</v>
      </c>
      <c r="AB225" s="22">
        <v>78.74</v>
      </c>
      <c r="AC225" s="25">
        <f t="shared" si="78"/>
        <v>5390</v>
      </c>
      <c r="AD225" s="22" t="s">
        <v>51</v>
      </c>
      <c r="AG225" s="33">
        <v>2.14</v>
      </c>
      <c r="AH225" s="33">
        <v>5.39</v>
      </c>
      <c r="AO225" s="34">
        <f t="shared" ref="AO225:AS225" si="198">U225</f>
        <v>13.51</v>
      </c>
      <c r="AP225" s="34">
        <f t="shared" si="198"/>
        <v>14.81</v>
      </c>
      <c r="AQ225" s="34">
        <f t="shared" si="198"/>
        <v>11.58</v>
      </c>
      <c r="AR225" s="34">
        <f t="shared" si="198"/>
        <v>3.72</v>
      </c>
      <c r="AS225" s="34">
        <f t="shared" si="198"/>
        <v>56.38</v>
      </c>
      <c r="AT225" s="35">
        <f t="shared" si="15"/>
        <v>100</v>
      </c>
      <c r="AV225" s="25">
        <f t="shared" si="87"/>
        <v>5390</v>
      </c>
    </row>
    <row r="226" ht="14.25" customHeight="1">
      <c r="B226" s="36"/>
      <c r="C226" s="22" t="s">
        <v>46</v>
      </c>
      <c r="D226" s="56"/>
      <c r="E226" s="22" t="s">
        <v>48</v>
      </c>
      <c r="F226" s="56"/>
      <c r="G226" s="27">
        <f t="shared" si="189"/>
        <v>44.65823323</v>
      </c>
      <c r="H226" s="27">
        <f t="shared" si="190"/>
        <v>6.32507707</v>
      </c>
      <c r="I226" s="27">
        <f t="shared" si="191"/>
        <v>47.84734772</v>
      </c>
      <c r="J226" s="27">
        <f t="shared" si="192"/>
        <v>1.031147018</v>
      </c>
      <c r="K226" s="27">
        <f t="shared" si="193"/>
        <v>0.1381949612</v>
      </c>
      <c r="L226" s="26">
        <f t="shared" si="75"/>
        <v>11.95</v>
      </c>
      <c r="M226" s="22">
        <v>75.95</v>
      </c>
      <c r="N226" s="22">
        <v>6.17</v>
      </c>
      <c r="O226" s="22">
        <v>5.93</v>
      </c>
      <c r="P226" s="22">
        <v>0.36</v>
      </c>
      <c r="Q226" s="22">
        <v>800.0</v>
      </c>
      <c r="R226" s="22" t="s">
        <v>51</v>
      </c>
      <c r="S226" s="58">
        <v>0.0</v>
      </c>
      <c r="T226" s="22">
        <v>17.75</v>
      </c>
      <c r="U226" s="25">
        <v>12.26</v>
      </c>
      <c r="V226" s="25">
        <v>17.97</v>
      </c>
      <c r="W226" s="22">
        <v>13.82</v>
      </c>
      <c r="X226" s="22">
        <v>3.65</v>
      </c>
      <c r="Y226" s="54">
        <f t="shared" si="194"/>
        <v>52.3</v>
      </c>
      <c r="Z226" s="22">
        <f t="shared" si="77"/>
        <v>0.395256917</v>
      </c>
      <c r="AA226" s="22">
        <v>73.61</v>
      </c>
      <c r="AB226" s="22">
        <v>109.57</v>
      </c>
      <c r="AC226" s="25">
        <f t="shared" si="78"/>
        <v>4990</v>
      </c>
      <c r="AD226" s="22" t="s">
        <v>51</v>
      </c>
      <c r="AG226" s="33">
        <v>2.53</v>
      </c>
      <c r="AH226" s="33">
        <v>4.99</v>
      </c>
      <c r="AO226" s="34">
        <f t="shared" ref="AO226:AS226" si="199">U226</f>
        <v>12.26</v>
      </c>
      <c r="AP226" s="34">
        <f t="shared" si="199"/>
        <v>17.97</v>
      </c>
      <c r="AQ226" s="34">
        <f t="shared" si="199"/>
        <v>13.82</v>
      </c>
      <c r="AR226" s="34">
        <f t="shared" si="199"/>
        <v>3.65</v>
      </c>
      <c r="AS226" s="34">
        <f t="shared" si="199"/>
        <v>52.3</v>
      </c>
      <c r="AT226" s="35">
        <f t="shared" si="15"/>
        <v>100</v>
      </c>
      <c r="AV226" s="25">
        <f t="shared" si="87"/>
        <v>4990</v>
      </c>
    </row>
    <row r="227" ht="14.25" customHeight="1">
      <c r="B227" s="36"/>
      <c r="C227" s="22" t="s">
        <v>46</v>
      </c>
      <c r="D227" s="56"/>
      <c r="E227" s="22" t="s">
        <v>48</v>
      </c>
      <c r="F227" s="56"/>
      <c r="G227" s="27">
        <f t="shared" si="189"/>
        <v>44.65823323</v>
      </c>
      <c r="H227" s="27">
        <f t="shared" si="190"/>
        <v>6.32507707</v>
      </c>
      <c r="I227" s="27">
        <f t="shared" si="191"/>
        <v>47.84734772</v>
      </c>
      <c r="J227" s="27">
        <f t="shared" si="192"/>
        <v>1.031147018</v>
      </c>
      <c r="K227" s="27">
        <f t="shared" si="193"/>
        <v>0.1381949612</v>
      </c>
      <c r="L227" s="26">
        <f t="shared" si="75"/>
        <v>11.95</v>
      </c>
      <c r="M227" s="22">
        <v>75.95</v>
      </c>
      <c r="N227" s="22">
        <v>6.17</v>
      </c>
      <c r="O227" s="22">
        <v>5.93</v>
      </c>
      <c r="P227" s="22">
        <v>0.41</v>
      </c>
      <c r="Q227" s="22">
        <v>800.0</v>
      </c>
      <c r="R227" s="22" t="s">
        <v>51</v>
      </c>
      <c r="S227" s="58">
        <v>0.0</v>
      </c>
      <c r="T227" s="22">
        <v>17.75</v>
      </c>
      <c r="U227" s="25">
        <v>10.58</v>
      </c>
      <c r="V227" s="25">
        <v>15.16</v>
      </c>
      <c r="W227" s="22">
        <v>18.41</v>
      </c>
      <c r="X227" s="22">
        <v>1.57</v>
      </c>
      <c r="Y227" s="54">
        <f t="shared" si="194"/>
        <v>54.28</v>
      </c>
      <c r="Z227" s="22">
        <f t="shared" si="77"/>
        <v>0.3496503497</v>
      </c>
      <c r="AA227" s="22">
        <v>61.54</v>
      </c>
      <c r="AB227" s="22">
        <v>122.81</v>
      </c>
      <c r="AC227" s="25">
        <f t="shared" si="78"/>
        <v>3690</v>
      </c>
      <c r="AD227" s="22" t="s">
        <v>51</v>
      </c>
      <c r="AG227" s="33">
        <v>2.86</v>
      </c>
      <c r="AH227" s="33">
        <v>3.69</v>
      </c>
      <c r="AO227" s="34">
        <f t="shared" ref="AO227:AS227" si="200">U227</f>
        <v>10.58</v>
      </c>
      <c r="AP227" s="34">
        <f t="shared" si="200"/>
        <v>15.16</v>
      </c>
      <c r="AQ227" s="34">
        <f t="shared" si="200"/>
        <v>18.41</v>
      </c>
      <c r="AR227" s="34">
        <f t="shared" si="200"/>
        <v>1.57</v>
      </c>
      <c r="AS227" s="34">
        <f t="shared" si="200"/>
        <v>54.28</v>
      </c>
      <c r="AT227" s="35">
        <f t="shared" si="15"/>
        <v>100</v>
      </c>
      <c r="AV227" s="25">
        <f t="shared" si="87"/>
        <v>3690</v>
      </c>
    </row>
    <row r="228" ht="14.25" customHeight="1">
      <c r="B228" s="36"/>
      <c r="C228" s="22" t="s">
        <v>46</v>
      </c>
      <c r="D228" s="56"/>
      <c r="E228" s="22" t="s">
        <v>48</v>
      </c>
      <c r="F228" s="56"/>
      <c r="G228" s="22">
        <v>52.54</v>
      </c>
      <c r="H228" s="22">
        <v>5.37</v>
      </c>
      <c r="I228" s="22">
        <v>41.01</v>
      </c>
      <c r="J228" s="22">
        <v>0.59</v>
      </c>
      <c r="K228" s="22">
        <v>0.49</v>
      </c>
      <c r="L228" s="26">
        <f t="shared" si="75"/>
        <v>0</v>
      </c>
      <c r="M228" s="22">
        <v>84.48</v>
      </c>
      <c r="N228" s="22">
        <v>10.12</v>
      </c>
      <c r="O228" s="22">
        <v>5.4</v>
      </c>
      <c r="P228" s="22">
        <v>0.4</v>
      </c>
      <c r="Q228" s="22">
        <v>690.0</v>
      </c>
      <c r="R228" s="22" t="s">
        <v>51</v>
      </c>
      <c r="S228" s="58">
        <v>0.0</v>
      </c>
      <c r="T228" s="22">
        <v>16.88</v>
      </c>
      <c r="U228" s="25">
        <v>50.5</v>
      </c>
      <c r="V228" s="25">
        <v>14.3</v>
      </c>
      <c r="W228" s="22">
        <v>26.6</v>
      </c>
      <c r="X228" s="22">
        <v>8.6</v>
      </c>
      <c r="Y228" s="31">
        <f t="shared" ref="Y228:Y245" si="201">(AK228/AM228)*100</f>
        <v>43.1044372</v>
      </c>
      <c r="Z228" s="22">
        <f t="shared" si="77"/>
        <v>0.5952380952</v>
      </c>
      <c r="AA228" s="22">
        <v>90.79</v>
      </c>
      <c r="AB228" s="22">
        <v>62.6</v>
      </c>
      <c r="AC228" s="25">
        <f t="shared" si="78"/>
        <v>6800</v>
      </c>
      <c r="AD228" s="22" t="s">
        <v>51</v>
      </c>
      <c r="AG228" s="33">
        <v>1.68</v>
      </c>
      <c r="AH228" s="33">
        <v>6.8</v>
      </c>
      <c r="AK228" s="33">
        <f t="shared" ref="AK228:AK245" si="202">0.79*((P228*(((G228/12)+(H228/4))-((I228/16)/2)))/0.21)+(J228/14)/2</f>
        <v>6.701117063</v>
      </c>
      <c r="AL228" s="33">
        <f t="shared" ref="AL228:AL245" si="203">(100*G228)/(12*(V228+W228+X228))</f>
        <v>8.845117845</v>
      </c>
      <c r="AM228" s="33">
        <f t="shared" ref="AM228:AM245" si="204">AL228+AK228</f>
        <v>15.54623491</v>
      </c>
      <c r="AO228" s="34">
        <f t="shared" ref="AO228:AO245" si="205">((AL228*(U228/100))/AM228)*100</f>
        <v>28.73225921</v>
      </c>
      <c r="AP228" s="34">
        <f t="shared" ref="AP228:AP245" si="206">((AL228*(V228/100))/AM228)*100</f>
        <v>8.13606548</v>
      </c>
      <c r="AQ228" s="34">
        <f t="shared" ref="AQ228:AQ245" si="207">((AL228*(W228/100))/AM228)*100</f>
        <v>15.1342197</v>
      </c>
      <c r="AR228" s="34">
        <f t="shared" ref="AR228:AR245" si="208">((AL228*(X228/100))/AM228)*100</f>
        <v>4.893018401</v>
      </c>
      <c r="AS228" s="34">
        <f t="shared" ref="AS228:AS245" si="209">Y228</f>
        <v>43.1044372</v>
      </c>
      <c r="AT228" s="35">
        <f t="shared" si="15"/>
        <v>100</v>
      </c>
      <c r="AV228" s="25">
        <f t="shared" si="87"/>
        <v>6800</v>
      </c>
    </row>
    <row r="229" ht="14.25" customHeight="1">
      <c r="B229" s="36"/>
      <c r="C229" s="22" t="s">
        <v>46</v>
      </c>
      <c r="D229" s="56"/>
      <c r="E229" s="22" t="s">
        <v>48</v>
      </c>
      <c r="F229" s="56"/>
      <c r="G229" s="22">
        <v>52.54</v>
      </c>
      <c r="H229" s="22">
        <v>5.37</v>
      </c>
      <c r="I229" s="22">
        <v>41.01</v>
      </c>
      <c r="J229" s="22">
        <v>0.59</v>
      </c>
      <c r="K229" s="22">
        <v>0.49</v>
      </c>
      <c r="L229" s="26">
        <f t="shared" si="75"/>
        <v>0</v>
      </c>
      <c r="M229" s="22">
        <v>84.48</v>
      </c>
      <c r="N229" s="22">
        <v>10.12</v>
      </c>
      <c r="O229" s="22">
        <v>5.4</v>
      </c>
      <c r="P229" s="22">
        <v>0.4</v>
      </c>
      <c r="Q229" s="22">
        <v>730.0</v>
      </c>
      <c r="R229" s="22" t="s">
        <v>51</v>
      </c>
      <c r="S229" s="58">
        <v>0.0</v>
      </c>
      <c r="T229" s="22">
        <v>16.88</v>
      </c>
      <c r="U229" s="25">
        <v>52.2</v>
      </c>
      <c r="V229" s="25">
        <v>16.3</v>
      </c>
      <c r="W229" s="22">
        <v>23.5</v>
      </c>
      <c r="X229" s="22">
        <v>7.9</v>
      </c>
      <c r="Y229" s="31">
        <f t="shared" si="201"/>
        <v>42.19843579</v>
      </c>
      <c r="Z229" s="22">
        <f t="shared" si="77"/>
        <v>0.5405405405</v>
      </c>
      <c r="AA229" s="22">
        <v>96.34</v>
      </c>
      <c r="AB229" s="22">
        <v>66.9</v>
      </c>
      <c r="AC229" s="25">
        <f t="shared" si="78"/>
        <v>6600</v>
      </c>
      <c r="AD229" s="22" t="s">
        <v>51</v>
      </c>
      <c r="AG229" s="33">
        <v>1.85</v>
      </c>
      <c r="AH229" s="33">
        <v>6.6</v>
      </c>
      <c r="AK229" s="33">
        <f t="shared" si="202"/>
        <v>6.701117063</v>
      </c>
      <c r="AL229" s="33">
        <f t="shared" si="203"/>
        <v>9.178895877</v>
      </c>
      <c r="AM229" s="33">
        <f t="shared" si="204"/>
        <v>15.88001294</v>
      </c>
      <c r="AO229" s="34">
        <f t="shared" si="205"/>
        <v>30.17241652</v>
      </c>
      <c r="AP229" s="34">
        <f t="shared" si="206"/>
        <v>9.421654967</v>
      </c>
      <c r="AQ229" s="34">
        <f t="shared" si="207"/>
        <v>13.58336759</v>
      </c>
      <c r="AR229" s="34">
        <f t="shared" si="208"/>
        <v>4.566323573</v>
      </c>
      <c r="AS229" s="34">
        <f t="shared" si="209"/>
        <v>42.19843579</v>
      </c>
      <c r="AT229" s="35">
        <f t="shared" si="15"/>
        <v>99.94219844</v>
      </c>
      <c r="AV229" s="25">
        <f t="shared" si="87"/>
        <v>6600</v>
      </c>
    </row>
    <row r="230" ht="14.25" customHeight="1">
      <c r="B230" s="36"/>
      <c r="C230" s="22" t="s">
        <v>46</v>
      </c>
      <c r="D230" s="56"/>
      <c r="E230" s="22" t="s">
        <v>48</v>
      </c>
      <c r="F230" s="56"/>
      <c r="G230" s="22">
        <v>52.54</v>
      </c>
      <c r="H230" s="22">
        <v>5.37</v>
      </c>
      <c r="I230" s="22">
        <v>41.01</v>
      </c>
      <c r="J230" s="22">
        <v>0.59</v>
      </c>
      <c r="K230" s="22">
        <v>0.49</v>
      </c>
      <c r="L230" s="26">
        <f t="shared" si="75"/>
        <v>0</v>
      </c>
      <c r="M230" s="22">
        <v>84.48</v>
      </c>
      <c r="N230" s="22">
        <v>10.12</v>
      </c>
      <c r="O230" s="22">
        <v>5.4</v>
      </c>
      <c r="P230" s="22">
        <v>0.4</v>
      </c>
      <c r="Q230" s="22">
        <v>750.0</v>
      </c>
      <c r="R230" s="22" t="s">
        <v>51</v>
      </c>
      <c r="S230" s="58">
        <v>0.0</v>
      </c>
      <c r="T230" s="22">
        <v>16.88</v>
      </c>
      <c r="U230" s="25">
        <v>49.5</v>
      </c>
      <c r="V230" s="25">
        <v>23.7</v>
      </c>
      <c r="W230" s="22">
        <v>21.2</v>
      </c>
      <c r="X230" s="22">
        <v>5.6</v>
      </c>
      <c r="Y230" s="31">
        <f t="shared" si="201"/>
        <v>43.59560482</v>
      </c>
      <c r="Z230" s="22">
        <f t="shared" si="77"/>
        <v>0.6993006993</v>
      </c>
      <c r="AA230" s="22">
        <v>78.84</v>
      </c>
      <c r="AB230" s="22">
        <v>43.88</v>
      </c>
      <c r="AC230" s="25">
        <f t="shared" si="78"/>
        <v>5600</v>
      </c>
      <c r="AD230" s="22" t="s">
        <v>51</v>
      </c>
      <c r="AG230" s="33">
        <v>1.43</v>
      </c>
      <c r="AH230" s="33">
        <v>5.6</v>
      </c>
      <c r="AK230" s="33">
        <f t="shared" si="202"/>
        <v>6.701117063</v>
      </c>
      <c r="AL230" s="33">
        <f t="shared" si="203"/>
        <v>8.669966997</v>
      </c>
      <c r="AM230" s="33">
        <f t="shared" si="204"/>
        <v>15.37108406</v>
      </c>
      <c r="AO230" s="34">
        <f t="shared" si="205"/>
        <v>27.92017561</v>
      </c>
      <c r="AP230" s="34">
        <f t="shared" si="206"/>
        <v>13.36784166</v>
      </c>
      <c r="AQ230" s="34">
        <f t="shared" si="207"/>
        <v>11.95773178</v>
      </c>
      <c r="AR230" s="34">
        <f t="shared" si="208"/>
        <v>3.15864613</v>
      </c>
      <c r="AS230" s="34">
        <f t="shared" si="209"/>
        <v>43.59560482</v>
      </c>
      <c r="AT230" s="35">
        <f t="shared" si="15"/>
        <v>100</v>
      </c>
      <c r="AV230" s="25">
        <f t="shared" si="87"/>
        <v>5600</v>
      </c>
    </row>
    <row r="231" ht="14.25" customHeight="1">
      <c r="B231" s="36"/>
      <c r="C231" s="22" t="s">
        <v>46</v>
      </c>
      <c r="D231" s="56"/>
      <c r="E231" s="22" t="s">
        <v>48</v>
      </c>
      <c r="F231" s="56"/>
      <c r="G231" s="22">
        <v>52.54</v>
      </c>
      <c r="H231" s="22">
        <v>5.37</v>
      </c>
      <c r="I231" s="22">
        <v>41.01</v>
      </c>
      <c r="J231" s="22">
        <v>0.59</v>
      </c>
      <c r="K231" s="22">
        <v>0.49</v>
      </c>
      <c r="L231" s="26">
        <f t="shared" si="75"/>
        <v>0</v>
      </c>
      <c r="M231" s="22">
        <v>84.48</v>
      </c>
      <c r="N231" s="22">
        <v>10.12</v>
      </c>
      <c r="O231" s="22">
        <v>5.4</v>
      </c>
      <c r="P231" s="22">
        <v>0.4</v>
      </c>
      <c r="Q231" s="22">
        <v>750.0</v>
      </c>
      <c r="R231" s="22" t="s">
        <v>51</v>
      </c>
      <c r="S231" s="58">
        <v>0.0</v>
      </c>
      <c r="T231" s="22">
        <v>16.88</v>
      </c>
      <c r="U231" s="25">
        <v>52.9</v>
      </c>
      <c r="V231" s="25">
        <v>17.75</v>
      </c>
      <c r="W231" s="22">
        <v>22.25</v>
      </c>
      <c r="X231" s="22">
        <v>7.4</v>
      </c>
      <c r="Y231" s="31">
        <f t="shared" si="201"/>
        <v>42.04462281</v>
      </c>
      <c r="Z231" s="22">
        <f t="shared" si="77"/>
        <v>0.4115226337</v>
      </c>
      <c r="AA231" s="22">
        <v>85.65</v>
      </c>
      <c r="AB231" s="22">
        <v>91.87</v>
      </c>
      <c r="AC231" s="25">
        <f t="shared" si="78"/>
        <v>6900</v>
      </c>
      <c r="AD231" s="22" t="s">
        <v>51</v>
      </c>
      <c r="AG231" s="33">
        <v>2.43</v>
      </c>
      <c r="AH231" s="33">
        <v>6.9</v>
      </c>
      <c r="AK231" s="33">
        <f t="shared" si="202"/>
        <v>6.701117063</v>
      </c>
      <c r="AL231" s="33">
        <f t="shared" si="203"/>
        <v>9.236990155</v>
      </c>
      <c r="AM231" s="33">
        <f t="shared" si="204"/>
        <v>15.93810722</v>
      </c>
      <c r="AO231" s="34">
        <f t="shared" si="205"/>
        <v>30.65839453</v>
      </c>
      <c r="AP231" s="34">
        <f t="shared" si="206"/>
        <v>10.28707945</v>
      </c>
      <c r="AQ231" s="34">
        <f t="shared" si="207"/>
        <v>12.89507142</v>
      </c>
      <c r="AR231" s="34">
        <f t="shared" si="208"/>
        <v>4.288697912</v>
      </c>
      <c r="AS231" s="34">
        <f t="shared" si="209"/>
        <v>42.04462281</v>
      </c>
      <c r="AT231" s="35">
        <f t="shared" si="15"/>
        <v>100.1738661</v>
      </c>
      <c r="AV231" s="25">
        <f t="shared" si="87"/>
        <v>6900</v>
      </c>
    </row>
    <row r="232" ht="14.25" customHeight="1">
      <c r="B232" s="36"/>
      <c r="C232" s="22" t="s">
        <v>46</v>
      </c>
      <c r="D232" s="56"/>
      <c r="E232" s="22" t="s">
        <v>48</v>
      </c>
      <c r="F232" s="56"/>
      <c r="G232" s="22">
        <v>52.54</v>
      </c>
      <c r="H232" s="22">
        <v>5.37</v>
      </c>
      <c r="I232" s="22">
        <v>41.01</v>
      </c>
      <c r="J232" s="22">
        <v>0.59</v>
      </c>
      <c r="K232" s="22">
        <v>0.49</v>
      </c>
      <c r="L232" s="26">
        <f t="shared" si="75"/>
        <v>0</v>
      </c>
      <c r="M232" s="22">
        <v>84.48</v>
      </c>
      <c r="N232" s="22">
        <v>10.12</v>
      </c>
      <c r="O232" s="22">
        <v>5.4</v>
      </c>
      <c r="P232" s="22">
        <v>0.4</v>
      </c>
      <c r="Q232" s="22">
        <v>750.0</v>
      </c>
      <c r="R232" s="22" t="s">
        <v>51</v>
      </c>
      <c r="S232" s="58">
        <v>0.0</v>
      </c>
      <c r="T232" s="22">
        <v>16.88</v>
      </c>
      <c r="U232" s="25">
        <v>52.9</v>
      </c>
      <c r="V232" s="25">
        <v>16.4</v>
      </c>
      <c r="W232" s="22">
        <v>22.9</v>
      </c>
      <c r="X232" s="22">
        <v>7.8</v>
      </c>
      <c r="Y232" s="31">
        <f t="shared" si="201"/>
        <v>41.88998905</v>
      </c>
      <c r="Z232" s="22">
        <f t="shared" si="77"/>
        <v>0.3636363636</v>
      </c>
      <c r="AA232" s="22">
        <v>79.44</v>
      </c>
      <c r="AB232" s="22">
        <v>78.36</v>
      </c>
      <c r="AC232" s="25">
        <f t="shared" si="78"/>
        <v>5200</v>
      </c>
      <c r="AD232" s="22" t="s">
        <v>51</v>
      </c>
      <c r="AG232" s="33">
        <v>2.75</v>
      </c>
      <c r="AH232" s="33">
        <v>5.2</v>
      </c>
      <c r="AK232" s="33">
        <f t="shared" si="202"/>
        <v>6.701117063</v>
      </c>
      <c r="AL232" s="33">
        <f t="shared" si="203"/>
        <v>9.295824487</v>
      </c>
      <c r="AM232" s="33">
        <f t="shared" si="204"/>
        <v>15.99694155</v>
      </c>
      <c r="AO232" s="34">
        <f t="shared" si="205"/>
        <v>30.74019579</v>
      </c>
      <c r="AP232" s="34">
        <f t="shared" si="206"/>
        <v>9.530041796</v>
      </c>
      <c r="AQ232" s="34">
        <f t="shared" si="207"/>
        <v>13.30719251</v>
      </c>
      <c r="AR232" s="34">
        <f t="shared" si="208"/>
        <v>4.532580854</v>
      </c>
      <c r="AS232" s="34">
        <f t="shared" si="209"/>
        <v>41.88998905</v>
      </c>
      <c r="AT232" s="35">
        <f t="shared" si="15"/>
        <v>100</v>
      </c>
      <c r="AV232" s="25">
        <f t="shared" si="87"/>
        <v>5200</v>
      </c>
    </row>
    <row r="233" ht="14.25" customHeight="1">
      <c r="B233" s="36"/>
      <c r="C233" s="22" t="s">
        <v>46</v>
      </c>
      <c r="D233" s="56"/>
      <c r="E233" s="22" t="s">
        <v>48</v>
      </c>
      <c r="F233" s="56"/>
      <c r="G233" s="22">
        <v>52.54</v>
      </c>
      <c r="H233" s="22">
        <v>5.37</v>
      </c>
      <c r="I233" s="22">
        <v>41.01</v>
      </c>
      <c r="J233" s="22">
        <v>0.59</v>
      </c>
      <c r="K233" s="22">
        <v>0.49</v>
      </c>
      <c r="L233" s="26">
        <f t="shared" si="75"/>
        <v>0</v>
      </c>
      <c r="M233" s="22">
        <v>84.48</v>
      </c>
      <c r="N233" s="22">
        <v>10.12</v>
      </c>
      <c r="O233" s="22">
        <v>5.4</v>
      </c>
      <c r="P233" s="22">
        <v>0.4</v>
      </c>
      <c r="Q233" s="22">
        <v>770.0</v>
      </c>
      <c r="R233" s="22" t="s">
        <v>51</v>
      </c>
      <c r="S233" s="58">
        <v>0.0</v>
      </c>
      <c r="T233" s="22">
        <v>16.88</v>
      </c>
      <c r="U233" s="25">
        <v>54.4</v>
      </c>
      <c r="V233" s="25">
        <v>18.0</v>
      </c>
      <c r="W233" s="22">
        <v>19.4</v>
      </c>
      <c r="X233" s="22">
        <v>7.7</v>
      </c>
      <c r="Y233" s="31">
        <f t="shared" si="201"/>
        <v>40.83762763</v>
      </c>
      <c r="Z233" s="22">
        <f t="shared" si="77"/>
        <v>0.3546099291</v>
      </c>
      <c r="AA233" s="22">
        <v>138.85</v>
      </c>
      <c r="AB233" s="22">
        <v>95.8</v>
      </c>
      <c r="AC233" s="25">
        <f t="shared" si="78"/>
        <v>6200</v>
      </c>
      <c r="AD233" s="22" t="s">
        <v>51</v>
      </c>
      <c r="AG233" s="33">
        <v>2.82</v>
      </c>
      <c r="AH233" s="33">
        <v>6.2</v>
      </c>
      <c r="AK233" s="33">
        <f t="shared" si="202"/>
        <v>6.701117063</v>
      </c>
      <c r="AL233" s="33">
        <f t="shared" si="203"/>
        <v>9.708056171</v>
      </c>
      <c r="AM233" s="33">
        <f t="shared" si="204"/>
        <v>16.40917323</v>
      </c>
      <c r="AO233" s="34">
        <f t="shared" si="205"/>
        <v>32.18433057</v>
      </c>
      <c r="AP233" s="34">
        <f t="shared" si="206"/>
        <v>10.64922703</v>
      </c>
      <c r="AQ233" s="34">
        <f t="shared" si="207"/>
        <v>11.47750024</v>
      </c>
      <c r="AR233" s="34">
        <f t="shared" si="208"/>
        <v>4.555502672</v>
      </c>
      <c r="AS233" s="34">
        <f t="shared" si="209"/>
        <v>40.83762763</v>
      </c>
      <c r="AT233" s="35">
        <f t="shared" si="15"/>
        <v>99.70418814</v>
      </c>
      <c r="AV233" s="25">
        <f t="shared" si="87"/>
        <v>6200</v>
      </c>
    </row>
    <row r="234" ht="14.25" customHeight="1">
      <c r="B234" s="36"/>
      <c r="C234" s="22" t="s">
        <v>46</v>
      </c>
      <c r="D234" s="56"/>
      <c r="E234" s="22" t="s">
        <v>48</v>
      </c>
      <c r="F234" s="56"/>
      <c r="G234" s="22">
        <v>52.54</v>
      </c>
      <c r="H234" s="22">
        <v>5.37</v>
      </c>
      <c r="I234" s="22">
        <v>41.01</v>
      </c>
      <c r="J234" s="22">
        <v>0.59</v>
      </c>
      <c r="K234" s="22">
        <v>0.49</v>
      </c>
      <c r="L234" s="26">
        <f t="shared" si="75"/>
        <v>0</v>
      </c>
      <c r="M234" s="22">
        <v>84.48</v>
      </c>
      <c r="N234" s="22">
        <v>10.12</v>
      </c>
      <c r="O234" s="22">
        <v>5.4</v>
      </c>
      <c r="P234" s="22">
        <v>0.35</v>
      </c>
      <c r="Q234" s="22">
        <v>690.0</v>
      </c>
      <c r="R234" s="22" t="s">
        <v>51</v>
      </c>
      <c r="S234" s="58">
        <v>0.0</v>
      </c>
      <c r="T234" s="22">
        <v>16.88</v>
      </c>
      <c r="U234" s="25">
        <v>48.76</v>
      </c>
      <c r="V234" s="25">
        <v>12.99</v>
      </c>
      <c r="W234" s="22">
        <v>31.21</v>
      </c>
      <c r="X234" s="22">
        <v>7.03</v>
      </c>
      <c r="Y234" s="31">
        <f t="shared" si="201"/>
        <v>40.70145162</v>
      </c>
      <c r="Z234" s="22">
        <f t="shared" si="77"/>
        <v>0.5154639175</v>
      </c>
      <c r="AA234" s="22">
        <v>86.42</v>
      </c>
      <c r="AB234" s="22">
        <v>70.16</v>
      </c>
      <c r="AC234" s="25">
        <f t="shared" si="78"/>
        <v>6600</v>
      </c>
      <c r="AD234" s="22" t="s">
        <v>51</v>
      </c>
      <c r="AG234" s="33">
        <v>1.94</v>
      </c>
      <c r="AH234" s="33">
        <v>6.6</v>
      </c>
      <c r="AK234" s="33">
        <f t="shared" si="202"/>
        <v>5.866111359</v>
      </c>
      <c r="AL234" s="33">
        <f t="shared" si="203"/>
        <v>8.546424621</v>
      </c>
      <c r="AM234" s="33">
        <f t="shared" si="204"/>
        <v>14.41253598</v>
      </c>
      <c r="AO234" s="34">
        <f t="shared" si="205"/>
        <v>28.91397219</v>
      </c>
      <c r="AP234" s="34">
        <f t="shared" si="206"/>
        <v>7.702881435</v>
      </c>
      <c r="AQ234" s="34">
        <f t="shared" si="207"/>
        <v>18.50707695</v>
      </c>
      <c r="AR234" s="34">
        <f t="shared" si="208"/>
        <v>4.168687951</v>
      </c>
      <c r="AS234" s="34">
        <f t="shared" si="209"/>
        <v>40.70145162</v>
      </c>
      <c r="AT234" s="35">
        <f t="shared" si="15"/>
        <v>99.99407015</v>
      </c>
      <c r="AV234" s="25">
        <f t="shared" si="87"/>
        <v>6600</v>
      </c>
    </row>
    <row r="235" ht="14.25" customHeight="1">
      <c r="B235" s="36"/>
      <c r="C235" s="22" t="s">
        <v>46</v>
      </c>
      <c r="D235" s="56"/>
      <c r="E235" s="22" t="s">
        <v>48</v>
      </c>
      <c r="F235" s="56"/>
      <c r="G235" s="22">
        <v>52.54</v>
      </c>
      <c r="H235" s="22">
        <v>5.37</v>
      </c>
      <c r="I235" s="22">
        <v>41.01</v>
      </c>
      <c r="J235" s="22">
        <v>0.59</v>
      </c>
      <c r="K235" s="22">
        <v>0.49</v>
      </c>
      <c r="L235" s="26">
        <f t="shared" si="75"/>
        <v>0</v>
      </c>
      <c r="M235" s="22">
        <v>84.48</v>
      </c>
      <c r="N235" s="22">
        <v>10.12</v>
      </c>
      <c r="O235" s="22">
        <v>5.4</v>
      </c>
      <c r="P235" s="22">
        <v>0.35</v>
      </c>
      <c r="Q235" s="22">
        <v>730.0</v>
      </c>
      <c r="R235" s="22" t="s">
        <v>51</v>
      </c>
      <c r="S235" s="58">
        <v>0.0</v>
      </c>
      <c r="T235" s="22">
        <v>16.88</v>
      </c>
      <c r="U235" s="25">
        <v>50.71</v>
      </c>
      <c r="V235" s="25">
        <v>15.45</v>
      </c>
      <c r="W235" s="22">
        <v>28.74</v>
      </c>
      <c r="X235" s="22">
        <v>5.06</v>
      </c>
      <c r="Y235" s="31">
        <f t="shared" si="201"/>
        <v>39.75372976</v>
      </c>
      <c r="Z235" s="22">
        <f t="shared" si="77"/>
        <v>0.5319148936</v>
      </c>
      <c r="AA235" s="22">
        <v>57.53</v>
      </c>
      <c r="AB235" s="22">
        <v>71.08</v>
      </c>
      <c r="AC235" s="25">
        <f t="shared" si="78"/>
        <v>6900</v>
      </c>
      <c r="AD235" s="22" t="s">
        <v>51</v>
      </c>
      <c r="AG235" s="33">
        <v>1.88</v>
      </c>
      <c r="AH235" s="33">
        <v>6.9</v>
      </c>
      <c r="AK235" s="33">
        <f t="shared" si="202"/>
        <v>5.866111359</v>
      </c>
      <c r="AL235" s="33">
        <f t="shared" si="203"/>
        <v>8.89001692</v>
      </c>
      <c r="AM235" s="33">
        <f t="shared" si="204"/>
        <v>14.75612828</v>
      </c>
      <c r="AO235" s="34">
        <f t="shared" si="205"/>
        <v>30.55088364</v>
      </c>
      <c r="AP235" s="34">
        <f t="shared" si="206"/>
        <v>9.308048752</v>
      </c>
      <c r="AQ235" s="34">
        <f t="shared" si="207"/>
        <v>17.31477807</v>
      </c>
      <c r="AR235" s="34">
        <f t="shared" si="208"/>
        <v>3.048461274</v>
      </c>
      <c r="AS235" s="34">
        <f t="shared" si="209"/>
        <v>39.75372976</v>
      </c>
      <c r="AT235" s="35">
        <f t="shared" si="15"/>
        <v>99.97590149</v>
      </c>
      <c r="AV235" s="25">
        <f t="shared" si="87"/>
        <v>6900</v>
      </c>
    </row>
    <row r="236" ht="14.25" customHeight="1">
      <c r="B236" s="36"/>
      <c r="C236" s="22" t="s">
        <v>46</v>
      </c>
      <c r="D236" s="56"/>
      <c r="E236" s="22" t="s">
        <v>48</v>
      </c>
      <c r="F236" s="56"/>
      <c r="G236" s="22">
        <v>52.54</v>
      </c>
      <c r="H236" s="22">
        <v>5.37</v>
      </c>
      <c r="I236" s="22">
        <v>41.01</v>
      </c>
      <c r="J236" s="22">
        <v>0.59</v>
      </c>
      <c r="K236" s="22">
        <v>0.49</v>
      </c>
      <c r="L236" s="26">
        <f t="shared" si="75"/>
        <v>0</v>
      </c>
      <c r="M236" s="22">
        <v>84.48</v>
      </c>
      <c r="N236" s="22">
        <v>10.12</v>
      </c>
      <c r="O236" s="22">
        <v>5.4</v>
      </c>
      <c r="P236" s="22">
        <v>0.35</v>
      </c>
      <c r="Q236" s="22">
        <v>750.0</v>
      </c>
      <c r="R236" s="22" t="s">
        <v>51</v>
      </c>
      <c r="S236" s="58">
        <v>0.0</v>
      </c>
      <c r="T236" s="22">
        <v>16.88</v>
      </c>
      <c r="U236" s="25">
        <v>50.37</v>
      </c>
      <c r="V236" s="25">
        <v>20.59</v>
      </c>
      <c r="W236" s="22">
        <v>25.01</v>
      </c>
      <c r="X236" s="22">
        <v>4.02</v>
      </c>
      <c r="Y236" s="31">
        <f t="shared" si="201"/>
        <v>39.93312397</v>
      </c>
      <c r="Z236" s="22">
        <f t="shared" si="77"/>
        <v>0.5102040816</v>
      </c>
      <c r="AA236" s="22">
        <v>80.59</v>
      </c>
      <c r="AB236" s="22">
        <v>68.73</v>
      </c>
      <c r="AC236" s="25">
        <f t="shared" si="78"/>
        <v>6400</v>
      </c>
      <c r="AD236" s="22" t="s">
        <v>51</v>
      </c>
      <c r="AG236" s="33">
        <v>1.96</v>
      </c>
      <c r="AH236" s="33">
        <v>6.4</v>
      </c>
      <c r="AK236" s="33">
        <f t="shared" si="202"/>
        <v>5.866111359</v>
      </c>
      <c r="AL236" s="33">
        <f t="shared" si="203"/>
        <v>8.823726992</v>
      </c>
      <c r="AM236" s="33">
        <f t="shared" si="204"/>
        <v>14.68983835</v>
      </c>
      <c r="AO236" s="34">
        <f t="shared" si="205"/>
        <v>30.25568546</v>
      </c>
      <c r="AP236" s="34">
        <f t="shared" si="206"/>
        <v>12.36776978</v>
      </c>
      <c r="AQ236" s="34">
        <f t="shared" si="207"/>
        <v>15.0227257</v>
      </c>
      <c r="AR236" s="34">
        <f t="shared" si="208"/>
        <v>2.414688417</v>
      </c>
      <c r="AS236" s="34">
        <f t="shared" si="209"/>
        <v>39.93312397</v>
      </c>
      <c r="AT236" s="35">
        <f t="shared" si="15"/>
        <v>99.99399331</v>
      </c>
      <c r="AV236" s="25">
        <f t="shared" si="87"/>
        <v>6400</v>
      </c>
    </row>
    <row r="237" ht="14.25" customHeight="1">
      <c r="B237" s="36"/>
      <c r="C237" s="22" t="s">
        <v>46</v>
      </c>
      <c r="D237" s="56"/>
      <c r="E237" s="22" t="s">
        <v>48</v>
      </c>
      <c r="F237" s="56"/>
      <c r="G237" s="22">
        <v>52.54</v>
      </c>
      <c r="H237" s="22">
        <v>5.37</v>
      </c>
      <c r="I237" s="22">
        <v>41.01</v>
      </c>
      <c r="J237" s="22">
        <v>0.59</v>
      </c>
      <c r="K237" s="22">
        <v>0.49</v>
      </c>
      <c r="L237" s="26">
        <f t="shared" si="75"/>
        <v>0</v>
      </c>
      <c r="M237" s="22">
        <v>84.48</v>
      </c>
      <c r="N237" s="22">
        <v>10.12</v>
      </c>
      <c r="O237" s="22">
        <v>5.4</v>
      </c>
      <c r="P237" s="22">
        <v>0.35</v>
      </c>
      <c r="Q237" s="22">
        <v>750.0</v>
      </c>
      <c r="R237" s="22" t="s">
        <v>51</v>
      </c>
      <c r="S237" s="58">
        <v>0.0</v>
      </c>
      <c r="T237" s="22">
        <v>16.88</v>
      </c>
      <c r="U237" s="25">
        <v>51.43</v>
      </c>
      <c r="V237" s="25">
        <v>16.64</v>
      </c>
      <c r="W237" s="22">
        <v>27.65</v>
      </c>
      <c r="X237" s="22">
        <v>4.28</v>
      </c>
      <c r="Y237" s="31">
        <f t="shared" si="201"/>
        <v>39.42122255</v>
      </c>
      <c r="Z237" s="22">
        <f t="shared" si="77"/>
        <v>0.5434782609</v>
      </c>
      <c r="AA237" s="22">
        <v>84.66</v>
      </c>
      <c r="AB237" s="22">
        <v>61.5</v>
      </c>
      <c r="AC237" s="25">
        <f t="shared" si="78"/>
        <v>6100</v>
      </c>
      <c r="AD237" s="22" t="s">
        <v>51</v>
      </c>
      <c r="AG237" s="33">
        <v>1.84</v>
      </c>
      <c r="AH237" s="33">
        <v>6.1</v>
      </c>
      <c r="AK237" s="33">
        <f t="shared" si="202"/>
        <v>5.866111359</v>
      </c>
      <c r="AL237" s="33">
        <f t="shared" si="203"/>
        <v>9.014480818</v>
      </c>
      <c r="AM237" s="33">
        <f t="shared" si="204"/>
        <v>14.88059218</v>
      </c>
      <c r="AO237" s="34">
        <f t="shared" si="205"/>
        <v>31.15566524</v>
      </c>
      <c r="AP237" s="34">
        <f t="shared" si="206"/>
        <v>10.08030857</v>
      </c>
      <c r="AQ237" s="34">
        <f t="shared" si="207"/>
        <v>16.75003196</v>
      </c>
      <c r="AR237" s="34">
        <f t="shared" si="208"/>
        <v>2.592771675</v>
      </c>
      <c r="AS237" s="34">
        <f t="shared" si="209"/>
        <v>39.42122255</v>
      </c>
      <c r="AT237" s="35">
        <f t="shared" si="15"/>
        <v>100</v>
      </c>
      <c r="AV237" s="25">
        <f t="shared" si="87"/>
        <v>6100</v>
      </c>
    </row>
    <row r="238" ht="14.25" customHeight="1">
      <c r="B238" s="36"/>
      <c r="C238" s="22" t="s">
        <v>46</v>
      </c>
      <c r="D238" s="56"/>
      <c r="E238" s="22" t="s">
        <v>48</v>
      </c>
      <c r="F238" s="56"/>
      <c r="G238" s="22">
        <v>52.54</v>
      </c>
      <c r="H238" s="22">
        <v>5.37</v>
      </c>
      <c r="I238" s="22">
        <v>41.01</v>
      </c>
      <c r="J238" s="22">
        <v>0.59</v>
      </c>
      <c r="K238" s="22">
        <v>0.49</v>
      </c>
      <c r="L238" s="26">
        <f t="shared" si="75"/>
        <v>0</v>
      </c>
      <c r="M238" s="22">
        <v>84.48</v>
      </c>
      <c r="N238" s="22">
        <v>10.12</v>
      </c>
      <c r="O238" s="22">
        <v>5.4</v>
      </c>
      <c r="P238" s="22">
        <v>0.35</v>
      </c>
      <c r="Q238" s="22">
        <v>750.0</v>
      </c>
      <c r="R238" s="22" t="s">
        <v>51</v>
      </c>
      <c r="S238" s="58">
        <v>0.0</v>
      </c>
      <c r="T238" s="22">
        <v>16.88</v>
      </c>
      <c r="U238" s="25">
        <v>52.26</v>
      </c>
      <c r="V238" s="25">
        <v>13.5</v>
      </c>
      <c r="W238" s="22">
        <v>29.74</v>
      </c>
      <c r="X238" s="22">
        <v>4.5</v>
      </c>
      <c r="Y238" s="31">
        <f t="shared" si="201"/>
        <v>39.01036039</v>
      </c>
      <c r="Z238" s="22">
        <f t="shared" si="77"/>
        <v>0.3597122302</v>
      </c>
      <c r="AA238" s="22">
        <v>78.72</v>
      </c>
      <c r="AB238" s="22">
        <v>76.16</v>
      </c>
      <c r="AC238" s="25">
        <f t="shared" si="78"/>
        <v>5000</v>
      </c>
      <c r="AD238" s="22" t="s">
        <v>51</v>
      </c>
      <c r="AG238" s="33">
        <v>2.78</v>
      </c>
      <c r="AH238" s="33">
        <v>5.0</v>
      </c>
      <c r="AK238" s="33">
        <f t="shared" si="202"/>
        <v>5.866111359</v>
      </c>
      <c r="AL238" s="33">
        <f t="shared" si="203"/>
        <v>9.171205139</v>
      </c>
      <c r="AM238" s="33">
        <f t="shared" si="204"/>
        <v>15.0373165</v>
      </c>
      <c r="AO238" s="34">
        <f t="shared" si="205"/>
        <v>31.87318566</v>
      </c>
      <c r="AP238" s="34">
        <f t="shared" si="206"/>
        <v>8.233601347</v>
      </c>
      <c r="AQ238" s="34">
        <f t="shared" si="207"/>
        <v>18.13831882</v>
      </c>
      <c r="AR238" s="34">
        <f t="shared" si="208"/>
        <v>2.744533782</v>
      </c>
      <c r="AS238" s="34">
        <f t="shared" si="209"/>
        <v>39.01036039</v>
      </c>
      <c r="AT238" s="35">
        <f t="shared" si="15"/>
        <v>100</v>
      </c>
      <c r="AV238" s="25">
        <f t="shared" si="87"/>
        <v>5000</v>
      </c>
    </row>
    <row r="239" ht="14.25" customHeight="1">
      <c r="B239" s="36"/>
      <c r="C239" s="22" t="s">
        <v>46</v>
      </c>
      <c r="D239" s="56"/>
      <c r="E239" s="22" t="s">
        <v>48</v>
      </c>
      <c r="F239" s="56"/>
      <c r="G239" s="22">
        <v>52.54</v>
      </c>
      <c r="H239" s="22">
        <v>5.37</v>
      </c>
      <c r="I239" s="22">
        <v>41.01</v>
      </c>
      <c r="J239" s="22">
        <v>0.59</v>
      </c>
      <c r="K239" s="22">
        <v>0.49</v>
      </c>
      <c r="L239" s="26">
        <f t="shared" si="75"/>
        <v>0</v>
      </c>
      <c r="M239" s="22">
        <v>84.48</v>
      </c>
      <c r="N239" s="22">
        <v>10.12</v>
      </c>
      <c r="O239" s="22">
        <v>5.4</v>
      </c>
      <c r="P239" s="22">
        <v>0.35</v>
      </c>
      <c r="Q239" s="22">
        <v>770.0</v>
      </c>
      <c r="R239" s="22" t="s">
        <v>51</v>
      </c>
      <c r="S239" s="58">
        <v>0.0</v>
      </c>
      <c r="T239" s="22">
        <v>16.88</v>
      </c>
      <c r="U239" s="25">
        <v>52.0</v>
      </c>
      <c r="V239" s="25">
        <v>17.72</v>
      </c>
      <c r="W239" s="22">
        <v>26.66</v>
      </c>
      <c r="X239" s="22">
        <v>3.62</v>
      </c>
      <c r="Y239" s="31">
        <f t="shared" si="201"/>
        <v>39.13966239</v>
      </c>
      <c r="Z239" s="22">
        <f t="shared" si="77"/>
        <v>0.4651162791</v>
      </c>
      <c r="AA239" s="22">
        <v>80.56</v>
      </c>
      <c r="AB239" s="22">
        <v>80.11</v>
      </c>
      <c r="AC239" s="25">
        <f t="shared" si="78"/>
        <v>6800</v>
      </c>
      <c r="AD239" s="22" t="s">
        <v>51</v>
      </c>
      <c r="AG239" s="33">
        <v>2.15</v>
      </c>
      <c r="AH239" s="33">
        <v>6.8</v>
      </c>
      <c r="AK239" s="33">
        <f t="shared" si="202"/>
        <v>5.866111359</v>
      </c>
      <c r="AL239" s="33">
        <f t="shared" si="203"/>
        <v>9.121527778</v>
      </c>
      <c r="AM239" s="33">
        <f t="shared" si="204"/>
        <v>14.98763914</v>
      </c>
      <c r="AO239" s="34">
        <f t="shared" si="205"/>
        <v>31.64737555</v>
      </c>
      <c r="AP239" s="34">
        <f t="shared" si="206"/>
        <v>10.78445182</v>
      </c>
      <c r="AQ239" s="34">
        <f t="shared" si="207"/>
        <v>16.22536601</v>
      </c>
      <c r="AR239" s="34">
        <f t="shared" si="208"/>
        <v>2.203144221</v>
      </c>
      <c r="AS239" s="34">
        <f t="shared" si="209"/>
        <v>39.13966239</v>
      </c>
      <c r="AT239" s="35">
        <f t="shared" si="15"/>
        <v>100</v>
      </c>
      <c r="AV239" s="25">
        <f t="shared" si="87"/>
        <v>6800</v>
      </c>
    </row>
    <row r="240" ht="14.25" customHeight="1">
      <c r="B240" s="36"/>
      <c r="C240" s="22" t="s">
        <v>46</v>
      </c>
      <c r="D240" s="56"/>
      <c r="E240" s="22" t="s">
        <v>48</v>
      </c>
      <c r="F240" s="56"/>
      <c r="G240" s="22">
        <v>52.54</v>
      </c>
      <c r="H240" s="22">
        <v>5.37</v>
      </c>
      <c r="I240" s="22">
        <v>41.01</v>
      </c>
      <c r="J240" s="22">
        <v>0.59</v>
      </c>
      <c r="K240" s="22">
        <v>0.49</v>
      </c>
      <c r="L240" s="26">
        <f t="shared" si="75"/>
        <v>0</v>
      </c>
      <c r="M240" s="22">
        <v>84.48</v>
      </c>
      <c r="N240" s="22">
        <v>10.12</v>
      </c>
      <c r="O240" s="22">
        <v>5.4</v>
      </c>
      <c r="P240" s="22">
        <v>0.35</v>
      </c>
      <c r="Q240" s="22">
        <v>770.0</v>
      </c>
      <c r="R240" s="22" t="s">
        <v>51</v>
      </c>
      <c r="S240" s="58">
        <v>0.0</v>
      </c>
      <c r="T240" s="22">
        <v>16.88</v>
      </c>
      <c r="U240" s="25">
        <v>48.4</v>
      </c>
      <c r="V240" s="25">
        <v>16.26</v>
      </c>
      <c r="W240" s="22">
        <v>28.88</v>
      </c>
      <c r="X240" s="22">
        <v>6.46</v>
      </c>
      <c r="Y240" s="31">
        <f t="shared" si="201"/>
        <v>40.87525433</v>
      </c>
      <c r="Z240" s="22">
        <f t="shared" si="77"/>
        <v>0.3472222222</v>
      </c>
      <c r="AA240" s="22">
        <v>67.21</v>
      </c>
      <c r="AB240" s="22">
        <v>102.58</v>
      </c>
      <c r="AC240" s="25">
        <f t="shared" si="78"/>
        <v>6500</v>
      </c>
      <c r="AD240" s="22" t="s">
        <v>51</v>
      </c>
      <c r="AG240" s="33">
        <v>2.88</v>
      </c>
      <c r="AH240" s="33">
        <v>6.5</v>
      </c>
      <c r="AK240" s="33">
        <f t="shared" si="202"/>
        <v>5.866111359</v>
      </c>
      <c r="AL240" s="33">
        <f t="shared" si="203"/>
        <v>8.485142119</v>
      </c>
      <c r="AM240" s="33">
        <f t="shared" si="204"/>
        <v>14.35125348</v>
      </c>
      <c r="AO240" s="34">
        <f t="shared" si="205"/>
        <v>28.6163769</v>
      </c>
      <c r="AP240" s="34">
        <f t="shared" si="206"/>
        <v>9.613683645</v>
      </c>
      <c r="AQ240" s="34">
        <f t="shared" si="207"/>
        <v>17.07522655</v>
      </c>
      <c r="AR240" s="34">
        <f t="shared" si="208"/>
        <v>3.81945857</v>
      </c>
      <c r="AS240" s="34">
        <f t="shared" si="209"/>
        <v>40.87525433</v>
      </c>
      <c r="AT240" s="35">
        <f t="shared" si="15"/>
        <v>100</v>
      </c>
      <c r="AV240" s="25">
        <f t="shared" si="87"/>
        <v>6500</v>
      </c>
    </row>
    <row r="241" ht="14.25" customHeight="1">
      <c r="B241" s="36"/>
      <c r="C241" s="22" t="s">
        <v>46</v>
      </c>
      <c r="D241" s="56"/>
      <c r="E241" s="22" t="s">
        <v>48</v>
      </c>
      <c r="F241" s="56"/>
      <c r="G241" s="22">
        <v>52.54</v>
      </c>
      <c r="H241" s="22">
        <v>5.37</v>
      </c>
      <c r="I241" s="22">
        <v>41.01</v>
      </c>
      <c r="J241" s="22">
        <v>0.59</v>
      </c>
      <c r="K241" s="22">
        <v>0.49</v>
      </c>
      <c r="L241" s="26">
        <f t="shared" si="75"/>
        <v>0</v>
      </c>
      <c r="M241" s="22">
        <v>84.48</v>
      </c>
      <c r="N241" s="22">
        <v>10.12</v>
      </c>
      <c r="O241" s="22">
        <v>5.4</v>
      </c>
      <c r="P241" s="22">
        <v>0.35</v>
      </c>
      <c r="Q241" s="22">
        <v>770.0</v>
      </c>
      <c r="R241" s="22" t="s">
        <v>51</v>
      </c>
      <c r="S241" s="58">
        <v>0.0</v>
      </c>
      <c r="T241" s="22">
        <v>16.88</v>
      </c>
      <c r="U241" s="25">
        <v>50.14</v>
      </c>
      <c r="V241" s="25">
        <v>18.94</v>
      </c>
      <c r="W241" s="22">
        <v>26.33</v>
      </c>
      <c r="X241" s="22">
        <v>4.6</v>
      </c>
      <c r="Y241" s="31">
        <f t="shared" si="201"/>
        <v>40.05373268</v>
      </c>
      <c r="Z241" s="22">
        <f t="shared" si="77"/>
        <v>0.4651162791</v>
      </c>
      <c r="AA241" s="22">
        <v>90.15</v>
      </c>
      <c r="AB241" s="22">
        <v>73.04</v>
      </c>
      <c r="AC241" s="25">
        <f t="shared" si="78"/>
        <v>6200</v>
      </c>
      <c r="AD241" s="22" t="s">
        <v>51</v>
      </c>
      <c r="AG241" s="33">
        <v>2.15</v>
      </c>
      <c r="AH241" s="33">
        <v>6.2</v>
      </c>
      <c r="AK241" s="33">
        <f t="shared" si="202"/>
        <v>5.866111359</v>
      </c>
      <c r="AL241" s="33">
        <f t="shared" si="203"/>
        <v>8.779493349</v>
      </c>
      <c r="AM241" s="33">
        <f t="shared" si="204"/>
        <v>14.64560471</v>
      </c>
      <c r="AO241" s="34">
        <f t="shared" si="205"/>
        <v>30.05705843</v>
      </c>
      <c r="AP241" s="34">
        <f t="shared" si="206"/>
        <v>11.35382303</v>
      </c>
      <c r="AQ241" s="34">
        <f t="shared" si="207"/>
        <v>15.78385219</v>
      </c>
      <c r="AR241" s="34">
        <f t="shared" si="208"/>
        <v>2.757528297</v>
      </c>
      <c r="AS241" s="34">
        <f t="shared" si="209"/>
        <v>40.05373268</v>
      </c>
      <c r="AT241" s="35">
        <f t="shared" si="15"/>
        <v>100.0059946</v>
      </c>
      <c r="AV241" s="25">
        <f t="shared" si="87"/>
        <v>6200</v>
      </c>
    </row>
    <row r="242" ht="14.25" customHeight="1">
      <c r="B242" s="36"/>
      <c r="C242" s="22" t="s">
        <v>46</v>
      </c>
      <c r="D242" s="56"/>
      <c r="E242" s="22" t="s">
        <v>48</v>
      </c>
      <c r="F242" s="56"/>
      <c r="G242" s="22">
        <v>52.54</v>
      </c>
      <c r="H242" s="22">
        <v>5.37</v>
      </c>
      <c r="I242" s="22">
        <v>41.01</v>
      </c>
      <c r="J242" s="22">
        <v>0.59</v>
      </c>
      <c r="K242" s="22">
        <v>0.49</v>
      </c>
      <c r="L242" s="26">
        <f t="shared" si="75"/>
        <v>0</v>
      </c>
      <c r="M242" s="22">
        <v>84.48</v>
      </c>
      <c r="N242" s="22">
        <v>10.12</v>
      </c>
      <c r="O242" s="22">
        <v>5.4</v>
      </c>
      <c r="P242" s="22">
        <v>0.35</v>
      </c>
      <c r="Q242" s="22">
        <v>770.0</v>
      </c>
      <c r="R242" s="22" t="s">
        <v>51</v>
      </c>
      <c r="S242" s="58">
        <v>0.0</v>
      </c>
      <c r="T242" s="22">
        <v>16.88</v>
      </c>
      <c r="U242" s="25">
        <v>49.64</v>
      </c>
      <c r="V242" s="25">
        <v>24.22</v>
      </c>
      <c r="W242" s="22">
        <v>22.52</v>
      </c>
      <c r="X242" s="22">
        <v>3.62</v>
      </c>
      <c r="Y242" s="31">
        <f t="shared" si="201"/>
        <v>40.28872628</v>
      </c>
      <c r="Z242" s="22">
        <f t="shared" si="77"/>
        <v>0.5263157895</v>
      </c>
      <c r="AA242" s="22">
        <v>93.66</v>
      </c>
      <c r="AB242" s="22">
        <v>67.67</v>
      </c>
      <c r="AC242" s="25">
        <f t="shared" si="78"/>
        <v>6500</v>
      </c>
      <c r="AD242" s="22" t="s">
        <v>51</v>
      </c>
      <c r="AG242" s="33">
        <v>1.9</v>
      </c>
      <c r="AH242" s="33">
        <v>6.5</v>
      </c>
      <c r="AK242" s="33">
        <f t="shared" si="202"/>
        <v>5.866111359</v>
      </c>
      <c r="AL242" s="33">
        <f t="shared" si="203"/>
        <v>8.694069367</v>
      </c>
      <c r="AM242" s="33">
        <f t="shared" si="204"/>
        <v>14.56018073</v>
      </c>
      <c r="AO242" s="34">
        <f t="shared" si="205"/>
        <v>29.64067627</v>
      </c>
      <c r="AP242" s="34">
        <f t="shared" si="206"/>
        <v>14.46207049</v>
      </c>
      <c r="AQ242" s="34">
        <f t="shared" si="207"/>
        <v>13.44697884</v>
      </c>
      <c r="AR242" s="34">
        <f t="shared" si="208"/>
        <v>2.161548109</v>
      </c>
      <c r="AS242" s="34">
        <f t="shared" si="209"/>
        <v>40.28872628</v>
      </c>
      <c r="AT242" s="35">
        <f t="shared" si="15"/>
        <v>100</v>
      </c>
      <c r="AV242" s="25">
        <f t="shared" si="87"/>
        <v>6500</v>
      </c>
    </row>
    <row r="243" ht="14.25" customHeight="1">
      <c r="B243" s="36"/>
      <c r="C243" s="22" t="s">
        <v>46</v>
      </c>
      <c r="D243" s="56"/>
      <c r="E243" s="22" t="s">
        <v>48</v>
      </c>
      <c r="F243" s="56"/>
      <c r="G243" s="22">
        <v>52.54</v>
      </c>
      <c r="H243" s="22">
        <v>5.37</v>
      </c>
      <c r="I243" s="22">
        <v>41.01</v>
      </c>
      <c r="J243" s="22">
        <v>0.59</v>
      </c>
      <c r="K243" s="22">
        <v>0.49</v>
      </c>
      <c r="L243" s="26">
        <f t="shared" si="75"/>
        <v>0</v>
      </c>
      <c r="M243" s="22">
        <v>84.48</v>
      </c>
      <c r="N243" s="22">
        <v>10.12</v>
      </c>
      <c r="O243" s="22">
        <v>5.4</v>
      </c>
      <c r="P243" s="22">
        <v>0.35</v>
      </c>
      <c r="Q243" s="22">
        <v>770.0</v>
      </c>
      <c r="R243" s="22" t="s">
        <v>51</v>
      </c>
      <c r="S243" s="58">
        <v>0.0</v>
      </c>
      <c r="T243" s="22">
        <v>16.88</v>
      </c>
      <c r="U243" s="25">
        <v>50.76</v>
      </c>
      <c r="V243" s="25">
        <v>20.15</v>
      </c>
      <c r="W243" s="22">
        <v>25.22</v>
      </c>
      <c r="X243" s="22">
        <v>3.82</v>
      </c>
      <c r="Y243" s="31">
        <f t="shared" si="201"/>
        <v>39.72453779</v>
      </c>
      <c r="Z243" s="22">
        <f t="shared" si="77"/>
        <v>0.5347593583</v>
      </c>
      <c r="AA243" s="22">
        <v>99.87</v>
      </c>
      <c r="AB243" s="22">
        <v>56.36</v>
      </c>
      <c r="AC243" s="25">
        <f t="shared" si="78"/>
        <v>5500</v>
      </c>
      <c r="AD243" s="22" t="s">
        <v>51</v>
      </c>
      <c r="AG243" s="33">
        <v>1.87</v>
      </c>
      <c r="AH243" s="33">
        <v>5.5</v>
      </c>
      <c r="AK243" s="33">
        <f t="shared" si="202"/>
        <v>5.866111359</v>
      </c>
      <c r="AL243" s="33">
        <f t="shared" si="203"/>
        <v>8.900860609</v>
      </c>
      <c r="AM243" s="33">
        <f t="shared" si="204"/>
        <v>14.76697197</v>
      </c>
      <c r="AO243" s="34">
        <f t="shared" si="205"/>
        <v>30.59582462</v>
      </c>
      <c r="AP243" s="34">
        <f t="shared" si="206"/>
        <v>12.14550564</v>
      </c>
      <c r="AQ243" s="34">
        <f t="shared" si="207"/>
        <v>15.20147157</v>
      </c>
      <c r="AR243" s="34">
        <f t="shared" si="208"/>
        <v>2.302522657</v>
      </c>
      <c r="AS243" s="34">
        <f t="shared" si="209"/>
        <v>39.72453779</v>
      </c>
      <c r="AT243" s="35">
        <f t="shared" si="15"/>
        <v>99.96986227</v>
      </c>
      <c r="AV243" s="25">
        <f t="shared" si="87"/>
        <v>5500</v>
      </c>
    </row>
    <row r="244" ht="14.25" customHeight="1">
      <c r="B244" s="36"/>
      <c r="C244" s="22" t="s">
        <v>46</v>
      </c>
      <c r="D244" s="56"/>
      <c r="E244" s="22" t="s">
        <v>48</v>
      </c>
      <c r="F244" s="56"/>
      <c r="G244" s="22">
        <v>52.54</v>
      </c>
      <c r="H244" s="22">
        <v>5.37</v>
      </c>
      <c r="I244" s="22">
        <v>41.01</v>
      </c>
      <c r="J244" s="22">
        <v>0.59</v>
      </c>
      <c r="K244" s="22">
        <v>0.49</v>
      </c>
      <c r="L244" s="26">
        <f t="shared" si="75"/>
        <v>0</v>
      </c>
      <c r="M244" s="22">
        <v>84.48</v>
      </c>
      <c r="N244" s="22">
        <v>10.12</v>
      </c>
      <c r="O244" s="22">
        <v>5.4</v>
      </c>
      <c r="P244" s="22">
        <v>0.35</v>
      </c>
      <c r="Q244" s="22">
        <v>770.0</v>
      </c>
      <c r="R244" s="22" t="s">
        <v>51</v>
      </c>
      <c r="S244" s="58">
        <v>0.0</v>
      </c>
      <c r="T244" s="22">
        <v>16.88</v>
      </c>
      <c r="U244" s="25">
        <v>51.67</v>
      </c>
      <c r="V244" s="25">
        <v>16.78</v>
      </c>
      <c r="W244" s="22">
        <v>27.47</v>
      </c>
      <c r="X244" s="22">
        <v>4.08</v>
      </c>
      <c r="Y244" s="31">
        <f t="shared" si="201"/>
        <v>39.30298906</v>
      </c>
      <c r="Z244" s="22">
        <f t="shared" si="77"/>
        <v>0.5405405405</v>
      </c>
      <c r="AA244" s="22">
        <v>97.61</v>
      </c>
      <c r="AB244" s="22">
        <v>56.77</v>
      </c>
      <c r="AC244" s="25">
        <f t="shared" si="78"/>
        <v>5600</v>
      </c>
      <c r="AD244" s="22" t="s">
        <v>51</v>
      </c>
      <c r="AG244" s="33">
        <v>1.85</v>
      </c>
      <c r="AH244" s="33">
        <v>5.6</v>
      </c>
      <c r="AK244" s="33">
        <f t="shared" si="202"/>
        <v>5.866111359</v>
      </c>
      <c r="AL244" s="33">
        <f t="shared" si="203"/>
        <v>9.059245465</v>
      </c>
      <c r="AM244" s="33">
        <f t="shared" si="204"/>
        <v>14.92535682</v>
      </c>
      <c r="AO244" s="34">
        <f t="shared" si="205"/>
        <v>31.36214556</v>
      </c>
      <c r="AP244" s="34">
        <f t="shared" si="206"/>
        <v>10.18495844</v>
      </c>
      <c r="AQ244" s="34">
        <f t="shared" si="207"/>
        <v>16.67346891</v>
      </c>
      <c r="AR244" s="34">
        <f t="shared" si="208"/>
        <v>2.476438047</v>
      </c>
      <c r="AS244" s="34">
        <f t="shared" si="209"/>
        <v>39.30298906</v>
      </c>
      <c r="AT244" s="35">
        <f t="shared" si="15"/>
        <v>100</v>
      </c>
      <c r="AV244" s="25">
        <f t="shared" si="87"/>
        <v>5600</v>
      </c>
    </row>
    <row r="245" ht="14.25" customHeight="1">
      <c r="B245" s="36"/>
      <c r="C245" s="22" t="s">
        <v>46</v>
      </c>
      <c r="D245" s="56"/>
      <c r="E245" s="22" t="s">
        <v>48</v>
      </c>
      <c r="F245" s="56"/>
      <c r="G245" s="22">
        <v>52.54</v>
      </c>
      <c r="H245" s="22">
        <v>5.37</v>
      </c>
      <c r="I245" s="22">
        <v>41.01</v>
      </c>
      <c r="J245" s="22">
        <v>0.59</v>
      </c>
      <c r="K245" s="22">
        <v>0.49</v>
      </c>
      <c r="L245" s="26">
        <f t="shared" si="75"/>
        <v>0</v>
      </c>
      <c r="M245" s="22">
        <v>84.48</v>
      </c>
      <c r="N245" s="22">
        <v>10.12</v>
      </c>
      <c r="O245" s="22">
        <v>5.4</v>
      </c>
      <c r="P245" s="22">
        <v>0.35</v>
      </c>
      <c r="Q245" s="22">
        <v>770.0</v>
      </c>
      <c r="R245" s="22" t="s">
        <v>51</v>
      </c>
      <c r="S245" s="58">
        <v>0.0</v>
      </c>
      <c r="T245" s="22">
        <v>16.88</v>
      </c>
      <c r="U245" s="25">
        <v>51.24</v>
      </c>
      <c r="V245" s="25">
        <v>21.28</v>
      </c>
      <c r="W245" s="22">
        <v>24.25</v>
      </c>
      <c r="X245" s="22">
        <v>3.25</v>
      </c>
      <c r="Y245" s="31">
        <f t="shared" si="201"/>
        <v>39.52429965</v>
      </c>
      <c r="Z245" s="22">
        <f t="shared" si="77"/>
        <v>0.3921568627</v>
      </c>
      <c r="AA245" s="22">
        <v>93.55</v>
      </c>
      <c r="AB245" s="22">
        <v>96.41</v>
      </c>
      <c r="AC245" s="25">
        <f t="shared" si="78"/>
        <v>6900</v>
      </c>
      <c r="AD245" s="22" t="s">
        <v>51</v>
      </c>
      <c r="AG245" s="33">
        <v>2.55</v>
      </c>
      <c r="AH245" s="33">
        <v>6.9</v>
      </c>
      <c r="AK245" s="33">
        <f t="shared" si="202"/>
        <v>5.866111359</v>
      </c>
      <c r="AL245" s="33">
        <f t="shared" si="203"/>
        <v>8.97567309</v>
      </c>
      <c r="AM245" s="33">
        <f t="shared" si="204"/>
        <v>14.84178445</v>
      </c>
      <c r="AO245" s="34">
        <f t="shared" si="205"/>
        <v>30.98774886</v>
      </c>
      <c r="AP245" s="34">
        <f t="shared" si="206"/>
        <v>12.86922903</v>
      </c>
      <c r="AQ245" s="34">
        <f t="shared" si="207"/>
        <v>14.66535733</v>
      </c>
      <c r="AR245" s="34">
        <f t="shared" si="208"/>
        <v>1.965460261</v>
      </c>
      <c r="AS245" s="34">
        <f t="shared" si="209"/>
        <v>39.52429965</v>
      </c>
      <c r="AT245" s="35">
        <f t="shared" si="15"/>
        <v>100.0120951</v>
      </c>
      <c r="AV245" s="25">
        <f t="shared" si="87"/>
        <v>6900</v>
      </c>
    </row>
    <row r="246" ht="14.25" customHeight="1">
      <c r="B246" s="36"/>
      <c r="C246" s="22" t="s">
        <v>46</v>
      </c>
      <c r="D246" s="56"/>
      <c r="E246" s="22" t="s">
        <v>48</v>
      </c>
      <c r="F246" s="56"/>
      <c r="G246" s="27">
        <f t="shared" ref="G246:G247" si="211">36.42*100/(100-O246)</f>
        <v>45.11892963</v>
      </c>
      <c r="H246" s="27">
        <f t="shared" ref="H246:H247" si="212">5.4*100/(100-O246)</f>
        <v>6.689791873</v>
      </c>
      <c r="I246" s="27">
        <f t="shared" ref="I246:I247" si="213">31.5*100/(100-O246)</f>
        <v>39.02378593</v>
      </c>
      <c r="J246" s="27">
        <f t="shared" ref="J246:J247" si="214">5.5*100/(100-O246)</f>
        <v>6.813676908</v>
      </c>
      <c r="K246" s="27">
        <f t="shared" ref="K246:K247" si="215">1.9*100/(100-O246)</f>
        <v>2.353815659</v>
      </c>
      <c r="L246" s="26">
        <f t="shared" si="75"/>
        <v>19.42</v>
      </c>
      <c r="M246" s="22">
        <v>51.8</v>
      </c>
      <c r="N246" s="22">
        <v>9.5</v>
      </c>
      <c r="O246" s="22">
        <v>19.28</v>
      </c>
      <c r="P246" s="22">
        <v>0.25</v>
      </c>
      <c r="Q246" s="22">
        <v>800.0</v>
      </c>
      <c r="R246" s="22" t="s">
        <v>51</v>
      </c>
      <c r="S246" s="61">
        <v>0.0</v>
      </c>
      <c r="T246" s="22">
        <v>14.86</v>
      </c>
      <c r="U246" s="25">
        <v>17.3</v>
      </c>
      <c r="V246" s="25">
        <v>17.1</v>
      </c>
      <c r="W246" s="22">
        <v>1.7</v>
      </c>
      <c r="X246" s="22">
        <v>11.9</v>
      </c>
      <c r="Y246" s="54">
        <f t="shared" ref="Y246:Y275" si="216">100-SUM(U246:X246)</f>
        <v>52</v>
      </c>
      <c r="Z246" s="22">
        <f t="shared" si="77"/>
        <v>0.3663003663</v>
      </c>
      <c r="AA246" s="22">
        <v>66.9</v>
      </c>
      <c r="AB246" s="22">
        <v>71.28</v>
      </c>
      <c r="AC246" s="25">
        <f t="shared" si="78"/>
        <v>4700</v>
      </c>
      <c r="AD246" s="22" t="s">
        <v>51</v>
      </c>
      <c r="AG246" s="33">
        <v>2.73</v>
      </c>
      <c r="AH246" s="33">
        <v>4.7</v>
      </c>
      <c r="AO246" s="34">
        <f t="shared" ref="AO246:AS246" si="210">U246</f>
        <v>17.3</v>
      </c>
      <c r="AP246" s="34">
        <f t="shared" si="210"/>
        <v>17.1</v>
      </c>
      <c r="AQ246" s="34">
        <f t="shared" si="210"/>
        <v>1.7</v>
      </c>
      <c r="AR246" s="34">
        <f t="shared" si="210"/>
        <v>11.9</v>
      </c>
      <c r="AS246" s="34">
        <f t="shared" si="210"/>
        <v>52</v>
      </c>
      <c r="AT246" s="35">
        <f t="shared" si="15"/>
        <v>100</v>
      </c>
      <c r="AV246" s="25">
        <f t="shared" si="87"/>
        <v>4700</v>
      </c>
    </row>
    <row r="247" ht="14.25" customHeight="1">
      <c r="B247" s="36"/>
      <c r="C247" s="22" t="s">
        <v>46</v>
      </c>
      <c r="D247" s="56"/>
      <c r="E247" s="22" t="s">
        <v>48</v>
      </c>
      <c r="F247" s="56"/>
      <c r="G247" s="27">
        <f t="shared" si="211"/>
        <v>45.11892963</v>
      </c>
      <c r="H247" s="27">
        <f t="shared" si="212"/>
        <v>6.689791873</v>
      </c>
      <c r="I247" s="27">
        <f t="shared" si="213"/>
        <v>39.02378593</v>
      </c>
      <c r="J247" s="27">
        <f t="shared" si="214"/>
        <v>6.813676908</v>
      </c>
      <c r="K247" s="27">
        <f t="shared" si="215"/>
        <v>2.353815659</v>
      </c>
      <c r="L247" s="26">
        <f t="shared" si="75"/>
        <v>19.42</v>
      </c>
      <c r="M247" s="22">
        <v>51.8</v>
      </c>
      <c r="N247" s="22">
        <v>9.5</v>
      </c>
      <c r="O247" s="22">
        <v>19.28</v>
      </c>
      <c r="P247" s="22">
        <v>0.25</v>
      </c>
      <c r="Q247" s="22">
        <v>800.0</v>
      </c>
      <c r="R247" s="22" t="s">
        <v>51</v>
      </c>
      <c r="S247" s="61">
        <v>0.0</v>
      </c>
      <c r="T247" s="22">
        <v>14.86</v>
      </c>
      <c r="U247" s="25">
        <v>17.1</v>
      </c>
      <c r="V247" s="25">
        <v>15.9</v>
      </c>
      <c r="W247" s="22">
        <v>2.0</v>
      </c>
      <c r="X247" s="22">
        <v>12.2</v>
      </c>
      <c r="Y247" s="54">
        <f t="shared" si="216"/>
        <v>52.8</v>
      </c>
      <c r="Z247" s="22">
        <f t="shared" si="77"/>
        <v>0.3968253968</v>
      </c>
      <c r="AA247" s="22">
        <v>66.2</v>
      </c>
      <c r="AB247" s="22">
        <v>64.4</v>
      </c>
      <c r="AC247" s="25">
        <f t="shared" si="78"/>
        <v>4600</v>
      </c>
      <c r="AD247" s="22" t="s">
        <v>51</v>
      </c>
      <c r="AG247" s="33">
        <v>2.52</v>
      </c>
      <c r="AH247" s="33">
        <v>4.6</v>
      </c>
      <c r="AO247" s="34">
        <f t="shared" ref="AO247:AS247" si="217">U247</f>
        <v>17.1</v>
      </c>
      <c r="AP247" s="34">
        <f t="shared" si="217"/>
        <v>15.9</v>
      </c>
      <c r="AQ247" s="34">
        <f t="shared" si="217"/>
        <v>2</v>
      </c>
      <c r="AR247" s="34">
        <f t="shared" si="217"/>
        <v>12.2</v>
      </c>
      <c r="AS247" s="34">
        <f t="shared" si="217"/>
        <v>52.8</v>
      </c>
      <c r="AT247" s="35">
        <f t="shared" si="15"/>
        <v>100</v>
      </c>
      <c r="AV247" s="25">
        <f t="shared" si="87"/>
        <v>4600</v>
      </c>
    </row>
    <row r="248" ht="14.25" customHeight="1">
      <c r="B248" s="36"/>
      <c r="C248" s="22" t="s">
        <v>46</v>
      </c>
      <c r="D248" s="56"/>
      <c r="E248" s="22" t="s">
        <v>48</v>
      </c>
      <c r="F248" s="56"/>
      <c r="G248" s="27">
        <f t="shared" ref="G248:G249" si="219">44.2*100/(100-O248)</f>
        <v>47.17182497</v>
      </c>
      <c r="H248" s="27">
        <f t="shared" ref="H248:H249" si="220">6.1*100/(100-O248)</f>
        <v>6.510138741</v>
      </c>
      <c r="I248" s="27">
        <f t="shared" ref="I248:I249" si="221">41.2*100/(100-O248)</f>
        <v>43.9701174</v>
      </c>
      <c r="J248" s="27">
        <f t="shared" ref="J248:J249" si="222">2.1*100/(100-O248)</f>
        <v>2.241195304</v>
      </c>
      <c r="K248" s="27">
        <f t="shared" ref="K248:K249" si="223">0.1*100/(100-O248)</f>
        <v>0.1067235859</v>
      </c>
      <c r="L248" s="26">
        <f t="shared" si="75"/>
        <v>42.7</v>
      </c>
      <c r="M248" s="22">
        <v>42.5</v>
      </c>
      <c r="N248" s="22">
        <v>8.5</v>
      </c>
      <c r="O248" s="22">
        <v>6.3</v>
      </c>
      <c r="P248" s="22">
        <v>0.25</v>
      </c>
      <c r="Q248" s="22">
        <v>950.0</v>
      </c>
      <c r="R248" s="22" t="s">
        <v>51</v>
      </c>
      <c r="S248" s="58">
        <v>0.0</v>
      </c>
      <c r="T248" s="22">
        <v>17.63</v>
      </c>
      <c r="U248" s="25">
        <v>16.8</v>
      </c>
      <c r="V248" s="25">
        <v>15.6</v>
      </c>
      <c r="W248" s="22">
        <v>2.1</v>
      </c>
      <c r="X248" s="22">
        <v>12.7</v>
      </c>
      <c r="Y248" s="54">
        <f t="shared" si="216"/>
        <v>52.8</v>
      </c>
      <c r="Z248" s="22">
        <f t="shared" si="77"/>
        <v>0.5464480874</v>
      </c>
      <c r="AA248" s="22">
        <v>45.75</v>
      </c>
      <c r="AB248" s="22">
        <v>45.75</v>
      </c>
      <c r="AC248" s="25">
        <f t="shared" si="78"/>
        <v>4500</v>
      </c>
      <c r="AD248" s="22" t="s">
        <v>51</v>
      </c>
      <c r="AG248" s="33">
        <v>1.83</v>
      </c>
      <c r="AH248" s="33">
        <v>4.5</v>
      </c>
      <c r="AO248" s="34">
        <f t="shared" ref="AO248:AS248" si="218">U248</f>
        <v>16.8</v>
      </c>
      <c r="AP248" s="34">
        <f t="shared" si="218"/>
        <v>15.6</v>
      </c>
      <c r="AQ248" s="34">
        <f t="shared" si="218"/>
        <v>2.1</v>
      </c>
      <c r="AR248" s="34">
        <f t="shared" si="218"/>
        <v>12.7</v>
      </c>
      <c r="AS248" s="34">
        <f t="shared" si="218"/>
        <v>52.8</v>
      </c>
      <c r="AT248" s="35">
        <f t="shared" si="15"/>
        <v>100</v>
      </c>
      <c r="AV248" s="25">
        <f t="shared" si="87"/>
        <v>4500</v>
      </c>
    </row>
    <row r="249" ht="14.25" customHeight="1">
      <c r="B249" s="36"/>
      <c r="C249" s="22" t="s">
        <v>46</v>
      </c>
      <c r="D249" s="56"/>
      <c r="E249" s="22" t="s">
        <v>48</v>
      </c>
      <c r="F249" s="56"/>
      <c r="G249" s="27">
        <f t="shared" si="219"/>
        <v>47.17182497</v>
      </c>
      <c r="H249" s="27">
        <f t="shared" si="220"/>
        <v>6.510138741</v>
      </c>
      <c r="I249" s="27">
        <f t="shared" si="221"/>
        <v>43.9701174</v>
      </c>
      <c r="J249" s="27">
        <f t="shared" si="222"/>
        <v>2.241195304</v>
      </c>
      <c r="K249" s="27">
        <f t="shared" si="223"/>
        <v>0.1067235859</v>
      </c>
      <c r="L249" s="26">
        <f t="shared" si="75"/>
        <v>42.7</v>
      </c>
      <c r="M249" s="22">
        <v>42.5</v>
      </c>
      <c r="N249" s="22">
        <v>8.5</v>
      </c>
      <c r="O249" s="22">
        <v>6.3</v>
      </c>
      <c r="P249" s="22">
        <v>0.25</v>
      </c>
      <c r="Q249" s="22">
        <v>950.0</v>
      </c>
      <c r="R249" s="22" t="s">
        <v>51</v>
      </c>
      <c r="S249" s="58">
        <v>0.0</v>
      </c>
      <c r="T249" s="22">
        <v>17.63</v>
      </c>
      <c r="U249" s="25">
        <v>13.4</v>
      </c>
      <c r="V249" s="25">
        <v>12.0</v>
      </c>
      <c r="W249" s="22">
        <v>1.8</v>
      </c>
      <c r="X249" s="22">
        <v>12.5</v>
      </c>
      <c r="Y249" s="54">
        <f t="shared" si="216"/>
        <v>60.3</v>
      </c>
      <c r="Z249" s="22">
        <f t="shared" si="77"/>
        <v>0.5102040816</v>
      </c>
      <c r="AA249" s="22">
        <v>39.2</v>
      </c>
      <c r="AB249" s="22">
        <v>39.2</v>
      </c>
      <c r="AC249" s="25">
        <f t="shared" si="78"/>
        <v>3600</v>
      </c>
      <c r="AD249" s="22" t="s">
        <v>51</v>
      </c>
      <c r="AG249" s="33">
        <v>1.96</v>
      </c>
      <c r="AH249" s="33">
        <v>3.6</v>
      </c>
      <c r="AO249" s="34">
        <f t="shared" ref="AO249:AS249" si="224">U249</f>
        <v>13.4</v>
      </c>
      <c r="AP249" s="34">
        <f t="shared" si="224"/>
        <v>12</v>
      </c>
      <c r="AQ249" s="34">
        <f t="shared" si="224"/>
        <v>1.8</v>
      </c>
      <c r="AR249" s="34">
        <f t="shared" si="224"/>
        <v>12.5</v>
      </c>
      <c r="AS249" s="34">
        <f t="shared" si="224"/>
        <v>60.3</v>
      </c>
      <c r="AT249" s="35">
        <f t="shared" si="15"/>
        <v>100</v>
      </c>
      <c r="AV249" s="25">
        <f t="shared" si="87"/>
        <v>3600</v>
      </c>
    </row>
    <row r="250" ht="14.25" customHeight="1">
      <c r="B250" s="36"/>
      <c r="C250" s="22" t="s">
        <v>46</v>
      </c>
      <c r="D250" s="56"/>
      <c r="E250" s="22" t="s">
        <v>48</v>
      </c>
      <c r="F250" s="56"/>
      <c r="G250" s="27">
        <f t="shared" ref="G250:G254" si="226">48.9*100/(100-O250)</f>
        <v>54.55762579</v>
      </c>
      <c r="H250" s="27">
        <f t="shared" ref="H250:H260" si="227">5.9*100/(100-O250)</f>
        <v>6.582617427</v>
      </c>
      <c r="I250" s="27">
        <f t="shared" ref="I250:I254" si="228">33.69*100/(100-O250)</f>
        <v>37.58786121</v>
      </c>
      <c r="J250" s="27">
        <f t="shared" ref="J250:J254" si="229">0.57*100/(100-O250)</f>
        <v>0.6359477853</v>
      </c>
      <c r="K250" s="27">
        <f t="shared" ref="K250:K254" si="230">0.57*100/(100-O250)</f>
        <v>0.6359477853</v>
      </c>
      <c r="L250" s="26">
        <f t="shared" si="75"/>
        <v>11.11</v>
      </c>
      <c r="M250" s="22">
        <v>69.83</v>
      </c>
      <c r="N250" s="22">
        <v>8.69</v>
      </c>
      <c r="O250" s="22">
        <v>10.37</v>
      </c>
      <c r="P250" s="22">
        <v>0.2</v>
      </c>
      <c r="Q250" s="22">
        <v>700.0</v>
      </c>
      <c r="R250" s="22" t="s">
        <v>51</v>
      </c>
      <c r="S250" s="58">
        <v>0.0</v>
      </c>
      <c r="T250" s="22">
        <v>16.14</v>
      </c>
      <c r="U250" s="25">
        <v>13.38</v>
      </c>
      <c r="V250" s="25">
        <v>10.01</v>
      </c>
      <c r="W250" s="22">
        <v>17.37</v>
      </c>
      <c r="X250" s="22">
        <v>5.33</v>
      </c>
      <c r="Y250" s="54">
        <f t="shared" si="216"/>
        <v>53.91</v>
      </c>
      <c r="Z250" s="22">
        <f t="shared" si="77"/>
        <v>0.3937007874</v>
      </c>
      <c r="AA250" s="22">
        <v>83.09</v>
      </c>
      <c r="AB250" s="22">
        <v>83.09</v>
      </c>
      <c r="AC250" s="25">
        <f t="shared" si="78"/>
        <v>5800</v>
      </c>
      <c r="AD250" s="22" t="s">
        <v>51</v>
      </c>
      <c r="AG250" s="33">
        <v>2.54</v>
      </c>
      <c r="AH250" s="33">
        <v>5.8</v>
      </c>
      <c r="AO250" s="34">
        <f t="shared" ref="AO250:AS250" si="225">U250</f>
        <v>13.38</v>
      </c>
      <c r="AP250" s="34">
        <f t="shared" si="225"/>
        <v>10.01</v>
      </c>
      <c r="AQ250" s="34">
        <f t="shared" si="225"/>
        <v>17.37</v>
      </c>
      <c r="AR250" s="34">
        <f t="shared" si="225"/>
        <v>5.33</v>
      </c>
      <c r="AS250" s="34">
        <f t="shared" si="225"/>
        <v>53.91</v>
      </c>
      <c r="AT250" s="35">
        <f t="shared" si="15"/>
        <v>100</v>
      </c>
      <c r="AV250" s="25">
        <f t="shared" si="87"/>
        <v>5800</v>
      </c>
    </row>
    <row r="251" ht="14.25" customHeight="1">
      <c r="B251" s="36"/>
      <c r="C251" s="22" t="s">
        <v>46</v>
      </c>
      <c r="D251" s="56"/>
      <c r="E251" s="22" t="s">
        <v>48</v>
      </c>
      <c r="F251" s="56"/>
      <c r="G251" s="27">
        <f t="shared" si="226"/>
        <v>54.55762579</v>
      </c>
      <c r="H251" s="27">
        <f t="shared" si="227"/>
        <v>6.582617427</v>
      </c>
      <c r="I251" s="27">
        <f t="shared" si="228"/>
        <v>37.58786121</v>
      </c>
      <c r="J251" s="27">
        <f t="shared" si="229"/>
        <v>0.6359477853</v>
      </c>
      <c r="K251" s="27">
        <f t="shared" si="230"/>
        <v>0.6359477853</v>
      </c>
      <c r="L251" s="26">
        <f t="shared" si="75"/>
        <v>11.11</v>
      </c>
      <c r="M251" s="22">
        <v>69.83</v>
      </c>
      <c r="N251" s="22">
        <v>8.69</v>
      </c>
      <c r="O251" s="22">
        <v>10.37</v>
      </c>
      <c r="P251" s="22">
        <v>0.2</v>
      </c>
      <c r="Q251" s="22">
        <v>750.0</v>
      </c>
      <c r="R251" s="22" t="s">
        <v>51</v>
      </c>
      <c r="S251" s="58">
        <v>0.0</v>
      </c>
      <c r="T251" s="22">
        <v>16.14</v>
      </c>
      <c r="U251" s="25">
        <v>16.51</v>
      </c>
      <c r="V251" s="25">
        <v>15.05</v>
      </c>
      <c r="W251" s="22">
        <v>16.77</v>
      </c>
      <c r="X251" s="22">
        <v>4.89</v>
      </c>
      <c r="Y251" s="54">
        <f t="shared" si="216"/>
        <v>46.78</v>
      </c>
      <c r="Z251" s="22">
        <f t="shared" si="77"/>
        <v>0.4651162791</v>
      </c>
      <c r="AA251" s="22">
        <v>72.39</v>
      </c>
      <c r="AB251" s="22">
        <v>72.39</v>
      </c>
      <c r="AC251" s="25">
        <f t="shared" si="78"/>
        <v>5970</v>
      </c>
      <c r="AD251" s="22" t="s">
        <v>51</v>
      </c>
      <c r="AG251" s="33">
        <v>2.15</v>
      </c>
      <c r="AH251" s="33">
        <v>5.97</v>
      </c>
      <c r="AO251" s="34">
        <f t="shared" ref="AO251:AS251" si="231">U251</f>
        <v>16.51</v>
      </c>
      <c r="AP251" s="34">
        <f t="shared" si="231"/>
        <v>15.05</v>
      </c>
      <c r="AQ251" s="34">
        <f t="shared" si="231"/>
        <v>16.77</v>
      </c>
      <c r="AR251" s="34">
        <f t="shared" si="231"/>
        <v>4.89</v>
      </c>
      <c r="AS251" s="34">
        <f t="shared" si="231"/>
        <v>46.78</v>
      </c>
      <c r="AT251" s="35">
        <f t="shared" si="15"/>
        <v>100</v>
      </c>
      <c r="AV251" s="25">
        <f t="shared" si="87"/>
        <v>5970</v>
      </c>
    </row>
    <row r="252" ht="14.25" customHeight="1">
      <c r="B252" s="36"/>
      <c r="C252" s="22" t="s">
        <v>46</v>
      </c>
      <c r="D252" s="56"/>
      <c r="E252" s="22" t="s">
        <v>48</v>
      </c>
      <c r="F252" s="56"/>
      <c r="G252" s="27">
        <f t="shared" si="226"/>
        <v>54.55762579</v>
      </c>
      <c r="H252" s="27">
        <f t="shared" si="227"/>
        <v>6.582617427</v>
      </c>
      <c r="I252" s="27">
        <f t="shared" si="228"/>
        <v>37.58786121</v>
      </c>
      <c r="J252" s="27">
        <f t="shared" si="229"/>
        <v>0.6359477853</v>
      </c>
      <c r="K252" s="27">
        <f t="shared" si="230"/>
        <v>0.6359477853</v>
      </c>
      <c r="L252" s="26">
        <f t="shared" si="75"/>
        <v>11.11</v>
      </c>
      <c r="M252" s="22">
        <v>69.83</v>
      </c>
      <c r="N252" s="22">
        <v>8.69</v>
      </c>
      <c r="O252" s="22">
        <v>10.37</v>
      </c>
      <c r="P252" s="22">
        <v>0.2</v>
      </c>
      <c r="Q252" s="22">
        <v>800.0</v>
      </c>
      <c r="R252" s="22" t="s">
        <v>51</v>
      </c>
      <c r="S252" s="58">
        <v>0.0</v>
      </c>
      <c r="T252" s="22">
        <v>16.14</v>
      </c>
      <c r="U252" s="25">
        <v>12.62</v>
      </c>
      <c r="V252" s="25">
        <v>10.68</v>
      </c>
      <c r="W252" s="22">
        <v>16.98</v>
      </c>
      <c r="X252" s="22">
        <v>4.88</v>
      </c>
      <c r="Y252" s="54">
        <f t="shared" si="216"/>
        <v>54.84</v>
      </c>
      <c r="Z252" s="22">
        <f t="shared" si="77"/>
        <v>0.4566210046</v>
      </c>
      <c r="AA252" s="22">
        <v>77.08</v>
      </c>
      <c r="AB252" s="22">
        <v>77.08</v>
      </c>
      <c r="AC252" s="25">
        <f t="shared" si="78"/>
        <v>6240</v>
      </c>
      <c r="AD252" s="22" t="s">
        <v>51</v>
      </c>
      <c r="AG252" s="33">
        <v>2.19</v>
      </c>
      <c r="AH252" s="33">
        <v>6.24</v>
      </c>
      <c r="AO252" s="34">
        <f t="shared" ref="AO252:AS252" si="232">U252</f>
        <v>12.62</v>
      </c>
      <c r="AP252" s="34">
        <f t="shared" si="232"/>
        <v>10.68</v>
      </c>
      <c r="AQ252" s="34">
        <f t="shared" si="232"/>
        <v>16.98</v>
      </c>
      <c r="AR252" s="34">
        <f t="shared" si="232"/>
        <v>4.88</v>
      </c>
      <c r="AS252" s="34">
        <f t="shared" si="232"/>
        <v>54.84</v>
      </c>
      <c r="AT252" s="35">
        <f t="shared" si="15"/>
        <v>100</v>
      </c>
      <c r="AV252" s="25">
        <f t="shared" si="87"/>
        <v>6240</v>
      </c>
    </row>
    <row r="253" ht="14.25" customHeight="1">
      <c r="B253" s="36"/>
      <c r="C253" s="22" t="s">
        <v>46</v>
      </c>
      <c r="D253" s="56"/>
      <c r="E253" s="22" t="s">
        <v>48</v>
      </c>
      <c r="F253" s="56"/>
      <c r="G253" s="27">
        <f t="shared" si="226"/>
        <v>54.55762579</v>
      </c>
      <c r="H253" s="27">
        <f t="shared" si="227"/>
        <v>6.582617427</v>
      </c>
      <c r="I253" s="27">
        <f t="shared" si="228"/>
        <v>37.58786121</v>
      </c>
      <c r="J253" s="27">
        <f t="shared" si="229"/>
        <v>0.6359477853</v>
      </c>
      <c r="K253" s="27">
        <f t="shared" si="230"/>
        <v>0.6359477853</v>
      </c>
      <c r="L253" s="26">
        <f t="shared" si="75"/>
        <v>11.11</v>
      </c>
      <c r="M253" s="22">
        <v>69.83</v>
      </c>
      <c r="N253" s="22">
        <v>8.69</v>
      </c>
      <c r="O253" s="22">
        <v>10.37</v>
      </c>
      <c r="P253" s="22">
        <v>0.2</v>
      </c>
      <c r="Q253" s="22">
        <v>800.0</v>
      </c>
      <c r="R253" s="22" t="s">
        <v>51</v>
      </c>
      <c r="S253" s="58">
        <v>0.0</v>
      </c>
      <c r="T253" s="22">
        <v>16.14</v>
      </c>
      <c r="U253" s="25">
        <v>13.64</v>
      </c>
      <c r="V253" s="25">
        <v>13.89</v>
      </c>
      <c r="W253" s="22">
        <v>16.83</v>
      </c>
      <c r="X253" s="22">
        <v>5.29</v>
      </c>
      <c r="Y253" s="54">
        <f t="shared" si="216"/>
        <v>50.35</v>
      </c>
      <c r="Z253" s="22">
        <f t="shared" si="77"/>
        <v>0.3984063745</v>
      </c>
      <c r="AA253" s="22">
        <v>94.28</v>
      </c>
      <c r="AB253" s="22">
        <v>94.28</v>
      </c>
      <c r="AC253" s="25">
        <f t="shared" si="78"/>
        <v>6660</v>
      </c>
      <c r="AD253" s="22" t="s">
        <v>51</v>
      </c>
      <c r="AG253" s="33">
        <v>2.51</v>
      </c>
      <c r="AH253" s="33">
        <v>6.66</v>
      </c>
      <c r="AO253" s="34">
        <f t="shared" ref="AO253:AS253" si="233">U253</f>
        <v>13.64</v>
      </c>
      <c r="AP253" s="34">
        <f t="shared" si="233"/>
        <v>13.89</v>
      </c>
      <c r="AQ253" s="34">
        <f t="shared" si="233"/>
        <v>16.83</v>
      </c>
      <c r="AR253" s="34">
        <f t="shared" si="233"/>
        <v>5.29</v>
      </c>
      <c r="AS253" s="34">
        <f t="shared" si="233"/>
        <v>50.35</v>
      </c>
      <c r="AT253" s="35">
        <f t="shared" si="15"/>
        <v>100</v>
      </c>
      <c r="AV253" s="25">
        <f t="shared" si="87"/>
        <v>6660</v>
      </c>
    </row>
    <row r="254" ht="14.25" customHeight="1">
      <c r="B254" s="36"/>
      <c r="C254" s="22" t="s">
        <v>46</v>
      </c>
      <c r="D254" s="56"/>
      <c r="E254" s="22" t="s">
        <v>48</v>
      </c>
      <c r="F254" s="56"/>
      <c r="G254" s="27">
        <f t="shared" si="226"/>
        <v>54.55762579</v>
      </c>
      <c r="H254" s="27">
        <f t="shared" si="227"/>
        <v>6.582617427</v>
      </c>
      <c r="I254" s="27">
        <f t="shared" si="228"/>
        <v>37.58786121</v>
      </c>
      <c r="J254" s="27">
        <f t="shared" si="229"/>
        <v>0.6359477853</v>
      </c>
      <c r="K254" s="27">
        <f t="shared" si="230"/>
        <v>0.6359477853</v>
      </c>
      <c r="L254" s="26">
        <f t="shared" si="75"/>
        <v>11.11</v>
      </c>
      <c r="M254" s="22">
        <v>69.83</v>
      </c>
      <c r="N254" s="22">
        <v>8.69</v>
      </c>
      <c r="O254" s="22">
        <v>10.37</v>
      </c>
      <c r="P254" s="22">
        <v>0.2</v>
      </c>
      <c r="Q254" s="22">
        <v>800.0</v>
      </c>
      <c r="R254" s="22" t="s">
        <v>51</v>
      </c>
      <c r="S254" s="58">
        <v>0.0</v>
      </c>
      <c r="T254" s="22">
        <v>16.14</v>
      </c>
      <c r="U254" s="25">
        <v>16.26</v>
      </c>
      <c r="V254" s="25">
        <v>16.71</v>
      </c>
      <c r="W254" s="22">
        <v>16.56</v>
      </c>
      <c r="X254" s="22">
        <v>4.87</v>
      </c>
      <c r="Y254" s="54">
        <f t="shared" si="216"/>
        <v>45.6</v>
      </c>
      <c r="Z254" s="22">
        <f t="shared" si="77"/>
        <v>0.3759398496</v>
      </c>
      <c r="AA254" s="22">
        <v>102.17</v>
      </c>
      <c r="AB254" s="22">
        <v>102.17</v>
      </c>
      <c r="AC254" s="25">
        <f t="shared" si="78"/>
        <v>6810</v>
      </c>
      <c r="AD254" s="22" t="s">
        <v>51</v>
      </c>
      <c r="AG254" s="33">
        <v>2.66</v>
      </c>
      <c r="AH254" s="33">
        <v>6.81</v>
      </c>
      <c r="AO254" s="34">
        <f t="shared" ref="AO254:AS254" si="234">U254</f>
        <v>16.26</v>
      </c>
      <c r="AP254" s="34">
        <f t="shared" si="234"/>
        <v>16.71</v>
      </c>
      <c r="AQ254" s="34">
        <f t="shared" si="234"/>
        <v>16.56</v>
      </c>
      <c r="AR254" s="34">
        <f t="shared" si="234"/>
        <v>4.87</v>
      </c>
      <c r="AS254" s="34">
        <f t="shared" si="234"/>
        <v>45.6</v>
      </c>
      <c r="AT254" s="35">
        <f t="shared" si="15"/>
        <v>100</v>
      </c>
      <c r="AV254" s="25">
        <f t="shared" si="87"/>
        <v>6810</v>
      </c>
    </row>
    <row r="255" ht="14.25" customHeight="1">
      <c r="B255" s="36"/>
      <c r="C255" s="22" t="s">
        <v>46</v>
      </c>
      <c r="D255" s="56"/>
      <c r="E255" s="22" t="s">
        <v>48</v>
      </c>
      <c r="F255" s="56"/>
      <c r="G255" s="27">
        <f t="shared" ref="G255:G260" si="236">44.3*100/(100-O255)</f>
        <v>46.77930306</v>
      </c>
      <c r="H255" s="27">
        <f t="shared" si="227"/>
        <v>6.230200634</v>
      </c>
      <c r="I255" s="27">
        <f t="shared" ref="I255:I260" si="237">44.4*100/(100-O255)</f>
        <v>46.88489968</v>
      </c>
      <c r="J255" s="27">
        <f t="shared" ref="J255:J260" si="238">0.1*100/(100-O255)</f>
        <v>0.1055966209</v>
      </c>
      <c r="K255" s="25">
        <v>0.0</v>
      </c>
      <c r="L255" s="26">
        <f t="shared" si="75"/>
        <v>12.1</v>
      </c>
      <c r="M255" s="22">
        <v>74.2</v>
      </c>
      <c r="N255" s="22">
        <v>8.4</v>
      </c>
      <c r="O255" s="22">
        <v>5.3</v>
      </c>
      <c r="P255" s="22">
        <v>0.3</v>
      </c>
      <c r="Q255" s="22">
        <v>780.0</v>
      </c>
      <c r="R255" s="22" t="s">
        <v>51</v>
      </c>
      <c r="S255" s="58">
        <v>0.0</v>
      </c>
      <c r="T255" s="22">
        <v>18.3</v>
      </c>
      <c r="U255" s="25">
        <v>20.2</v>
      </c>
      <c r="V255" s="25">
        <v>15.2</v>
      </c>
      <c r="W255" s="22">
        <v>16.4</v>
      </c>
      <c r="X255" s="22">
        <v>4.7</v>
      </c>
      <c r="Y255" s="54">
        <f t="shared" si="216"/>
        <v>43.5</v>
      </c>
      <c r="Z255" s="22">
        <f t="shared" si="77"/>
        <v>0.8928571429</v>
      </c>
      <c r="AA255" s="22">
        <v>41.71</v>
      </c>
      <c r="AB255" s="22">
        <v>44.18</v>
      </c>
      <c r="AC255" s="25">
        <f t="shared" si="78"/>
        <v>6890</v>
      </c>
      <c r="AD255" s="22" t="s">
        <v>51</v>
      </c>
      <c r="AG255" s="33">
        <v>1.12</v>
      </c>
      <c r="AH255" s="33">
        <v>6.89</v>
      </c>
      <c r="AO255" s="34">
        <f t="shared" ref="AO255:AS255" si="235">U255</f>
        <v>20.2</v>
      </c>
      <c r="AP255" s="34">
        <f t="shared" si="235"/>
        <v>15.2</v>
      </c>
      <c r="AQ255" s="34">
        <f t="shared" si="235"/>
        <v>16.4</v>
      </c>
      <c r="AR255" s="34">
        <f t="shared" si="235"/>
        <v>4.7</v>
      </c>
      <c r="AS255" s="34">
        <f t="shared" si="235"/>
        <v>43.5</v>
      </c>
      <c r="AT255" s="35">
        <f t="shared" si="15"/>
        <v>100</v>
      </c>
      <c r="AV255" s="25">
        <f t="shared" si="87"/>
        <v>6890</v>
      </c>
    </row>
    <row r="256" ht="14.25" customHeight="1">
      <c r="B256" s="36"/>
      <c r="C256" s="22" t="s">
        <v>46</v>
      </c>
      <c r="D256" s="56"/>
      <c r="E256" s="22" t="s">
        <v>48</v>
      </c>
      <c r="F256" s="56"/>
      <c r="G256" s="27">
        <f t="shared" si="236"/>
        <v>46.77930306</v>
      </c>
      <c r="H256" s="27">
        <f t="shared" si="227"/>
        <v>6.230200634</v>
      </c>
      <c r="I256" s="27">
        <f t="shared" si="237"/>
        <v>46.88489968</v>
      </c>
      <c r="J256" s="27">
        <f t="shared" si="238"/>
        <v>0.1055966209</v>
      </c>
      <c r="K256" s="22">
        <v>0.0</v>
      </c>
      <c r="L256" s="26">
        <f t="shared" si="75"/>
        <v>12.1</v>
      </c>
      <c r="M256" s="22">
        <v>74.2</v>
      </c>
      <c r="N256" s="22">
        <v>8.4</v>
      </c>
      <c r="O256" s="22">
        <v>5.3</v>
      </c>
      <c r="P256" s="22">
        <v>0.3</v>
      </c>
      <c r="Q256" s="22">
        <v>780.0</v>
      </c>
      <c r="R256" s="22" t="s">
        <v>51</v>
      </c>
      <c r="S256" s="58">
        <v>0.0</v>
      </c>
      <c r="T256" s="22">
        <v>18.3</v>
      </c>
      <c r="U256" s="25">
        <v>19.8</v>
      </c>
      <c r="V256" s="25">
        <v>16.4</v>
      </c>
      <c r="W256" s="22">
        <v>15.9</v>
      </c>
      <c r="X256" s="22">
        <v>4.9</v>
      </c>
      <c r="Y256" s="54">
        <f t="shared" si="216"/>
        <v>43</v>
      </c>
      <c r="Z256" s="22">
        <f t="shared" si="77"/>
        <v>0.8771929825</v>
      </c>
      <c r="AA256" s="22">
        <v>35.06</v>
      </c>
      <c r="AB256" s="22">
        <v>46.08</v>
      </c>
      <c r="AC256" s="25">
        <f t="shared" si="78"/>
        <v>5690</v>
      </c>
      <c r="AD256" s="22" t="s">
        <v>51</v>
      </c>
      <c r="AG256" s="33">
        <v>1.14</v>
      </c>
      <c r="AH256" s="33">
        <v>5.69</v>
      </c>
      <c r="AO256" s="34">
        <f t="shared" ref="AO256:AS256" si="239">U256</f>
        <v>19.8</v>
      </c>
      <c r="AP256" s="34">
        <f t="shared" si="239"/>
        <v>16.4</v>
      </c>
      <c r="AQ256" s="34">
        <f t="shared" si="239"/>
        <v>15.9</v>
      </c>
      <c r="AR256" s="34">
        <f t="shared" si="239"/>
        <v>4.9</v>
      </c>
      <c r="AS256" s="34">
        <f t="shared" si="239"/>
        <v>43</v>
      </c>
      <c r="AT256" s="35">
        <f t="shared" si="15"/>
        <v>100</v>
      </c>
      <c r="AV256" s="25">
        <f t="shared" si="87"/>
        <v>5690</v>
      </c>
    </row>
    <row r="257" ht="14.25" customHeight="1">
      <c r="B257" s="36"/>
      <c r="C257" s="22" t="s">
        <v>46</v>
      </c>
      <c r="D257" s="56"/>
      <c r="E257" s="22" t="s">
        <v>48</v>
      </c>
      <c r="F257" s="56"/>
      <c r="G257" s="27">
        <f t="shared" si="236"/>
        <v>46.77930306</v>
      </c>
      <c r="H257" s="27">
        <f t="shared" si="227"/>
        <v>6.230200634</v>
      </c>
      <c r="I257" s="27">
        <f t="shared" si="237"/>
        <v>46.88489968</v>
      </c>
      <c r="J257" s="27">
        <f t="shared" si="238"/>
        <v>0.1055966209</v>
      </c>
      <c r="K257" s="22">
        <v>0.0</v>
      </c>
      <c r="L257" s="26">
        <f t="shared" si="75"/>
        <v>12.1</v>
      </c>
      <c r="M257" s="22">
        <v>74.2</v>
      </c>
      <c r="N257" s="22">
        <v>8.4</v>
      </c>
      <c r="O257" s="22">
        <v>5.3</v>
      </c>
      <c r="P257" s="22">
        <v>0.3</v>
      </c>
      <c r="Q257" s="22">
        <v>780.0</v>
      </c>
      <c r="R257" s="22" t="s">
        <v>51</v>
      </c>
      <c r="S257" s="58">
        <v>0.0</v>
      </c>
      <c r="T257" s="22">
        <v>18.3</v>
      </c>
      <c r="U257" s="25">
        <v>20.3</v>
      </c>
      <c r="V257" s="25">
        <v>13.8</v>
      </c>
      <c r="W257" s="22">
        <v>16.9</v>
      </c>
      <c r="X257" s="22">
        <v>4.4</v>
      </c>
      <c r="Y257" s="54">
        <f t="shared" si="216"/>
        <v>44.6</v>
      </c>
      <c r="Z257" s="22">
        <f t="shared" si="77"/>
        <v>0.9803921569</v>
      </c>
      <c r="AA257" s="22">
        <v>28.78</v>
      </c>
      <c r="AB257" s="22">
        <v>38.9</v>
      </c>
      <c r="AC257" s="25">
        <f t="shared" si="78"/>
        <v>5220</v>
      </c>
      <c r="AD257" s="22" t="s">
        <v>51</v>
      </c>
      <c r="AG257" s="33">
        <v>1.02</v>
      </c>
      <c r="AH257" s="33">
        <v>5.22</v>
      </c>
      <c r="AO257" s="34">
        <f t="shared" ref="AO257:AS257" si="240">U257</f>
        <v>20.3</v>
      </c>
      <c r="AP257" s="34">
        <f t="shared" si="240"/>
        <v>13.8</v>
      </c>
      <c r="AQ257" s="34">
        <f t="shared" si="240"/>
        <v>16.9</v>
      </c>
      <c r="AR257" s="34">
        <f t="shared" si="240"/>
        <v>4.4</v>
      </c>
      <c r="AS257" s="34">
        <f t="shared" si="240"/>
        <v>44.6</v>
      </c>
      <c r="AT257" s="35">
        <f t="shared" si="15"/>
        <v>100</v>
      </c>
      <c r="AV257" s="25">
        <f t="shared" si="87"/>
        <v>5220</v>
      </c>
    </row>
    <row r="258" ht="14.25" customHeight="1">
      <c r="B258" s="36"/>
      <c r="C258" s="22" t="s">
        <v>46</v>
      </c>
      <c r="D258" s="56"/>
      <c r="E258" s="22" t="s">
        <v>48</v>
      </c>
      <c r="F258" s="56"/>
      <c r="G258" s="27">
        <f t="shared" si="236"/>
        <v>46.77930306</v>
      </c>
      <c r="H258" s="27">
        <f t="shared" si="227"/>
        <v>6.230200634</v>
      </c>
      <c r="I258" s="27">
        <f t="shared" si="237"/>
        <v>46.88489968</v>
      </c>
      <c r="J258" s="27">
        <f t="shared" si="238"/>
        <v>0.1055966209</v>
      </c>
      <c r="K258" s="22">
        <v>0.0</v>
      </c>
      <c r="L258" s="26">
        <f t="shared" si="75"/>
        <v>12.1</v>
      </c>
      <c r="M258" s="22">
        <v>74.2</v>
      </c>
      <c r="N258" s="22">
        <v>8.4</v>
      </c>
      <c r="O258" s="22">
        <v>5.3</v>
      </c>
      <c r="P258" s="22">
        <v>0.3</v>
      </c>
      <c r="Q258" s="22">
        <v>780.0</v>
      </c>
      <c r="R258" s="22" t="s">
        <v>51</v>
      </c>
      <c r="S258" s="58">
        <v>0.0</v>
      </c>
      <c r="T258" s="22">
        <v>18.3</v>
      </c>
      <c r="U258" s="25">
        <v>22.8</v>
      </c>
      <c r="V258" s="25">
        <v>11.7</v>
      </c>
      <c r="W258" s="22">
        <v>17.7</v>
      </c>
      <c r="X258" s="22">
        <v>4.1</v>
      </c>
      <c r="Y258" s="54">
        <f t="shared" si="216"/>
        <v>43.7</v>
      </c>
      <c r="Z258" s="22">
        <f t="shared" si="77"/>
        <v>0.9900990099</v>
      </c>
      <c r="AA258" s="22">
        <v>35.7</v>
      </c>
      <c r="AB258" s="22">
        <v>36.77</v>
      </c>
      <c r="AC258" s="25">
        <f t="shared" si="78"/>
        <v>6540</v>
      </c>
      <c r="AD258" s="22" t="s">
        <v>51</v>
      </c>
      <c r="AG258" s="33">
        <v>1.01</v>
      </c>
      <c r="AH258" s="33">
        <v>6.54</v>
      </c>
      <c r="AO258" s="34">
        <f t="shared" ref="AO258:AS258" si="241">U258</f>
        <v>22.8</v>
      </c>
      <c r="AP258" s="34">
        <f t="shared" si="241"/>
        <v>11.7</v>
      </c>
      <c r="AQ258" s="34">
        <f t="shared" si="241"/>
        <v>17.7</v>
      </c>
      <c r="AR258" s="34">
        <f t="shared" si="241"/>
        <v>4.1</v>
      </c>
      <c r="AS258" s="34">
        <f t="shared" si="241"/>
        <v>43.7</v>
      </c>
      <c r="AT258" s="35">
        <f t="shared" si="15"/>
        <v>100</v>
      </c>
      <c r="AV258" s="25">
        <f t="shared" si="87"/>
        <v>6540</v>
      </c>
    </row>
    <row r="259" ht="14.25" customHeight="1">
      <c r="B259" s="36"/>
      <c r="C259" s="22" t="s">
        <v>46</v>
      </c>
      <c r="D259" s="56"/>
      <c r="E259" s="22" t="s">
        <v>48</v>
      </c>
      <c r="F259" s="56"/>
      <c r="G259" s="27">
        <f t="shared" si="236"/>
        <v>46.77930306</v>
      </c>
      <c r="H259" s="27">
        <f t="shared" si="227"/>
        <v>6.230200634</v>
      </c>
      <c r="I259" s="27">
        <f t="shared" si="237"/>
        <v>46.88489968</v>
      </c>
      <c r="J259" s="27">
        <f t="shared" si="238"/>
        <v>0.1055966209</v>
      </c>
      <c r="K259" s="22">
        <v>0.0</v>
      </c>
      <c r="L259" s="26">
        <f t="shared" si="75"/>
        <v>12.1</v>
      </c>
      <c r="M259" s="22">
        <v>74.2</v>
      </c>
      <c r="N259" s="22">
        <v>8.4</v>
      </c>
      <c r="O259" s="22">
        <v>5.3</v>
      </c>
      <c r="P259" s="22">
        <v>0.3</v>
      </c>
      <c r="Q259" s="22">
        <v>780.0</v>
      </c>
      <c r="R259" s="22" t="s">
        <v>51</v>
      </c>
      <c r="S259" s="58">
        <v>0.0</v>
      </c>
      <c r="T259" s="22">
        <v>18.3</v>
      </c>
      <c r="U259" s="25">
        <v>28.7</v>
      </c>
      <c r="V259" s="25">
        <v>16.7</v>
      </c>
      <c r="W259" s="22">
        <v>14.5</v>
      </c>
      <c r="X259" s="22">
        <v>2.02</v>
      </c>
      <c r="Y259" s="54">
        <f t="shared" si="216"/>
        <v>38.08</v>
      </c>
      <c r="Z259" s="22">
        <f t="shared" si="77"/>
        <v>0.8771929825</v>
      </c>
      <c r="AA259" s="22">
        <v>42.27</v>
      </c>
      <c r="AB259" s="22">
        <v>41.15</v>
      </c>
      <c r="AC259" s="25">
        <f t="shared" si="78"/>
        <v>6860</v>
      </c>
      <c r="AD259" s="22" t="s">
        <v>51</v>
      </c>
      <c r="AG259" s="33">
        <v>1.14</v>
      </c>
      <c r="AH259" s="33">
        <v>6.86</v>
      </c>
      <c r="AO259" s="34">
        <f t="shared" ref="AO259:AS259" si="242">U259</f>
        <v>28.7</v>
      </c>
      <c r="AP259" s="34">
        <f t="shared" si="242"/>
        <v>16.7</v>
      </c>
      <c r="AQ259" s="34">
        <f t="shared" si="242"/>
        <v>14.5</v>
      </c>
      <c r="AR259" s="34">
        <f t="shared" si="242"/>
        <v>2.02</v>
      </c>
      <c r="AS259" s="34">
        <f t="shared" si="242"/>
        <v>38.08</v>
      </c>
      <c r="AT259" s="35">
        <f t="shared" si="15"/>
        <v>100</v>
      </c>
      <c r="AV259" s="25">
        <f t="shared" si="87"/>
        <v>6860</v>
      </c>
    </row>
    <row r="260" ht="14.25" customHeight="1">
      <c r="B260" s="36"/>
      <c r="C260" s="22" t="s">
        <v>46</v>
      </c>
      <c r="D260" s="56"/>
      <c r="E260" s="22" t="s">
        <v>48</v>
      </c>
      <c r="F260" s="56"/>
      <c r="G260" s="27">
        <f t="shared" si="236"/>
        <v>46.77930306</v>
      </c>
      <c r="H260" s="27">
        <f t="shared" si="227"/>
        <v>6.230200634</v>
      </c>
      <c r="I260" s="27">
        <f t="shared" si="237"/>
        <v>46.88489968</v>
      </c>
      <c r="J260" s="27">
        <f t="shared" si="238"/>
        <v>0.1055966209</v>
      </c>
      <c r="K260" s="22">
        <v>0.0</v>
      </c>
      <c r="L260" s="26">
        <f t="shared" si="75"/>
        <v>12.1</v>
      </c>
      <c r="M260" s="22">
        <v>74.2</v>
      </c>
      <c r="N260" s="22">
        <v>8.4</v>
      </c>
      <c r="O260" s="22">
        <v>5.3</v>
      </c>
      <c r="P260" s="22">
        <v>0.3</v>
      </c>
      <c r="Q260" s="22">
        <v>780.0</v>
      </c>
      <c r="R260" s="22" t="s">
        <v>51</v>
      </c>
      <c r="S260" s="58">
        <v>0.0</v>
      </c>
      <c r="T260" s="22">
        <v>18.3</v>
      </c>
      <c r="U260" s="25">
        <v>30.3</v>
      </c>
      <c r="V260" s="25">
        <v>17.6</v>
      </c>
      <c r="W260" s="22">
        <v>14.3</v>
      </c>
      <c r="X260" s="22">
        <v>1.49</v>
      </c>
      <c r="Y260" s="54">
        <f t="shared" si="216"/>
        <v>36.31</v>
      </c>
      <c r="Z260" s="22">
        <f t="shared" si="77"/>
        <v>0.826446281</v>
      </c>
      <c r="AA260" s="22">
        <v>42.12</v>
      </c>
      <c r="AB260" s="22">
        <v>43.9</v>
      </c>
      <c r="AC260" s="25">
        <f t="shared" si="78"/>
        <v>6440</v>
      </c>
      <c r="AD260" s="22" t="s">
        <v>51</v>
      </c>
      <c r="AG260" s="33">
        <v>1.21</v>
      </c>
      <c r="AH260" s="33">
        <v>6.44</v>
      </c>
      <c r="AO260" s="34">
        <f t="shared" ref="AO260:AS260" si="243">U260</f>
        <v>30.3</v>
      </c>
      <c r="AP260" s="34">
        <f t="shared" si="243"/>
        <v>17.6</v>
      </c>
      <c r="AQ260" s="34">
        <f t="shared" si="243"/>
        <v>14.3</v>
      </c>
      <c r="AR260" s="34">
        <f t="shared" si="243"/>
        <v>1.49</v>
      </c>
      <c r="AS260" s="34">
        <f t="shared" si="243"/>
        <v>36.31</v>
      </c>
      <c r="AT260" s="35">
        <f t="shared" si="15"/>
        <v>100</v>
      </c>
      <c r="AV260" s="25">
        <f t="shared" si="87"/>
        <v>6440</v>
      </c>
    </row>
    <row r="261" ht="14.25" customHeight="1">
      <c r="B261" s="36"/>
      <c r="C261" s="22" t="s">
        <v>46</v>
      </c>
      <c r="D261" s="56"/>
      <c r="E261" s="22" t="s">
        <v>48</v>
      </c>
      <c r="F261" s="56"/>
      <c r="G261" s="27">
        <f>35.78*100/(100-O261)</f>
        <v>44.4582505</v>
      </c>
      <c r="H261" s="27">
        <f>1.9*100/(100-O261)</f>
        <v>2.36083499</v>
      </c>
      <c r="I261" s="27">
        <f>38.2*100/(100-O261)</f>
        <v>47.46520875</v>
      </c>
      <c r="J261" s="27">
        <f>4.6*100/(100-O261)</f>
        <v>5.715705765</v>
      </c>
      <c r="K261" s="22">
        <v>0.0</v>
      </c>
      <c r="L261" s="26">
        <f t="shared" si="75"/>
        <v>5.85</v>
      </c>
      <c r="M261" s="22">
        <v>69.83</v>
      </c>
      <c r="N261" s="22">
        <v>4.8</v>
      </c>
      <c r="O261" s="22">
        <v>19.52</v>
      </c>
      <c r="P261" s="22">
        <v>0.3</v>
      </c>
      <c r="Q261" s="22">
        <v>650.0</v>
      </c>
      <c r="R261" s="22" t="s">
        <v>51</v>
      </c>
      <c r="S261" s="61">
        <v>0.0</v>
      </c>
      <c r="T261" s="22">
        <v>13.2</v>
      </c>
      <c r="U261" s="25">
        <v>2.7</v>
      </c>
      <c r="V261" s="25">
        <v>15.2</v>
      </c>
      <c r="W261" s="22">
        <v>9.3</v>
      </c>
      <c r="X261" s="22">
        <v>3.1</v>
      </c>
      <c r="Y261" s="54">
        <f t="shared" si="216"/>
        <v>69.7</v>
      </c>
      <c r="Z261" s="22">
        <f t="shared" si="77"/>
        <v>0.5291005291</v>
      </c>
      <c r="AA261" s="22">
        <v>59.0</v>
      </c>
      <c r="AB261" s="22">
        <v>85.0</v>
      </c>
      <c r="AC261" s="25">
        <f t="shared" si="78"/>
        <v>5160</v>
      </c>
      <c r="AD261" s="22" t="s">
        <v>51</v>
      </c>
      <c r="AG261" s="33">
        <v>1.89</v>
      </c>
      <c r="AH261" s="33">
        <v>5.16</v>
      </c>
      <c r="AO261" s="34">
        <f t="shared" ref="AO261:AS261" si="244">U261</f>
        <v>2.7</v>
      </c>
      <c r="AP261" s="34">
        <f t="shared" si="244"/>
        <v>15.2</v>
      </c>
      <c r="AQ261" s="34">
        <f t="shared" si="244"/>
        <v>9.3</v>
      </c>
      <c r="AR261" s="34">
        <f t="shared" si="244"/>
        <v>3.1</v>
      </c>
      <c r="AS261" s="34">
        <f t="shared" si="244"/>
        <v>69.7</v>
      </c>
      <c r="AT261" s="35">
        <f t="shared" si="15"/>
        <v>100</v>
      </c>
      <c r="AV261" s="25">
        <f t="shared" si="87"/>
        <v>5160</v>
      </c>
    </row>
    <row r="262" ht="14.25" customHeight="1">
      <c r="B262" s="36"/>
      <c r="C262" s="22" t="s">
        <v>46</v>
      </c>
      <c r="D262" s="56"/>
      <c r="E262" s="22" t="s">
        <v>48</v>
      </c>
      <c r="F262" s="56"/>
      <c r="G262" s="27">
        <f t="shared" ref="G262:G297" si="246">38.45*100/(100-O262)</f>
        <v>47.77584493</v>
      </c>
      <c r="H262" s="27">
        <f t="shared" ref="H262:H297" si="247">2.97*100/(100-O262)</f>
        <v>3.690357853</v>
      </c>
      <c r="I262" s="27">
        <f t="shared" ref="I262:I297" si="248">38.5*100/(100-O262)</f>
        <v>47.83797217</v>
      </c>
      <c r="J262" s="27">
        <f t="shared" ref="J262:J297" si="249">0.49*100/(100-O262)</f>
        <v>0.6088469185</v>
      </c>
      <c r="K262" s="27">
        <f t="shared" ref="K262:K297" si="250">0.07*100/(100-O262)</f>
        <v>0.08697813121</v>
      </c>
      <c r="L262" s="26">
        <f t="shared" si="75"/>
        <v>55.54</v>
      </c>
      <c r="M262" s="22">
        <v>14.99</v>
      </c>
      <c r="N262" s="22">
        <v>9.95</v>
      </c>
      <c r="O262" s="22">
        <v>19.52</v>
      </c>
      <c r="P262" s="22">
        <v>0.25</v>
      </c>
      <c r="Q262" s="22">
        <v>650.0</v>
      </c>
      <c r="R262" s="22" t="s">
        <v>51</v>
      </c>
      <c r="S262" s="61">
        <v>0.0</v>
      </c>
      <c r="T262" s="22">
        <v>14.7</v>
      </c>
      <c r="U262" s="25">
        <v>18.71</v>
      </c>
      <c r="V262" s="25">
        <v>26.02</v>
      </c>
      <c r="W262" s="22">
        <v>13.91</v>
      </c>
      <c r="X262" s="22">
        <v>1.96</v>
      </c>
      <c r="Y262" s="54">
        <f t="shared" si="216"/>
        <v>39.4</v>
      </c>
      <c r="Z262" s="22">
        <f t="shared" si="77"/>
        <v>0.9174311927</v>
      </c>
      <c r="AA262" s="22">
        <v>49.28</v>
      </c>
      <c r="AB262" s="22">
        <v>71.51</v>
      </c>
      <c r="AC262" s="25">
        <f t="shared" si="78"/>
        <v>6380</v>
      </c>
      <c r="AD262" s="22" t="s">
        <v>51</v>
      </c>
      <c r="AG262" s="33">
        <v>1.09</v>
      </c>
      <c r="AH262" s="33">
        <v>6.38</v>
      </c>
      <c r="AO262" s="34">
        <f t="shared" ref="AO262:AS262" si="245">U262</f>
        <v>18.71</v>
      </c>
      <c r="AP262" s="34">
        <f t="shared" si="245"/>
        <v>26.02</v>
      </c>
      <c r="AQ262" s="34">
        <f t="shared" si="245"/>
        <v>13.91</v>
      </c>
      <c r="AR262" s="34">
        <f t="shared" si="245"/>
        <v>1.96</v>
      </c>
      <c r="AS262" s="34">
        <f t="shared" si="245"/>
        <v>39.4</v>
      </c>
      <c r="AT262" s="35">
        <f t="shared" si="15"/>
        <v>100</v>
      </c>
      <c r="AV262" s="25">
        <f t="shared" si="87"/>
        <v>6380</v>
      </c>
    </row>
    <row r="263" ht="14.25" customHeight="1">
      <c r="B263" s="36"/>
      <c r="C263" s="22" t="s">
        <v>46</v>
      </c>
      <c r="D263" s="56"/>
      <c r="E263" s="22" t="s">
        <v>48</v>
      </c>
      <c r="F263" s="56"/>
      <c r="G263" s="27">
        <f t="shared" si="246"/>
        <v>47.77584493</v>
      </c>
      <c r="H263" s="27">
        <f t="shared" si="247"/>
        <v>3.690357853</v>
      </c>
      <c r="I263" s="27">
        <f t="shared" si="248"/>
        <v>47.83797217</v>
      </c>
      <c r="J263" s="27">
        <f t="shared" si="249"/>
        <v>0.6088469185</v>
      </c>
      <c r="K263" s="27">
        <f t="shared" si="250"/>
        <v>0.08697813121</v>
      </c>
      <c r="L263" s="26">
        <f t="shared" si="75"/>
        <v>55.54</v>
      </c>
      <c r="M263" s="22">
        <v>14.99</v>
      </c>
      <c r="N263" s="22">
        <v>9.95</v>
      </c>
      <c r="O263" s="22">
        <v>19.52</v>
      </c>
      <c r="P263" s="22">
        <v>0.25</v>
      </c>
      <c r="Q263" s="22">
        <v>675.0</v>
      </c>
      <c r="R263" s="22" t="s">
        <v>51</v>
      </c>
      <c r="S263" s="61">
        <v>0.0</v>
      </c>
      <c r="T263" s="22">
        <v>14.7</v>
      </c>
      <c r="U263" s="25">
        <v>19.18</v>
      </c>
      <c r="V263" s="25">
        <v>27.03</v>
      </c>
      <c r="W263" s="22">
        <v>13.14</v>
      </c>
      <c r="X263" s="22">
        <v>1.53</v>
      </c>
      <c r="Y263" s="54">
        <f t="shared" si="216"/>
        <v>39.12</v>
      </c>
      <c r="Z263" s="22">
        <f t="shared" si="77"/>
        <v>0.8928571429</v>
      </c>
      <c r="AA263" s="22">
        <v>51.07</v>
      </c>
      <c r="AB263" s="22">
        <v>72.44</v>
      </c>
      <c r="AC263" s="25">
        <f t="shared" si="78"/>
        <v>6440</v>
      </c>
      <c r="AD263" s="22" t="s">
        <v>51</v>
      </c>
      <c r="AG263" s="33">
        <v>1.12</v>
      </c>
      <c r="AH263" s="33">
        <v>6.44</v>
      </c>
      <c r="AO263" s="34">
        <f t="shared" ref="AO263:AS263" si="251">U263</f>
        <v>19.18</v>
      </c>
      <c r="AP263" s="34">
        <f t="shared" si="251"/>
        <v>27.03</v>
      </c>
      <c r="AQ263" s="34">
        <f t="shared" si="251"/>
        <v>13.14</v>
      </c>
      <c r="AR263" s="34">
        <f t="shared" si="251"/>
        <v>1.53</v>
      </c>
      <c r="AS263" s="34">
        <f t="shared" si="251"/>
        <v>39.12</v>
      </c>
      <c r="AT263" s="35">
        <f t="shared" si="15"/>
        <v>100</v>
      </c>
      <c r="AV263" s="25">
        <f t="shared" si="87"/>
        <v>6440</v>
      </c>
    </row>
    <row r="264" ht="14.25" customHeight="1">
      <c r="B264" s="36"/>
      <c r="C264" s="22" t="s">
        <v>46</v>
      </c>
      <c r="D264" s="56"/>
      <c r="E264" s="22" t="s">
        <v>48</v>
      </c>
      <c r="F264" s="56"/>
      <c r="G264" s="27">
        <f t="shared" si="246"/>
        <v>47.77584493</v>
      </c>
      <c r="H264" s="27">
        <f t="shared" si="247"/>
        <v>3.690357853</v>
      </c>
      <c r="I264" s="27">
        <f t="shared" si="248"/>
        <v>47.83797217</v>
      </c>
      <c r="J264" s="27">
        <f t="shared" si="249"/>
        <v>0.6088469185</v>
      </c>
      <c r="K264" s="27">
        <f t="shared" si="250"/>
        <v>0.08697813121</v>
      </c>
      <c r="L264" s="26">
        <f t="shared" si="75"/>
        <v>55.54</v>
      </c>
      <c r="M264" s="22">
        <v>14.99</v>
      </c>
      <c r="N264" s="22">
        <v>9.95</v>
      </c>
      <c r="O264" s="22">
        <v>19.52</v>
      </c>
      <c r="P264" s="22">
        <v>0.25</v>
      </c>
      <c r="Q264" s="22">
        <v>700.0</v>
      </c>
      <c r="R264" s="22" t="s">
        <v>51</v>
      </c>
      <c r="S264" s="61">
        <v>0.0</v>
      </c>
      <c r="T264" s="22">
        <v>14.7</v>
      </c>
      <c r="U264" s="25">
        <v>19.49</v>
      </c>
      <c r="V264" s="25">
        <v>27.84</v>
      </c>
      <c r="W264" s="22">
        <v>12.47</v>
      </c>
      <c r="X264" s="22">
        <v>1.19</v>
      </c>
      <c r="Y264" s="54">
        <f t="shared" si="216"/>
        <v>39.01</v>
      </c>
      <c r="Z264" s="22">
        <f t="shared" si="77"/>
        <v>0.8620689655</v>
      </c>
      <c r="AA264" s="22">
        <v>53.09</v>
      </c>
      <c r="AB264" s="22">
        <v>74.07</v>
      </c>
      <c r="AC264" s="25">
        <f t="shared" si="78"/>
        <v>6460</v>
      </c>
      <c r="AD264" s="22" t="s">
        <v>51</v>
      </c>
      <c r="AG264" s="33">
        <v>1.16</v>
      </c>
      <c r="AH264" s="33">
        <v>6.46</v>
      </c>
      <c r="AO264" s="34">
        <f t="shared" ref="AO264:AS264" si="252">U264</f>
        <v>19.49</v>
      </c>
      <c r="AP264" s="34">
        <f t="shared" si="252"/>
        <v>27.84</v>
      </c>
      <c r="AQ264" s="34">
        <f t="shared" si="252"/>
        <v>12.47</v>
      </c>
      <c r="AR264" s="34">
        <f t="shared" si="252"/>
        <v>1.19</v>
      </c>
      <c r="AS264" s="34">
        <f t="shared" si="252"/>
        <v>39.01</v>
      </c>
      <c r="AT264" s="35">
        <f t="shared" si="15"/>
        <v>100</v>
      </c>
      <c r="AV264" s="25">
        <f t="shared" si="87"/>
        <v>6460</v>
      </c>
    </row>
    <row r="265" ht="14.25" customHeight="1">
      <c r="B265" s="36"/>
      <c r="C265" s="22" t="s">
        <v>46</v>
      </c>
      <c r="D265" s="56"/>
      <c r="E265" s="22" t="s">
        <v>48</v>
      </c>
      <c r="F265" s="56"/>
      <c r="G265" s="27">
        <f t="shared" si="246"/>
        <v>47.77584493</v>
      </c>
      <c r="H265" s="27">
        <f t="shared" si="247"/>
        <v>3.690357853</v>
      </c>
      <c r="I265" s="27">
        <f t="shared" si="248"/>
        <v>47.83797217</v>
      </c>
      <c r="J265" s="27">
        <f t="shared" si="249"/>
        <v>0.6088469185</v>
      </c>
      <c r="K265" s="27">
        <f t="shared" si="250"/>
        <v>0.08697813121</v>
      </c>
      <c r="L265" s="26">
        <f t="shared" si="75"/>
        <v>55.54</v>
      </c>
      <c r="M265" s="22">
        <v>14.99</v>
      </c>
      <c r="N265" s="22">
        <v>9.95</v>
      </c>
      <c r="O265" s="22">
        <v>19.52</v>
      </c>
      <c r="P265" s="22">
        <v>0.25</v>
      </c>
      <c r="Q265" s="22">
        <v>725.0</v>
      </c>
      <c r="R265" s="22" t="s">
        <v>51</v>
      </c>
      <c r="S265" s="61">
        <v>0.0</v>
      </c>
      <c r="T265" s="22">
        <v>14.7</v>
      </c>
      <c r="U265" s="25">
        <v>19.69</v>
      </c>
      <c r="V265" s="25">
        <v>28.56</v>
      </c>
      <c r="W265" s="22">
        <v>11.91</v>
      </c>
      <c r="X265" s="22">
        <v>0.92</v>
      </c>
      <c r="Y265" s="54">
        <f t="shared" si="216"/>
        <v>38.92</v>
      </c>
      <c r="Z265" s="22">
        <f t="shared" si="77"/>
        <v>0.8403361345</v>
      </c>
      <c r="AA265" s="22">
        <v>54.82</v>
      </c>
      <c r="AB265" s="22">
        <v>75.82</v>
      </c>
      <c r="AC265" s="25">
        <f t="shared" si="78"/>
        <v>6500</v>
      </c>
      <c r="AD265" s="22" t="s">
        <v>51</v>
      </c>
      <c r="AG265" s="33">
        <v>1.19</v>
      </c>
      <c r="AH265" s="33">
        <v>6.5</v>
      </c>
      <c r="AO265" s="34">
        <f t="shared" ref="AO265:AS265" si="253">U265</f>
        <v>19.69</v>
      </c>
      <c r="AP265" s="34">
        <f t="shared" si="253"/>
        <v>28.56</v>
      </c>
      <c r="AQ265" s="34">
        <f t="shared" si="253"/>
        <v>11.91</v>
      </c>
      <c r="AR265" s="34">
        <f t="shared" si="253"/>
        <v>0.92</v>
      </c>
      <c r="AS265" s="34">
        <f t="shared" si="253"/>
        <v>38.92</v>
      </c>
      <c r="AT265" s="35">
        <f t="shared" si="15"/>
        <v>100</v>
      </c>
      <c r="AV265" s="25">
        <f t="shared" si="87"/>
        <v>6500</v>
      </c>
    </row>
    <row r="266" ht="14.25" customHeight="1">
      <c r="B266" s="36"/>
      <c r="C266" s="22" t="s">
        <v>46</v>
      </c>
      <c r="D266" s="56"/>
      <c r="E266" s="22" t="s">
        <v>48</v>
      </c>
      <c r="F266" s="56"/>
      <c r="G266" s="27">
        <f t="shared" si="246"/>
        <v>47.77584493</v>
      </c>
      <c r="H266" s="27">
        <f t="shared" si="247"/>
        <v>3.690357853</v>
      </c>
      <c r="I266" s="27">
        <f t="shared" si="248"/>
        <v>47.83797217</v>
      </c>
      <c r="J266" s="27">
        <f t="shared" si="249"/>
        <v>0.6088469185</v>
      </c>
      <c r="K266" s="27">
        <f t="shared" si="250"/>
        <v>0.08697813121</v>
      </c>
      <c r="L266" s="26">
        <f t="shared" si="75"/>
        <v>55.54</v>
      </c>
      <c r="M266" s="22">
        <v>14.99</v>
      </c>
      <c r="N266" s="22">
        <v>9.95</v>
      </c>
      <c r="O266" s="22">
        <v>19.52</v>
      </c>
      <c r="P266" s="22">
        <v>0.35</v>
      </c>
      <c r="Q266" s="22">
        <v>600.0</v>
      </c>
      <c r="R266" s="22" t="s">
        <v>51</v>
      </c>
      <c r="S266" s="61">
        <v>0.0</v>
      </c>
      <c r="T266" s="22">
        <v>14.7</v>
      </c>
      <c r="U266" s="25">
        <v>13.82</v>
      </c>
      <c r="V266" s="25">
        <v>16.15</v>
      </c>
      <c r="W266" s="22">
        <v>18.74</v>
      </c>
      <c r="X266" s="22">
        <v>2.32</v>
      </c>
      <c r="Y266" s="54">
        <f t="shared" si="216"/>
        <v>48.97</v>
      </c>
      <c r="Z266" s="22">
        <f t="shared" si="77"/>
        <v>0.8474576271</v>
      </c>
      <c r="AA266" s="22">
        <v>42.84</v>
      </c>
      <c r="AB266" s="22">
        <v>73.43</v>
      </c>
      <c r="AC266" s="25">
        <f t="shared" si="78"/>
        <v>5130</v>
      </c>
      <c r="AD266" s="22" t="s">
        <v>51</v>
      </c>
      <c r="AG266" s="33">
        <v>1.18</v>
      </c>
      <c r="AH266" s="33">
        <v>5.13</v>
      </c>
      <c r="AO266" s="34">
        <f t="shared" ref="AO266:AS266" si="254">U266</f>
        <v>13.82</v>
      </c>
      <c r="AP266" s="34">
        <f t="shared" si="254"/>
        <v>16.15</v>
      </c>
      <c r="AQ266" s="34">
        <f t="shared" si="254"/>
        <v>18.74</v>
      </c>
      <c r="AR266" s="34">
        <f t="shared" si="254"/>
        <v>2.32</v>
      </c>
      <c r="AS266" s="34">
        <f t="shared" si="254"/>
        <v>48.97</v>
      </c>
      <c r="AT266" s="35">
        <f t="shared" si="15"/>
        <v>100</v>
      </c>
      <c r="AV266" s="25">
        <f t="shared" si="87"/>
        <v>5130</v>
      </c>
    </row>
    <row r="267" ht="14.25" customHeight="1">
      <c r="B267" s="36"/>
      <c r="C267" s="22" t="s">
        <v>46</v>
      </c>
      <c r="D267" s="56"/>
      <c r="E267" s="22" t="s">
        <v>48</v>
      </c>
      <c r="F267" s="56"/>
      <c r="G267" s="27">
        <f t="shared" si="246"/>
        <v>47.77584493</v>
      </c>
      <c r="H267" s="27">
        <f t="shared" si="247"/>
        <v>3.690357853</v>
      </c>
      <c r="I267" s="27">
        <f t="shared" si="248"/>
        <v>47.83797217</v>
      </c>
      <c r="J267" s="27">
        <f t="shared" si="249"/>
        <v>0.6088469185</v>
      </c>
      <c r="K267" s="27">
        <f t="shared" si="250"/>
        <v>0.08697813121</v>
      </c>
      <c r="L267" s="26">
        <f t="shared" si="75"/>
        <v>55.54</v>
      </c>
      <c r="M267" s="22">
        <v>14.99</v>
      </c>
      <c r="N267" s="22">
        <v>9.95</v>
      </c>
      <c r="O267" s="22">
        <v>19.52</v>
      </c>
      <c r="P267" s="22">
        <v>0.35</v>
      </c>
      <c r="Q267" s="22">
        <v>650.0</v>
      </c>
      <c r="R267" s="22" t="s">
        <v>51</v>
      </c>
      <c r="S267" s="61">
        <v>0.0</v>
      </c>
      <c r="T267" s="22">
        <v>14.7</v>
      </c>
      <c r="U267" s="25">
        <v>14.78</v>
      </c>
      <c r="V267" s="25">
        <v>18.46</v>
      </c>
      <c r="W267" s="22">
        <v>16.94</v>
      </c>
      <c r="X267" s="22">
        <v>1.39</v>
      </c>
      <c r="Y267" s="54">
        <f t="shared" si="216"/>
        <v>48.43</v>
      </c>
      <c r="Z267" s="22">
        <f t="shared" si="77"/>
        <v>0.8</v>
      </c>
      <c r="AA267" s="22">
        <v>46.94</v>
      </c>
      <c r="AB267" s="22">
        <v>77.77</v>
      </c>
      <c r="AC267" s="25">
        <f t="shared" si="78"/>
        <v>5190</v>
      </c>
      <c r="AD267" s="22" t="s">
        <v>51</v>
      </c>
      <c r="AG267" s="33">
        <v>1.25</v>
      </c>
      <c r="AH267" s="33">
        <v>5.19</v>
      </c>
      <c r="AO267" s="34">
        <f t="shared" ref="AO267:AS267" si="255">U267</f>
        <v>14.78</v>
      </c>
      <c r="AP267" s="34">
        <f t="shared" si="255"/>
        <v>18.46</v>
      </c>
      <c r="AQ267" s="34">
        <f t="shared" si="255"/>
        <v>16.94</v>
      </c>
      <c r="AR267" s="34">
        <f t="shared" si="255"/>
        <v>1.39</v>
      </c>
      <c r="AS267" s="34">
        <f t="shared" si="255"/>
        <v>48.43</v>
      </c>
      <c r="AT267" s="35">
        <f t="shared" si="15"/>
        <v>100</v>
      </c>
      <c r="AV267" s="25">
        <f t="shared" si="87"/>
        <v>5190</v>
      </c>
    </row>
    <row r="268" ht="14.25" customHeight="1">
      <c r="B268" s="36"/>
      <c r="C268" s="22" t="s">
        <v>46</v>
      </c>
      <c r="D268" s="56"/>
      <c r="E268" s="22" t="s">
        <v>48</v>
      </c>
      <c r="F268" s="56"/>
      <c r="G268" s="27">
        <f t="shared" si="246"/>
        <v>47.77584493</v>
      </c>
      <c r="H268" s="27">
        <f t="shared" si="247"/>
        <v>3.690357853</v>
      </c>
      <c r="I268" s="27">
        <f t="shared" si="248"/>
        <v>47.83797217</v>
      </c>
      <c r="J268" s="27">
        <f t="shared" si="249"/>
        <v>0.6088469185</v>
      </c>
      <c r="K268" s="27">
        <f t="shared" si="250"/>
        <v>0.08697813121</v>
      </c>
      <c r="L268" s="26">
        <f t="shared" si="75"/>
        <v>55.54</v>
      </c>
      <c r="M268" s="22">
        <v>14.99</v>
      </c>
      <c r="N268" s="22">
        <v>9.95</v>
      </c>
      <c r="O268" s="22">
        <v>19.52</v>
      </c>
      <c r="P268" s="22">
        <v>0.35</v>
      </c>
      <c r="Q268" s="22">
        <v>700.0</v>
      </c>
      <c r="R268" s="22" t="s">
        <v>51</v>
      </c>
      <c r="S268" s="61">
        <v>0.0</v>
      </c>
      <c r="T268" s="22">
        <v>14.7</v>
      </c>
      <c r="U268" s="25">
        <v>15.18</v>
      </c>
      <c r="V268" s="25">
        <v>20.18</v>
      </c>
      <c r="W268" s="22">
        <v>15.62</v>
      </c>
      <c r="X268" s="22">
        <v>0.82</v>
      </c>
      <c r="Y268" s="54">
        <f t="shared" si="216"/>
        <v>48.2</v>
      </c>
      <c r="Z268" s="22">
        <f t="shared" si="77"/>
        <v>0.7575757576</v>
      </c>
      <c r="AA268" s="22">
        <v>48.94</v>
      </c>
      <c r="AB268" s="22">
        <v>82.68</v>
      </c>
      <c r="AC268" s="25">
        <f t="shared" si="78"/>
        <v>5240</v>
      </c>
      <c r="AD268" s="22" t="s">
        <v>51</v>
      </c>
      <c r="AG268" s="33">
        <v>1.32</v>
      </c>
      <c r="AH268" s="33">
        <v>5.24</v>
      </c>
      <c r="AO268" s="34">
        <f t="shared" ref="AO268:AS268" si="256">U268</f>
        <v>15.18</v>
      </c>
      <c r="AP268" s="34">
        <f t="shared" si="256"/>
        <v>20.18</v>
      </c>
      <c r="AQ268" s="34">
        <f t="shared" si="256"/>
        <v>15.62</v>
      </c>
      <c r="AR268" s="34">
        <f t="shared" si="256"/>
        <v>0.82</v>
      </c>
      <c r="AS268" s="34">
        <f t="shared" si="256"/>
        <v>48.2</v>
      </c>
      <c r="AT268" s="35">
        <f t="shared" si="15"/>
        <v>100</v>
      </c>
      <c r="AV268" s="25">
        <f t="shared" si="87"/>
        <v>5240</v>
      </c>
    </row>
    <row r="269" ht="14.25" customHeight="1">
      <c r="B269" s="36"/>
      <c r="C269" s="22" t="s">
        <v>46</v>
      </c>
      <c r="D269" s="56"/>
      <c r="E269" s="22" t="s">
        <v>48</v>
      </c>
      <c r="F269" s="56"/>
      <c r="G269" s="27">
        <f t="shared" si="246"/>
        <v>47.77584493</v>
      </c>
      <c r="H269" s="27">
        <f t="shared" si="247"/>
        <v>3.690357853</v>
      </c>
      <c r="I269" s="27">
        <f t="shared" si="248"/>
        <v>47.83797217</v>
      </c>
      <c r="J269" s="27">
        <f t="shared" si="249"/>
        <v>0.6088469185</v>
      </c>
      <c r="K269" s="27">
        <f t="shared" si="250"/>
        <v>0.08697813121</v>
      </c>
      <c r="L269" s="26">
        <f t="shared" si="75"/>
        <v>55.54</v>
      </c>
      <c r="M269" s="22">
        <v>14.99</v>
      </c>
      <c r="N269" s="22">
        <v>9.95</v>
      </c>
      <c r="O269" s="22">
        <v>19.52</v>
      </c>
      <c r="P269" s="22">
        <v>0.35</v>
      </c>
      <c r="Q269" s="22">
        <v>725.0</v>
      </c>
      <c r="R269" s="22" t="s">
        <v>51</v>
      </c>
      <c r="S269" s="61">
        <v>0.0</v>
      </c>
      <c r="T269" s="22">
        <v>14.7</v>
      </c>
      <c r="U269" s="25">
        <v>15.24</v>
      </c>
      <c r="V269" s="25">
        <v>20.86</v>
      </c>
      <c r="W269" s="22">
        <v>15.1</v>
      </c>
      <c r="X269" s="22">
        <v>0.63</v>
      </c>
      <c r="Y269" s="54">
        <f t="shared" si="216"/>
        <v>48.17</v>
      </c>
      <c r="Z269" s="22">
        <f t="shared" si="77"/>
        <v>0.6993006993</v>
      </c>
      <c r="AA269" s="22">
        <v>53.24</v>
      </c>
      <c r="AB269" s="22">
        <v>83.91</v>
      </c>
      <c r="AC269" s="25">
        <f t="shared" si="78"/>
        <v>5260</v>
      </c>
      <c r="AD269" s="22" t="s">
        <v>51</v>
      </c>
      <c r="AG269" s="33">
        <v>1.43</v>
      </c>
      <c r="AH269" s="33">
        <v>5.26</v>
      </c>
      <c r="AO269" s="34">
        <f t="shared" ref="AO269:AS269" si="257">U269</f>
        <v>15.24</v>
      </c>
      <c r="AP269" s="34">
        <f t="shared" si="257"/>
        <v>20.86</v>
      </c>
      <c r="AQ269" s="34">
        <f t="shared" si="257"/>
        <v>15.1</v>
      </c>
      <c r="AR269" s="34">
        <f t="shared" si="257"/>
        <v>0.63</v>
      </c>
      <c r="AS269" s="34">
        <f t="shared" si="257"/>
        <v>48.17</v>
      </c>
      <c r="AT269" s="35">
        <f t="shared" si="15"/>
        <v>100</v>
      </c>
      <c r="AV269" s="25">
        <f t="shared" si="87"/>
        <v>5260</v>
      </c>
    </row>
    <row r="270" ht="14.25" customHeight="1">
      <c r="B270" s="36"/>
      <c r="C270" s="22" t="s">
        <v>46</v>
      </c>
      <c r="D270" s="56"/>
      <c r="E270" s="22" t="s">
        <v>48</v>
      </c>
      <c r="F270" s="56"/>
      <c r="G270" s="27">
        <f t="shared" si="246"/>
        <v>47.77584493</v>
      </c>
      <c r="H270" s="27">
        <f t="shared" si="247"/>
        <v>3.690357853</v>
      </c>
      <c r="I270" s="27">
        <f t="shared" si="248"/>
        <v>47.83797217</v>
      </c>
      <c r="J270" s="27">
        <f t="shared" si="249"/>
        <v>0.6088469185</v>
      </c>
      <c r="K270" s="27">
        <f t="shared" si="250"/>
        <v>0.08697813121</v>
      </c>
      <c r="L270" s="26">
        <f t="shared" si="75"/>
        <v>55.54</v>
      </c>
      <c r="M270" s="22">
        <v>14.99</v>
      </c>
      <c r="N270" s="22">
        <v>9.95</v>
      </c>
      <c r="O270" s="22">
        <v>19.52</v>
      </c>
      <c r="P270" s="22">
        <v>0.35</v>
      </c>
      <c r="Q270" s="22">
        <v>750.0</v>
      </c>
      <c r="R270" s="22" t="s">
        <v>51</v>
      </c>
      <c r="S270" s="61">
        <v>0.0</v>
      </c>
      <c r="T270" s="22">
        <v>14.7</v>
      </c>
      <c r="U270" s="25">
        <v>15.22</v>
      </c>
      <c r="V270" s="25">
        <v>21.48</v>
      </c>
      <c r="W270" s="22">
        <v>14.64</v>
      </c>
      <c r="X270" s="22">
        <v>0.63</v>
      </c>
      <c r="Y270" s="54">
        <f t="shared" si="216"/>
        <v>48.03</v>
      </c>
      <c r="Z270" s="22">
        <f t="shared" si="77"/>
        <v>0.6849315068</v>
      </c>
      <c r="AA270" s="22">
        <v>54.62</v>
      </c>
      <c r="AB270" s="22">
        <v>85.43</v>
      </c>
      <c r="AC270" s="25">
        <f t="shared" si="78"/>
        <v>5280</v>
      </c>
      <c r="AD270" s="22" t="s">
        <v>51</v>
      </c>
      <c r="AG270" s="33">
        <v>1.46</v>
      </c>
      <c r="AH270" s="33">
        <v>5.28</v>
      </c>
      <c r="AO270" s="34">
        <f t="shared" ref="AO270:AS270" si="258">U270</f>
        <v>15.22</v>
      </c>
      <c r="AP270" s="34">
        <f t="shared" si="258"/>
        <v>21.48</v>
      </c>
      <c r="AQ270" s="34">
        <f t="shared" si="258"/>
        <v>14.64</v>
      </c>
      <c r="AR270" s="34">
        <f t="shared" si="258"/>
        <v>0.63</v>
      </c>
      <c r="AS270" s="34">
        <f t="shared" si="258"/>
        <v>48.03</v>
      </c>
      <c r="AT270" s="35">
        <f t="shared" si="15"/>
        <v>100</v>
      </c>
      <c r="AV270" s="25">
        <f t="shared" si="87"/>
        <v>5280</v>
      </c>
    </row>
    <row r="271" ht="14.25" customHeight="1">
      <c r="B271" s="36"/>
      <c r="C271" s="22" t="s">
        <v>46</v>
      </c>
      <c r="D271" s="56"/>
      <c r="E271" s="22" t="s">
        <v>48</v>
      </c>
      <c r="F271" s="56"/>
      <c r="G271" s="27">
        <f t="shared" si="246"/>
        <v>47.77584493</v>
      </c>
      <c r="H271" s="27">
        <f t="shared" si="247"/>
        <v>3.690357853</v>
      </c>
      <c r="I271" s="27">
        <f t="shared" si="248"/>
        <v>47.83797217</v>
      </c>
      <c r="J271" s="27">
        <f t="shared" si="249"/>
        <v>0.6088469185</v>
      </c>
      <c r="K271" s="27">
        <f t="shared" si="250"/>
        <v>0.08697813121</v>
      </c>
      <c r="L271" s="26">
        <f t="shared" si="75"/>
        <v>55.54</v>
      </c>
      <c r="M271" s="22">
        <v>14.99</v>
      </c>
      <c r="N271" s="22">
        <v>9.95</v>
      </c>
      <c r="O271" s="22">
        <v>19.52</v>
      </c>
      <c r="P271" s="22">
        <v>0.45</v>
      </c>
      <c r="Q271" s="22">
        <v>600.0</v>
      </c>
      <c r="R271" s="22" t="s">
        <v>51</v>
      </c>
      <c r="S271" s="61">
        <v>0.0</v>
      </c>
      <c r="T271" s="22">
        <v>14.7</v>
      </c>
      <c r="U271" s="25">
        <v>9.89</v>
      </c>
      <c r="V271" s="25">
        <v>10.93</v>
      </c>
      <c r="W271" s="22">
        <v>21.56</v>
      </c>
      <c r="X271" s="22">
        <v>0.48</v>
      </c>
      <c r="Y271" s="54">
        <f t="shared" si="216"/>
        <v>57.14</v>
      </c>
      <c r="Z271" s="22">
        <f t="shared" si="77"/>
        <v>0.7575757576</v>
      </c>
      <c r="AA271" s="22">
        <v>33.0</v>
      </c>
      <c r="AB271" s="22">
        <v>75.46</v>
      </c>
      <c r="AC271" s="25">
        <f t="shared" si="78"/>
        <v>3530</v>
      </c>
      <c r="AD271" s="22" t="s">
        <v>51</v>
      </c>
      <c r="AG271" s="33">
        <v>1.32</v>
      </c>
      <c r="AH271" s="33">
        <v>3.53</v>
      </c>
      <c r="AO271" s="34">
        <f t="shared" ref="AO271:AS271" si="259">U271</f>
        <v>9.89</v>
      </c>
      <c r="AP271" s="34">
        <f t="shared" si="259"/>
        <v>10.93</v>
      </c>
      <c r="AQ271" s="34">
        <f t="shared" si="259"/>
        <v>21.56</v>
      </c>
      <c r="AR271" s="34">
        <f t="shared" si="259"/>
        <v>0.48</v>
      </c>
      <c r="AS271" s="34">
        <f t="shared" si="259"/>
        <v>57.14</v>
      </c>
      <c r="AT271" s="35">
        <f t="shared" si="15"/>
        <v>100</v>
      </c>
      <c r="AV271" s="25">
        <f t="shared" si="87"/>
        <v>3530</v>
      </c>
    </row>
    <row r="272" ht="14.25" customHeight="1">
      <c r="B272" s="36"/>
      <c r="C272" s="22" t="s">
        <v>46</v>
      </c>
      <c r="D272" s="56"/>
      <c r="E272" s="22" t="s">
        <v>48</v>
      </c>
      <c r="F272" s="56"/>
      <c r="G272" s="27">
        <f t="shared" si="246"/>
        <v>47.77584493</v>
      </c>
      <c r="H272" s="27">
        <f t="shared" si="247"/>
        <v>3.690357853</v>
      </c>
      <c r="I272" s="27">
        <f t="shared" si="248"/>
        <v>47.83797217</v>
      </c>
      <c r="J272" s="27">
        <f t="shared" si="249"/>
        <v>0.6088469185</v>
      </c>
      <c r="K272" s="27">
        <f t="shared" si="250"/>
        <v>0.08697813121</v>
      </c>
      <c r="L272" s="26">
        <f t="shared" si="75"/>
        <v>55.54</v>
      </c>
      <c r="M272" s="22">
        <v>14.99</v>
      </c>
      <c r="N272" s="22">
        <v>9.95</v>
      </c>
      <c r="O272" s="22">
        <v>19.52</v>
      </c>
      <c r="P272" s="22">
        <v>0.45</v>
      </c>
      <c r="Q272" s="22">
        <v>650.0</v>
      </c>
      <c r="R272" s="22" t="s">
        <v>51</v>
      </c>
      <c r="S272" s="61">
        <v>0.0</v>
      </c>
      <c r="T272" s="22">
        <v>14.7</v>
      </c>
      <c r="U272" s="25">
        <v>10.47</v>
      </c>
      <c r="V272" s="25">
        <v>12.88</v>
      </c>
      <c r="W272" s="22">
        <v>20.06</v>
      </c>
      <c r="X272" s="22">
        <v>1.62</v>
      </c>
      <c r="Y272" s="54">
        <f t="shared" si="216"/>
        <v>54.97</v>
      </c>
      <c r="Z272" s="22">
        <f t="shared" si="77"/>
        <v>0.7194244604</v>
      </c>
      <c r="AA272" s="22">
        <v>35.58</v>
      </c>
      <c r="AB272" s="22">
        <v>80.2</v>
      </c>
      <c r="AC272" s="25">
        <f t="shared" si="78"/>
        <v>3610</v>
      </c>
      <c r="AD272" s="22" t="s">
        <v>51</v>
      </c>
      <c r="AG272" s="33">
        <v>1.39</v>
      </c>
      <c r="AH272" s="33">
        <v>3.61</v>
      </c>
      <c r="AO272" s="34">
        <f t="shared" ref="AO272:AS272" si="260">U272</f>
        <v>10.47</v>
      </c>
      <c r="AP272" s="34">
        <f t="shared" si="260"/>
        <v>12.88</v>
      </c>
      <c r="AQ272" s="34">
        <f t="shared" si="260"/>
        <v>20.06</v>
      </c>
      <c r="AR272" s="34">
        <f t="shared" si="260"/>
        <v>1.62</v>
      </c>
      <c r="AS272" s="34">
        <f t="shared" si="260"/>
        <v>54.97</v>
      </c>
      <c r="AT272" s="35">
        <f t="shared" si="15"/>
        <v>100</v>
      </c>
      <c r="AV272" s="25">
        <f t="shared" si="87"/>
        <v>3610</v>
      </c>
    </row>
    <row r="273" ht="14.25" customHeight="1">
      <c r="B273" s="36"/>
      <c r="C273" s="22" t="s">
        <v>46</v>
      </c>
      <c r="D273" s="56"/>
      <c r="E273" s="22" t="s">
        <v>48</v>
      </c>
      <c r="F273" s="56"/>
      <c r="G273" s="27">
        <f t="shared" si="246"/>
        <v>47.77584493</v>
      </c>
      <c r="H273" s="27">
        <f t="shared" si="247"/>
        <v>3.690357853</v>
      </c>
      <c r="I273" s="27">
        <f t="shared" si="248"/>
        <v>47.83797217</v>
      </c>
      <c r="J273" s="27">
        <f t="shared" si="249"/>
        <v>0.6088469185</v>
      </c>
      <c r="K273" s="27">
        <f t="shared" si="250"/>
        <v>0.08697813121</v>
      </c>
      <c r="L273" s="26">
        <f t="shared" si="75"/>
        <v>55.54</v>
      </c>
      <c r="M273" s="22">
        <v>14.99</v>
      </c>
      <c r="N273" s="22">
        <v>9.95</v>
      </c>
      <c r="O273" s="22">
        <v>19.52</v>
      </c>
      <c r="P273" s="22">
        <v>0.45</v>
      </c>
      <c r="Q273" s="22">
        <v>700.0</v>
      </c>
      <c r="R273" s="22" t="s">
        <v>51</v>
      </c>
      <c r="S273" s="61">
        <v>0.0</v>
      </c>
      <c r="T273" s="22">
        <v>14.7</v>
      </c>
      <c r="U273" s="25">
        <v>11.1</v>
      </c>
      <c r="V273" s="25">
        <v>14.35</v>
      </c>
      <c r="W273" s="22">
        <v>18.46</v>
      </c>
      <c r="X273" s="22">
        <v>0.94</v>
      </c>
      <c r="Y273" s="54">
        <f t="shared" si="216"/>
        <v>55.15</v>
      </c>
      <c r="Z273" s="22">
        <f t="shared" si="77"/>
        <v>0.6944444444</v>
      </c>
      <c r="AA273" s="22">
        <v>37.65</v>
      </c>
      <c r="AB273" s="22">
        <v>84.17</v>
      </c>
      <c r="AC273" s="25">
        <f t="shared" si="78"/>
        <v>3690</v>
      </c>
      <c r="AD273" s="22" t="s">
        <v>51</v>
      </c>
      <c r="AG273" s="33">
        <v>1.44</v>
      </c>
      <c r="AH273" s="33">
        <v>3.69</v>
      </c>
      <c r="AO273" s="34">
        <f t="shared" ref="AO273:AS273" si="261">U273</f>
        <v>11.1</v>
      </c>
      <c r="AP273" s="34">
        <f t="shared" si="261"/>
        <v>14.35</v>
      </c>
      <c r="AQ273" s="34">
        <f t="shared" si="261"/>
        <v>18.46</v>
      </c>
      <c r="AR273" s="34">
        <f t="shared" si="261"/>
        <v>0.94</v>
      </c>
      <c r="AS273" s="34">
        <f t="shared" si="261"/>
        <v>55.15</v>
      </c>
      <c r="AT273" s="35">
        <f t="shared" si="15"/>
        <v>100</v>
      </c>
      <c r="AV273" s="25">
        <f t="shared" si="87"/>
        <v>3690</v>
      </c>
    </row>
    <row r="274" ht="14.25" customHeight="1">
      <c r="B274" s="36"/>
      <c r="C274" s="22" t="s">
        <v>46</v>
      </c>
      <c r="D274" s="56"/>
      <c r="E274" s="22" t="s">
        <v>48</v>
      </c>
      <c r="F274" s="56"/>
      <c r="G274" s="27">
        <f t="shared" si="246"/>
        <v>47.77584493</v>
      </c>
      <c r="H274" s="27">
        <f t="shared" si="247"/>
        <v>3.690357853</v>
      </c>
      <c r="I274" s="27">
        <f t="shared" si="248"/>
        <v>47.83797217</v>
      </c>
      <c r="J274" s="27">
        <f t="shared" si="249"/>
        <v>0.6088469185</v>
      </c>
      <c r="K274" s="27">
        <f t="shared" si="250"/>
        <v>0.08697813121</v>
      </c>
      <c r="L274" s="26">
        <f t="shared" si="75"/>
        <v>55.54</v>
      </c>
      <c r="M274" s="22">
        <v>14.99</v>
      </c>
      <c r="N274" s="22">
        <v>9.95</v>
      </c>
      <c r="O274" s="22">
        <v>19.52</v>
      </c>
      <c r="P274" s="22">
        <v>0.45</v>
      </c>
      <c r="Q274" s="22">
        <v>725.0</v>
      </c>
      <c r="R274" s="22" t="s">
        <v>51</v>
      </c>
      <c r="S274" s="61">
        <v>0.0</v>
      </c>
      <c r="T274" s="22">
        <v>14.7</v>
      </c>
      <c r="U274" s="25">
        <v>11.54</v>
      </c>
      <c r="V274" s="25">
        <v>14.95</v>
      </c>
      <c r="W274" s="22">
        <v>17.51</v>
      </c>
      <c r="X274" s="22">
        <v>0.53</v>
      </c>
      <c r="Y274" s="54">
        <f t="shared" si="216"/>
        <v>55.47</v>
      </c>
      <c r="Z274" s="22">
        <f t="shared" si="77"/>
        <v>0.6756756757</v>
      </c>
      <c r="AA274" s="22">
        <v>39.48</v>
      </c>
      <c r="AB274" s="22">
        <v>88.57</v>
      </c>
      <c r="AC274" s="25">
        <f t="shared" si="78"/>
        <v>3770</v>
      </c>
      <c r="AD274" s="22" t="s">
        <v>51</v>
      </c>
      <c r="AG274" s="33">
        <v>1.48</v>
      </c>
      <c r="AH274" s="33">
        <v>3.77</v>
      </c>
      <c r="AO274" s="34">
        <f t="shared" ref="AO274:AS274" si="262">U274</f>
        <v>11.54</v>
      </c>
      <c r="AP274" s="34">
        <f t="shared" si="262"/>
        <v>14.95</v>
      </c>
      <c r="AQ274" s="34">
        <f t="shared" si="262"/>
        <v>17.51</v>
      </c>
      <c r="AR274" s="34">
        <f t="shared" si="262"/>
        <v>0.53</v>
      </c>
      <c r="AS274" s="34">
        <f t="shared" si="262"/>
        <v>55.47</v>
      </c>
      <c r="AT274" s="35">
        <f t="shared" si="15"/>
        <v>100</v>
      </c>
      <c r="AV274" s="25">
        <f t="shared" si="87"/>
        <v>3770</v>
      </c>
    </row>
    <row r="275" ht="14.25" customHeight="1">
      <c r="B275" s="36"/>
      <c r="C275" s="22" t="s">
        <v>46</v>
      </c>
      <c r="D275" s="56"/>
      <c r="E275" s="22" t="s">
        <v>48</v>
      </c>
      <c r="F275" s="56"/>
      <c r="G275" s="27">
        <f t="shared" si="246"/>
        <v>47.77584493</v>
      </c>
      <c r="H275" s="27">
        <f t="shared" si="247"/>
        <v>3.690357853</v>
      </c>
      <c r="I275" s="27">
        <f t="shared" si="248"/>
        <v>47.83797217</v>
      </c>
      <c r="J275" s="27">
        <f t="shared" si="249"/>
        <v>0.6088469185</v>
      </c>
      <c r="K275" s="27">
        <f t="shared" si="250"/>
        <v>0.08697813121</v>
      </c>
      <c r="L275" s="26">
        <f t="shared" si="75"/>
        <v>55.54</v>
      </c>
      <c r="M275" s="22">
        <v>14.99</v>
      </c>
      <c r="N275" s="22">
        <v>9.95</v>
      </c>
      <c r="O275" s="22">
        <v>19.52</v>
      </c>
      <c r="P275" s="22">
        <v>0.45</v>
      </c>
      <c r="Q275" s="22">
        <v>800.0</v>
      </c>
      <c r="R275" s="22" t="s">
        <v>51</v>
      </c>
      <c r="S275" s="61">
        <v>0.0</v>
      </c>
      <c r="T275" s="22">
        <v>14.7</v>
      </c>
      <c r="U275" s="25">
        <v>11.14</v>
      </c>
      <c r="V275" s="25">
        <v>16.39</v>
      </c>
      <c r="W275" s="22">
        <v>16.44</v>
      </c>
      <c r="X275" s="22">
        <v>0.4</v>
      </c>
      <c r="Y275" s="54">
        <f t="shared" si="216"/>
        <v>55.63</v>
      </c>
      <c r="Z275" s="22">
        <f t="shared" si="77"/>
        <v>0.6578947368</v>
      </c>
      <c r="AA275" s="22">
        <v>41.55</v>
      </c>
      <c r="AB275" s="22">
        <v>92.83</v>
      </c>
      <c r="AC275" s="25">
        <f t="shared" si="78"/>
        <v>3860</v>
      </c>
      <c r="AD275" s="22" t="s">
        <v>51</v>
      </c>
      <c r="AG275" s="33">
        <v>1.52</v>
      </c>
      <c r="AH275" s="33">
        <v>3.86</v>
      </c>
      <c r="AO275" s="34">
        <f t="shared" ref="AO275:AS275" si="263">U275</f>
        <v>11.14</v>
      </c>
      <c r="AP275" s="34">
        <f t="shared" si="263"/>
        <v>16.39</v>
      </c>
      <c r="AQ275" s="34">
        <f t="shared" si="263"/>
        <v>16.44</v>
      </c>
      <c r="AR275" s="34">
        <f t="shared" si="263"/>
        <v>0.4</v>
      </c>
      <c r="AS275" s="34">
        <f t="shared" si="263"/>
        <v>55.63</v>
      </c>
      <c r="AT275" s="35">
        <f t="shared" si="15"/>
        <v>100</v>
      </c>
      <c r="AV275" s="25">
        <f t="shared" si="87"/>
        <v>3860</v>
      </c>
    </row>
    <row r="276" ht="14.25" customHeight="1">
      <c r="B276" s="36"/>
      <c r="C276" s="22" t="s">
        <v>46</v>
      </c>
      <c r="D276" s="56"/>
      <c r="E276" s="22" t="s">
        <v>48</v>
      </c>
      <c r="F276" s="56"/>
      <c r="G276" s="27">
        <f t="shared" si="246"/>
        <v>47.77584493</v>
      </c>
      <c r="H276" s="27">
        <f t="shared" si="247"/>
        <v>3.690357853</v>
      </c>
      <c r="I276" s="27">
        <f t="shared" si="248"/>
        <v>47.83797217</v>
      </c>
      <c r="J276" s="27">
        <f t="shared" si="249"/>
        <v>0.6088469185</v>
      </c>
      <c r="K276" s="27">
        <f t="shared" si="250"/>
        <v>0.08697813121</v>
      </c>
      <c r="L276" s="26">
        <f t="shared" si="75"/>
        <v>55.54</v>
      </c>
      <c r="M276" s="22">
        <v>14.99</v>
      </c>
      <c r="N276" s="22">
        <v>9.95</v>
      </c>
      <c r="O276" s="22">
        <v>19.52</v>
      </c>
      <c r="P276" s="22">
        <v>0.25</v>
      </c>
      <c r="Q276" s="22">
        <v>650.0</v>
      </c>
      <c r="R276" s="22" t="s">
        <v>51</v>
      </c>
      <c r="S276" s="61">
        <v>0.0</v>
      </c>
      <c r="T276" s="22">
        <v>14.7</v>
      </c>
      <c r="U276" s="25">
        <v>17.22</v>
      </c>
      <c r="V276" s="25">
        <v>24.84</v>
      </c>
      <c r="W276" s="22">
        <v>40.4</v>
      </c>
      <c r="X276" s="22">
        <v>0.17</v>
      </c>
      <c r="Y276" s="31">
        <f t="shared" ref="Y276:Y297" si="264">(AK276/AM276)*100</f>
        <v>34.65345965</v>
      </c>
      <c r="Z276" s="22">
        <f t="shared" si="77"/>
        <v>0.9174311927</v>
      </c>
      <c r="AA276" s="22">
        <v>49.28</v>
      </c>
      <c r="AB276" s="22">
        <v>71.51</v>
      </c>
      <c r="AC276" s="25">
        <f t="shared" si="78"/>
        <v>6380</v>
      </c>
      <c r="AD276" s="22" t="s">
        <v>51</v>
      </c>
      <c r="AG276" s="33">
        <v>1.09</v>
      </c>
      <c r="AH276" s="33">
        <v>6.38</v>
      </c>
      <c r="AK276" s="33">
        <f t="shared" ref="AK276:AK297" si="265">0.79*((P276*(((G276/12)+(H276/4))-((I276/16)/2)))/0.21)+(J276/14)/2</f>
        <v>3.227802703</v>
      </c>
      <c r="AL276" s="33">
        <f t="shared" ref="AL276:AL297" si="266">(100*G276)/(12*(V276+W276+X276))</f>
        <v>6.086715198</v>
      </c>
      <c r="AM276" s="33">
        <f t="shared" ref="AM276:AM297" si="267">AL276+AK276</f>
        <v>9.3145179</v>
      </c>
      <c r="AO276" s="34">
        <f t="shared" ref="AO276:AO297" si="268">((AL276*(U276/100))/AM276)*100</f>
        <v>11.25267425</v>
      </c>
      <c r="AP276" s="34">
        <f t="shared" ref="AP276:AP297" si="269">((AL276*(V276/100))/AM276)*100</f>
        <v>16.23208062</v>
      </c>
      <c r="AQ276" s="34">
        <f t="shared" ref="AQ276:AQ297" si="270">((AL276*(W276/100))/AM276)*100</f>
        <v>26.4000023</v>
      </c>
      <c r="AR276" s="34">
        <f t="shared" ref="AR276:AR297" si="271">((AL276*(X276/100))/AM276)*100</f>
        <v>0.1110891186</v>
      </c>
      <c r="AS276" s="34">
        <f t="shared" ref="AS276:AS297" si="272">Y276</f>
        <v>34.65345965</v>
      </c>
      <c r="AT276" s="35">
        <f t="shared" si="15"/>
        <v>88.64930594</v>
      </c>
      <c r="AV276" s="25">
        <f t="shared" si="87"/>
        <v>6380</v>
      </c>
    </row>
    <row r="277" ht="14.25" customHeight="1">
      <c r="B277" s="36"/>
      <c r="C277" s="22" t="s">
        <v>46</v>
      </c>
      <c r="D277" s="56"/>
      <c r="E277" s="22" t="s">
        <v>48</v>
      </c>
      <c r="F277" s="56"/>
      <c r="G277" s="27">
        <f t="shared" si="246"/>
        <v>47.77584493</v>
      </c>
      <c r="H277" s="27">
        <f t="shared" si="247"/>
        <v>3.690357853</v>
      </c>
      <c r="I277" s="27">
        <f t="shared" si="248"/>
        <v>47.83797217</v>
      </c>
      <c r="J277" s="27">
        <f t="shared" si="249"/>
        <v>0.6088469185</v>
      </c>
      <c r="K277" s="27">
        <f t="shared" si="250"/>
        <v>0.08697813121</v>
      </c>
      <c r="L277" s="26">
        <f t="shared" si="75"/>
        <v>55.54</v>
      </c>
      <c r="M277" s="22">
        <v>14.99</v>
      </c>
      <c r="N277" s="22">
        <v>9.95</v>
      </c>
      <c r="O277" s="22">
        <v>19.52</v>
      </c>
      <c r="P277" s="22">
        <v>0.25</v>
      </c>
      <c r="Q277" s="22">
        <v>675.0</v>
      </c>
      <c r="R277" s="22" t="s">
        <v>51</v>
      </c>
      <c r="S277" s="61">
        <v>0.0</v>
      </c>
      <c r="T277" s="22">
        <v>14.7</v>
      </c>
      <c r="U277" s="25">
        <v>17.93</v>
      </c>
      <c r="V277" s="25">
        <v>25.04</v>
      </c>
      <c r="W277" s="22">
        <v>40.29</v>
      </c>
      <c r="X277" s="22">
        <v>2.46</v>
      </c>
      <c r="Y277" s="31">
        <f t="shared" si="264"/>
        <v>35.46715202</v>
      </c>
      <c r="Z277" s="22">
        <f t="shared" si="77"/>
        <v>0.8928571429</v>
      </c>
      <c r="AA277" s="22">
        <v>51.07</v>
      </c>
      <c r="AB277" s="22">
        <v>72.44</v>
      </c>
      <c r="AC277" s="25">
        <f t="shared" si="78"/>
        <v>6440</v>
      </c>
      <c r="AD277" s="22" t="s">
        <v>51</v>
      </c>
      <c r="AG277" s="33">
        <v>1.12</v>
      </c>
      <c r="AH277" s="33">
        <v>6.44</v>
      </c>
      <c r="AK277" s="33">
        <f t="shared" si="265"/>
        <v>3.227802703</v>
      </c>
      <c r="AL277" s="33">
        <f t="shared" si="266"/>
        <v>5.873020226</v>
      </c>
      <c r="AM277" s="33">
        <f t="shared" si="267"/>
        <v>9.100822928</v>
      </c>
      <c r="AO277" s="34">
        <f t="shared" si="268"/>
        <v>11.57073964</v>
      </c>
      <c r="AP277" s="34">
        <f t="shared" si="269"/>
        <v>16.15902514</v>
      </c>
      <c r="AQ277" s="34">
        <f t="shared" si="270"/>
        <v>26.00028445</v>
      </c>
      <c r="AR277" s="34">
        <f t="shared" si="271"/>
        <v>1.58750806</v>
      </c>
      <c r="AS277" s="34">
        <f t="shared" si="272"/>
        <v>35.46715202</v>
      </c>
      <c r="AT277" s="35">
        <f t="shared" si="15"/>
        <v>90.78470931</v>
      </c>
      <c r="AV277" s="25">
        <f t="shared" si="87"/>
        <v>6440</v>
      </c>
    </row>
    <row r="278" ht="14.25" customHeight="1">
      <c r="B278" s="36"/>
      <c r="C278" s="22" t="s">
        <v>46</v>
      </c>
      <c r="D278" s="56"/>
      <c r="E278" s="22" t="s">
        <v>48</v>
      </c>
      <c r="F278" s="56"/>
      <c r="G278" s="27">
        <f t="shared" si="246"/>
        <v>47.77584493</v>
      </c>
      <c r="H278" s="27">
        <f t="shared" si="247"/>
        <v>3.690357853</v>
      </c>
      <c r="I278" s="27">
        <f t="shared" si="248"/>
        <v>47.83797217</v>
      </c>
      <c r="J278" s="27">
        <f t="shared" si="249"/>
        <v>0.6088469185</v>
      </c>
      <c r="K278" s="27">
        <f t="shared" si="250"/>
        <v>0.08697813121</v>
      </c>
      <c r="L278" s="26">
        <f t="shared" si="75"/>
        <v>55.54</v>
      </c>
      <c r="M278" s="22">
        <v>14.99</v>
      </c>
      <c r="N278" s="22">
        <v>9.95</v>
      </c>
      <c r="O278" s="22">
        <v>19.52</v>
      </c>
      <c r="P278" s="22">
        <v>0.25</v>
      </c>
      <c r="Q278" s="22">
        <v>700.0</v>
      </c>
      <c r="R278" s="22" t="s">
        <v>51</v>
      </c>
      <c r="S278" s="61">
        <v>0.0</v>
      </c>
      <c r="T278" s="22">
        <v>14.7</v>
      </c>
      <c r="U278" s="25">
        <v>18.12</v>
      </c>
      <c r="V278" s="25">
        <v>25.31</v>
      </c>
      <c r="W278" s="22">
        <v>40.63</v>
      </c>
      <c r="X278" s="22">
        <v>2.38</v>
      </c>
      <c r="Y278" s="31">
        <f t="shared" si="264"/>
        <v>35.64560129</v>
      </c>
      <c r="Z278" s="22">
        <f t="shared" si="77"/>
        <v>0.8620689655</v>
      </c>
      <c r="AA278" s="22">
        <v>53.09</v>
      </c>
      <c r="AB278" s="22">
        <v>74.07</v>
      </c>
      <c r="AC278" s="25">
        <f t="shared" si="78"/>
        <v>6460</v>
      </c>
      <c r="AD278" s="22" t="s">
        <v>51</v>
      </c>
      <c r="AG278" s="33">
        <v>1.16</v>
      </c>
      <c r="AH278" s="33">
        <v>6.46</v>
      </c>
      <c r="AK278" s="33">
        <f t="shared" si="265"/>
        <v>3.227802703</v>
      </c>
      <c r="AL278" s="33">
        <f t="shared" si="266"/>
        <v>5.827459618</v>
      </c>
      <c r="AM278" s="33">
        <f t="shared" si="267"/>
        <v>9.05526232</v>
      </c>
      <c r="AO278" s="34">
        <f t="shared" si="268"/>
        <v>11.66101705</v>
      </c>
      <c r="AP278" s="34">
        <f t="shared" si="269"/>
        <v>16.28809831</v>
      </c>
      <c r="AQ278" s="34">
        <f t="shared" si="270"/>
        <v>26.1471922</v>
      </c>
      <c r="AR278" s="34">
        <f t="shared" si="271"/>
        <v>1.531634689</v>
      </c>
      <c r="AS278" s="34">
        <f t="shared" si="272"/>
        <v>35.64560129</v>
      </c>
      <c r="AT278" s="35">
        <f t="shared" si="15"/>
        <v>91.27354354</v>
      </c>
      <c r="AV278" s="25">
        <f t="shared" si="87"/>
        <v>6460</v>
      </c>
    </row>
    <row r="279" ht="14.25" customHeight="1">
      <c r="B279" s="36"/>
      <c r="C279" s="22" t="s">
        <v>46</v>
      </c>
      <c r="D279" s="56"/>
      <c r="E279" s="22" t="s">
        <v>48</v>
      </c>
      <c r="F279" s="56"/>
      <c r="G279" s="27">
        <f t="shared" si="246"/>
        <v>47.77584493</v>
      </c>
      <c r="H279" s="27">
        <f t="shared" si="247"/>
        <v>3.690357853</v>
      </c>
      <c r="I279" s="27">
        <f t="shared" si="248"/>
        <v>47.83797217</v>
      </c>
      <c r="J279" s="27">
        <f t="shared" si="249"/>
        <v>0.6088469185</v>
      </c>
      <c r="K279" s="27">
        <f t="shared" si="250"/>
        <v>0.08697813121</v>
      </c>
      <c r="L279" s="26">
        <f t="shared" si="75"/>
        <v>55.54</v>
      </c>
      <c r="M279" s="22">
        <v>14.99</v>
      </c>
      <c r="N279" s="22">
        <v>9.95</v>
      </c>
      <c r="O279" s="22">
        <v>19.52</v>
      </c>
      <c r="P279" s="22">
        <v>0.25</v>
      </c>
      <c r="Q279" s="22">
        <v>725.0</v>
      </c>
      <c r="R279" s="22" t="s">
        <v>51</v>
      </c>
      <c r="S279" s="61">
        <v>0.0</v>
      </c>
      <c r="T279" s="22">
        <v>14.7</v>
      </c>
      <c r="U279" s="25">
        <v>18.49</v>
      </c>
      <c r="V279" s="25">
        <v>26.59</v>
      </c>
      <c r="W279" s="22">
        <v>40.35</v>
      </c>
      <c r="X279" s="22">
        <v>1.96</v>
      </c>
      <c r="Y279" s="31">
        <f t="shared" si="264"/>
        <v>35.83975785</v>
      </c>
      <c r="Z279" s="22">
        <f t="shared" si="77"/>
        <v>0.8403361345</v>
      </c>
      <c r="AA279" s="22">
        <v>54.82</v>
      </c>
      <c r="AB279" s="22">
        <v>75.82</v>
      </c>
      <c r="AC279" s="25">
        <f t="shared" si="78"/>
        <v>6500</v>
      </c>
      <c r="AD279" s="22" t="s">
        <v>51</v>
      </c>
      <c r="AG279" s="33">
        <v>1.19</v>
      </c>
      <c r="AH279" s="33">
        <v>6.5</v>
      </c>
      <c r="AK279" s="33">
        <f t="shared" si="265"/>
        <v>3.227802703</v>
      </c>
      <c r="AL279" s="33">
        <f t="shared" si="266"/>
        <v>5.77840408</v>
      </c>
      <c r="AM279" s="33">
        <f t="shared" si="267"/>
        <v>9.006206782</v>
      </c>
      <c r="AO279" s="34">
        <f t="shared" si="268"/>
        <v>11.86322877</v>
      </c>
      <c r="AP279" s="34">
        <f t="shared" si="269"/>
        <v>17.06020839</v>
      </c>
      <c r="AQ279" s="34">
        <f t="shared" si="270"/>
        <v>25.88865771</v>
      </c>
      <c r="AR279" s="34">
        <f t="shared" si="271"/>
        <v>1.257540746</v>
      </c>
      <c r="AS279" s="34">
        <f t="shared" si="272"/>
        <v>35.83975785</v>
      </c>
      <c r="AT279" s="35">
        <f t="shared" si="15"/>
        <v>91.90939347</v>
      </c>
      <c r="AV279" s="25">
        <f t="shared" si="87"/>
        <v>6500</v>
      </c>
    </row>
    <row r="280" ht="14.25" customHeight="1">
      <c r="B280" s="36"/>
      <c r="C280" s="22" t="s">
        <v>46</v>
      </c>
      <c r="D280" s="56"/>
      <c r="E280" s="22" t="s">
        <v>48</v>
      </c>
      <c r="F280" s="56"/>
      <c r="G280" s="27">
        <f t="shared" si="246"/>
        <v>47.77584493</v>
      </c>
      <c r="H280" s="27">
        <f t="shared" si="247"/>
        <v>3.690357853</v>
      </c>
      <c r="I280" s="27">
        <f t="shared" si="248"/>
        <v>47.83797217</v>
      </c>
      <c r="J280" s="27">
        <f t="shared" si="249"/>
        <v>0.6088469185</v>
      </c>
      <c r="K280" s="27">
        <f t="shared" si="250"/>
        <v>0.08697813121</v>
      </c>
      <c r="L280" s="26">
        <f t="shared" si="75"/>
        <v>55.54</v>
      </c>
      <c r="M280" s="22">
        <v>14.99</v>
      </c>
      <c r="N280" s="22">
        <v>9.95</v>
      </c>
      <c r="O280" s="22">
        <v>19.52</v>
      </c>
      <c r="P280" s="22">
        <v>0.35</v>
      </c>
      <c r="Q280" s="22">
        <v>600.0</v>
      </c>
      <c r="R280" s="22" t="s">
        <v>51</v>
      </c>
      <c r="S280" s="61">
        <v>0.0</v>
      </c>
      <c r="T280" s="22">
        <v>14.7</v>
      </c>
      <c r="U280" s="25">
        <v>14.13</v>
      </c>
      <c r="V280" s="25">
        <v>17.48</v>
      </c>
      <c r="W280" s="22">
        <v>45.67</v>
      </c>
      <c r="X280" s="22">
        <v>2.79</v>
      </c>
      <c r="Y280" s="31">
        <f t="shared" si="264"/>
        <v>42.75898795</v>
      </c>
      <c r="Z280" s="22">
        <f t="shared" si="77"/>
        <v>0.8474576271</v>
      </c>
      <c r="AA280" s="22">
        <v>42.84</v>
      </c>
      <c r="AB280" s="22">
        <v>73.43</v>
      </c>
      <c r="AC280" s="25">
        <f t="shared" si="78"/>
        <v>5130</v>
      </c>
      <c r="AD280" s="22" t="s">
        <v>51</v>
      </c>
      <c r="AG280" s="33">
        <v>1.18</v>
      </c>
      <c r="AH280" s="33">
        <v>5.13</v>
      </c>
      <c r="AK280" s="33">
        <f t="shared" si="265"/>
        <v>4.510225971</v>
      </c>
      <c r="AL280" s="33">
        <f t="shared" si="266"/>
        <v>6.037792555</v>
      </c>
      <c r="AM280" s="33">
        <f t="shared" si="267"/>
        <v>10.54801853</v>
      </c>
      <c r="AO280" s="34">
        <f t="shared" si="268"/>
        <v>8.088155002</v>
      </c>
      <c r="AP280" s="34">
        <f t="shared" si="269"/>
        <v>10.00572891</v>
      </c>
      <c r="AQ280" s="34">
        <f t="shared" si="270"/>
        <v>26.1419702</v>
      </c>
      <c r="AR280" s="34">
        <f t="shared" si="271"/>
        <v>1.597024236</v>
      </c>
      <c r="AS280" s="34">
        <f t="shared" si="272"/>
        <v>42.75898795</v>
      </c>
      <c r="AT280" s="35">
        <f t="shared" si="15"/>
        <v>88.5918663</v>
      </c>
      <c r="AV280" s="25">
        <f t="shared" si="87"/>
        <v>5130</v>
      </c>
    </row>
    <row r="281" ht="14.25" customHeight="1">
      <c r="B281" s="36"/>
      <c r="C281" s="22" t="s">
        <v>46</v>
      </c>
      <c r="D281" s="56"/>
      <c r="E281" s="22" t="s">
        <v>48</v>
      </c>
      <c r="F281" s="56"/>
      <c r="G281" s="27">
        <f t="shared" si="246"/>
        <v>47.77584493</v>
      </c>
      <c r="H281" s="27">
        <f t="shared" si="247"/>
        <v>3.690357853</v>
      </c>
      <c r="I281" s="27">
        <f t="shared" si="248"/>
        <v>47.83797217</v>
      </c>
      <c r="J281" s="27">
        <f t="shared" si="249"/>
        <v>0.6088469185</v>
      </c>
      <c r="K281" s="27">
        <f t="shared" si="250"/>
        <v>0.08697813121</v>
      </c>
      <c r="L281" s="26">
        <f t="shared" si="75"/>
        <v>55.54</v>
      </c>
      <c r="M281" s="22">
        <v>14.99</v>
      </c>
      <c r="N281" s="22">
        <v>9.95</v>
      </c>
      <c r="O281" s="22">
        <v>19.52</v>
      </c>
      <c r="P281" s="22">
        <v>0.35</v>
      </c>
      <c r="Q281" s="22">
        <v>650.0</v>
      </c>
      <c r="R281" s="22" t="s">
        <v>51</v>
      </c>
      <c r="S281" s="61">
        <v>0.0</v>
      </c>
      <c r="T281" s="22">
        <v>14.7</v>
      </c>
      <c r="U281" s="25">
        <v>14.22</v>
      </c>
      <c r="V281" s="25">
        <v>20.63</v>
      </c>
      <c r="W281" s="22">
        <v>45.59</v>
      </c>
      <c r="X281" s="22">
        <v>1.92</v>
      </c>
      <c r="Y281" s="31">
        <f t="shared" si="264"/>
        <v>43.56410052</v>
      </c>
      <c r="Z281" s="22">
        <f t="shared" si="77"/>
        <v>0.8</v>
      </c>
      <c r="AA281" s="22">
        <v>46.94</v>
      </c>
      <c r="AB281" s="22">
        <v>77.77</v>
      </c>
      <c r="AC281" s="25">
        <f t="shared" si="78"/>
        <v>5190</v>
      </c>
      <c r="AD281" s="22" t="s">
        <v>51</v>
      </c>
      <c r="AG281" s="33">
        <v>1.25</v>
      </c>
      <c r="AH281" s="33">
        <v>5.19</v>
      </c>
      <c r="AK281" s="33">
        <f t="shared" si="265"/>
        <v>4.510225971</v>
      </c>
      <c r="AL281" s="33">
        <f t="shared" si="266"/>
        <v>5.842853553</v>
      </c>
      <c r="AM281" s="33">
        <f t="shared" si="267"/>
        <v>10.35307952</v>
      </c>
      <c r="AO281" s="34">
        <f t="shared" si="268"/>
        <v>8.025184906</v>
      </c>
      <c r="AP281" s="34">
        <f t="shared" si="269"/>
        <v>11.64272606</v>
      </c>
      <c r="AQ281" s="34">
        <f t="shared" si="270"/>
        <v>25.72912657</v>
      </c>
      <c r="AR281" s="34">
        <f t="shared" si="271"/>
        <v>1.08356927</v>
      </c>
      <c r="AS281" s="34">
        <f t="shared" si="272"/>
        <v>43.56410052</v>
      </c>
      <c r="AT281" s="35">
        <f t="shared" si="15"/>
        <v>90.04470733</v>
      </c>
      <c r="AV281" s="25">
        <f t="shared" si="87"/>
        <v>5190</v>
      </c>
    </row>
    <row r="282" ht="14.25" customHeight="1">
      <c r="B282" s="36"/>
      <c r="C282" s="22" t="s">
        <v>46</v>
      </c>
      <c r="D282" s="56"/>
      <c r="E282" s="22" t="s">
        <v>48</v>
      </c>
      <c r="F282" s="56"/>
      <c r="G282" s="27">
        <f t="shared" si="246"/>
        <v>47.77584493</v>
      </c>
      <c r="H282" s="27">
        <f t="shared" si="247"/>
        <v>3.690357853</v>
      </c>
      <c r="I282" s="27">
        <f t="shared" si="248"/>
        <v>47.83797217</v>
      </c>
      <c r="J282" s="27">
        <f t="shared" si="249"/>
        <v>0.6088469185</v>
      </c>
      <c r="K282" s="27">
        <f t="shared" si="250"/>
        <v>0.08697813121</v>
      </c>
      <c r="L282" s="26">
        <f t="shared" si="75"/>
        <v>55.54</v>
      </c>
      <c r="M282" s="22">
        <v>14.99</v>
      </c>
      <c r="N282" s="22">
        <v>9.95</v>
      </c>
      <c r="O282" s="22">
        <v>19.52</v>
      </c>
      <c r="P282" s="22">
        <v>0.35</v>
      </c>
      <c r="Q282" s="22">
        <v>700.0</v>
      </c>
      <c r="R282" s="22" t="s">
        <v>51</v>
      </c>
      <c r="S282" s="61">
        <v>0.0</v>
      </c>
      <c r="T282" s="22">
        <v>14.7</v>
      </c>
      <c r="U282" s="25">
        <v>14.63</v>
      </c>
      <c r="V282" s="25">
        <v>20.47</v>
      </c>
      <c r="W282" s="22">
        <v>44.91</v>
      </c>
      <c r="X282" s="22">
        <v>1.32</v>
      </c>
      <c r="Y282" s="31">
        <f t="shared" si="264"/>
        <v>43.03970211</v>
      </c>
      <c r="Z282" s="22">
        <f t="shared" si="77"/>
        <v>0.7575757576</v>
      </c>
      <c r="AA282" s="22">
        <v>48.94</v>
      </c>
      <c r="AB282" s="22">
        <v>82.68</v>
      </c>
      <c r="AC282" s="25">
        <f t="shared" si="78"/>
        <v>5240</v>
      </c>
      <c r="AD282" s="22" t="s">
        <v>51</v>
      </c>
      <c r="AG282" s="33">
        <v>1.32</v>
      </c>
      <c r="AH282" s="33">
        <v>5.24</v>
      </c>
      <c r="AK282" s="33">
        <f t="shared" si="265"/>
        <v>4.510225971</v>
      </c>
      <c r="AL282" s="33">
        <f t="shared" si="266"/>
        <v>5.968996118</v>
      </c>
      <c r="AM282" s="33">
        <f t="shared" si="267"/>
        <v>10.47922209</v>
      </c>
      <c r="AO282" s="34">
        <f t="shared" si="268"/>
        <v>8.333291581</v>
      </c>
      <c r="AP282" s="34">
        <f t="shared" si="269"/>
        <v>11.65977298</v>
      </c>
      <c r="AQ282" s="34">
        <f t="shared" si="270"/>
        <v>25.58086978</v>
      </c>
      <c r="AR282" s="34">
        <f t="shared" si="271"/>
        <v>0.7518759321</v>
      </c>
      <c r="AS282" s="34">
        <f t="shared" si="272"/>
        <v>43.03970211</v>
      </c>
      <c r="AT282" s="35">
        <f t="shared" si="15"/>
        <v>89.36551238</v>
      </c>
      <c r="AV282" s="25">
        <f t="shared" si="87"/>
        <v>5240</v>
      </c>
    </row>
    <row r="283" ht="14.25" customHeight="1">
      <c r="B283" s="36"/>
      <c r="C283" s="22" t="s">
        <v>46</v>
      </c>
      <c r="D283" s="56"/>
      <c r="E283" s="22" t="s">
        <v>48</v>
      </c>
      <c r="F283" s="56"/>
      <c r="G283" s="27">
        <f t="shared" si="246"/>
        <v>47.77584493</v>
      </c>
      <c r="H283" s="27">
        <f t="shared" si="247"/>
        <v>3.690357853</v>
      </c>
      <c r="I283" s="27">
        <f t="shared" si="248"/>
        <v>47.83797217</v>
      </c>
      <c r="J283" s="27">
        <f t="shared" si="249"/>
        <v>0.6088469185</v>
      </c>
      <c r="K283" s="27">
        <f t="shared" si="250"/>
        <v>0.08697813121</v>
      </c>
      <c r="L283" s="26">
        <f t="shared" si="75"/>
        <v>55.54</v>
      </c>
      <c r="M283" s="22">
        <v>14.99</v>
      </c>
      <c r="N283" s="22">
        <v>9.95</v>
      </c>
      <c r="O283" s="22">
        <v>19.52</v>
      </c>
      <c r="P283" s="22">
        <v>0.35</v>
      </c>
      <c r="Q283" s="22">
        <v>725.0</v>
      </c>
      <c r="R283" s="22" t="s">
        <v>51</v>
      </c>
      <c r="S283" s="61">
        <v>0.0</v>
      </c>
      <c r="T283" s="22">
        <v>14.7</v>
      </c>
      <c r="U283" s="25">
        <v>15.88</v>
      </c>
      <c r="V283" s="25">
        <v>22.89</v>
      </c>
      <c r="W283" s="22">
        <v>46.18</v>
      </c>
      <c r="X283" s="22">
        <v>1.43</v>
      </c>
      <c r="Y283" s="31">
        <f t="shared" si="264"/>
        <v>44.40296205</v>
      </c>
      <c r="Z283" s="22">
        <f t="shared" si="77"/>
        <v>0.6993006993</v>
      </c>
      <c r="AA283" s="22">
        <v>53.24</v>
      </c>
      <c r="AB283" s="22">
        <v>83.91</v>
      </c>
      <c r="AC283" s="25">
        <f t="shared" si="78"/>
        <v>5260</v>
      </c>
      <c r="AD283" s="22" t="s">
        <v>51</v>
      </c>
      <c r="AG283" s="33">
        <v>1.43</v>
      </c>
      <c r="AH283" s="33">
        <v>5.26</v>
      </c>
      <c r="AK283" s="33">
        <f t="shared" si="265"/>
        <v>4.510225971</v>
      </c>
      <c r="AL283" s="33">
        <f t="shared" si="266"/>
        <v>5.647262994</v>
      </c>
      <c r="AM283" s="33">
        <f t="shared" si="267"/>
        <v>10.15748896</v>
      </c>
      <c r="AO283" s="34">
        <f t="shared" si="268"/>
        <v>8.828809626</v>
      </c>
      <c r="AP283" s="34">
        <f t="shared" si="269"/>
        <v>12.72616199</v>
      </c>
      <c r="AQ283" s="34">
        <f t="shared" si="270"/>
        <v>25.67471212</v>
      </c>
      <c r="AR283" s="34">
        <f t="shared" si="271"/>
        <v>0.7950376426</v>
      </c>
      <c r="AS283" s="34">
        <f t="shared" si="272"/>
        <v>44.40296205</v>
      </c>
      <c r="AT283" s="35">
        <f t="shared" si="15"/>
        <v>92.42768343</v>
      </c>
      <c r="AV283" s="25">
        <f t="shared" si="87"/>
        <v>5260</v>
      </c>
    </row>
    <row r="284" ht="14.25" customHeight="1">
      <c r="B284" s="36"/>
      <c r="C284" s="22" t="s">
        <v>46</v>
      </c>
      <c r="D284" s="56"/>
      <c r="E284" s="22" t="s">
        <v>48</v>
      </c>
      <c r="F284" s="56"/>
      <c r="G284" s="27">
        <f t="shared" si="246"/>
        <v>47.77584493</v>
      </c>
      <c r="H284" s="27">
        <f t="shared" si="247"/>
        <v>3.690357853</v>
      </c>
      <c r="I284" s="27">
        <f t="shared" si="248"/>
        <v>47.83797217</v>
      </c>
      <c r="J284" s="27">
        <f t="shared" si="249"/>
        <v>0.6088469185</v>
      </c>
      <c r="K284" s="27">
        <f t="shared" si="250"/>
        <v>0.08697813121</v>
      </c>
      <c r="L284" s="26">
        <f t="shared" si="75"/>
        <v>55.54</v>
      </c>
      <c r="M284" s="22">
        <v>14.99</v>
      </c>
      <c r="N284" s="22">
        <v>9.95</v>
      </c>
      <c r="O284" s="22">
        <v>19.52</v>
      </c>
      <c r="P284" s="22">
        <v>0.35</v>
      </c>
      <c r="Q284" s="22">
        <v>750.0</v>
      </c>
      <c r="R284" s="22" t="s">
        <v>51</v>
      </c>
      <c r="S284" s="61">
        <v>0.0</v>
      </c>
      <c r="T284" s="22">
        <v>14.7</v>
      </c>
      <c r="U284" s="25">
        <v>16.08</v>
      </c>
      <c r="V284" s="25">
        <v>22.24</v>
      </c>
      <c r="W284" s="22">
        <v>46.12</v>
      </c>
      <c r="X284" s="22">
        <v>1.46</v>
      </c>
      <c r="Y284" s="31">
        <f t="shared" si="264"/>
        <v>44.16382471</v>
      </c>
      <c r="Z284" s="22">
        <f t="shared" si="77"/>
        <v>0.6849315068</v>
      </c>
      <c r="AA284" s="22">
        <v>54.62</v>
      </c>
      <c r="AB284" s="22">
        <v>85.43</v>
      </c>
      <c r="AC284" s="25">
        <f t="shared" si="78"/>
        <v>5280</v>
      </c>
      <c r="AD284" s="22" t="s">
        <v>51</v>
      </c>
      <c r="AG284" s="33">
        <v>1.46</v>
      </c>
      <c r="AH284" s="33">
        <v>5.28</v>
      </c>
      <c r="AK284" s="33">
        <f t="shared" si="265"/>
        <v>4.510225971</v>
      </c>
      <c r="AL284" s="33">
        <f t="shared" si="266"/>
        <v>5.70226355</v>
      </c>
      <c r="AM284" s="33">
        <f t="shared" si="267"/>
        <v>10.21248952</v>
      </c>
      <c r="AO284" s="34">
        <f t="shared" si="268"/>
        <v>8.978456987</v>
      </c>
      <c r="AP284" s="34">
        <f t="shared" si="269"/>
        <v>12.41796538</v>
      </c>
      <c r="AQ284" s="34">
        <f t="shared" si="270"/>
        <v>25.75164404</v>
      </c>
      <c r="AR284" s="34">
        <f t="shared" si="271"/>
        <v>0.8152081592</v>
      </c>
      <c r="AS284" s="34">
        <f t="shared" si="272"/>
        <v>44.16382471</v>
      </c>
      <c r="AT284" s="35">
        <f t="shared" si="15"/>
        <v>92.12709928</v>
      </c>
      <c r="AV284" s="25">
        <f t="shared" si="87"/>
        <v>5280</v>
      </c>
    </row>
    <row r="285" ht="14.25" customHeight="1">
      <c r="B285" s="36"/>
      <c r="C285" s="22" t="s">
        <v>46</v>
      </c>
      <c r="D285" s="56"/>
      <c r="E285" s="22" t="s">
        <v>48</v>
      </c>
      <c r="F285" s="56"/>
      <c r="G285" s="27">
        <f t="shared" si="246"/>
        <v>47.77584493</v>
      </c>
      <c r="H285" s="27">
        <f t="shared" si="247"/>
        <v>3.690357853</v>
      </c>
      <c r="I285" s="27">
        <f t="shared" si="248"/>
        <v>47.83797217</v>
      </c>
      <c r="J285" s="27">
        <f t="shared" si="249"/>
        <v>0.6088469185</v>
      </c>
      <c r="K285" s="27">
        <f t="shared" si="250"/>
        <v>0.08697813121</v>
      </c>
      <c r="L285" s="26">
        <f t="shared" si="75"/>
        <v>55.54</v>
      </c>
      <c r="M285" s="22">
        <v>14.99</v>
      </c>
      <c r="N285" s="22">
        <v>9.95</v>
      </c>
      <c r="O285" s="22">
        <v>19.52</v>
      </c>
      <c r="P285" s="22">
        <v>0.45</v>
      </c>
      <c r="Q285" s="22">
        <v>600.0</v>
      </c>
      <c r="R285" s="22" t="s">
        <v>51</v>
      </c>
      <c r="S285" s="61">
        <v>0.0</v>
      </c>
      <c r="T285" s="22">
        <v>14.7</v>
      </c>
      <c r="U285" s="25">
        <v>8.92</v>
      </c>
      <c r="V285" s="25">
        <v>11.72</v>
      </c>
      <c r="W285" s="22">
        <v>54.15</v>
      </c>
      <c r="X285" s="22">
        <v>1.32</v>
      </c>
      <c r="Y285" s="31">
        <f t="shared" si="264"/>
        <v>49.43328568</v>
      </c>
      <c r="Z285" s="22">
        <f t="shared" si="77"/>
        <v>0.7575757576</v>
      </c>
      <c r="AA285" s="22">
        <v>33.0</v>
      </c>
      <c r="AB285" s="22">
        <v>75.46</v>
      </c>
      <c r="AC285" s="25">
        <f t="shared" si="78"/>
        <v>3530</v>
      </c>
      <c r="AD285" s="22" t="s">
        <v>51</v>
      </c>
      <c r="AG285" s="33">
        <v>1.32</v>
      </c>
      <c r="AH285" s="33">
        <v>3.53</v>
      </c>
      <c r="AK285" s="33">
        <f t="shared" si="265"/>
        <v>5.792649238</v>
      </c>
      <c r="AL285" s="33">
        <f t="shared" si="266"/>
        <v>5.92546571</v>
      </c>
      <c r="AM285" s="33">
        <f t="shared" si="267"/>
        <v>11.71811495</v>
      </c>
      <c r="AO285" s="34">
        <f t="shared" si="268"/>
        <v>4.510550918</v>
      </c>
      <c r="AP285" s="34">
        <f t="shared" si="269"/>
        <v>5.926418919</v>
      </c>
      <c r="AQ285" s="34">
        <f t="shared" si="270"/>
        <v>27.38187581</v>
      </c>
      <c r="AR285" s="34">
        <f t="shared" si="271"/>
        <v>0.6674806291</v>
      </c>
      <c r="AS285" s="34">
        <f t="shared" si="272"/>
        <v>49.43328568</v>
      </c>
      <c r="AT285" s="35">
        <f t="shared" si="15"/>
        <v>87.91961195</v>
      </c>
      <c r="AV285" s="25">
        <f t="shared" si="87"/>
        <v>3530</v>
      </c>
    </row>
    <row r="286" ht="14.25" customHeight="1">
      <c r="B286" s="36"/>
      <c r="C286" s="22" t="s">
        <v>46</v>
      </c>
      <c r="D286" s="56"/>
      <c r="E286" s="22" t="s">
        <v>48</v>
      </c>
      <c r="F286" s="56"/>
      <c r="G286" s="27">
        <f t="shared" si="246"/>
        <v>47.77584493</v>
      </c>
      <c r="H286" s="27">
        <f t="shared" si="247"/>
        <v>3.690357853</v>
      </c>
      <c r="I286" s="27">
        <f t="shared" si="248"/>
        <v>47.83797217</v>
      </c>
      <c r="J286" s="27">
        <f t="shared" si="249"/>
        <v>0.6088469185</v>
      </c>
      <c r="K286" s="27">
        <f t="shared" si="250"/>
        <v>0.08697813121</v>
      </c>
      <c r="L286" s="26">
        <f t="shared" si="75"/>
        <v>55.54</v>
      </c>
      <c r="M286" s="22">
        <v>14.99</v>
      </c>
      <c r="N286" s="22">
        <v>9.95</v>
      </c>
      <c r="O286" s="22">
        <v>19.52</v>
      </c>
      <c r="P286" s="22">
        <v>0.45</v>
      </c>
      <c r="Q286" s="22">
        <v>650.0</v>
      </c>
      <c r="R286" s="22" t="s">
        <v>51</v>
      </c>
      <c r="S286" s="61">
        <v>0.0</v>
      </c>
      <c r="T286" s="22">
        <v>14.7</v>
      </c>
      <c r="U286" s="25">
        <v>9.32</v>
      </c>
      <c r="V286" s="25">
        <v>13.47</v>
      </c>
      <c r="W286" s="22">
        <v>53.41</v>
      </c>
      <c r="X286" s="22">
        <v>1.39</v>
      </c>
      <c r="Y286" s="31">
        <f t="shared" si="264"/>
        <v>49.83191215</v>
      </c>
      <c r="Z286" s="22">
        <f t="shared" si="77"/>
        <v>0.7194244604</v>
      </c>
      <c r="AA286" s="22">
        <v>35.58</v>
      </c>
      <c r="AB286" s="22">
        <v>80.2</v>
      </c>
      <c r="AC286" s="25">
        <f t="shared" si="78"/>
        <v>3610</v>
      </c>
      <c r="AD286" s="22" t="s">
        <v>51</v>
      </c>
      <c r="AG286" s="33">
        <v>1.39</v>
      </c>
      <c r="AH286" s="33">
        <v>3.61</v>
      </c>
      <c r="AK286" s="33">
        <f t="shared" si="265"/>
        <v>5.792649238</v>
      </c>
      <c r="AL286" s="33">
        <f t="shared" si="266"/>
        <v>5.831727568</v>
      </c>
      <c r="AM286" s="33">
        <f t="shared" si="267"/>
        <v>11.62437681</v>
      </c>
      <c r="AO286" s="34">
        <f t="shared" si="268"/>
        <v>4.675665787</v>
      </c>
      <c r="AP286" s="34">
        <f t="shared" si="269"/>
        <v>6.757641433</v>
      </c>
      <c r="AQ286" s="34">
        <f t="shared" si="270"/>
        <v>26.79477572</v>
      </c>
      <c r="AR286" s="34">
        <f t="shared" si="271"/>
        <v>0.6973364211</v>
      </c>
      <c r="AS286" s="34">
        <f t="shared" si="272"/>
        <v>49.83191215</v>
      </c>
      <c r="AT286" s="35">
        <f t="shared" si="15"/>
        <v>88.75733151</v>
      </c>
      <c r="AV286" s="25">
        <f t="shared" si="87"/>
        <v>3610</v>
      </c>
    </row>
    <row r="287" ht="14.25" customHeight="1">
      <c r="B287" s="36"/>
      <c r="C287" s="22" t="s">
        <v>46</v>
      </c>
      <c r="D287" s="56"/>
      <c r="E287" s="22" t="s">
        <v>48</v>
      </c>
      <c r="F287" s="56"/>
      <c r="G287" s="27">
        <f t="shared" si="246"/>
        <v>47.77584493</v>
      </c>
      <c r="H287" s="27">
        <f t="shared" si="247"/>
        <v>3.690357853</v>
      </c>
      <c r="I287" s="27">
        <f t="shared" si="248"/>
        <v>47.83797217</v>
      </c>
      <c r="J287" s="27">
        <f t="shared" si="249"/>
        <v>0.6088469185</v>
      </c>
      <c r="K287" s="27">
        <f t="shared" si="250"/>
        <v>0.08697813121</v>
      </c>
      <c r="L287" s="26">
        <f t="shared" si="75"/>
        <v>55.54</v>
      </c>
      <c r="M287" s="22">
        <v>14.99</v>
      </c>
      <c r="N287" s="22">
        <v>9.95</v>
      </c>
      <c r="O287" s="22">
        <v>19.52</v>
      </c>
      <c r="P287" s="22">
        <v>0.45</v>
      </c>
      <c r="Q287" s="22">
        <v>700.0</v>
      </c>
      <c r="R287" s="22" t="s">
        <v>51</v>
      </c>
      <c r="S287" s="61">
        <v>0.0</v>
      </c>
      <c r="T287" s="22">
        <v>14.7</v>
      </c>
      <c r="U287" s="25">
        <v>10.15</v>
      </c>
      <c r="V287" s="25">
        <v>15.13</v>
      </c>
      <c r="W287" s="22">
        <v>52.09</v>
      </c>
      <c r="X287" s="22">
        <v>1.44</v>
      </c>
      <c r="Y287" s="31">
        <f t="shared" si="264"/>
        <v>49.97432044</v>
      </c>
      <c r="Z287" s="22">
        <f t="shared" si="77"/>
        <v>0.6944444444</v>
      </c>
      <c r="AA287" s="22">
        <v>37.65</v>
      </c>
      <c r="AB287" s="22">
        <v>84.17</v>
      </c>
      <c r="AC287" s="25">
        <f t="shared" si="78"/>
        <v>3690</v>
      </c>
      <c r="AD287" s="22" t="s">
        <v>51</v>
      </c>
      <c r="AG287" s="33">
        <v>1.44</v>
      </c>
      <c r="AH287" s="33">
        <v>3.69</v>
      </c>
      <c r="AK287" s="33">
        <f t="shared" si="265"/>
        <v>5.792649238</v>
      </c>
      <c r="AL287" s="33">
        <f t="shared" si="266"/>
        <v>5.798602404</v>
      </c>
      <c r="AM287" s="33">
        <f t="shared" si="267"/>
        <v>11.59125164</v>
      </c>
      <c r="AO287" s="34">
        <f t="shared" si="268"/>
        <v>5.077606476</v>
      </c>
      <c r="AP287" s="34">
        <f t="shared" si="269"/>
        <v>7.568885318</v>
      </c>
      <c r="AQ287" s="34">
        <f t="shared" si="270"/>
        <v>26.05837649</v>
      </c>
      <c r="AR287" s="34">
        <f t="shared" si="271"/>
        <v>0.7203697857</v>
      </c>
      <c r="AS287" s="34">
        <f t="shared" si="272"/>
        <v>49.97432044</v>
      </c>
      <c r="AT287" s="35">
        <f t="shared" si="15"/>
        <v>89.3995585</v>
      </c>
      <c r="AV287" s="25">
        <f t="shared" si="87"/>
        <v>3690</v>
      </c>
    </row>
    <row r="288" ht="14.25" customHeight="1">
      <c r="B288" s="36"/>
      <c r="C288" s="22" t="s">
        <v>46</v>
      </c>
      <c r="D288" s="56"/>
      <c r="E288" s="22" t="s">
        <v>48</v>
      </c>
      <c r="F288" s="56"/>
      <c r="G288" s="27">
        <f t="shared" si="246"/>
        <v>47.77584493</v>
      </c>
      <c r="H288" s="27">
        <f t="shared" si="247"/>
        <v>3.690357853</v>
      </c>
      <c r="I288" s="27">
        <f t="shared" si="248"/>
        <v>47.83797217</v>
      </c>
      <c r="J288" s="27">
        <f t="shared" si="249"/>
        <v>0.6088469185</v>
      </c>
      <c r="K288" s="27">
        <f t="shared" si="250"/>
        <v>0.08697813121</v>
      </c>
      <c r="L288" s="26">
        <f t="shared" si="75"/>
        <v>55.54</v>
      </c>
      <c r="M288" s="22">
        <v>14.99</v>
      </c>
      <c r="N288" s="22">
        <v>9.95</v>
      </c>
      <c r="O288" s="22">
        <v>19.52</v>
      </c>
      <c r="P288" s="22">
        <v>0.45</v>
      </c>
      <c r="Q288" s="22">
        <v>725.0</v>
      </c>
      <c r="R288" s="22" t="s">
        <v>51</v>
      </c>
      <c r="S288" s="61">
        <v>0.0</v>
      </c>
      <c r="T288" s="22">
        <v>14.7</v>
      </c>
      <c r="U288" s="25">
        <v>10.27</v>
      </c>
      <c r="V288" s="25">
        <v>16.61</v>
      </c>
      <c r="W288" s="22">
        <v>51.16</v>
      </c>
      <c r="X288" s="22">
        <v>1.48</v>
      </c>
      <c r="Y288" s="31">
        <f t="shared" si="264"/>
        <v>50.18822847</v>
      </c>
      <c r="Z288" s="22">
        <f t="shared" si="77"/>
        <v>0.6756756757</v>
      </c>
      <c r="AA288" s="22">
        <v>39.48</v>
      </c>
      <c r="AB288" s="22">
        <v>88.57</v>
      </c>
      <c r="AC288" s="25">
        <f t="shared" si="78"/>
        <v>3770</v>
      </c>
      <c r="AD288" s="22" t="s">
        <v>51</v>
      </c>
      <c r="AG288" s="33">
        <v>1.48</v>
      </c>
      <c r="AH288" s="33">
        <v>3.77</v>
      </c>
      <c r="AK288" s="33">
        <f t="shared" si="265"/>
        <v>5.792649238</v>
      </c>
      <c r="AL288" s="33">
        <f t="shared" si="266"/>
        <v>5.749199149</v>
      </c>
      <c r="AM288" s="33">
        <f t="shared" si="267"/>
        <v>11.54184839</v>
      </c>
      <c r="AO288" s="34">
        <f t="shared" si="268"/>
        <v>5.115668936</v>
      </c>
      <c r="AP288" s="34">
        <f t="shared" si="269"/>
        <v>8.273735251</v>
      </c>
      <c r="AQ288" s="34">
        <f t="shared" si="270"/>
        <v>25.48370231</v>
      </c>
      <c r="AR288" s="34">
        <f t="shared" si="271"/>
        <v>0.7372142186</v>
      </c>
      <c r="AS288" s="34">
        <f t="shared" si="272"/>
        <v>50.18822847</v>
      </c>
      <c r="AT288" s="35">
        <f t="shared" si="15"/>
        <v>89.79854919</v>
      </c>
      <c r="AV288" s="25">
        <f t="shared" si="87"/>
        <v>3770</v>
      </c>
    </row>
    <row r="289" ht="14.25" customHeight="1">
      <c r="B289" s="36"/>
      <c r="C289" s="22" t="s">
        <v>46</v>
      </c>
      <c r="D289" s="56"/>
      <c r="E289" s="22" t="s">
        <v>48</v>
      </c>
      <c r="F289" s="56"/>
      <c r="G289" s="27">
        <f t="shared" si="246"/>
        <v>47.77584493</v>
      </c>
      <c r="H289" s="27">
        <f t="shared" si="247"/>
        <v>3.690357853</v>
      </c>
      <c r="I289" s="27">
        <f t="shared" si="248"/>
        <v>47.83797217</v>
      </c>
      <c r="J289" s="27">
        <f t="shared" si="249"/>
        <v>0.6088469185</v>
      </c>
      <c r="K289" s="27">
        <f t="shared" si="250"/>
        <v>0.08697813121</v>
      </c>
      <c r="L289" s="26">
        <f t="shared" si="75"/>
        <v>55.54</v>
      </c>
      <c r="M289" s="22">
        <v>14.99</v>
      </c>
      <c r="N289" s="22">
        <v>9.95</v>
      </c>
      <c r="O289" s="22">
        <v>19.52</v>
      </c>
      <c r="P289" s="22">
        <v>0.45</v>
      </c>
      <c r="Q289" s="22">
        <v>800.0</v>
      </c>
      <c r="R289" s="22" t="s">
        <v>51</v>
      </c>
      <c r="S289" s="61">
        <v>0.0</v>
      </c>
      <c r="T289" s="22">
        <v>14.7</v>
      </c>
      <c r="U289" s="25">
        <v>10.22</v>
      </c>
      <c r="V289" s="25">
        <v>17.78</v>
      </c>
      <c r="W289" s="22">
        <v>50.53</v>
      </c>
      <c r="X289" s="22">
        <v>1.52</v>
      </c>
      <c r="Y289" s="31">
        <f t="shared" si="264"/>
        <v>50.39673533</v>
      </c>
      <c r="Z289" s="22">
        <f t="shared" si="77"/>
        <v>0.6578947368</v>
      </c>
      <c r="AA289" s="22">
        <v>41.55</v>
      </c>
      <c r="AB289" s="22">
        <v>92.83</v>
      </c>
      <c r="AC289" s="25">
        <f t="shared" si="78"/>
        <v>3860</v>
      </c>
      <c r="AD289" s="22" t="s">
        <v>51</v>
      </c>
      <c r="AG289" s="33">
        <v>1.52</v>
      </c>
      <c r="AH289" s="33">
        <v>3.86</v>
      </c>
      <c r="AK289" s="33">
        <f t="shared" si="265"/>
        <v>5.792649238</v>
      </c>
      <c r="AL289" s="33">
        <f t="shared" si="266"/>
        <v>5.701446958</v>
      </c>
      <c r="AM289" s="33">
        <f t="shared" si="267"/>
        <v>11.4940962</v>
      </c>
      <c r="AO289" s="34">
        <f t="shared" si="268"/>
        <v>5.06945365</v>
      </c>
      <c r="AP289" s="34">
        <f t="shared" si="269"/>
        <v>8.819460459</v>
      </c>
      <c r="AQ289" s="34">
        <f t="shared" si="270"/>
        <v>25.06452964</v>
      </c>
      <c r="AR289" s="34">
        <f t="shared" si="271"/>
        <v>0.753969623</v>
      </c>
      <c r="AS289" s="34">
        <f t="shared" si="272"/>
        <v>50.39673533</v>
      </c>
      <c r="AT289" s="35">
        <f t="shared" si="15"/>
        <v>90.1041487</v>
      </c>
      <c r="AV289" s="25">
        <f t="shared" si="87"/>
        <v>3860</v>
      </c>
    </row>
    <row r="290" ht="14.25" customHeight="1">
      <c r="B290" s="36"/>
      <c r="C290" s="22" t="s">
        <v>46</v>
      </c>
      <c r="D290" s="56"/>
      <c r="E290" s="22" t="s">
        <v>48</v>
      </c>
      <c r="F290" s="56"/>
      <c r="G290" s="27">
        <f t="shared" si="246"/>
        <v>47.77584493</v>
      </c>
      <c r="H290" s="27">
        <f t="shared" si="247"/>
        <v>3.690357853</v>
      </c>
      <c r="I290" s="27">
        <f t="shared" si="248"/>
        <v>47.83797217</v>
      </c>
      <c r="J290" s="27">
        <f t="shared" si="249"/>
        <v>0.6088469185</v>
      </c>
      <c r="K290" s="27">
        <f t="shared" si="250"/>
        <v>0.08697813121</v>
      </c>
      <c r="L290" s="26">
        <f t="shared" si="75"/>
        <v>14.99</v>
      </c>
      <c r="M290" s="22">
        <v>55.54</v>
      </c>
      <c r="N290" s="22">
        <v>9.95</v>
      </c>
      <c r="O290" s="22">
        <v>19.52</v>
      </c>
      <c r="P290" s="22">
        <v>0.45</v>
      </c>
      <c r="Q290" s="22">
        <v>650.0</v>
      </c>
      <c r="R290" s="22" t="s">
        <v>51</v>
      </c>
      <c r="S290" s="58">
        <v>0.0</v>
      </c>
      <c r="T290" s="22">
        <v>14.7</v>
      </c>
      <c r="U290" s="25">
        <v>42.25</v>
      </c>
      <c r="V290" s="25">
        <v>11.25</v>
      </c>
      <c r="W290" s="22">
        <v>31.9</v>
      </c>
      <c r="X290" s="22">
        <v>9.6</v>
      </c>
      <c r="Y290" s="31">
        <f t="shared" si="264"/>
        <v>43.42258455</v>
      </c>
      <c r="Z290" s="22">
        <f t="shared" si="77"/>
        <v>0.9708737864</v>
      </c>
      <c r="AA290" s="22">
        <v>62.99</v>
      </c>
      <c r="AB290" s="22">
        <v>84.1</v>
      </c>
      <c r="AC290" s="25">
        <f t="shared" si="78"/>
        <v>11280</v>
      </c>
      <c r="AD290" s="22" t="s">
        <v>51</v>
      </c>
      <c r="AG290" s="33">
        <v>1.03</v>
      </c>
      <c r="AH290" s="33">
        <v>11.28</v>
      </c>
      <c r="AK290" s="33">
        <f t="shared" si="265"/>
        <v>5.792649238</v>
      </c>
      <c r="AL290" s="33">
        <f t="shared" si="266"/>
        <v>7.547526845</v>
      </c>
      <c r="AM290" s="33">
        <f t="shared" si="267"/>
        <v>13.34017608</v>
      </c>
      <c r="AO290" s="34">
        <f t="shared" si="268"/>
        <v>23.90395803</v>
      </c>
      <c r="AP290" s="34">
        <f t="shared" si="269"/>
        <v>6.364959239</v>
      </c>
      <c r="AQ290" s="34">
        <f t="shared" si="270"/>
        <v>18.04819553</v>
      </c>
      <c r="AR290" s="34">
        <f t="shared" si="271"/>
        <v>5.431431884</v>
      </c>
      <c r="AS290" s="34">
        <f t="shared" si="272"/>
        <v>43.42258455</v>
      </c>
      <c r="AT290" s="35">
        <f t="shared" si="15"/>
        <v>97.17112923</v>
      </c>
      <c r="AV290" s="25">
        <f t="shared" si="87"/>
        <v>11280</v>
      </c>
    </row>
    <row r="291" ht="14.25" customHeight="1">
      <c r="B291" s="36"/>
      <c r="C291" s="22" t="s">
        <v>46</v>
      </c>
      <c r="D291" s="56"/>
      <c r="E291" s="22" t="s">
        <v>48</v>
      </c>
      <c r="F291" s="56"/>
      <c r="G291" s="27">
        <f t="shared" si="246"/>
        <v>47.77584493</v>
      </c>
      <c r="H291" s="27">
        <f t="shared" si="247"/>
        <v>3.690357853</v>
      </c>
      <c r="I291" s="27">
        <f t="shared" si="248"/>
        <v>47.83797217</v>
      </c>
      <c r="J291" s="27">
        <f t="shared" si="249"/>
        <v>0.6088469185</v>
      </c>
      <c r="K291" s="27">
        <f t="shared" si="250"/>
        <v>0.08697813121</v>
      </c>
      <c r="L291" s="26">
        <f t="shared" si="75"/>
        <v>14.99</v>
      </c>
      <c r="M291" s="22">
        <v>55.54</v>
      </c>
      <c r="N291" s="22">
        <v>9.95</v>
      </c>
      <c r="O291" s="22">
        <v>19.52</v>
      </c>
      <c r="P291" s="22">
        <v>0.45</v>
      </c>
      <c r="Q291" s="22">
        <v>690.0</v>
      </c>
      <c r="R291" s="22" t="s">
        <v>51</v>
      </c>
      <c r="S291" s="58">
        <v>0.0</v>
      </c>
      <c r="T291" s="22">
        <v>14.7</v>
      </c>
      <c r="U291" s="25">
        <v>50.5</v>
      </c>
      <c r="V291" s="25">
        <v>12.83</v>
      </c>
      <c r="W291" s="22">
        <v>28.51</v>
      </c>
      <c r="X291" s="22">
        <v>8.16</v>
      </c>
      <c r="Y291" s="31">
        <f t="shared" si="264"/>
        <v>41.86734708</v>
      </c>
      <c r="Z291" s="22">
        <f t="shared" si="77"/>
        <v>0.8928571429</v>
      </c>
      <c r="AA291" s="22">
        <v>68.78</v>
      </c>
      <c r="AB291" s="22">
        <v>85.82</v>
      </c>
      <c r="AC291" s="25">
        <f t="shared" si="78"/>
        <v>11230</v>
      </c>
      <c r="AD291" s="22" t="s">
        <v>51</v>
      </c>
      <c r="AG291" s="33">
        <v>1.12</v>
      </c>
      <c r="AH291" s="33">
        <v>11.23</v>
      </c>
      <c r="AK291" s="33">
        <f t="shared" si="265"/>
        <v>5.792649238</v>
      </c>
      <c r="AL291" s="33">
        <f t="shared" si="266"/>
        <v>8.043071537</v>
      </c>
      <c r="AM291" s="33">
        <f t="shared" si="267"/>
        <v>13.83572078</v>
      </c>
      <c r="AO291" s="34">
        <f t="shared" si="268"/>
        <v>29.35698972</v>
      </c>
      <c r="AP291" s="34">
        <f t="shared" si="269"/>
        <v>7.458419369</v>
      </c>
      <c r="AQ291" s="34">
        <f t="shared" si="270"/>
        <v>16.57361935</v>
      </c>
      <c r="AR291" s="34">
        <f t="shared" si="271"/>
        <v>4.743624478</v>
      </c>
      <c r="AS291" s="34">
        <f t="shared" si="272"/>
        <v>41.86734708</v>
      </c>
      <c r="AT291" s="35">
        <f t="shared" si="15"/>
        <v>100</v>
      </c>
      <c r="AV291" s="25">
        <f t="shared" si="87"/>
        <v>11230</v>
      </c>
    </row>
    <row r="292" ht="14.25" customHeight="1">
      <c r="B292" s="36"/>
      <c r="C292" s="22" t="s">
        <v>46</v>
      </c>
      <c r="D292" s="56"/>
      <c r="E292" s="22" t="s">
        <v>48</v>
      </c>
      <c r="F292" s="56"/>
      <c r="G292" s="27">
        <f t="shared" si="246"/>
        <v>47.77584493</v>
      </c>
      <c r="H292" s="27">
        <f t="shared" si="247"/>
        <v>3.690357853</v>
      </c>
      <c r="I292" s="27">
        <f t="shared" si="248"/>
        <v>47.83797217</v>
      </c>
      <c r="J292" s="27">
        <f t="shared" si="249"/>
        <v>0.6088469185</v>
      </c>
      <c r="K292" s="27">
        <f t="shared" si="250"/>
        <v>0.08697813121</v>
      </c>
      <c r="L292" s="26">
        <f t="shared" si="75"/>
        <v>14.99</v>
      </c>
      <c r="M292" s="22">
        <v>55.54</v>
      </c>
      <c r="N292" s="22">
        <v>9.95</v>
      </c>
      <c r="O292" s="22">
        <v>19.52</v>
      </c>
      <c r="P292" s="22">
        <v>0.45</v>
      </c>
      <c r="Q292" s="22">
        <v>730.0</v>
      </c>
      <c r="R292" s="22" t="s">
        <v>51</v>
      </c>
      <c r="S292" s="58">
        <v>0.0</v>
      </c>
      <c r="T292" s="22">
        <v>14.7</v>
      </c>
      <c r="U292" s="25">
        <v>52.2</v>
      </c>
      <c r="V292" s="25">
        <v>15.9</v>
      </c>
      <c r="W292" s="22">
        <v>25.65</v>
      </c>
      <c r="X292" s="22">
        <v>6.25</v>
      </c>
      <c r="Y292" s="31">
        <f t="shared" si="264"/>
        <v>41.01928192</v>
      </c>
      <c r="Z292" s="22">
        <f t="shared" si="77"/>
        <v>0.8620689655</v>
      </c>
      <c r="AA292" s="22">
        <v>65.58</v>
      </c>
      <c r="AB292" s="22">
        <v>85.83</v>
      </c>
      <c r="AC292" s="25">
        <f t="shared" si="78"/>
        <v>11160</v>
      </c>
      <c r="AD292" s="22" t="s">
        <v>51</v>
      </c>
      <c r="AG292" s="33">
        <v>1.16</v>
      </c>
      <c r="AH292" s="33">
        <v>11.16</v>
      </c>
      <c r="AK292" s="33">
        <f t="shared" si="265"/>
        <v>5.792649238</v>
      </c>
      <c r="AL292" s="33">
        <f t="shared" si="266"/>
        <v>8.329122198</v>
      </c>
      <c r="AM292" s="33">
        <f t="shared" si="267"/>
        <v>14.12177144</v>
      </c>
      <c r="AO292" s="34">
        <f t="shared" si="268"/>
        <v>30.78793484</v>
      </c>
      <c r="AP292" s="34">
        <f t="shared" si="269"/>
        <v>9.377934174</v>
      </c>
      <c r="AQ292" s="34">
        <f t="shared" si="270"/>
        <v>15.12855419</v>
      </c>
      <c r="AR292" s="34">
        <f t="shared" si="271"/>
        <v>3.68629488</v>
      </c>
      <c r="AS292" s="34">
        <f t="shared" si="272"/>
        <v>41.01928192</v>
      </c>
      <c r="AT292" s="35">
        <f t="shared" si="15"/>
        <v>100</v>
      </c>
      <c r="AV292" s="25">
        <f t="shared" si="87"/>
        <v>11160</v>
      </c>
    </row>
    <row r="293" ht="14.25" customHeight="1">
      <c r="B293" s="36"/>
      <c r="C293" s="22" t="s">
        <v>46</v>
      </c>
      <c r="D293" s="56"/>
      <c r="E293" s="22" t="s">
        <v>48</v>
      </c>
      <c r="F293" s="56"/>
      <c r="G293" s="27">
        <f t="shared" si="246"/>
        <v>47.77584493</v>
      </c>
      <c r="H293" s="27">
        <f t="shared" si="247"/>
        <v>3.690357853</v>
      </c>
      <c r="I293" s="27">
        <f t="shared" si="248"/>
        <v>47.83797217</v>
      </c>
      <c r="J293" s="27">
        <f t="shared" si="249"/>
        <v>0.6088469185</v>
      </c>
      <c r="K293" s="27">
        <f t="shared" si="250"/>
        <v>0.08697813121</v>
      </c>
      <c r="L293" s="26">
        <f t="shared" si="75"/>
        <v>14.99</v>
      </c>
      <c r="M293" s="22">
        <v>55.54</v>
      </c>
      <c r="N293" s="22">
        <v>9.95</v>
      </c>
      <c r="O293" s="22">
        <v>19.52</v>
      </c>
      <c r="P293" s="22">
        <v>0.45</v>
      </c>
      <c r="Q293" s="22">
        <v>770.0</v>
      </c>
      <c r="R293" s="22" t="s">
        <v>51</v>
      </c>
      <c r="S293" s="58">
        <v>0.0</v>
      </c>
      <c r="T293" s="22">
        <v>14.7</v>
      </c>
      <c r="U293" s="25">
        <v>53.08</v>
      </c>
      <c r="V293" s="25">
        <v>17.85</v>
      </c>
      <c r="W293" s="22">
        <v>23.9</v>
      </c>
      <c r="X293" s="22">
        <v>5.17</v>
      </c>
      <c r="Y293" s="31">
        <f t="shared" si="264"/>
        <v>40.57049006</v>
      </c>
      <c r="Z293" s="22">
        <f t="shared" si="77"/>
        <v>0.826446281</v>
      </c>
      <c r="AA293" s="22">
        <v>66.06</v>
      </c>
      <c r="AB293" s="22">
        <v>87.88</v>
      </c>
      <c r="AC293" s="25">
        <f t="shared" si="78"/>
        <v>11090</v>
      </c>
      <c r="AD293" s="22" t="s">
        <v>51</v>
      </c>
      <c r="AG293" s="33">
        <v>1.21</v>
      </c>
      <c r="AH293" s="33">
        <v>11.09</v>
      </c>
      <c r="AK293" s="33">
        <f t="shared" si="265"/>
        <v>5.792649238</v>
      </c>
      <c r="AL293" s="33">
        <f t="shared" si="266"/>
        <v>8.485337619</v>
      </c>
      <c r="AM293" s="33">
        <f t="shared" si="267"/>
        <v>14.27798686</v>
      </c>
      <c r="AO293" s="34">
        <f t="shared" si="268"/>
        <v>31.54518388</v>
      </c>
      <c r="AP293" s="34">
        <f t="shared" si="269"/>
        <v>10.60816752</v>
      </c>
      <c r="AQ293" s="34">
        <f t="shared" si="270"/>
        <v>14.20365288</v>
      </c>
      <c r="AR293" s="34">
        <f t="shared" si="271"/>
        <v>3.072505664</v>
      </c>
      <c r="AS293" s="34">
        <f t="shared" si="272"/>
        <v>40.57049006</v>
      </c>
      <c r="AT293" s="35">
        <f t="shared" si="15"/>
        <v>100</v>
      </c>
      <c r="AV293" s="25">
        <f t="shared" si="87"/>
        <v>11090</v>
      </c>
    </row>
    <row r="294" ht="14.25" customHeight="1">
      <c r="B294" s="36"/>
      <c r="C294" s="22" t="s">
        <v>46</v>
      </c>
      <c r="D294" s="56"/>
      <c r="E294" s="22" t="s">
        <v>48</v>
      </c>
      <c r="F294" s="56"/>
      <c r="G294" s="27">
        <f t="shared" si="246"/>
        <v>47.77584493</v>
      </c>
      <c r="H294" s="27">
        <f t="shared" si="247"/>
        <v>3.690357853</v>
      </c>
      <c r="I294" s="27">
        <f t="shared" si="248"/>
        <v>47.83797217</v>
      </c>
      <c r="J294" s="27">
        <f t="shared" si="249"/>
        <v>0.6088469185</v>
      </c>
      <c r="K294" s="27">
        <f t="shared" si="250"/>
        <v>0.08697813121</v>
      </c>
      <c r="L294" s="26">
        <f t="shared" si="75"/>
        <v>14.99</v>
      </c>
      <c r="M294" s="22">
        <v>55.54</v>
      </c>
      <c r="N294" s="22">
        <v>9.95</v>
      </c>
      <c r="O294" s="22">
        <v>19.52</v>
      </c>
      <c r="P294" s="22">
        <v>0.45</v>
      </c>
      <c r="Q294" s="22">
        <v>750.0</v>
      </c>
      <c r="R294" s="22" t="s">
        <v>51</v>
      </c>
      <c r="S294" s="58">
        <v>0.0</v>
      </c>
      <c r="T294" s="22">
        <v>14.7</v>
      </c>
      <c r="U294" s="25">
        <v>47.81</v>
      </c>
      <c r="V294" s="25">
        <v>27.48</v>
      </c>
      <c r="W294" s="22">
        <v>19.09</v>
      </c>
      <c r="X294" s="22">
        <v>6.62</v>
      </c>
      <c r="Y294" s="31">
        <f t="shared" si="264"/>
        <v>43.62676719</v>
      </c>
      <c r="Z294" s="22">
        <f t="shared" si="77"/>
        <v>0.9523809524</v>
      </c>
      <c r="AA294" s="22">
        <v>65.75</v>
      </c>
      <c r="AB294" s="22">
        <v>86.33</v>
      </c>
      <c r="AC294" s="25">
        <f t="shared" si="78"/>
        <v>12210</v>
      </c>
      <c r="AD294" s="22" t="s">
        <v>51</v>
      </c>
      <c r="AG294" s="33">
        <v>1.05</v>
      </c>
      <c r="AH294" s="33">
        <v>12.21</v>
      </c>
      <c r="AK294" s="33">
        <f t="shared" si="265"/>
        <v>5.792649238</v>
      </c>
      <c r="AL294" s="33">
        <f t="shared" si="266"/>
        <v>7.485091955</v>
      </c>
      <c r="AM294" s="33">
        <f t="shared" si="267"/>
        <v>13.27774119</v>
      </c>
      <c r="AO294" s="34">
        <f t="shared" si="268"/>
        <v>26.95204261</v>
      </c>
      <c r="AP294" s="34">
        <f t="shared" si="269"/>
        <v>15.49136438</v>
      </c>
      <c r="AQ294" s="34">
        <f t="shared" si="270"/>
        <v>10.76165014</v>
      </c>
      <c r="AR294" s="34">
        <f t="shared" si="271"/>
        <v>3.731908012</v>
      </c>
      <c r="AS294" s="34">
        <f t="shared" si="272"/>
        <v>43.62676719</v>
      </c>
      <c r="AT294" s="35">
        <f t="shared" si="15"/>
        <v>100.5637323</v>
      </c>
      <c r="AV294" s="25">
        <f t="shared" si="87"/>
        <v>12210</v>
      </c>
    </row>
    <row r="295" ht="14.25" customHeight="1">
      <c r="B295" s="36"/>
      <c r="C295" s="22" t="s">
        <v>46</v>
      </c>
      <c r="D295" s="56"/>
      <c r="E295" s="22" t="s">
        <v>48</v>
      </c>
      <c r="F295" s="56"/>
      <c r="G295" s="27">
        <f t="shared" si="246"/>
        <v>47.77584493</v>
      </c>
      <c r="H295" s="27">
        <f t="shared" si="247"/>
        <v>3.690357853</v>
      </c>
      <c r="I295" s="27">
        <f t="shared" si="248"/>
        <v>47.83797217</v>
      </c>
      <c r="J295" s="27">
        <f t="shared" si="249"/>
        <v>0.6088469185</v>
      </c>
      <c r="K295" s="27">
        <f t="shared" si="250"/>
        <v>0.08697813121</v>
      </c>
      <c r="L295" s="26">
        <f t="shared" si="75"/>
        <v>14.99</v>
      </c>
      <c r="M295" s="22">
        <v>55.54</v>
      </c>
      <c r="N295" s="22">
        <v>9.95</v>
      </c>
      <c r="O295" s="22">
        <v>19.52</v>
      </c>
      <c r="P295" s="22">
        <v>0.45</v>
      </c>
      <c r="Q295" s="22">
        <v>750.0</v>
      </c>
      <c r="R295" s="22" t="s">
        <v>51</v>
      </c>
      <c r="S295" s="58">
        <v>0.0</v>
      </c>
      <c r="T295" s="22">
        <v>14.7</v>
      </c>
      <c r="U295" s="25">
        <v>48.88</v>
      </c>
      <c r="V295" s="25">
        <v>22.7</v>
      </c>
      <c r="W295" s="22">
        <v>22.2</v>
      </c>
      <c r="X295" s="22">
        <v>6.22</v>
      </c>
      <c r="Y295" s="31">
        <f t="shared" si="264"/>
        <v>42.65311642</v>
      </c>
      <c r="Z295" s="22">
        <f t="shared" si="77"/>
        <v>0.9174311927</v>
      </c>
      <c r="AA295" s="22">
        <v>65.96</v>
      </c>
      <c r="AB295" s="22">
        <v>86.25</v>
      </c>
      <c r="AC295" s="25">
        <f t="shared" si="78"/>
        <v>11590</v>
      </c>
      <c r="AD295" s="22" t="s">
        <v>51</v>
      </c>
      <c r="AG295" s="33">
        <v>1.09</v>
      </c>
      <c r="AH295" s="33">
        <v>11.59</v>
      </c>
      <c r="AK295" s="33">
        <f t="shared" si="265"/>
        <v>5.792649238</v>
      </c>
      <c r="AL295" s="33">
        <f t="shared" si="266"/>
        <v>7.788185467</v>
      </c>
      <c r="AM295" s="33">
        <f t="shared" si="267"/>
        <v>13.58083471</v>
      </c>
      <c r="AO295" s="34">
        <f t="shared" si="268"/>
        <v>28.03115669</v>
      </c>
      <c r="AP295" s="34">
        <f t="shared" si="269"/>
        <v>13.01774257</v>
      </c>
      <c r="AQ295" s="34">
        <f t="shared" si="270"/>
        <v>12.73100815</v>
      </c>
      <c r="AR295" s="34">
        <f t="shared" si="271"/>
        <v>3.566976158</v>
      </c>
      <c r="AS295" s="34">
        <f t="shared" si="272"/>
        <v>42.65311642</v>
      </c>
      <c r="AT295" s="35">
        <f t="shared" si="15"/>
        <v>100</v>
      </c>
      <c r="AV295" s="25">
        <f t="shared" si="87"/>
        <v>11590</v>
      </c>
    </row>
    <row r="296" ht="14.25" customHeight="1">
      <c r="B296" s="36"/>
      <c r="C296" s="22" t="s">
        <v>46</v>
      </c>
      <c r="D296" s="56"/>
      <c r="E296" s="22" t="s">
        <v>48</v>
      </c>
      <c r="F296" s="56"/>
      <c r="G296" s="27">
        <f t="shared" si="246"/>
        <v>47.77584493</v>
      </c>
      <c r="H296" s="27">
        <f t="shared" si="247"/>
        <v>3.690357853</v>
      </c>
      <c r="I296" s="27">
        <f t="shared" si="248"/>
        <v>47.83797217</v>
      </c>
      <c r="J296" s="27">
        <f t="shared" si="249"/>
        <v>0.6088469185</v>
      </c>
      <c r="K296" s="27">
        <f t="shared" si="250"/>
        <v>0.08697813121</v>
      </c>
      <c r="L296" s="26">
        <f t="shared" si="75"/>
        <v>14.99</v>
      </c>
      <c r="M296" s="22">
        <v>55.54</v>
      </c>
      <c r="N296" s="22">
        <v>9.95</v>
      </c>
      <c r="O296" s="22">
        <v>19.52</v>
      </c>
      <c r="P296" s="22">
        <v>0.45</v>
      </c>
      <c r="Q296" s="22">
        <v>750.0</v>
      </c>
      <c r="R296" s="22" t="s">
        <v>51</v>
      </c>
      <c r="S296" s="58">
        <v>0.0</v>
      </c>
      <c r="T296" s="22">
        <v>14.7</v>
      </c>
      <c r="U296" s="25">
        <v>51.17</v>
      </c>
      <c r="V296" s="25">
        <v>19.65</v>
      </c>
      <c r="W296" s="22">
        <v>23.19</v>
      </c>
      <c r="X296" s="22">
        <v>6.03</v>
      </c>
      <c r="Y296" s="31">
        <f t="shared" si="264"/>
        <v>41.55592365</v>
      </c>
      <c r="Z296" s="22">
        <f t="shared" si="77"/>
        <v>0.8620689655</v>
      </c>
      <c r="AA296" s="22">
        <v>66.1</v>
      </c>
      <c r="AB296" s="22">
        <v>87.68</v>
      </c>
      <c r="AC296" s="25">
        <f t="shared" si="78"/>
        <v>11420</v>
      </c>
      <c r="AD296" s="22" t="s">
        <v>51</v>
      </c>
      <c r="AG296" s="33">
        <v>1.16</v>
      </c>
      <c r="AH296" s="33">
        <v>11.42</v>
      </c>
      <c r="AK296" s="33">
        <f t="shared" si="265"/>
        <v>5.792649238</v>
      </c>
      <c r="AL296" s="33">
        <f t="shared" si="266"/>
        <v>8.146757542</v>
      </c>
      <c r="AM296" s="33">
        <f t="shared" si="267"/>
        <v>13.93940678</v>
      </c>
      <c r="AO296" s="34">
        <f t="shared" si="268"/>
        <v>29.90583387</v>
      </c>
      <c r="AP296" s="34">
        <f t="shared" si="269"/>
        <v>11.484261</v>
      </c>
      <c r="AQ296" s="34">
        <f t="shared" si="270"/>
        <v>13.55318131</v>
      </c>
      <c r="AR296" s="34">
        <f t="shared" si="271"/>
        <v>3.524177804</v>
      </c>
      <c r="AS296" s="34">
        <f t="shared" si="272"/>
        <v>41.55592365</v>
      </c>
      <c r="AT296" s="35">
        <f t="shared" si="15"/>
        <v>100.0233776</v>
      </c>
      <c r="AV296" s="25">
        <f t="shared" si="87"/>
        <v>11420</v>
      </c>
    </row>
    <row r="297" ht="14.25" customHeight="1">
      <c r="B297" s="36"/>
      <c r="C297" s="22" t="s">
        <v>46</v>
      </c>
      <c r="D297" s="56"/>
      <c r="E297" s="22" t="s">
        <v>48</v>
      </c>
      <c r="F297" s="56"/>
      <c r="G297" s="27">
        <f t="shared" si="246"/>
        <v>47.77584493</v>
      </c>
      <c r="H297" s="27">
        <f t="shared" si="247"/>
        <v>3.690357853</v>
      </c>
      <c r="I297" s="27">
        <f t="shared" si="248"/>
        <v>47.83797217</v>
      </c>
      <c r="J297" s="27">
        <f t="shared" si="249"/>
        <v>0.6088469185</v>
      </c>
      <c r="K297" s="27">
        <f t="shared" si="250"/>
        <v>0.08697813121</v>
      </c>
      <c r="L297" s="26">
        <f t="shared" si="75"/>
        <v>14.99</v>
      </c>
      <c r="M297" s="22">
        <v>55.54</v>
      </c>
      <c r="N297" s="22">
        <v>9.95</v>
      </c>
      <c r="O297" s="22">
        <v>19.52</v>
      </c>
      <c r="P297" s="22">
        <v>0.45</v>
      </c>
      <c r="Q297" s="22">
        <v>750.0</v>
      </c>
      <c r="R297" s="22" t="s">
        <v>51</v>
      </c>
      <c r="S297" s="58">
        <v>0.0</v>
      </c>
      <c r="T297" s="22">
        <v>14.7</v>
      </c>
      <c r="U297" s="25">
        <v>51.89</v>
      </c>
      <c r="V297" s="25">
        <v>17.38</v>
      </c>
      <c r="W297" s="22">
        <v>14.81</v>
      </c>
      <c r="X297" s="22">
        <v>5.92</v>
      </c>
      <c r="Y297" s="31">
        <f t="shared" si="264"/>
        <v>35.66997316</v>
      </c>
      <c r="Z297" s="22">
        <f t="shared" si="77"/>
        <v>0.826446281</v>
      </c>
      <c r="AA297" s="22">
        <v>66.15</v>
      </c>
      <c r="AB297" s="22">
        <v>90.11</v>
      </c>
      <c r="AC297" s="25">
        <f t="shared" si="78"/>
        <v>11180</v>
      </c>
      <c r="AD297" s="22" t="s">
        <v>51</v>
      </c>
      <c r="AG297" s="33">
        <v>1.21</v>
      </c>
      <c r="AH297" s="33">
        <v>11.18</v>
      </c>
      <c r="AK297" s="33">
        <f t="shared" si="265"/>
        <v>5.792649238</v>
      </c>
      <c r="AL297" s="33">
        <f t="shared" si="266"/>
        <v>10.4469179</v>
      </c>
      <c r="AM297" s="33">
        <f t="shared" si="267"/>
        <v>16.23956714</v>
      </c>
      <c r="AO297" s="34">
        <f t="shared" si="268"/>
        <v>33.38085093</v>
      </c>
      <c r="AP297" s="34">
        <f t="shared" si="269"/>
        <v>11.18055867</v>
      </c>
      <c r="AQ297" s="34">
        <f t="shared" si="270"/>
        <v>9.527276975</v>
      </c>
      <c r="AR297" s="34">
        <f t="shared" si="271"/>
        <v>3.808337589</v>
      </c>
      <c r="AS297" s="34">
        <f t="shared" si="272"/>
        <v>35.66997316</v>
      </c>
      <c r="AT297" s="35">
        <f t="shared" si="15"/>
        <v>93.56699732</v>
      </c>
      <c r="AV297" s="25">
        <f t="shared" si="87"/>
        <v>11180</v>
      </c>
    </row>
    <row r="298" ht="14.25" customHeight="1">
      <c r="B298" s="36"/>
      <c r="C298" s="22" t="s">
        <v>46</v>
      </c>
      <c r="D298" s="56"/>
      <c r="E298" s="22" t="s">
        <v>48</v>
      </c>
      <c r="F298" s="56"/>
      <c r="G298" s="22">
        <v>47.18</v>
      </c>
      <c r="H298" s="22">
        <v>3.6</v>
      </c>
      <c r="I298" s="22">
        <v>48.2</v>
      </c>
      <c r="J298" s="22">
        <v>1.01</v>
      </c>
      <c r="K298" s="22">
        <v>0.01</v>
      </c>
      <c r="L298" s="26">
        <f t="shared" si="75"/>
        <v>6.97</v>
      </c>
      <c r="M298" s="22">
        <v>73.4</v>
      </c>
      <c r="N298" s="22">
        <v>13.63</v>
      </c>
      <c r="O298" s="22">
        <v>6.0</v>
      </c>
      <c r="P298" s="22">
        <v>0.3</v>
      </c>
      <c r="Q298" s="22">
        <v>880.0</v>
      </c>
      <c r="R298" s="22" t="s">
        <v>51</v>
      </c>
      <c r="S298" s="58">
        <v>0.0</v>
      </c>
      <c r="T298" s="22">
        <v>16.15</v>
      </c>
      <c r="U298" s="25">
        <v>8.49</v>
      </c>
      <c r="V298" s="25">
        <v>8.71</v>
      </c>
      <c r="W298" s="22">
        <v>14.62</v>
      </c>
      <c r="X298" s="22">
        <v>1.52</v>
      </c>
      <c r="Y298" s="54">
        <f t="shared" ref="Y298:Y388" si="274">100-SUM(U298:X298)</f>
        <v>66.66</v>
      </c>
      <c r="Z298" s="22">
        <f t="shared" si="77"/>
        <v>0.5050505051</v>
      </c>
      <c r="AA298" s="22">
        <v>30.47</v>
      </c>
      <c r="AB298" s="22">
        <v>55.87</v>
      </c>
      <c r="AC298" s="25">
        <f t="shared" si="78"/>
        <v>2650</v>
      </c>
      <c r="AD298" s="22" t="s">
        <v>51</v>
      </c>
      <c r="AG298" s="33">
        <v>1.98</v>
      </c>
      <c r="AH298" s="33">
        <v>2.65</v>
      </c>
      <c r="AO298" s="34">
        <f t="shared" ref="AO298:AS298" si="273">U298</f>
        <v>8.49</v>
      </c>
      <c r="AP298" s="34">
        <f t="shared" si="273"/>
        <v>8.71</v>
      </c>
      <c r="AQ298" s="34">
        <f t="shared" si="273"/>
        <v>14.62</v>
      </c>
      <c r="AR298" s="34">
        <f t="shared" si="273"/>
        <v>1.52</v>
      </c>
      <c r="AS298" s="34">
        <f t="shared" si="273"/>
        <v>66.66</v>
      </c>
      <c r="AT298" s="35">
        <f t="shared" si="15"/>
        <v>100</v>
      </c>
      <c r="AV298" s="25">
        <f t="shared" si="87"/>
        <v>2650</v>
      </c>
    </row>
    <row r="299" ht="14.25" customHeight="1">
      <c r="B299" s="36"/>
      <c r="C299" s="22" t="s">
        <v>46</v>
      </c>
      <c r="D299" s="56"/>
      <c r="E299" s="22" t="s">
        <v>48</v>
      </c>
      <c r="F299" s="56"/>
      <c r="G299" s="22">
        <v>47.18</v>
      </c>
      <c r="H299" s="22">
        <v>3.6</v>
      </c>
      <c r="I299" s="22">
        <v>48.2</v>
      </c>
      <c r="J299" s="22">
        <v>1.01</v>
      </c>
      <c r="K299" s="22">
        <v>0.01</v>
      </c>
      <c r="L299" s="26">
        <f t="shared" si="75"/>
        <v>6.97</v>
      </c>
      <c r="M299" s="22">
        <v>73.4</v>
      </c>
      <c r="N299" s="22">
        <v>13.63</v>
      </c>
      <c r="O299" s="22">
        <v>6.0</v>
      </c>
      <c r="P299" s="22">
        <v>0.3</v>
      </c>
      <c r="Q299" s="22">
        <v>880.0</v>
      </c>
      <c r="R299" s="22" t="s">
        <v>51</v>
      </c>
      <c r="S299" s="58">
        <v>0.0</v>
      </c>
      <c r="T299" s="22">
        <v>16.15</v>
      </c>
      <c r="U299" s="25">
        <v>7.89</v>
      </c>
      <c r="V299" s="25">
        <v>9.26</v>
      </c>
      <c r="W299" s="22">
        <v>14.88</v>
      </c>
      <c r="X299" s="22">
        <v>1.36</v>
      </c>
      <c r="Y299" s="54">
        <f t="shared" si="274"/>
        <v>66.61</v>
      </c>
      <c r="Z299" s="22">
        <f t="shared" si="77"/>
        <v>0.495049505</v>
      </c>
      <c r="AA299" s="22">
        <v>30.26</v>
      </c>
      <c r="AB299" s="22">
        <v>58.49</v>
      </c>
      <c r="AC299" s="25">
        <f t="shared" si="78"/>
        <v>2580</v>
      </c>
      <c r="AD299" s="22" t="s">
        <v>51</v>
      </c>
      <c r="AG299" s="33">
        <v>2.02</v>
      </c>
      <c r="AH299" s="33">
        <v>2.58</v>
      </c>
      <c r="AO299" s="34">
        <f t="shared" ref="AO299:AS299" si="275">U299</f>
        <v>7.89</v>
      </c>
      <c r="AP299" s="34">
        <f t="shared" si="275"/>
        <v>9.26</v>
      </c>
      <c r="AQ299" s="34">
        <f t="shared" si="275"/>
        <v>14.88</v>
      </c>
      <c r="AR299" s="34">
        <f t="shared" si="275"/>
        <v>1.36</v>
      </c>
      <c r="AS299" s="34">
        <f t="shared" si="275"/>
        <v>66.61</v>
      </c>
      <c r="AT299" s="35">
        <f t="shared" si="15"/>
        <v>100</v>
      </c>
      <c r="AV299" s="25">
        <f t="shared" si="87"/>
        <v>2580</v>
      </c>
    </row>
    <row r="300" ht="14.25" customHeight="1">
      <c r="B300" s="36"/>
      <c r="C300" s="22" t="s">
        <v>46</v>
      </c>
      <c r="D300" s="56"/>
      <c r="E300" s="22" t="s">
        <v>48</v>
      </c>
      <c r="F300" s="56"/>
      <c r="G300" s="22">
        <v>47.18</v>
      </c>
      <c r="H300" s="22">
        <v>3.6</v>
      </c>
      <c r="I300" s="22">
        <v>48.2</v>
      </c>
      <c r="J300" s="22">
        <v>1.01</v>
      </c>
      <c r="K300" s="22">
        <v>0.01</v>
      </c>
      <c r="L300" s="26">
        <f t="shared" si="75"/>
        <v>6.97</v>
      </c>
      <c r="M300" s="22">
        <v>73.4</v>
      </c>
      <c r="N300" s="22">
        <v>13.63</v>
      </c>
      <c r="O300" s="22">
        <v>6.0</v>
      </c>
      <c r="P300" s="22">
        <v>0.3</v>
      </c>
      <c r="Q300" s="22">
        <v>880.0</v>
      </c>
      <c r="R300" s="22" t="s">
        <v>51</v>
      </c>
      <c r="S300" s="58">
        <v>0.0</v>
      </c>
      <c r="T300" s="22">
        <v>16.15</v>
      </c>
      <c r="U300" s="25">
        <v>9.54</v>
      </c>
      <c r="V300" s="25">
        <v>10.12</v>
      </c>
      <c r="W300" s="22">
        <v>12.12</v>
      </c>
      <c r="X300" s="22">
        <v>1.89</v>
      </c>
      <c r="Y300" s="54">
        <f t="shared" si="274"/>
        <v>66.33</v>
      </c>
      <c r="Z300" s="22">
        <f t="shared" si="77"/>
        <v>0.4424778761</v>
      </c>
      <c r="AA300" s="22">
        <v>40.42</v>
      </c>
      <c r="AB300" s="22">
        <v>61.92</v>
      </c>
      <c r="AC300" s="25">
        <f t="shared" si="78"/>
        <v>3080</v>
      </c>
      <c r="AD300" s="22" t="s">
        <v>51</v>
      </c>
      <c r="AG300" s="33">
        <v>2.26</v>
      </c>
      <c r="AH300" s="33">
        <v>3.08</v>
      </c>
      <c r="AO300" s="34">
        <f t="shared" ref="AO300:AS300" si="276">U300</f>
        <v>9.54</v>
      </c>
      <c r="AP300" s="34">
        <f t="shared" si="276"/>
        <v>10.12</v>
      </c>
      <c r="AQ300" s="34">
        <f t="shared" si="276"/>
        <v>12.12</v>
      </c>
      <c r="AR300" s="34">
        <f t="shared" si="276"/>
        <v>1.89</v>
      </c>
      <c r="AS300" s="34">
        <f t="shared" si="276"/>
        <v>66.33</v>
      </c>
      <c r="AT300" s="35">
        <f t="shared" si="15"/>
        <v>100</v>
      </c>
      <c r="AV300" s="25">
        <f t="shared" si="87"/>
        <v>3080</v>
      </c>
    </row>
    <row r="301" ht="14.25" customHeight="1">
      <c r="B301" s="36"/>
      <c r="C301" s="22" t="s">
        <v>46</v>
      </c>
      <c r="D301" s="56"/>
      <c r="E301" s="22" t="s">
        <v>48</v>
      </c>
      <c r="F301" s="56"/>
      <c r="G301" s="22">
        <v>47.18</v>
      </c>
      <c r="H301" s="22">
        <v>3.6</v>
      </c>
      <c r="I301" s="22">
        <v>48.2</v>
      </c>
      <c r="J301" s="22">
        <v>1.01</v>
      </c>
      <c r="K301" s="22">
        <v>0.01</v>
      </c>
      <c r="L301" s="26">
        <f t="shared" si="75"/>
        <v>6.97</v>
      </c>
      <c r="M301" s="22">
        <v>73.4</v>
      </c>
      <c r="N301" s="22">
        <v>13.63</v>
      </c>
      <c r="O301" s="22">
        <v>6.0</v>
      </c>
      <c r="P301" s="22">
        <v>0.3</v>
      </c>
      <c r="Q301" s="22">
        <v>880.0</v>
      </c>
      <c r="R301" s="22" t="s">
        <v>51</v>
      </c>
      <c r="S301" s="58">
        <v>0.0</v>
      </c>
      <c r="T301" s="22">
        <v>16.15</v>
      </c>
      <c r="U301" s="25">
        <v>10.17</v>
      </c>
      <c r="V301" s="25">
        <v>10.28</v>
      </c>
      <c r="W301" s="22">
        <v>11.63</v>
      </c>
      <c r="X301" s="22">
        <v>1.53</v>
      </c>
      <c r="Y301" s="54">
        <f t="shared" si="274"/>
        <v>66.39</v>
      </c>
      <c r="Z301" s="22">
        <f t="shared" si="77"/>
        <v>0.4587155963</v>
      </c>
      <c r="AA301" s="22">
        <v>38.49</v>
      </c>
      <c r="AB301" s="22">
        <v>58.02</v>
      </c>
      <c r="AC301" s="25">
        <f t="shared" si="78"/>
        <v>3040</v>
      </c>
      <c r="AD301" s="22" t="s">
        <v>51</v>
      </c>
      <c r="AG301" s="33">
        <v>2.18</v>
      </c>
      <c r="AH301" s="33">
        <v>3.04</v>
      </c>
      <c r="AO301" s="34">
        <f t="shared" ref="AO301:AS301" si="277">U301</f>
        <v>10.17</v>
      </c>
      <c r="AP301" s="34">
        <f t="shared" si="277"/>
        <v>10.28</v>
      </c>
      <c r="AQ301" s="34">
        <f t="shared" si="277"/>
        <v>11.63</v>
      </c>
      <c r="AR301" s="34">
        <f t="shared" si="277"/>
        <v>1.53</v>
      </c>
      <c r="AS301" s="34">
        <f t="shared" si="277"/>
        <v>66.39</v>
      </c>
      <c r="AT301" s="35">
        <f t="shared" si="15"/>
        <v>100</v>
      </c>
      <c r="AV301" s="25">
        <f t="shared" si="87"/>
        <v>3040</v>
      </c>
    </row>
    <row r="302" ht="14.25" customHeight="1">
      <c r="B302" s="36"/>
      <c r="C302" s="22" t="s">
        <v>46</v>
      </c>
      <c r="D302" s="56"/>
      <c r="E302" s="22" t="s">
        <v>48</v>
      </c>
      <c r="F302" s="56"/>
      <c r="G302" s="22">
        <v>47.18</v>
      </c>
      <c r="H302" s="22">
        <v>3.6</v>
      </c>
      <c r="I302" s="22">
        <v>48.2</v>
      </c>
      <c r="J302" s="22">
        <v>1.01</v>
      </c>
      <c r="K302" s="22">
        <v>0.01</v>
      </c>
      <c r="L302" s="26">
        <f t="shared" si="75"/>
        <v>6.97</v>
      </c>
      <c r="M302" s="22">
        <v>73.4</v>
      </c>
      <c r="N302" s="22">
        <v>13.63</v>
      </c>
      <c r="O302" s="22">
        <v>6.0</v>
      </c>
      <c r="P302" s="22">
        <v>0.3</v>
      </c>
      <c r="Q302" s="22">
        <v>880.0</v>
      </c>
      <c r="R302" s="22" t="s">
        <v>51</v>
      </c>
      <c r="S302" s="58">
        <v>0.0</v>
      </c>
      <c r="T302" s="22">
        <v>16.15</v>
      </c>
      <c r="U302" s="25">
        <v>10.55</v>
      </c>
      <c r="V302" s="25">
        <v>11.53</v>
      </c>
      <c r="W302" s="22">
        <v>11.58</v>
      </c>
      <c r="X302" s="22">
        <v>2.67</v>
      </c>
      <c r="Y302" s="54">
        <f t="shared" si="274"/>
        <v>63.67</v>
      </c>
      <c r="Z302" s="22">
        <f t="shared" si="77"/>
        <v>0.4524886878</v>
      </c>
      <c r="AA302" s="22">
        <v>47.1</v>
      </c>
      <c r="AB302" s="22">
        <v>64.69</v>
      </c>
      <c r="AC302" s="25">
        <f t="shared" si="78"/>
        <v>3670</v>
      </c>
      <c r="AD302" s="22" t="s">
        <v>51</v>
      </c>
      <c r="AG302" s="33">
        <v>2.21</v>
      </c>
      <c r="AH302" s="33">
        <v>3.67</v>
      </c>
      <c r="AO302" s="34">
        <f t="shared" ref="AO302:AS302" si="278">U302</f>
        <v>10.55</v>
      </c>
      <c r="AP302" s="34">
        <f t="shared" si="278"/>
        <v>11.53</v>
      </c>
      <c r="AQ302" s="34">
        <f t="shared" si="278"/>
        <v>11.58</v>
      </c>
      <c r="AR302" s="34">
        <f t="shared" si="278"/>
        <v>2.67</v>
      </c>
      <c r="AS302" s="34">
        <f t="shared" si="278"/>
        <v>63.67</v>
      </c>
      <c r="AT302" s="35">
        <f t="shared" si="15"/>
        <v>100</v>
      </c>
      <c r="AV302" s="25">
        <f t="shared" si="87"/>
        <v>3670</v>
      </c>
    </row>
    <row r="303" ht="14.25" customHeight="1">
      <c r="B303" s="36"/>
      <c r="C303" s="22" t="s">
        <v>46</v>
      </c>
      <c r="D303" s="56"/>
      <c r="E303" s="22" t="s">
        <v>48</v>
      </c>
      <c r="F303" s="56"/>
      <c r="G303" s="22">
        <v>47.18</v>
      </c>
      <c r="H303" s="22">
        <v>3.6</v>
      </c>
      <c r="I303" s="22">
        <v>48.2</v>
      </c>
      <c r="J303" s="22">
        <v>1.01</v>
      </c>
      <c r="K303" s="22">
        <v>0.01</v>
      </c>
      <c r="L303" s="26">
        <f t="shared" si="75"/>
        <v>6.97</v>
      </c>
      <c r="M303" s="22">
        <v>73.4</v>
      </c>
      <c r="N303" s="22">
        <v>13.63</v>
      </c>
      <c r="O303" s="22">
        <v>6.0</v>
      </c>
      <c r="P303" s="22">
        <v>0.3</v>
      </c>
      <c r="Q303" s="22">
        <v>880.0</v>
      </c>
      <c r="R303" s="22" t="s">
        <v>51</v>
      </c>
      <c r="S303" s="58">
        <v>0.0</v>
      </c>
      <c r="T303" s="22">
        <v>16.15</v>
      </c>
      <c r="U303" s="25">
        <v>10.61</v>
      </c>
      <c r="V303" s="25">
        <v>12.57</v>
      </c>
      <c r="W303" s="22">
        <v>11.05</v>
      </c>
      <c r="X303" s="22">
        <v>3.82</v>
      </c>
      <c r="Y303" s="54">
        <f t="shared" si="274"/>
        <v>61.95</v>
      </c>
      <c r="Z303" s="22">
        <f t="shared" si="77"/>
        <v>0.4310344828</v>
      </c>
      <c r="AA303" s="22">
        <v>56.99</v>
      </c>
      <c r="AB303" s="22">
        <v>72.28</v>
      </c>
      <c r="AC303" s="25">
        <f t="shared" si="78"/>
        <v>4230</v>
      </c>
      <c r="AD303" s="22" t="s">
        <v>51</v>
      </c>
      <c r="AG303" s="33">
        <v>2.32</v>
      </c>
      <c r="AH303" s="33">
        <v>4.23</v>
      </c>
      <c r="AO303" s="34">
        <f t="shared" ref="AO303:AS303" si="279">U303</f>
        <v>10.61</v>
      </c>
      <c r="AP303" s="34">
        <f t="shared" si="279"/>
        <v>12.57</v>
      </c>
      <c r="AQ303" s="34">
        <f t="shared" si="279"/>
        <v>11.05</v>
      </c>
      <c r="AR303" s="34">
        <f t="shared" si="279"/>
        <v>3.82</v>
      </c>
      <c r="AS303" s="34">
        <f t="shared" si="279"/>
        <v>61.95</v>
      </c>
      <c r="AT303" s="35">
        <f t="shared" si="15"/>
        <v>100</v>
      </c>
      <c r="AV303" s="25">
        <f t="shared" si="87"/>
        <v>4230</v>
      </c>
    </row>
    <row r="304" ht="14.25" customHeight="1">
      <c r="B304" s="36"/>
      <c r="C304" s="22" t="s">
        <v>46</v>
      </c>
      <c r="D304" s="56"/>
      <c r="E304" s="22" t="s">
        <v>48</v>
      </c>
      <c r="F304" s="56"/>
      <c r="G304" s="22">
        <v>47.18</v>
      </c>
      <c r="H304" s="22">
        <v>3.6</v>
      </c>
      <c r="I304" s="22">
        <v>48.2</v>
      </c>
      <c r="J304" s="22">
        <v>1.01</v>
      </c>
      <c r="K304" s="22">
        <v>0.01</v>
      </c>
      <c r="L304" s="26">
        <f t="shared" si="75"/>
        <v>6.97</v>
      </c>
      <c r="M304" s="22">
        <v>73.4</v>
      </c>
      <c r="N304" s="22">
        <v>13.63</v>
      </c>
      <c r="O304" s="22">
        <v>6.0</v>
      </c>
      <c r="P304" s="22">
        <v>0.3</v>
      </c>
      <c r="Q304" s="22">
        <v>880.0</v>
      </c>
      <c r="R304" s="22" t="s">
        <v>51</v>
      </c>
      <c r="S304" s="58">
        <v>0.0</v>
      </c>
      <c r="T304" s="22">
        <v>16.15</v>
      </c>
      <c r="U304" s="25">
        <v>7.54</v>
      </c>
      <c r="V304" s="25">
        <v>8.24</v>
      </c>
      <c r="W304" s="22">
        <v>15.61</v>
      </c>
      <c r="X304" s="22">
        <v>1.08</v>
      </c>
      <c r="Y304" s="54">
        <f t="shared" si="274"/>
        <v>67.53</v>
      </c>
      <c r="Z304" s="22">
        <f t="shared" si="77"/>
        <v>0.4464285714</v>
      </c>
      <c r="AA304" s="22">
        <v>30.05</v>
      </c>
      <c r="AB304" s="22">
        <v>63.41</v>
      </c>
      <c r="AC304" s="25">
        <f t="shared" si="78"/>
        <v>2310</v>
      </c>
      <c r="AD304" s="22" t="s">
        <v>51</v>
      </c>
      <c r="AG304" s="33">
        <v>2.24</v>
      </c>
      <c r="AH304" s="33">
        <v>2.31</v>
      </c>
      <c r="AO304" s="34">
        <f t="shared" ref="AO304:AS304" si="280">U304</f>
        <v>7.54</v>
      </c>
      <c r="AP304" s="34">
        <f t="shared" si="280"/>
        <v>8.24</v>
      </c>
      <c r="AQ304" s="34">
        <f t="shared" si="280"/>
        <v>15.61</v>
      </c>
      <c r="AR304" s="34">
        <f t="shared" si="280"/>
        <v>1.08</v>
      </c>
      <c r="AS304" s="34">
        <f t="shared" si="280"/>
        <v>67.53</v>
      </c>
      <c r="AT304" s="35">
        <f t="shared" si="15"/>
        <v>100</v>
      </c>
      <c r="AV304" s="25">
        <f t="shared" si="87"/>
        <v>2310</v>
      </c>
    </row>
    <row r="305" ht="14.25" customHeight="1">
      <c r="B305" s="36"/>
      <c r="C305" s="22" t="s">
        <v>46</v>
      </c>
      <c r="D305" s="56"/>
      <c r="E305" s="22" t="s">
        <v>48</v>
      </c>
      <c r="F305" s="56"/>
      <c r="G305" s="22">
        <v>47.18</v>
      </c>
      <c r="H305" s="22">
        <v>3.6</v>
      </c>
      <c r="I305" s="22">
        <v>48.2</v>
      </c>
      <c r="J305" s="22">
        <v>1.01</v>
      </c>
      <c r="K305" s="22">
        <v>0.01</v>
      </c>
      <c r="L305" s="26">
        <f t="shared" si="75"/>
        <v>6.97</v>
      </c>
      <c r="M305" s="22">
        <v>73.4</v>
      </c>
      <c r="N305" s="22">
        <v>13.63</v>
      </c>
      <c r="O305" s="22">
        <v>6.0</v>
      </c>
      <c r="P305" s="22">
        <v>0.3</v>
      </c>
      <c r="Q305" s="22">
        <v>880.0</v>
      </c>
      <c r="R305" s="22" t="s">
        <v>51</v>
      </c>
      <c r="S305" s="58">
        <v>0.0</v>
      </c>
      <c r="T305" s="22">
        <v>16.15</v>
      </c>
      <c r="U305" s="25">
        <v>8.62</v>
      </c>
      <c r="V305" s="25">
        <v>9.21</v>
      </c>
      <c r="W305" s="22">
        <v>15.22</v>
      </c>
      <c r="X305" s="22">
        <v>1.59</v>
      </c>
      <c r="Y305" s="54">
        <f t="shared" si="274"/>
        <v>65.36</v>
      </c>
      <c r="Z305" s="22">
        <f t="shared" si="77"/>
        <v>0.4716981132</v>
      </c>
      <c r="AA305" s="22">
        <v>33.86</v>
      </c>
      <c r="AB305" s="22">
        <v>62.64</v>
      </c>
      <c r="AC305" s="25">
        <f t="shared" si="78"/>
        <v>2750</v>
      </c>
      <c r="AD305" s="22" t="s">
        <v>51</v>
      </c>
      <c r="AG305" s="33">
        <v>2.12</v>
      </c>
      <c r="AH305" s="33">
        <v>2.75</v>
      </c>
      <c r="AO305" s="34">
        <f t="shared" ref="AO305:AS305" si="281">U305</f>
        <v>8.62</v>
      </c>
      <c r="AP305" s="34">
        <f t="shared" si="281"/>
        <v>9.21</v>
      </c>
      <c r="AQ305" s="34">
        <f t="shared" si="281"/>
        <v>15.22</v>
      </c>
      <c r="AR305" s="34">
        <f t="shared" si="281"/>
        <v>1.59</v>
      </c>
      <c r="AS305" s="34">
        <f t="shared" si="281"/>
        <v>65.36</v>
      </c>
      <c r="AT305" s="35">
        <f t="shared" si="15"/>
        <v>100</v>
      </c>
      <c r="AV305" s="25">
        <f t="shared" si="87"/>
        <v>2750</v>
      </c>
    </row>
    <row r="306" ht="14.25" customHeight="1">
      <c r="B306" s="36"/>
      <c r="C306" s="22" t="s">
        <v>46</v>
      </c>
      <c r="D306" s="56"/>
      <c r="E306" s="22" t="s">
        <v>48</v>
      </c>
      <c r="F306" s="56"/>
      <c r="G306" s="22">
        <v>47.18</v>
      </c>
      <c r="H306" s="22">
        <v>3.6</v>
      </c>
      <c r="I306" s="22">
        <v>48.2</v>
      </c>
      <c r="J306" s="22">
        <v>1.01</v>
      </c>
      <c r="K306" s="22">
        <v>0.01</v>
      </c>
      <c r="L306" s="26">
        <f t="shared" si="75"/>
        <v>6.97</v>
      </c>
      <c r="M306" s="22">
        <v>73.4</v>
      </c>
      <c r="N306" s="22">
        <v>13.63</v>
      </c>
      <c r="O306" s="22">
        <v>6.0</v>
      </c>
      <c r="P306" s="22">
        <v>0.3</v>
      </c>
      <c r="Q306" s="22">
        <v>880.0</v>
      </c>
      <c r="R306" s="22" t="s">
        <v>51</v>
      </c>
      <c r="S306" s="58">
        <v>0.0</v>
      </c>
      <c r="T306" s="22">
        <v>16.15</v>
      </c>
      <c r="U306" s="25">
        <v>8.79</v>
      </c>
      <c r="V306" s="25">
        <v>10.52</v>
      </c>
      <c r="W306" s="22">
        <v>14.17</v>
      </c>
      <c r="X306" s="22">
        <v>1.32</v>
      </c>
      <c r="Y306" s="54">
        <f t="shared" si="274"/>
        <v>65.2</v>
      </c>
      <c r="Z306" s="22">
        <f t="shared" si="77"/>
        <v>0.4464285714</v>
      </c>
      <c r="AA306" s="22">
        <v>36.68</v>
      </c>
      <c r="AB306" s="22">
        <v>66.16</v>
      </c>
      <c r="AC306" s="25">
        <f t="shared" si="78"/>
        <v>2820</v>
      </c>
      <c r="AD306" s="22" t="s">
        <v>51</v>
      </c>
      <c r="AG306" s="33">
        <v>2.24</v>
      </c>
      <c r="AH306" s="33">
        <v>2.82</v>
      </c>
      <c r="AO306" s="34">
        <f t="shared" ref="AO306:AS306" si="282">U306</f>
        <v>8.79</v>
      </c>
      <c r="AP306" s="34">
        <f t="shared" si="282"/>
        <v>10.52</v>
      </c>
      <c r="AQ306" s="34">
        <f t="shared" si="282"/>
        <v>14.17</v>
      </c>
      <c r="AR306" s="34">
        <f t="shared" si="282"/>
        <v>1.32</v>
      </c>
      <c r="AS306" s="34">
        <f t="shared" si="282"/>
        <v>65.2</v>
      </c>
      <c r="AT306" s="35">
        <f t="shared" si="15"/>
        <v>100</v>
      </c>
      <c r="AV306" s="25">
        <f t="shared" si="87"/>
        <v>2820</v>
      </c>
    </row>
    <row r="307" ht="14.25" customHeight="1">
      <c r="B307" s="36"/>
      <c r="C307" s="22" t="s">
        <v>46</v>
      </c>
      <c r="D307" s="56"/>
      <c r="E307" s="22" t="s">
        <v>48</v>
      </c>
      <c r="F307" s="56"/>
      <c r="G307" s="22">
        <v>47.18</v>
      </c>
      <c r="H307" s="22">
        <v>3.6</v>
      </c>
      <c r="I307" s="22">
        <v>48.2</v>
      </c>
      <c r="J307" s="22">
        <v>1.01</v>
      </c>
      <c r="K307" s="22">
        <v>0.01</v>
      </c>
      <c r="L307" s="26">
        <f t="shared" si="75"/>
        <v>6.97</v>
      </c>
      <c r="M307" s="22">
        <v>73.4</v>
      </c>
      <c r="N307" s="22">
        <v>13.63</v>
      </c>
      <c r="O307" s="22">
        <v>6.0</v>
      </c>
      <c r="P307" s="22">
        <v>0.3</v>
      </c>
      <c r="Q307" s="22">
        <v>880.0</v>
      </c>
      <c r="R307" s="22" t="s">
        <v>51</v>
      </c>
      <c r="S307" s="58">
        <v>0.0</v>
      </c>
      <c r="T307" s="22">
        <v>16.15</v>
      </c>
      <c r="U307" s="25">
        <v>9.53</v>
      </c>
      <c r="V307" s="25">
        <v>11.12</v>
      </c>
      <c r="W307" s="22">
        <v>12.83</v>
      </c>
      <c r="X307" s="22">
        <v>2.54</v>
      </c>
      <c r="Y307" s="54">
        <f t="shared" si="274"/>
        <v>63.98</v>
      </c>
      <c r="Z307" s="22">
        <f t="shared" si="77"/>
        <v>0.3731343284</v>
      </c>
      <c r="AA307" s="22">
        <v>53.54</v>
      </c>
      <c r="AB307" s="22">
        <v>80.61</v>
      </c>
      <c r="AC307" s="25">
        <f t="shared" si="78"/>
        <v>3440</v>
      </c>
      <c r="AD307" s="22" t="s">
        <v>51</v>
      </c>
      <c r="AG307" s="33">
        <v>2.68</v>
      </c>
      <c r="AH307" s="33">
        <v>3.44</v>
      </c>
      <c r="AO307" s="34">
        <f t="shared" ref="AO307:AS307" si="283">U307</f>
        <v>9.53</v>
      </c>
      <c r="AP307" s="34">
        <f t="shared" si="283"/>
        <v>11.12</v>
      </c>
      <c r="AQ307" s="34">
        <f t="shared" si="283"/>
        <v>12.83</v>
      </c>
      <c r="AR307" s="34">
        <f t="shared" si="283"/>
        <v>2.54</v>
      </c>
      <c r="AS307" s="34">
        <f t="shared" si="283"/>
        <v>63.98</v>
      </c>
      <c r="AT307" s="35">
        <f t="shared" si="15"/>
        <v>100</v>
      </c>
      <c r="AV307" s="25">
        <f t="shared" si="87"/>
        <v>3440</v>
      </c>
    </row>
    <row r="308" ht="14.25" customHeight="1">
      <c r="B308" s="36"/>
      <c r="C308" s="22" t="s">
        <v>46</v>
      </c>
      <c r="D308" s="56"/>
      <c r="E308" s="22" t="s">
        <v>48</v>
      </c>
      <c r="F308" s="56"/>
      <c r="G308" s="22">
        <v>47.18</v>
      </c>
      <c r="H308" s="22">
        <v>3.6</v>
      </c>
      <c r="I308" s="22">
        <v>48.2</v>
      </c>
      <c r="J308" s="22">
        <v>1.01</v>
      </c>
      <c r="K308" s="22">
        <v>0.01</v>
      </c>
      <c r="L308" s="26">
        <f t="shared" si="75"/>
        <v>6.97</v>
      </c>
      <c r="M308" s="22">
        <v>73.4</v>
      </c>
      <c r="N308" s="22">
        <v>13.63</v>
      </c>
      <c r="O308" s="22">
        <v>6.0</v>
      </c>
      <c r="P308" s="22">
        <v>0.3</v>
      </c>
      <c r="Q308" s="22">
        <v>880.0</v>
      </c>
      <c r="R308" s="22" t="s">
        <v>51</v>
      </c>
      <c r="S308" s="58">
        <v>0.0</v>
      </c>
      <c r="T308" s="22">
        <v>16.15</v>
      </c>
      <c r="U308" s="25">
        <v>10.46</v>
      </c>
      <c r="V308" s="25">
        <v>10.91</v>
      </c>
      <c r="W308" s="22">
        <v>11.69</v>
      </c>
      <c r="X308" s="22">
        <v>2.5</v>
      </c>
      <c r="Y308" s="54">
        <f t="shared" si="274"/>
        <v>64.44</v>
      </c>
      <c r="Z308" s="22">
        <f t="shared" si="77"/>
        <v>0.3968253968</v>
      </c>
      <c r="AA308" s="22">
        <v>51.51</v>
      </c>
      <c r="AB308" s="22">
        <v>71.82</v>
      </c>
      <c r="AC308" s="25">
        <f t="shared" si="78"/>
        <v>3520</v>
      </c>
      <c r="AD308" s="22" t="s">
        <v>51</v>
      </c>
      <c r="AG308" s="33">
        <v>2.52</v>
      </c>
      <c r="AH308" s="33">
        <v>3.52</v>
      </c>
      <c r="AO308" s="34">
        <f t="shared" ref="AO308:AS308" si="284">U308</f>
        <v>10.46</v>
      </c>
      <c r="AP308" s="34">
        <f t="shared" si="284"/>
        <v>10.91</v>
      </c>
      <c r="AQ308" s="34">
        <f t="shared" si="284"/>
        <v>11.69</v>
      </c>
      <c r="AR308" s="34">
        <f t="shared" si="284"/>
        <v>2.5</v>
      </c>
      <c r="AS308" s="34">
        <f t="shared" si="284"/>
        <v>64.44</v>
      </c>
      <c r="AT308" s="35">
        <f t="shared" si="15"/>
        <v>100</v>
      </c>
      <c r="AV308" s="25">
        <f t="shared" si="87"/>
        <v>3520</v>
      </c>
    </row>
    <row r="309" ht="14.25" customHeight="1">
      <c r="B309" s="36"/>
      <c r="C309" s="22" t="s">
        <v>46</v>
      </c>
      <c r="D309" s="56"/>
      <c r="E309" s="22" t="s">
        <v>48</v>
      </c>
      <c r="F309" s="56"/>
      <c r="G309" s="22">
        <v>47.18</v>
      </c>
      <c r="H309" s="22">
        <v>3.6</v>
      </c>
      <c r="I309" s="22">
        <v>48.2</v>
      </c>
      <c r="J309" s="22">
        <v>1.01</v>
      </c>
      <c r="K309" s="22">
        <v>0.01</v>
      </c>
      <c r="L309" s="26">
        <f t="shared" si="75"/>
        <v>6.97</v>
      </c>
      <c r="M309" s="22">
        <v>73.4</v>
      </c>
      <c r="N309" s="22">
        <v>13.63</v>
      </c>
      <c r="O309" s="22">
        <v>6.0</v>
      </c>
      <c r="P309" s="22">
        <v>0.3</v>
      </c>
      <c r="Q309" s="22">
        <v>880.0</v>
      </c>
      <c r="R309" s="22" t="s">
        <v>51</v>
      </c>
      <c r="S309" s="58">
        <v>0.0</v>
      </c>
      <c r="T309" s="22">
        <v>16.15</v>
      </c>
      <c r="U309" s="25">
        <v>10.57</v>
      </c>
      <c r="V309" s="25">
        <v>12.68</v>
      </c>
      <c r="W309" s="22">
        <v>11.83</v>
      </c>
      <c r="X309" s="22">
        <v>3.6</v>
      </c>
      <c r="Y309" s="54">
        <f t="shared" si="274"/>
        <v>61.32</v>
      </c>
      <c r="Z309" s="22">
        <f t="shared" si="77"/>
        <v>0.3717472119</v>
      </c>
      <c r="AA309" s="22">
        <v>64.98</v>
      </c>
      <c r="AB309" s="22">
        <v>85.86</v>
      </c>
      <c r="AC309" s="25">
        <f t="shared" si="78"/>
        <v>4160</v>
      </c>
      <c r="AD309" s="22" t="s">
        <v>51</v>
      </c>
      <c r="AG309" s="33">
        <v>2.69</v>
      </c>
      <c r="AH309" s="33">
        <v>4.16</v>
      </c>
      <c r="AO309" s="34">
        <f t="shared" ref="AO309:AS309" si="285">U309</f>
        <v>10.57</v>
      </c>
      <c r="AP309" s="34">
        <f t="shared" si="285"/>
        <v>12.68</v>
      </c>
      <c r="AQ309" s="34">
        <f t="shared" si="285"/>
        <v>11.83</v>
      </c>
      <c r="AR309" s="34">
        <f t="shared" si="285"/>
        <v>3.6</v>
      </c>
      <c r="AS309" s="34">
        <f t="shared" si="285"/>
        <v>61.32</v>
      </c>
      <c r="AT309" s="35">
        <f t="shared" si="15"/>
        <v>100</v>
      </c>
      <c r="AV309" s="25">
        <f t="shared" si="87"/>
        <v>4160</v>
      </c>
    </row>
    <row r="310" ht="14.25" customHeight="1">
      <c r="B310" s="36"/>
      <c r="C310" s="22" t="s">
        <v>46</v>
      </c>
      <c r="D310" s="56"/>
      <c r="E310" s="22" t="s">
        <v>48</v>
      </c>
      <c r="F310" s="56"/>
      <c r="G310" s="22">
        <v>47.18</v>
      </c>
      <c r="H310" s="22">
        <v>3.6</v>
      </c>
      <c r="I310" s="22">
        <v>48.2</v>
      </c>
      <c r="J310" s="22">
        <v>1.01</v>
      </c>
      <c r="K310" s="22">
        <v>0.01</v>
      </c>
      <c r="L310" s="26">
        <f t="shared" si="75"/>
        <v>6.97</v>
      </c>
      <c r="M310" s="22">
        <v>73.4</v>
      </c>
      <c r="N310" s="22">
        <v>13.63</v>
      </c>
      <c r="O310" s="22">
        <v>6.0</v>
      </c>
      <c r="P310" s="22">
        <v>0.3</v>
      </c>
      <c r="Q310" s="22">
        <v>880.0</v>
      </c>
      <c r="R310" s="22" t="s">
        <v>51</v>
      </c>
      <c r="S310" s="58">
        <v>0.0</v>
      </c>
      <c r="T310" s="22">
        <v>16.15</v>
      </c>
      <c r="U310" s="25">
        <v>5.62</v>
      </c>
      <c r="V310" s="25">
        <v>6.54</v>
      </c>
      <c r="W310" s="22">
        <v>16.24</v>
      </c>
      <c r="X310" s="22">
        <v>1.91</v>
      </c>
      <c r="Y310" s="54">
        <f t="shared" si="274"/>
        <v>69.69</v>
      </c>
      <c r="Z310" s="22">
        <f t="shared" si="77"/>
        <v>0.3663003663</v>
      </c>
      <c r="AA310" s="22">
        <v>34.56</v>
      </c>
      <c r="AB310" s="22">
        <v>76.53</v>
      </c>
      <c r="AC310" s="25">
        <f t="shared" si="78"/>
        <v>2180</v>
      </c>
      <c r="AD310" s="22" t="s">
        <v>51</v>
      </c>
      <c r="AG310" s="33">
        <v>2.73</v>
      </c>
      <c r="AH310" s="33">
        <v>2.18</v>
      </c>
      <c r="AO310" s="34">
        <f t="shared" ref="AO310:AS310" si="286">U310</f>
        <v>5.62</v>
      </c>
      <c r="AP310" s="34">
        <f t="shared" si="286"/>
        <v>6.54</v>
      </c>
      <c r="AQ310" s="34">
        <f t="shared" si="286"/>
        <v>16.24</v>
      </c>
      <c r="AR310" s="34">
        <f t="shared" si="286"/>
        <v>1.91</v>
      </c>
      <c r="AS310" s="34">
        <f t="shared" si="286"/>
        <v>69.69</v>
      </c>
      <c r="AT310" s="35">
        <f t="shared" si="15"/>
        <v>100</v>
      </c>
      <c r="AV310" s="25">
        <f t="shared" si="87"/>
        <v>2180</v>
      </c>
    </row>
    <row r="311" ht="14.25" customHeight="1">
      <c r="B311" s="36"/>
      <c r="C311" s="22" t="s">
        <v>46</v>
      </c>
      <c r="D311" s="56"/>
      <c r="E311" s="22" t="s">
        <v>48</v>
      </c>
      <c r="F311" s="56"/>
      <c r="G311" s="22">
        <v>47.18</v>
      </c>
      <c r="H311" s="22">
        <v>3.6</v>
      </c>
      <c r="I311" s="22">
        <v>48.2</v>
      </c>
      <c r="J311" s="22">
        <v>1.01</v>
      </c>
      <c r="K311" s="22">
        <v>0.01</v>
      </c>
      <c r="L311" s="26">
        <f t="shared" si="75"/>
        <v>6.97</v>
      </c>
      <c r="M311" s="22">
        <v>73.4</v>
      </c>
      <c r="N311" s="22">
        <v>13.63</v>
      </c>
      <c r="O311" s="22">
        <v>6.0</v>
      </c>
      <c r="P311" s="22">
        <v>0.3</v>
      </c>
      <c r="Q311" s="22">
        <v>880.0</v>
      </c>
      <c r="R311" s="22" t="s">
        <v>51</v>
      </c>
      <c r="S311" s="58">
        <v>0.0</v>
      </c>
      <c r="T311" s="22">
        <v>16.15</v>
      </c>
      <c r="U311" s="25">
        <v>6.87</v>
      </c>
      <c r="V311" s="25">
        <v>8.94</v>
      </c>
      <c r="W311" s="22">
        <v>15.48</v>
      </c>
      <c r="X311" s="22">
        <v>1.21</v>
      </c>
      <c r="Y311" s="54">
        <f t="shared" si="274"/>
        <v>67.5</v>
      </c>
      <c r="Z311" s="22">
        <f t="shared" si="77"/>
        <v>0.3184713376</v>
      </c>
      <c r="AA311" s="22">
        <v>43.03</v>
      </c>
      <c r="AB311" s="22">
        <v>91.38</v>
      </c>
      <c r="AC311" s="25">
        <f t="shared" si="78"/>
        <v>2360</v>
      </c>
      <c r="AD311" s="22" t="s">
        <v>51</v>
      </c>
      <c r="AG311" s="33">
        <v>3.14</v>
      </c>
      <c r="AH311" s="33">
        <v>2.36</v>
      </c>
      <c r="AO311" s="34">
        <f t="shared" ref="AO311:AS311" si="287">U311</f>
        <v>6.87</v>
      </c>
      <c r="AP311" s="34">
        <f t="shared" si="287"/>
        <v>8.94</v>
      </c>
      <c r="AQ311" s="34">
        <f t="shared" si="287"/>
        <v>15.48</v>
      </c>
      <c r="AR311" s="34">
        <f t="shared" si="287"/>
        <v>1.21</v>
      </c>
      <c r="AS311" s="34">
        <f t="shared" si="287"/>
        <v>67.5</v>
      </c>
      <c r="AT311" s="35">
        <f t="shared" si="15"/>
        <v>100</v>
      </c>
      <c r="AV311" s="25">
        <f t="shared" si="87"/>
        <v>2360</v>
      </c>
    </row>
    <row r="312" ht="14.25" customHeight="1">
      <c r="B312" s="36"/>
      <c r="C312" s="22" t="s">
        <v>46</v>
      </c>
      <c r="D312" s="56"/>
      <c r="E312" s="22" t="s">
        <v>48</v>
      </c>
      <c r="F312" s="56"/>
      <c r="G312" s="22">
        <v>47.18</v>
      </c>
      <c r="H312" s="22">
        <v>3.6</v>
      </c>
      <c r="I312" s="22">
        <v>48.2</v>
      </c>
      <c r="J312" s="22">
        <v>1.01</v>
      </c>
      <c r="K312" s="22">
        <v>0.01</v>
      </c>
      <c r="L312" s="26">
        <f t="shared" si="75"/>
        <v>6.97</v>
      </c>
      <c r="M312" s="22">
        <v>73.4</v>
      </c>
      <c r="N312" s="22">
        <v>13.63</v>
      </c>
      <c r="O312" s="22">
        <v>6.0</v>
      </c>
      <c r="P312" s="22">
        <v>0.3</v>
      </c>
      <c r="Q312" s="22">
        <v>880.0</v>
      </c>
      <c r="R312" s="22" t="s">
        <v>51</v>
      </c>
      <c r="S312" s="58">
        <v>0.0</v>
      </c>
      <c r="T312" s="22">
        <v>16.15</v>
      </c>
      <c r="U312" s="25">
        <v>7.23</v>
      </c>
      <c r="V312" s="25">
        <v>8.31</v>
      </c>
      <c r="W312" s="22">
        <v>14.32</v>
      </c>
      <c r="X312" s="22">
        <v>1.86</v>
      </c>
      <c r="Y312" s="54">
        <f t="shared" si="274"/>
        <v>68.28</v>
      </c>
      <c r="Z312" s="22">
        <f t="shared" si="77"/>
        <v>0.3533568905</v>
      </c>
      <c r="AA312" s="22">
        <v>42.23</v>
      </c>
      <c r="AB312" s="22">
        <v>78.7</v>
      </c>
      <c r="AC312" s="25">
        <f t="shared" si="78"/>
        <v>2570</v>
      </c>
      <c r="AD312" s="22" t="s">
        <v>51</v>
      </c>
      <c r="AG312" s="33">
        <v>2.83</v>
      </c>
      <c r="AH312" s="33">
        <v>2.57</v>
      </c>
      <c r="AO312" s="34">
        <f t="shared" ref="AO312:AS312" si="288">U312</f>
        <v>7.23</v>
      </c>
      <c r="AP312" s="34">
        <f t="shared" si="288"/>
        <v>8.31</v>
      </c>
      <c r="AQ312" s="34">
        <f t="shared" si="288"/>
        <v>14.32</v>
      </c>
      <c r="AR312" s="34">
        <f t="shared" si="288"/>
        <v>1.86</v>
      </c>
      <c r="AS312" s="34">
        <f t="shared" si="288"/>
        <v>68.28</v>
      </c>
      <c r="AT312" s="35">
        <f t="shared" si="15"/>
        <v>100</v>
      </c>
      <c r="AV312" s="25">
        <f t="shared" si="87"/>
        <v>2570</v>
      </c>
    </row>
    <row r="313" ht="14.25" customHeight="1">
      <c r="B313" s="36"/>
      <c r="C313" s="22" t="s">
        <v>46</v>
      </c>
      <c r="D313" s="56"/>
      <c r="E313" s="22" t="s">
        <v>48</v>
      </c>
      <c r="F313" s="56"/>
      <c r="G313" s="22">
        <v>47.18</v>
      </c>
      <c r="H313" s="22">
        <v>3.6</v>
      </c>
      <c r="I313" s="22">
        <v>48.2</v>
      </c>
      <c r="J313" s="22">
        <v>1.01</v>
      </c>
      <c r="K313" s="22">
        <v>0.01</v>
      </c>
      <c r="L313" s="26">
        <f t="shared" si="75"/>
        <v>6.97</v>
      </c>
      <c r="M313" s="22">
        <v>73.4</v>
      </c>
      <c r="N313" s="22">
        <v>13.63</v>
      </c>
      <c r="O313" s="22">
        <v>6.0</v>
      </c>
      <c r="P313" s="22">
        <v>0.3</v>
      </c>
      <c r="Q313" s="22">
        <v>880.0</v>
      </c>
      <c r="R313" s="22" t="s">
        <v>51</v>
      </c>
      <c r="S313" s="58">
        <v>0.0</v>
      </c>
      <c r="T313" s="22">
        <v>16.15</v>
      </c>
      <c r="U313" s="25">
        <v>9.61</v>
      </c>
      <c r="V313" s="25">
        <v>10.52</v>
      </c>
      <c r="W313" s="22">
        <v>13.67</v>
      </c>
      <c r="X313" s="22">
        <v>1.33</v>
      </c>
      <c r="Y313" s="54">
        <f t="shared" si="274"/>
        <v>64.87</v>
      </c>
      <c r="Z313" s="22">
        <f t="shared" si="77"/>
        <v>0.3086419753</v>
      </c>
      <c r="AA313" s="22">
        <v>55.13</v>
      </c>
      <c r="AB313" s="22">
        <v>93.89</v>
      </c>
      <c r="AC313" s="25">
        <f t="shared" si="78"/>
        <v>2930</v>
      </c>
      <c r="AD313" s="22" t="s">
        <v>51</v>
      </c>
      <c r="AG313" s="33">
        <v>3.24</v>
      </c>
      <c r="AH313" s="33">
        <v>2.93</v>
      </c>
      <c r="AO313" s="34">
        <f t="shared" ref="AO313:AS313" si="289">U313</f>
        <v>9.61</v>
      </c>
      <c r="AP313" s="34">
        <f t="shared" si="289"/>
        <v>10.52</v>
      </c>
      <c r="AQ313" s="34">
        <f t="shared" si="289"/>
        <v>13.67</v>
      </c>
      <c r="AR313" s="34">
        <f t="shared" si="289"/>
        <v>1.33</v>
      </c>
      <c r="AS313" s="34">
        <f t="shared" si="289"/>
        <v>64.87</v>
      </c>
      <c r="AT313" s="35">
        <f t="shared" si="15"/>
        <v>100</v>
      </c>
      <c r="AV313" s="25">
        <f t="shared" si="87"/>
        <v>2930</v>
      </c>
    </row>
    <row r="314" ht="14.25" customHeight="1">
      <c r="B314" s="36"/>
      <c r="C314" s="22" t="s">
        <v>46</v>
      </c>
      <c r="D314" s="56"/>
      <c r="E314" s="22" t="s">
        <v>48</v>
      </c>
      <c r="F314" s="56"/>
      <c r="G314" s="22">
        <v>47.18</v>
      </c>
      <c r="H314" s="22">
        <v>3.6</v>
      </c>
      <c r="I314" s="22">
        <v>48.2</v>
      </c>
      <c r="J314" s="22">
        <v>1.01</v>
      </c>
      <c r="K314" s="22">
        <v>0.01</v>
      </c>
      <c r="L314" s="26">
        <f t="shared" si="75"/>
        <v>6.97</v>
      </c>
      <c r="M314" s="22">
        <v>73.4</v>
      </c>
      <c r="N314" s="22">
        <v>13.63</v>
      </c>
      <c r="O314" s="22">
        <v>6.0</v>
      </c>
      <c r="P314" s="22">
        <v>0.3</v>
      </c>
      <c r="Q314" s="22">
        <v>880.0</v>
      </c>
      <c r="R314" s="22" t="s">
        <v>51</v>
      </c>
      <c r="S314" s="58">
        <v>0.0</v>
      </c>
      <c r="T314" s="22">
        <v>16.15</v>
      </c>
      <c r="U314" s="25">
        <v>9.78</v>
      </c>
      <c r="V314" s="25">
        <v>11.61</v>
      </c>
      <c r="W314" s="22">
        <v>13.14</v>
      </c>
      <c r="X314" s="22">
        <v>2.42</v>
      </c>
      <c r="Y314" s="54">
        <f t="shared" si="274"/>
        <v>63.05</v>
      </c>
      <c r="Z314" s="22">
        <f t="shared" si="77"/>
        <v>0.3448275862</v>
      </c>
      <c r="AA314" s="22">
        <v>58.77</v>
      </c>
      <c r="AB314" s="22">
        <v>89.47</v>
      </c>
      <c r="AC314" s="25">
        <f t="shared" si="78"/>
        <v>3490</v>
      </c>
      <c r="AD314" s="22" t="s">
        <v>51</v>
      </c>
      <c r="AG314" s="33">
        <v>2.9</v>
      </c>
      <c r="AH314" s="33">
        <v>3.49</v>
      </c>
      <c r="AO314" s="34">
        <f t="shared" ref="AO314:AS314" si="290">U314</f>
        <v>9.78</v>
      </c>
      <c r="AP314" s="34">
        <f t="shared" si="290"/>
        <v>11.61</v>
      </c>
      <c r="AQ314" s="34">
        <f t="shared" si="290"/>
        <v>13.14</v>
      </c>
      <c r="AR314" s="34">
        <f t="shared" si="290"/>
        <v>2.42</v>
      </c>
      <c r="AS314" s="34">
        <f t="shared" si="290"/>
        <v>63.05</v>
      </c>
      <c r="AT314" s="35">
        <f t="shared" si="15"/>
        <v>100</v>
      </c>
      <c r="AV314" s="25">
        <f t="shared" si="87"/>
        <v>3490</v>
      </c>
    </row>
    <row r="315" ht="14.25" customHeight="1">
      <c r="B315" s="36"/>
      <c r="C315" s="22" t="s">
        <v>46</v>
      </c>
      <c r="D315" s="56"/>
      <c r="E315" s="22" t="s">
        <v>48</v>
      </c>
      <c r="F315" s="56"/>
      <c r="G315" s="22">
        <v>47.18</v>
      </c>
      <c r="H315" s="22">
        <v>3.6</v>
      </c>
      <c r="I315" s="22">
        <v>48.2</v>
      </c>
      <c r="J315" s="22">
        <v>1.01</v>
      </c>
      <c r="K315" s="22">
        <v>0.01</v>
      </c>
      <c r="L315" s="26">
        <f t="shared" si="75"/>
        <v>6.97</v>
      </c>
      <c r="M315" s="22">
        <v>73.4</v>
      </c>
      <c r="N315" s="22">
        <v>13.63</v>
      </c>
      <c r="O315" s="22">
        <v>6.0</v>
      </c>
      <c r="P315" s="22">
        <v>0.3</v>
      </c>
      <c r="Q315" s="22">
        <v>880.0</v>
      </c>
      <c r="R315" s="22" t="s">
        <v>51</v>
      </c>
      <c r="S315" s="58">
        <v>0.0</v>
      </c>
      <c r="T315" s="22">
        <v>16.15</v>
      </c>
      <c r="U315" s="25">
        <v>9.64</v>
      </c>
      <c r="V315" s="25">
        <v>12.47</v>
      </c>
      <c r="W315" s="22">
        <v>12.68</v>
      </c>
      <c r="X315" s="22">
        <v>2.91</v>
      </c>
      <c r="Y315" s="54">
        <f t="shared" si="274"/>
        <v>62.3</v>
      </c>
      <c r="Z315" s="22">
        <f t="shared" si="77"/>
        <v>0.3521126761</v>
      </c>
      <c r="AA315" s="22">
        <v>68.29</v>
      </c>
      <c r="AB315" s="22">
        <v>90.49</v>
      </c>
      <c r="AC315" s="25">
        <f t="shared" si="78"/>
        <v>4140</v>
      </c>
      <c r="AD315" s="22" t="s">
        <v>51</v>
      </c>
      <c r="AG315" s="33">
        <v>2.84</v>
      </c>
      <c r="AH315" s="33">
        <v>4.14</v>
      </c>
      <c r="AO315" s="34">
        <f t="shared" ref="AO315:AS315" si="291">U315</f>
        <v>9.64</v>
      </c>
      <c r="AP315" s="34">
        <f t="shared" si="291"/>
        <v>12.47</v>
      </c>
      <c r="AQ315" s="34">
        <f t="shared" si="291"/>
        <v>12.68</v>
      </c>
      <c r="AR315" s="34">
        <f t="shared" si="291"/>
        <v>2.91</v>
      </c>
      <c r="AS315" s="34">
        <f t="shared" si="291"/>
        <v>62.3</v>
      </c>
      <c r="AT315" s="35">
        <f t="shared" si="15"/>
        <v>100</v>
      </c>
      <c r="AV315" s="25">
        <f t="shared" si="87"/>
        <v>4140</v>
      </c>
    </row>
    <row r="316" ht="14.25" customHeight="1">
      <c r="B316" s="36"/>
      <c r="C316" s="22" t="s">
        <v>46</v>
      </c>
      <c r="D316" s="56"/>
      <c r="E316" s="22" t="s">
        <v>48</v>
      </c>
      <c r="F316" s="56"/>
      <c r="G316" s="22">
        <v>38.92</v>
      </c>
      <c r="H316" s="22">
        <v>5.1</v>
      </c>
      <c r="I316" s="22">
        <v>53.69</v>
      </c>
      <c r="J316" s="22">
        <v>2.17</v>
      </c>
      <c r="K316" s="22">
        <v>0.12</v>
      </c>
      <c r="L316" s="26">
        <f t="shared" si="75"/>
        <v>8.77</v>
      </c>
      <c r="M316" s="22">
        <v>63.8</v>
      </c>
      <c r="N316" s="22">
        <v>8.1</v>
      </c>
      <c r="O316" s="22">
        <v>19.33</v>
      </c>
      <c r="P316" s="22">
        <v>0.4</v>
      </c>
      <c r="Q316" s="22">
        <v>880.0</v>
      </c>
      <c r="R316" s="22" t="s">
        <v>51</v>
      </c>
      <c r="S316" s="58">
        <v>0.0</v>
      </c>
      <c r="T316" s="22">
        <v>15.81</v>
      </c>
      <c r="U316" s="25">
        <v>6.18</v>
      </c>
      <c r="V316" s="25">
        <v>10.54</v>
      </c>
      <c r="W316" s="22">
        <v>15.24</v>
      </c>
      <c r="X316" s="22">
        <v>1.04</v>
      </c>
      <c r="Y316" s="54">
        <f t="shared" si="274"/>
        <v>67</v>
      </c>
      <c r="Z316" s="22">
        <f t="shared" si="77"/>
        <v>0.5376344086</v>
      </c>
      <c r="AA316" s="22">
        <v>27.83</v>
      </c>
      <c r="AB316" s="22">
        <v>68.67</v>
      </c>
      <c r="AC316" s="25">
        <f t="shared" si="78"/>
        <v>2400</v>
      </c>
      <c r="AD316" s="22" t="s">
        <v>51</v>
      </c>
      <c r="AG316" s="33">
        <v>1.86</v>
      </c>
      <c r="AH316" s="33">
        <v>2.4</v>
      </c>
      <c r="AO316" s="34">
        <f t="shared" ref="AO316:AS316" si="292">U316</f>
        <v>6.18</v>
      </c>
      <c r="AP316" s="34">
        <f t="shared" si="292"/>
        <v>10.54</v>
      </c>
      <c r="AQ316" s="34">
        <f t="shared" si="292"/>
        <v>15.24</v>
      </c>
      <c r="AR316" s="34">
        <f t="shared" si="292"/>
        <v>1.04</v>
      </c>
      <c r="AS316" s="34">
        <f t="shared" si="292"/>
        <v>67</v>
      </c>
      <c r="AT316" s="35">
        <f t="shared" si="15"/>
        <v>100</v>
      </c>
      <c r="AV316" s="25">
        <f t="shared" si="87"/>
        <v>2400</v>
      </c>
    </row>
    <row r="317" ht="14.25" customHeight="1">
      <c r="B317" s="36"/>
      <c r="C317" s="22" t="s">
        <v>46</v>
      </c>
      <c r="D317" s="56"/>
      <c r="E317" s="22" t="s">
        <v>48</v>
      </c>
      <c r="F317" s="56"/>
      <c r="G317" s="22">
        <v>38.92</v>
      </c>
      <c r="H317" s="22">
        <v>5.1</v>
      </c>
      <c r="I317" s="22">
        <v>53.69</v>
      </c>
      <c r="J317" s="22">
        <v>2.17</v>
      </c>
      <c r="K317" s="22">
        <v>0.12</v>
      </c>
      <c r="L317" s="26">
        <f t="shared" si="75"/>
        <v>8.77</v>
      </c>
      <c r="M317" s="22">
        <v>63.8</v>
      </c>
      <c r="N317" s="22">
        <v>8.1</v>
      </c>
      <c r="O317" s="22">
        <v>19.33</v>
      </c>
      <c r="P317" s="22">
        <v>0.4</v>
      </c>
      <c r="Q317" s="22">
        <v>880.0</v>
      </c>
      <c r="R317" s="22" t="s">
        <v>51</v>
      </c>
      <c r="S317" s="58">
        <v>0.0</v>
      </c>
      <c r="T317" s="22">
        <v>15.81</v>
      </c>
      <c r="U317" s="25">
        <v>7.54</v>
      </c>
      <c r="V317" s="25">
        <v>11.26</v>
      </c>
      <c r="W317" s="22">
        <v>14.31</v>
      </c>
      <c r="X317" s="22">
        <v>1.25</v>
      </c>
      <c r="Y317" s="54">
        <f t="shared" si="274"/>
        <v>65.64</v>
      </c>
      <c r="Z317" s="22">
        <f t="shared" si="77"/>
        <v>0.4672897196</v>
      </c>
      <c r="AA317" s="22">
        <v>36.42</v>
      </c>
      <c r="AB317" s="22">
        <v>79.0</v>
      </c>
      <c r="AC317" s="25">
        <f t="shared" si="78"/>
        <v>2730</v>
      </c>
      <c r="AD317" s="22" t="s">
        <v>51</v>
      </c>
      <c r="AG317" s="33">
        <v>2.14</v>
      </c>
      <c r="AH317" s="33">
        <v>2.73</v>
      </c>
      <c r="AO317" s="34">
        <f t="shared" ref="AO317:AS317" si="293">U317</f>
        <v>7.54</v>
      </c>
      <c r="AP317" s="34">
        <f t="shared" si="293"/>
        <v>11.26</v>
      </c>
      <c r="AQ317" s="34">
        <f t="shared" si="293"/>
        <v>14.31</v>
      </c>
      <c r="AR317" s="34">
        <f t="shared" si="293"/>
        <v>1.25</v>
      </c>
      <c r="AS317" s="34">
        <f t="shared" si="293"/>
        <v>65.64</v>
      </c>
      <c r="AT317" s="35">
        <f t="shared" si="15"/>
        <v>100</v>
      </c>
      <c r="AV317" s="25">
        <f t="shared" si="87"/>
        <v>2730</v>
      </c>
    </row>
    <row r="318" ht="14.25" customHeight="1">
      <c r="B318" s="36"/>
      <c r="C318" s="22" t="s">
        <v>46</v>
      </c>
      <c r="D318" s="56"/>
      <c r="E318" s="22" t="s">
        <v>48</v>
      </c>
      <c r="F318" s="56"/>
      <c r="G318" s="22">
        <v>38.92</v>
      </c>
      <c r="H318" s="22">
        <v>5.1</v>
      </c>
      <c r="I318" s="22">
        <v>53.69</v>
      </c>
      <c r="J318" s="22">
        <v>2.17</v>
      </c>
      <c r="K318" s="22">
        <v>0.12</v>
      </c>
      <c r="L318" s="26">
        <f t="shared" si="75"/>
        <v>8.77</v>
      </c>
      <c r="M318" s="22">
        <v>63.8</v>
      </c>
      <c r="N318" s="22">
        <v>8.1</v>
      </c>
      <c r="O318" s="22">
        <v>19.33</v>
      </c>
      <c r="P318" s="22">
        <v>0.4</v>
      </c>
      <c r="Q318" s="22">
        <v>880.0</v>
      </c>
      <c r="R318" s="22" t="s">
        <v>51</v>
      </c>
      <c r="S318" s="58">
        <v>0.0</v>
      </c>
      <c r="T318" s="22">
        <v>15.81</v>
      </c>
      <c r="U318" s="25">
        <v>6.09</v>
      </c>
      <c r="V318" s="25">
        <v>10.12</v>
      </c>
      <c r="W318" s="22">
        <v>12.87</v>
      </c>
      <c r="X318" s="22">
        <v>1.49</v>
      </c>
      <c r="Y318" s="54">
        <f t="shared" si="274"/>
        <v>69.43</v>
      </c>
      <c r="Z318" s="22">
        <f t="shared" si="77"/>
        <v>0.5586592179</v>
      </c>
      <c r="AA318" s="22">
        <v>28.01</v>
      </c>
      <c r="AB318" s="22">
        <v>60.31</v>
      </c>
      <c r="AC318" s="25">
        <f t="shared" si="78"/>
        <v>2510</v>
      </c>
      <c r="AD318" s="22" t="s">
        <v>51</v>
      </c>
      <c r="AG318" s="33">
        <v>1.79</v>
      </c>
      <c r="AH318" s="33">
        <v>2.51</v>
      </c>
      <c r="AO318" s="34">
        <f t="shared" ref="AO318:AS318" si="294">U318</f>
        <v>6.09</v>
      </c>
      <c r="AP318" s="34">
        <f t="shared" si="294"/>
        <v>10.12</v>
      </c>
      <c r="AQ318" s="34">
        <f t="shared" si="294"/>
        <v>12.87</v>
      </c>
      <c r="AR318" s="34">
        <f t="shared" si="294"/>
        <v>1.49</v>
      </c>
      <c r="AS318" s="34">
        <f t="shared" si="294"/>
        <v>69.43</v>
      </c>
      <c r="AT318" s="35">
        <f t="shared" si="15"/>
        <v>100</v>
      </c>
      <c r="AV318" s="25">
        <f t="shared" si="87"/>
        <v>2510</v>
      </c>
    </row>
    <row r="319" ht="14.25" customHeight="1">
      <c r="B319" s="36"/>
      <c r="C319" s="22" t="s">
        <v>46</v>
      </c>
      <c r="D319" s="56"/>
      <c r="E319" s="22" t="s">
        <v>48</v>
      </c>
      <c r="F319" s="56"/>
      <c r="G319" s="22">
        <v>38.92</v>
      </c>
      <c r="H319" s="22">
        <v>5.1</v>
      </c>
      <c r="I319" s="22">
        <v>53.69</v>
      </c>
      <c r="J319" s="22">
        <v>2.17</v>
      </c>
      <c r="K319" s="22">
        <v>0.12</v>
      </c>
      <c r="L319" s="26">
        <f t="shared" si="75"/>
        <v>8.77</v>
      </c>
      <c r="M319" s="22">
        <v>63.8</v>
      </c>
      <c r="N319" s="22">
        <v>8.1</v>
      </c>
      <c r="O319" s="22">
        <v>19.33</v>
      </c>
      <c r="P319" s="22">
        <v>0.4</v>
      </c>
      <c r="Q319" s="22">
        <v>880.0</v>
      </c>
      <c r="R319" s="22" t="s">
        <v>51</v>
      </c>
      <c r="S319" s="58">
        <v>0.0</v>
      </c>
      <c r="T319" s="22">
        <v>15.81</v>
      </c>
      <c r="U319" s="25">
        <v>7.46</v>
      </c>
      <c r="V319" s="25">
        <v>14.67</v>
      </c>
      <c r="W319" s="22">
        <v>12.19</v>
      </c>
      <c r="X319" s="22">
        <v>2.88</v>
      </c>
      <c r="Y319" s="54">
        <f t="shared" si="274"/>
        <v>62.8</v>
      </c>
      <c r="Z319" s="22">
        <f t="shared" si="77"/>
        <v>0.4587155963</v>
      </c>
      <c r="AA319" s="22">
        <v>50.97</v>
      </c>
      <c r="AB319" s="22">
        <v>89.24</v>
      </c>
      <c r="AC319" s="25">
        <f t="shared" si="78"/>
        <v>3750</v>
      </c>
      <c r="AD319" s="22" t="s">
        <v>51</v>
      </c>
      <c r="AG319" s="33">
        <v>2.18</v>
      </c>
      <c r="AH319" s="33">
        <v>3.75</v>
      </c>
      <c r="AO319" s="34">
        <f t="shared" ref="AO319:AS319" si="295">U319</f>
        <v>7.46</v>
      </c>
      <c r="AP319" s="34">
        <f t="shared" si="295"/>
        <v>14.67</v>
      </c>
      <c r="AQ319" s="34">
        <f t="shared" si="295"/>
        <v>12.19</v>
      </c>
      <c r="AR319" s="34">
        <f t="shared" si="295"/>
        <v>2.88</v>
      </c>
      <c r="AS319" s="34">
        <f t="shared" si="295"/>
        <v>62.8</v>
      </c>
      <c r="AT319" s="35">
        <f t="shared" si="15"/>
        <v>100</v>
      </c>
      <c r="AV319" s="25">
        <f t="shared" si="87"/>
        <v>3750</v>
      </c>
    </row>
    <row r="320" ht="14.25" customHeight="1">
      <c r="B320" s="36"/>
      <c r="C320" s="22" t="s">
        <v>46</v>
      </c>
      <c r="D320" s="56"/>
      <c r="E320" s="22" t="s">
        <v>48</v>
      </c>
      <c r="F320" s="56"/>
      <c r="G320" s="22">
        <v>38.92</v>
      </c>
      <c r="H320" s="22">
        <v>5.1</v>
      </c>
      <c r="I320" s="22">
        <v>53.69</v>
      </c>
      <c r="J320" s="22">
        <v>2.17</v>
      </c>
      <c r="K320" s="22">
        <v>0.12</v>
      </c>
      <c r="L320" s="26">
        <f t="shared" si="75"/>
        <v>8.77</v>
      </c>
      <c r="M320" s="22">
        <v>63.8</v>
      </c>
      <c r="N320" s="22">
        <v>8.1</v>
      </c>
      <c r="O320" s="22">
        <v>19.33</v>
      </c>
      <c r="P320" s="22">
        <v>0.4</v>
      </c>
      <c r="Q320" s="22">
        <v>880.0</v>
      </c>
      <c r="R320" s="22" t="s">
        <v>51</v>
      </c>
      <c r="S320" s="58">
        <v>0.0</v>
      </c>
      <c r="T320" s="22">
        <v>15.81</v>
      </c>
      <c r="U320" s="25">
        <v>8.59</v>
      </c>
      <c r="V320" s="25">
        <v>15.42</v>
      </c>
      <c r="W320" s="22">
        <v>11.68</v>
      </c>
      <c r="X320" s="22">
        <v>3.21</v>
      </c>
      <c r="Y320" s="54">
        <f t="shared" si="274"/>
        <v>61.1</v>
      </c>
      <c r="Z320" s="22">
        <f t="shared" si="77"/>
        <v>0.4444444444</v>
      </c>
      <c r="AA320" s="22">
        <v>57.51</v>
      </c>
      <c r="AB320" s="22">
        <v>93.87</v>
      </c>
      <c r="AC320" s="25">
        <f t="shared" si="78"/>
        <v>4100</v>
      </c>
      <c r="AD320" s="22" t="s">
        <v>51</v>
      </c>
      <c r="AG320" s="33">
        <v>2.25</v>
      </c>
      <c r="AH320" s="33">
        <v>4.1</v>
      </c>
      <c r="AO320" s="34">
        <f t="shared" ref="AO320:AS320" si="296">U320</f>
        <v>8.59</v>
      </c>
      <c r="AP320" s="34">
        <f t="shared" si="296"/>
        <v>15.42</v>
      </c>
      <c r="AQ320" s="34">
        <f t="shared" si="296"/>
        <v>11.68</v>
      </c>
      <c r="AR320" s="34">
        <f t="shared" si="296"/>
        <v>3.21</v>
      </c>
      <c r="AS320" s="34">
        <f t="shared" si="296"/>
        <v>61.1</v>
      </c>
      <c r="AT320" s="35">
        <f t="shared" si="15"/>
        <v>100</v>
      </c>
      <c r="AV320" s="25">
        <f t="shared" si="87"/>
        <v>4100</v>
      </c>
    </row>
    <row r="321" ht="14.25" customHeight="1">
      <c r="B321" s="36"/>
      <c r="C321" s="22" t="s">
        <v>46</v>
      </c>
      <c r="D321" s="56"/>
      <c r="E321" s="22" t="s">
        <v>48</v>
      </c>
      <c r="F321" s="56"/>
      <c r="G321" s="22">
        <v>38.92</v>
      </c>
      <c r="H321" s="22">
        <v>5.1</v>
      </c>
      <c r="I321" s="22">
        <v>53.69</v>
      </c>
      <c r="J321" s="22">
        <v>2.17</v>
      </c>
      <c r="K321" s="22">
        <v>0.12</v>
      </c>
      <c r="L321" s="26">
        <f t="shared" si="75"/>
        <v>8.77</v>
      </c>
      <c r="M321" s="22">
        <v>63.8</v>
      </c>
      <c r="N321" s="22">
        <v>8.1</v>
      </c>
      <c r="O321" s="22">
        <v>19.33</v>
      </c>
      <c r="P321" s="22">
        <v>0.4</v>
      </c>
      <c r="Q321" s="22">
        <v>880.0</v>
      </c>
      <c r="R321" s="22" t="s">
        <v>51</v>
      </c>
      <c r="S321" s="58">
        <v>0.0</v>
      </c>
      <c r="T321" s="22">
        <v>15.81</v>
      </c>
      <c r="U321" s="25">
        <v>8.62</v>
      </c>
      <c r="V321" s="25">
        <v>19.55</v>
      </c>
      <c r="W321" s="22">
        <v>10.21</v>
      </c>
      <c r="X321" s="22">
        <v>3.24</v>
      </c>
      <c r="Y321" s="54">
        <f t="shared" si="274"/>
        <v>58.38</v>
      </c>
      <c r="Z321" s="22">
        <f t="shared" si="77"/>
        <v>0.4329004329</v>
      </c>
      <c r="AA321" s="22">
        <v>66.39</v>
      </c>
      <c r="AB321" s="22">
        <v>104.93</v>
      </c>
      <c r="AC321" s="25">
        <f t="shared" si="78"/>
        <v>4610</v>
      </c>
      <c r="AD321" s="22" t="s">
        <v>51</v>
      </c>
      <c r="AG321" s="33">
        <v>2.31</v>
      </c>
      <c r="AH321" s="33">
        <v>4.61</v>
      </c>
      <c r="AO321" s="34">
        <f t="shared" ref="AO321:AS321" si="297">U321</f>
        <v>8.62</v>
      </c>
      <c r="AP321" s="34">
        <f t="shared" si="297"/>
        <v>19.55</v>
      </c>
      <c r="AQ321" s="34">
        <f t="shared" si="297"/>
        <v>10.21</v>
      </c>
      <c r="AR321" s="34">
        <f t="shared" si="297"/>
        <v>3.24</v>
      </c>
      <c r="AS321" s="34">
        <f t="shared" si="297"/>
        <v>58.38</v>
      </c>
      <c r="AT321" s="35">
        <f t="shared" si="15"/>
        <v>100</v>
      </c>
      <c r="AV321" s="25">
        <f t="shared" si="87"/>
        <v>4610</v>
      </c>
    </row>
    <row r="322" ht="14.25" customHeight="1">
      <c r="B322" s="36"/>
      <c r="C322" s="22" t="s">
        <v>46</v>
      </c>
      <c r="D322" s="56"/>
      <c r="E322" s="22" t="s">
        <v>48</v>
      </c>
      <c r="F322" s="56"/>
      <c r="G322" s="22">
        <v>38.92</v>
      </c>
      <c r="H322" s="22">
        <v>5.1</v>
      </c>
      <c r="I322" s="22">
        <v>53.69</v>
      </c>
      <c r="J322" s="22">
        <v>2.17</v>
      </c>
      <c r="K322" s="22">
        <v>0.12</v>
      </c>
      <c r="L322" s="26">
        <f t="shared" si="75"/>
        <v>8.77</v>
      </c>
      <c r="M322" s="22">
        <v>63.8</v>
      </c>
      <c r="N322" s="22">
        <v>8.1</v>
      </c>
      <c r="O322" s="22">
        <v>19.33</v>
      </c>
      <c r="P322" s="22">
        <v>0.4</v>
      </c>
      <c r="Q322" s="22">
        <v>880.0</v>
      </c>
      <c r="R322" s="22" t="s">
        <v>51</v>
      </c>
      <c r="S322" s="58">
        <v>0.0</v>
      </c>
      <c r="T322" s="22">
        <v>15.81</v>
      </c>
      <c r="U322" s="25">
        <v>5.54</v>
      </c>
      <c r="V322" s="25">
        <v>10.11</v>
      </c>
      <c r="W322" s="22">
        <v>16.28</v>
      </c>
      <c r="X322" s="22">
        <v>1.08</v>
      </c>
      <c r="Y322" s="54">
        <f t="shared" si="274"/>
        <v>66.99</v>
      </c>
      <c r="Z322" s="22">
        <f t="shared" si="77"/>
        <v>0.4484304933</v>
      </c>
      <c r="AA322" s="22">
        <v>31.84</v>
      </c>
      <c r="AB322" s="22">
        <v>84.32</v>
      </c>
      <c r="AC322" s="25">
        <f t="shared" si="78"/>
        <v>2290</v>
      </c>
      <c r="AD322" s="22" t="s">
        <v>51</v>
      </c>
      <c r="AG322" s="33">
        <v>2.23</v>
      </c>
      <c r="AH322" s="33">
        <v>2.29</v>
      </c>
      <c r="AO322" s="34">
        <f t="shared" ref="AO322:AS322" si="298">U322</f>
        <v>5.54</v>
      </c>
      <c r="AP322" s="34">
        <f t="shared" si="298"/>
        <v>10.11</v>
      </c>
      <c r="AQ322" s="34">
        <f t="shared" si="298"/>
        <v>16.28</v>
      </c>
      <c r="AR322" s="34">
        <f t="shared" si="298"/>
        <v>1.08</v>
      </c>
      <c r="AS322" s="34">
        <f t="shared" si="298"/>
        <v>66.99</v>
      </c>
      <c r="AT322" s="35">
        <f t="shared" si="15"/>
        <v>100</v>
      </c>
      <c r="AV322" s="25">
        <f t="shared" si="87"/>
        <v>2290</v>
      </c>
    </row>
    <row r="323" ht="14.25" customHeight="1">
      <c r="B323" s="36"/>
      <c r="C323" s="22" t="s">
        <v>46</v>
      </c>
      <c r="D323" s="56"/>
      <c r="E323" s="22" t="s">
        <v>48</v>
      </c>
      <c r="F323" s="56"/>
      <c r="G323" s="22">
        <v>38.92</v>
      </c>
      <c r="H323" s="22">
        <v>5.1</v>
      </c>
      <c r="I323" s="22">
        <v>53.69</v>
      </c>
      <c r="J323" s="22">
        <v>2.17</v>
      </c>
      <c r="K323" s="22">
        <v>0.12</v>
      </c>
      <c r="L323" s="26">
        <f t="shared" si="75"/>
        <v>8.77</v>
      </c>
      <c r="M323" s="22">
        <v>63.8</v>
      </c>
      <c r="N323" s="22">
        <v>8.1</v>
      </c>
      <c r="O323" s="22">
        <v>19.33</v>
      </c>
      <c r="P323" s="22">
        <v>0.4</v>
      </c>
      <c r="Q323" s="22">
        <v>880.0</v>
      </c>
      <c r="R323" s="22" t="s">
        <v>51</v>
      </c>
      <c r="S323" s="58">
        <v>0.0</v>
      </c>
      <c r="T323" s="22">
        <v>15.81</v>
      </c>
      <c r="U323" s="25">
        <v>6.65</v>
      </c>
      <c r="V323" s="25">
        <v>9.87</v>
      </c>
      <c r="W323" s="22">
        <v>15.44</v>
      </c>
      <c r="X323" s="22">
        <v>1.27</v>
      </c>
      <c r="Y323" s="54">
        <f t="shared" si="274"/>
        <v>66.77</v>
      </c>
      <c r="Z323" s="22">
        <f t="shared" si="77"/>
        <v>0.4219409283</v>
      </c>
      <c r="AA323" s="22">
        <v>36.5</v>
      </c>
      <c r="AB323" s="22">
        <v>86.71</v>
      </c>
      <c r="AC323" s="25">
        <f t="shared" si="78"/>
        <v>2470</v>
      </c>
      <c r="AD323" s="22" t="s">
        <v>51</v>
      </c>
      <c r="AG323" s="33">
        <v>2.37</v>
      </c>
      <c r="AH323" s="33">
        <v>2.47</v>
      </c>
      <c r="AO323" s="34">
        <f t="shared" ref="AO323:AS323" si="299">U323</f>
        <v>6.65</v>
      </c>
      <c r="AP323" s="34">
        <f t="shared" si="299"/>
        <v>9.87</v>
      </c>
      <c r="AQ323" s="34">
        <f t="shared" si="299"/>
        <v>15.44</v>
      </c>
      <c r="AR323" s="34">
        <f t="shared" si="299"/>
        <v>1.27</v>
      </c>
      <c r="AS323" s="34">
        <f t="shared" si="299"/>
        <v>66.77</v>
      </c>
      <c r="AT323" s="35">
        <f t="shared" si="15"/>
        <v>100</v>
      </c>
      <c r="AV323" s="25">
        <f t="shared" si="87"/>
        <v>2470</v>
      </c>
    </row>
    <row r="324" ht="14.25" customHeight="1">
      <c r="B324" s="36"/>
      <c r="C324" s="22" t="s">
        <v>46</v>
      </c>
      <c r="D324" s="56"/>
      <c r="E324" s="22" t="s">
        <v>48</v>
      </c>
      <c r="F324" s="56"/>
      <c r="G324" s="22">
        <v>38.92</v>
      </c>
      <c r="H324" s="22">
        <v>5.1</v>
      </c>
      <c r="I324" s="22">
        <v>53.69</v>
      </c>
      <c r="J324" s="22">
        <v>2.17</v>
      </c>
      <c r="K324" s="22">
        <v>0.12</v>
      </c>
      <c r="L324" s="26">
        <f t="shared" si="75"/>
        <v>8.77</v>
      </c>
      <c r="M324" s="22">
        <v>63.8</v>
      </c>
      <c r="N324" s="22">
        <v>8.1</v>
      </c>
      <c r="O324" s="22">
        <v>19.33</v>
      </c>
      <c r="P324" s="22">
        <v>0.4</v>
      </c>
      <c r="Q324" s="22">
        <v>880.0</v>
      </c>
      <c r="R324" s="22" t="s">
        <v>51</v>
      </c>
      <c r="S324" s="58">
        <v>0.0</v>
      </c>
      <c r="T324" s="22">
        <v>15.81</v>
      </c>
      <c r="U324" s="25">
        <v>6.78</v>
      </c>
      <c r="V324" s="25">
        <v>10.53</v>
      </c>
      <c r="W324" s="22">
        <v>13.89</v>
      </c>
      <c r="X324" s="22">
        <v>1.66</v>
      </c>
      <c r="Y324" s="54">
        <f t="shared" si="274"/>
        <v>67.14</v>
      </c>
      <c r="Z324" s="22">
        <f t="shared" si="77"/>
        <v>0.4329004329</v>
      </c>
      <c r="AA324" s="22">
        <v>39.03</v>
      </c>
      <c r="AB324" s="22">
        <v>82.92</v>
      </c>
      <c r="AC324" s="25">
        <f t="shared" si="78"/>
        <v>2710</v>
      </c>
      <c r="AD324" s="22" t="s">
        <v>51</v>
      </c>
      <c r="AG324" s="33">
        <v>2.31</v>
      </c>
      <c r="AH324" s="33">
        <v>2.71</v>
      </c>
      <c r="AO324" s="34">
        <f t="shared" ref="AO324:AS324" si="300">U324</f>
        <v>6.78</v>
      </c>
      <c r="AP324" s="34">
        <f t="shared" si="300"/>
        <v>10.53</v>
      </c>
      <c r="AQ324" s="34">
        <f t="shared" si="300"/>
        <v>13.89</v>
      </c>
      <c r="AR324" s="34">
        <f t="shared" si="300"/>
        <v>1.66</v>
      </c>
      <c r="AS324" s="34">
        <f t="shared" si="300"/>
        <v>67.14</v>
      </c>
      <c r="AT324" s="35">
        <f t="shared" si="15"/>
        <v>100</v>
      </c>
      <c r="AV324" s="25">
        <f t="shared" si="87"/>
        <v>2710</v>
      </c>
    </row>
    <row r="325" ht="14.25" customHeight="1">
      <c r="B325" s="36"/>
      <c r="C325" s="22" t="s">
        <v>46</v>
      </c>
      <c r="D325" s="56"/>
      <c r="E325" s="22" t="s">
        <v>48</v>
      </c>
      <c r="F325" s="56"/>
      <c r="G325" s="22">
        <v>38.92</v>
      </c>
      <c r="H325" s="22">
        <v>5.1</v>
      </c>
      <c r="I325" s="22">
        <v>53.69</v>
      </c>
      <c r="J325" s="22">
        <v>2.17</v>
      </c>
      <c r="K325" s="22">
        <v>0.12</v>
      </c>
      <c r="L325" s="26">
        <f t="shared" si="75"/>
        <v>8.77</v>
      </c>
      <c r="M325" s="22">
        <v>63.8</v>
      </c>
      <c r="N325" s="22">
        <v>8.1</v>
      </c>
      <c r="O325" s="22">
        <v>19.33</v>
      </c>
      <c r="P325" s="22">
        <v>0.4</v>
      </c>
      <c r="Q325" s="22">
        <v>880.0</v>
      </c>
      <c r="R325" s="22" t="s">
        <v>51</v>
      </c>
      <c r="S325" s="58">
        <v>0.0</v>
      </c>
      <c r="T325" s="22">
        <v>15.81</v>
      </c>
      <c r="U325" s="25">
        <v>6.59</v>
      </c>
      <c r="V325" s="25">
        <v>12.64</v>
      </c>
      <c r="W325" s="22">
        <v>12.17</v>
      </c>
      <c r="X325" s="22">
        <v>2.26</v>
      </c>
      <c r="Y325" s="54">
        <f t="shared" si="274"/>
        <v>66.34</v>
      </c>
      <c r="Z325" s="22">
        <f t="shared" si="77"/>
        <v>0.4016064257</v>
      </c>
      <c r="AA325" s="22">
        <v>49.05</v>
      </c>
      <c r="AB325" s="22">
        <v>92.78</v>
      </c>
      <c r="AC325" s="25">
        <f t="shared" si="78"/>
        <v>3160</v>
      </c>
      <c r="AD325" s="22" t="s">
        <v>51</v>
      </c>
      <c r="AG325" s="33">
        <v>2.49</v>
      </c>
      <c r="AH325" s="33">
        <v>3.16</v>
      </c>
      <c r="AO325" s="34">
        <f t="shared" ref="AO325:AS325" si="301">U325</f>
        <v>6.59</v>
      </c>
      <c r="AP325" s="34">
        <f t="shared" si="301"/>
        <v>12.64</v>
      </c>
      <c r="AQ325" s="34">
        <f t="shared" si="301"/>
        <v>12.17</v>
      </c>
      <c r="AR325" s="34">
        <f t="shared" si="301"/>
        <v>2.26</v>
      </c>
      <c r="AS325" s="34">
        <f t="shared" si="301"/>
        <v>66.34</v>
      </c>
      <c r="AT325" s="35">
        <f t="shared" si="15"/>
        <v>100</v>
      </c>
      <c r="AV325" s="25">
        <f t="shared" si="87"/>
        <v>3160</v>
      </c>
    </row>
    <row r="326" ht="14.25" customHeight="1">
      <c r="B326" s="36"/>
      <c r="C326" s="22" t="s">
        <v>46</v>
      </c>
      <c r="D326" s="56"/>
      <c r="E326" s="22" t="s">
        <v>48</v>
      </c>
      <c r="F326" s="56"/>
      <c r="G326" s="22">
        <v>38.92</v>
      </c>
      <c r="H326" s="22">
        <v>5.1</v>
      </c>
      <c r="I326" s="22">
        <v>53.69</v>
      </c>
      <c r="J326" s="22">
        <v>2.17</v>
      </c>
      <c r="K326" s="22">
        <v>0.12</v>
      </c>
      <c r="L326" s="26">
        <f t="shared" si="75"/>
        <v>8.77</v>
      </c>
      <c r="M326" s="22">
        <v>63.8</v>
      </c>
      <c r="N326" s="22">
        <v>8.1</v>
      </c>
      <c r="O326" s="22">
        <v>19.33</v>
      </c>
      <c r="P326" s="22">
        <v>0.4</v>
      </c>
      <c r="Q326" s="22">
        <v>880.0</v>
      </c>
      <c r="R326" s="22" t="s">
        <v>51</v>
      </c>
      <c r="S326" s="58">
        <v>0.0</v>
      </c>
      <c r="T326" s="22">
        <v>15.81</v>
      </c>
      <c r="U326" s="25">
        <v>7.42</v>
      </c>
      <c r="V326" s="25">
        <v>14.78</v>
      </c>
      <c r="W326" s="22">
        <v>10.66</v>
      </c>
      <c r="X326" s="22">
        <v>2.01</v>
      </c>
      <c r="Y326" s="54">
        <f t="shared" si="274"/>
        <v>65.13</v>
      </c>
      <c r="Z326" s="22">
        <f t="shared" si="77"/>
        <v>0.390625</v>
      </c>
      <c r="AA326" s="22">
        <v>54.74</v>
      </c>
      <c r="AB326" s="22">
        <v>96.73</v>
      </c>
      <c r="AC326" s="25">
        <f t="shared" si="78"/>
        <v>3430</v>
      </c>
      <c r="AD326" s="22" t="s">
        <v>51</v>
      </c>
      <c r="AG326" s="33">
        <v>2.56</v>
      </c>
      <c r="AH326" s="33">
        <v>3.43</v>
      </c>
      <c r="AO326" s="34">
        <f t="shared" ref="AO326:AS326" si="302">U326</f>
        <v>7.42</v>
      </c>
      <c r="AP326" s="34">
        <f t="shared" si="302"/>
        <v>14.78</v>
      </c>
      <c r="AQ326" s="34">
        <f t="shared" si="302"/>
        <v>10.66</v>
      </c>
      <c r="AR326" s="34">
        <f t="shared" si="302"/>
        <v>2.01</v>
      </c>
      <c r="AS326" s="34">
        <f t="shared" si="302"/>
        <v>65.13</v>
      </c>
      <c r="AT326" s="35">
        <f t="shared" si="15"/>
        <v>100</v>
      </c>
      <c r="AV326" s="25">
        <f t="shared" si="87"/>
        <v>3430</v>
      </c>
    </row>
    <row r="327" ht="14.25" customHeight="1">
      <c r="B327" s="36"/>
      <c r="C327" s="22" t="s">
        <v>46</v>
      </c>
      <c r="D327" s="56"/>
      <c r="E327" s="22" t="s">
        <v>48</v>
      </c>
      <c r="F327" s="56"/>
      <c r="G327" s="22">
        <v>38.92</v>
      </c>
      <c r="H327" s="22">
        <v>5.1</v>
      </c>
      <c r="I327" s="22">
        <v>53.69</v>
      </c>
      <c r="J327" s="22">
        <v>2.17</v>
      </c>
      <c r="K327" s="22">
        <v>0.12</v>
      </c>
      <c r="L327" s="26">
        <f t="shared" si="75"/>
        <v>8.77</v>
      </c>
      <c r="M327" s="22">
        <v>63.8</v>
      </c>
      <c r="N327" s="22">
        <v>8.1</v>
      </c>
      <c r="O327" s="22">
        <v>19.33</v>
      </c>
      <c r="P327" s="22">
        <v>0.4</v>
      </c>
      <c r="Q327" s="22">
        <v>880.0</v>
      </c>
      <c r="R327" s="22" t="s">
        <v>51</v>
      </c>
      <c r="S327" s="58">
        <v>0.0</v>
      </c>
      <c r="T327" s="22">
        <v>15.81</v>
      </c>
      <c r="U327" s="25">
        <v>7.77</v>
      </c>
      <c r="V327" s="25">
        <v>16.13</v>
      </c>
      <c r="W327" s="22">
        <v>10.68</v>
      </c>
      <c r="X327" s="22">
        <v>2.78</v>
      </c>
      <c r="Y327" s="54">
        <f t="shared" si="274"/>
        <v>62.64</v>
      </c>
      <c r="Z327" s="22">
        <f t="shared" si="77"/>
        <v>0.3891050584</v>
      </c>
      <c r="AA327" s="22">
        <v>62.81</v>
      </c>
      <c r="AB327" s="22">
        <v>104.67</v>
      </c>
      <c r="AC327" s="25">
        <f t="shared" si="78"/>
        <v>3920</v>
      </c>
      <c r="AD327" s="22" t="s">
        <v>51</v>
      </c>
      <c r="AG327" s="33">
        <v>2.57</v>
      </c>
      <c r="AH327" s="33">
        <v>3.92</v>
      </c>
      <c r="AO327" s="34">
        <f t="shared" ref="AO327:AS327" si="303">U327</f>
        <v>7.77</v>
      </c>
      <c r="AP327" s="34">
        <f t="shared" si="303"/>
        <v>16.13</v>
      </c>
      <c r="AQ327" s="34">
        <f t="shared" si="303"/>
        <v>10.68</v>
      </c>
      <c r="AR327" s="34">
        <f t="shared" si="303"/>
        <v>2.78</v>
      </c>
      <c r="AS327" s="34">
        <f t="shared" si="303"/>
        <v>62.64</v>
      </c>
      <c r="AT327" s="35">
        <f t="shared" si="15"/>
        <v>100</v>
      </c>
      <c r="AV327" s="25">
        <f t="shared" si="87"/>
        <v>3920</v>
      </c>
    </row>
    <row r="328" ht="14.25" customHeight="1">
      <c r="B328" s="36"/>
      <c r="C328" s="22" t="s">
        <v>46</v>
      </c>
      <c r="D328" s="56"/>
      <c r="E328" s="22" t="s">
        <v>48</v>
      </c>
      <c r="F328" s="56"/>
      <c r="G328" s="22">
        <v>38.92</v>
      </c>
      <c r="H328" s="22">
        <v>5.1</v>
      </c>
      <c r="I328" s="22">
        <v>53.69</v>
      </c>
      <c r="J328" s="22">
        <v>2.17</v>
      </c>
      <c r="K328" s="22">
        <v>0.12</v>
      </c>
      <c r="L328" s="26">
        <f t="shared" si="75"/>
        <v>8.77</v>
      </c>
      <c r="M328" s="22">
        <v>63.8</v>
      </c>
      <c r="N328" s="22">
        <v>8.1</v>
      </c>
      <c r="O328" s="22">
        <v>19.33</v>
      </c>
      <c r="P328" s="22">
        <v>0.4</v>
      </c>
      <c r="Q328" s="22">
        <v>880.0</v>
      </c>
      <c r="R328" s="22" t="s">
        <v>51</v>
      </c>
      <c r="S328" s="58">
        <v>0.0</v>
      </c>
      <c r="T328" s="22">
        <v>15.81</v>
      </c>
      <c r="U328" s="25">
        <v>5.34</v>
      </c>
      <c r="V328" s="25">
        <v>9.32</v>
      </c>
      <c r="W328" s="22">
        <v>17.14</v>
      </c>
      <c r="X328" s="22">
        <v>1.03</v>
      </c>
      <c r="Y328" s="54">
        <f t="shared" si="274"/>
        <v>67.17</v>
      </c>
      <c r="Z328" s="22">
        <f t="shared" si="77"/>
        <v>0.4587155963</v>
      </c>
      <c r="AA328" s="22">
        <v>29.22</v>
      </c>
      <c r="AB328" s="22">
        <v>82.45</v>
      </c>
      <c r="AC328" s="25">
        <f t="shared" si="78"/>
        <v>2150</v>
      </c>
      <c r="AD328" s="22" t="s">
        <v>51</v>
      </c>
      <c r="AG328" s="33">
        <v>2.18</v>
      </c>
      <c r="AH328" s="33">
        <v>2.15</v>
      </c>
      <c r="AO328" s="34">
        <f t="shared" ref="AO328:AS328" si="304">U328</f>
        <v>5.34</v>
      </c>
      <c r="AP328" s="34">
        <f t="shared" si="304"/>
        <v>9.32</v>
      </c>
      <c r="AQ328" s="34">
        <f t="shared" si="304"/>
        <v>17.14</v>
      </c>
      <c r="AR328" s="34">
        <f t="shared" si="304"/>
        <v>1.03</v>
      </c>
      <c r="AS328" s="34">
        <f t="shared" si="304"/>
        <v>67.17</v>
      </c>
      <c r="AT328" s="35">
        <f t="shared" si="15"/>
        <v>100</v>
      </c>
      <c r="AV328" s="25">
        <f t="shared" si="87"/>
        <v>2150</v>
      </c>
    </row>
    <row r="329" ht="14.25" customHeight="1">
      <c r="B329" s="36"/>
      <c r="C329" s="22" t="s">
        <v>46</v>
      </c>
      <c r="D329" s="56"/>
      <c r="E329" s="22" t="s">
        <v>48</v>
      </c>
      <c r="F329" s="56"/>
      <c r="G329" s="22">
        <v>38.92</v>
      </c>
      <c r="H329" s="22">
        <v>5.1</v>
      </c>
      <c r="I329" s="22">
        <v>53.69</v>
      </c>
      <c r="J329" s="22">
        <v>2.17</v>
      </c>
      <c r="K329" s="22">
        <v>0.12</v>
      </c>
      <c r="L329" s="26">
        <f t="shared" si="75"/>
        <v>8.77</v>
      </c>
      <c r="M329" s="22">
        <v>63.8</v>
      </c>
      <c r="N329" s="22">
        <v>8.1</v>
      </c>
      <c r="O329" s="22">
        <v>19.33</v>
      </c>
      <c r="P329" s="22">
        <v>0.4</v>
      </c>
      <c r="Q329" s="22">
        <v>880.0</v>
      </c>
      <c r="R329" s="22" t="s">
        <v>51</v>
      </c>
      <c r="S329" s="58">
        <v>0.0</v>
      </c>
      <c r="T329" s="22">
        <v>15.81</v>
      </c>
      <c r="U329" s="25">
        <v>5.88</v>
      </c>
      <c r="V329" s="25">
        <v>10.24</v>
      </c>
      <c r="W329" s="22">
        <v>16.82</v>
      </c>
      <c r="X329" s="22">
        <v>1.19</v>
      </c>
      <c r="Y329" s="54">
        <f t="shared" si="274"/>
        <v>65.87</v>
      </c>
      <c r="Z329" s="22">
        <f t="shared" si="77"/>
        <v>0.4255319149</v>
      </c>
      <c r="AA329" s="22">
        <v>35.02</v>
      </c>
      <c r="AB329" s="22">
        <v>91.38</v>
      </c>
      <c r="AC329" s="25">
        <f t="shared" si="78"/>
        <v>2390</v>
      </c>
      <c r="AD329" s="22" t="s">
        <v>51</v>
      </c>
      <c r="AG329" s="33">
        <v>2.35</v>
      </c>
      <c r="AH329" s="33">
        <v>2.39</v>
      </c>
      <c r="AO329" s="34">
        <f t="shared" ref="AO329:AS329" si="305">U329</f>
        <v>5.88</v>
      </c>
      <c r="AP329" s="34">
        <f t="shared" si="305"/>
        <v>10.24</v>
      </c>
      <c r="AQ329" s="34">
        <f t="shared" si="305"/>
        <v>16.82</v>
      </c>
      <c r="AR329" s="34">
        <f t="shared" si="305"/>
        <v>1.19</v>
      </c>
      <c r="AS329" s="34">
        <f t="shared" si="305"/>
        <v>65.87</v>
      </c>
      <c r="AT329" s="35">
        <f t="shared" si="15"/>
        <v>100</v>
      </c>
      <c r="AV329" s="25">
        <f t="shared" si="87"/>
        <v>2390</v>
      </c>
    </row>
    <row r="330" ht="14.25" customHeight="1">
      <c r="B330" s="36"/>
      <c r="C330" s="22" t="s">
        <v>46</v>
      </c>
      <c r="D330" s="56"/>
      <c r="E330" s="22" t="s">
        <v>48</v>
      </c>
      <c r="F330" s="56"/>
      <c r="G330" s="22">
        <v>38.92</v>
      </c>
      <c r="H330" s="22">
        <v>5.1</v>
      </c>
      <c r="I330" s="22">
        <v>53.69</v>
      </c>
      <c r="J330" s="22">
        <v>2.17</v>
      </c>
      <c r="K330" s="22">
        <v>0.12</v>
      </c>
      <c r="L330" s="26">
        <f t="shared" si="75"/>
        <v>8.77</v>
      </c>
      <c r="M330" s="22">
        <v>63.8</v>
      </c>
      <c r="N330" s="22">
        <v>8.1</v>
      </c>
      <c r="O330" s="22">
        <v>19.33</v>
      </c>
      <c r="P330" s="22">
        <v>0.4</v>
      </c>
      <c r="Q330" s="22">
        <v>880.0</v>
      </c>
      <c r="R330" s="22" t="s">
        <v>51</v>
      </c>
      <c r="S330" s="58">
        <v>0.0</v>
      </c>
      <c r="T330" s="22">
        <v>15.81</v>
      </c>
      <c r="U330" s="25">
        <v>6.65</v>
      </c>
      <c r="V330" s="25">
        <v>10.11</v>
      </c>
      <c r="W330" s="22">
        <v>15.96</v>
      </c>
      <c r="X330" s="22">
        <v>1.57</v>
      </c>
      <c r="Y330" s="54">
        <f t="shared" si="274"/>
        <v>65.71</v>
      </c>
      <c r="Z330" s="22">
        <f t="shared" si="77"/>
        <v>0.4132231405</v>
      </c>
      <c r="AA330" s="22">
        <v>39.38</v>
      </c>
      <c r="AB330" s="22">
        <v>92.07</v>
      </c>
      <c r="AC330" s="25">
        <f t="shared" si="78"/>
        <v>2610</v>
      </c>
      <c r="AD330" s="22" t="s">
        <v>51</v>
      </c>
      <c r="AG330" s="33">
        <v>2.42</v>
      </c>
      <c r="AH330" s="33">
        <v>2.61</v>
      </c>
      <c r="AO330" s="34">
        <f t="shared" ref="AO330:AS330" si="306">U330</f>
        <v>6.65</v>
      </c>
      <c r="AP330" s="34">
        <f t="shared" si="306"/>
        <v>10.11</v>
      </c>
      <c r="AQ330" s="34">
        <f t="shared" si="306"/>
        <v>15.96</v>
      </c>
      <c r="AR330" s="34">
        <f t="shared" si="306"/>
        <v>1.57</v>
      </c>
      <c r="AS330" s="34">
        <f t="shared" si="306"/>
        <v>65.71</v>
      </c>
      <c r="AT330" s="35">
        <f t="shared" si="15"/>
        <v>100</v>
      </c>
      <c r="AV330" s="25">
        <f t="shared" si="87"/>
        <v>2610</v>
      </c>
    </row>
    <row r="331" ht="14.25" customHeight="1">
      <c r="B331" s="36"/>
      <c r="C331" s="22" t="s">
        <v>46</v>
      </c>
      <c r="D331" s="56"/>
      <c r="E331" s="22" t="s">
        <v>48</v>
      </c>
      <c r="F331" s="56"/>
      <c r="G331" s="22">
        <v>38.92</v>
      </c>
      <c r="H331" s="22">
        <v>5.1</v>
      </c>
      <c r="I331" s="22">
        <v>53.69</v>
      </c>
      <c r="J331" s="22">
        <v>2.17</v>
      </c>
      <c r="K331" s="22">
        <v>0.12</v>
      </c>
      <c r="L331" s="26">
        <f t="shared" si="75"/>
        <v>8.77</v>
      </c>
      <c r="M331" s="22">
        <v>63.8</v>
      </c>
      <c r="N331" s="22">
        <v>8.1</v>
      </c>
      <c r="O331" s="22">
        <v>19.33</v>
      </c>
      <c r="P331" s="22">
        <v>0.4</v>
      </c>
      <c r="Q331" s="22">
        <v>880.0</v>
      </c>
      <c r="R331" s="22" t="s">
        <v>51</v>
      </c>
      <c r="S331" s="58">
        <v>0.0</v>
      </c>
      <c r="T331" s="22">
        <v>15.81</v>
      </c>
      <c r="U331" s="25">
        <v>7.49</v>
      </c>
      <c r="V331" s="25">
        <v>12.57</v>
      </c>
      <c r="W331" s="22">
        <v>14.56</v>
      </c>
      <c r="X331" s="22">
        <v>1.62</v>
      </c>
      <c r="Y331" s="54">
        <f t="shared" si="274"/>
        <v>63.76</v>
      </c>
      <c r="Z331" s="22">
        <f t="shared" si="77"/>
        <v>0.3891050584</v>
      </c>
      <c r="AA331" s="22">
        <v>48.39</v>
      </c>
      <c r="AB331" s="22">
        <v>101.7</v>
      </c>
      <c r="AC331" s="25">
        <f t="shared" si="78"/>
        <v>3020</v>
      </c>
      <c r="AD331" s="22" t="s">
        <v>51</v>
      </c>
      <c r="AG331" s="33">
        <v>2.57</v>
      </c>
      <c r="AH331" s="33">
        <v>3.02</v>
      </c>
      <c r="AO331" s="34">
        <f t="shared" ref="AO331:AS331" si="307">U331</f>
        <v>7.49</v>
      </c>
      <c r="AP331" s="34">
        <f t="shared" si="307"/>
        <v>12.57</v>
      </c>
      <c r="AQ331" s="34">
        <f t="shared" si="307"/>
        <v>14.56</v>
      </c>
      <c r="AR331" s="34">
        <f t="shared" si="307"/>
        <v>1.62</v>
      </c>
      <c r="AS331" s="34">
        <f t="shared" si="307"/>
        <v>63.76</v>
      </c>
      <c r="AT331" s="35">
        <f t="shared" si="15"/>
        <v>100</v>
      </c>
      <c r="AV331" s="25">
        <f t="shared" si="87"/>
        <v>3020</v>
      </c>
    </row>
    <row r="332" ht="14.25" customHeight="1">
      <c r="B332" s="36"/>
      <c r="C332" s="22" t="s">
        <v>46</v>
      </c>
      <c r="D332" s="56"/>
      <c r="E332" s="22" t="s">
        <v>48</v>
      </c>
      <c r="F332" s="56"/>
      <c r="G332" s="22">
        <v>38.92</v>
      </c>
      <c r="H332" s="22">
        <v>5.1</v>
      </c>
      <c r="I332" s="22">
        <v>53.69</v>
      </c>
      <c r="J332" s="22">
        <v>2.17</v>
      </c>
      <c r="K332" s="22">
        <v>0.12</v>
      </c>
      <c r="L332" s="26">
        <f t="shared" si="75"/>
        <v>8.77</v>
      </c>
      <c r="M332" s="22">
        <v>63.8</v>
      </c>
      <c r="N332" s="22">
        <v>8.1</v>
      </c>
      <c r="O332" s="22">
        <v>19.33</v>
      </c>
      <c r="P332" s="22">
        <v>0.4</v>
      </c>
      <c r="Q332" s="22">
        <v>880.0</v>
      </c>
      <c r="R332" s="22" t="s">
        <v>51</v>
      </c>
      <c r="S332" s="58">
        <v>0.0</v>
      </c>
      <c r="T332" s="22">
        <v>15.81</v>
      </c>
      <c r="U332" s="25">
        <v>7.12</v>
      </c>
      <c r="V332" s="25">
        <v>15.48</v>
      </c>
      <c r="W332" s="22">
        <v>12.92</v>
      </c>
      <c r="X332" s="22">
        <v>1.71</v>
      </c>
      <c r="Y332" s="54">
        <f t="shared" si="274"/>
        <v>62.77</v>
      </c>
      <c r="Z332" s="22">
        <f t="shared" si="77"/>
        <v>0.3731343284</v>
      </c>
      <c r="AA332" s="22">
        <v>56.14</v>
      </c>
      <c r="AB332" s="22">
        <v>111.07</v>
      </c>
      <c r="AC332" s="25">
        <f t="shared" si="78"/>
        <v>3360</v>
      </c>
      <c r="AD332" s="22" t="s">
        <v>51</v>
      </c>
      <c r="AG332" s="33">
        <v>2.68</v>
      </c>
      <c r="AH332" s="33">
        <v>3.36</v>
      </c>
      <c r="AO332" s="34">
        <f t="shared" ref="AO332:AS332" si="308">U332</f>
        <v>7.12</v>
      </c>
      <c r="AP332" s="34">
        <f t="shared" si="308"/>
        <v>15.48</v>
      </c>
      <c r="AQ332" s="34">
        <f t="shared" si="308"/>
        <v>12.92</v>
      </c>
      <c r="AR332" s="34">
        <f t="shared" si="308"/>
        <v>1.71</v>
      </c>
      <c r="AS332" s="34">
        <f t="shared" si="308"/>
        <v>62.77</v>
      </c>
      <c r="AT332" s="35">
        <f t="shared" si="15"/>
        <v>100</v>
      </c>
      <c r="AV332" s="25">
        <f t="shared" si="87"/>
        <v>3360</v>
      </c>
    </row>
    <row r="333" ht="14.25" customHeight="1">
      <c r="B333" s="36"/>
      <c r="C333" s="22" t="s">
        <v>46</v>
      </c>
      <c r="D333" s="56"/>
      <c r="E333" s="22" t="s">
        <v>48</v>
      </c>
      <c r="F333" s="56"/>
      <c r="G333" s="22">
        <v>38.92</v>
      </c>
      <c r="H333" s="22">
        <v>5.1</v>
      </c>
      <c r="I333" s="22">
        <v>53.69</v>
      </c>
      <c r="J333" s="22">
        <v>2.17</v>
      </c>
      <c r="K333" s="22">
        <v>0.12</v>
      </c>
      <c r="L333" s="26">
        <f t="shared" si="75"/>
        <v>8.77</v>
      </c>
      <c r="M333" s="22">
        <v>63.8</v>
      </c>
      <c r="N333" s="22">
        <v>8.1</v>
      </c>
      <c r="O333" s="22">
        <v>19.33</v>
      </c>
      <c r="P333" s="22">
        <v>0.4</v>
      </c>
      <c r="Q333" s="22">
        <v>880.0</v>
      </c>
      <c r="R333" s="22" t="s">
        <v>51</v>
      </c>
      <c r="S333" s="58">
        <v>0.0</v>
      </c>
      <c r="T333" s="22">
        <v>15.81</v>
      </c>
      <c r="U333" s="25">
        <v>7.42</v>
      </c>
      <c r="V333" s="25">
        <v>15.29</v>
      </c>
      <c r="W333" s="22">
        <v>11.76</v>
      </c>
      <c r="X333" s="22">
        <v>2.06</v>
      </c>
      <c r="Y333" s="54">
        <f t="shared" si="274"/>
        <v>63.47</v>
      </c>
      <c r="Z333" s="22">
        <f t="shared" si="77"/>
        <v>0.3558718861</v>
      </c>
      <c r="AA333" s="22">
        <v>61.49</v>
      </c>
      <c r="AB333" s="22">
        <v>112.59</v>
      </c>
      <c r="AC333" s="25">
        <f t="shared" si="78"/>
        <v>3510</v>
      </c>
      <c r="AD333" s="22" t="s">
        <v>51</v>
      </c>
      <c r="AG333" s="33">
        <v>2.81</v>
      </c>
      <c r="AH333" s="33">
        <v>3.51</v>
      </c>
      <c r="AO333" s="34">
        <f t="shared" ref="AO333:AS333" si="309">U333</f>
        <v>7.42</v>
      </c>
      <c r="AP333" s="34">
        <f t="shared" si="309"/>
        <v>15.29</v>
      </c>
      <c r="AQ333" s="34">
        <f t="shared" si="309"/>
        <v>11.76</v>
      </c>
      <c r="AR333" s="34">
        <f t="shared" si="309"/>
        <v>2.06</v>
      </c>
      <c r="AS333" s="34">
        <f t="shared" si="309"/>
        <v>63.47</v>
      </c>
      <c r="AT333" s="35">
        <f t="shared" si="15"/>
        <v>100</v>
      </c>
      <c r="AV333" s="25">
        <f t="shared" si="87"/>
        <v>3510</v>
      </c>
    </row>
    <row r="334" ht="14.25" customHeight="1">
      <c r="B334" s="36"/>
      <c r="C334" s="22" t="s">
        <v>46</v>
      </c>
      <c r="D334" s="56"/>
      <c r="E334" s="22" t="s">
        <v>48</v>
      </c>
      <c r="F334" s="56"/>
      <c r="G334" s="22">
        <v>51.53</v>
      </c>
      <c r="H334" s="22">
        <v>6.36</v>
      </c>
      <c r="I334" s="22">
        <v>41.97</v>
      </c>
      <c r="J334" s="22">
        <v>0.12</v>
      </c>
      <c r="K334" s="22">
        <v>0.02</v>
      </c>
      <c r="L334" s="26">
        <f t="shared" si="75"/>
        <v>11.14</v>
      </c>
      <c r="M334" s="22">
        <v>77.76</v>
      </c>
      <c r="N334" s="22">
        <v>9.3</v>
      </c>
      <c r="O334" s="22">
        <v>1.8</v>
      </c>
      <c r="P334" s="22">
        <v>0.5</v>
      </c>
      <c r="Q334" s="22">
        <v>880.0</v>
      </c>
      <c r="R334" s="22" t="s">
        <v>51</v>
      </c>
      <c r="S334" s="58">
        <v>0.0</v>
      </c>
      <c r="T334" s="22">
        <v>15.81</v>
      </c>
      <c r="U334" s="25">
        <v>6.54</v>
      </c>
      <c r="V334" s="25">
        <v>14.23</v>
      </c>
      <c r="W334" s="22">
        <v>14.51</v>
      </c>
      <c r="X334" s="22">
        <v>1.02</v>
      </c>
      <c r="Y334" s="54">
        <f t="shared" si="274"/>
        <v>63.7</v>
      </c>
      <c r="Z334" s="22">
        <f t="shared" si="77"/>
        <v>0.4132231405</v>
      </c>
      <c r="AA334" s="22">
        <v>39.94</v>
      </c>
      <c r="AB334" s="22">
        <v>75.16</v>
      </c>
      <c r="AC334" s="25">
        <f t="shared" si="78"/>
        <v>2880</v>
      </c>
      <c r="AD334" s="22" t="s">
        <v>51</v>
      </c>
      <c r="AG334" s="33">
        <v>2.42</v>
      </c>
      <c r="AH334" s="33">
        <v>2.88</v>
      </c>
      <c r="AO334" s="34">
        <f t="shared" ref="AO334:AS334" si="310">U334</f>
        <v>6.54</v>
      </c>
      <c r="AP334" s="34">
        <f t="shared" si="310"/>
        <v>14.23</v>
      </c>
      <c r="AQ334" s="34">
        <f t="shared" si="310"/>
        <v>14.51</v>
      </c>
      <c r="AR334" s="34">
        <f t="shared" si="310"/>
        <v>1.02</v>
      </c>
      <c r="AS334" s="34">
        <f t="shared" si="310"/>
        <v>63.7</v>
      </c>
      <c r="AT334" s="35">
        <f t="shared" si="15"/>
        <v>100</v>
      </c>
      <c r="AV334" s="25">
        <f t="shared" si="87"/>
        <v>2880</v>
      </c>
    </row>
    <row r="335" ht="14.25" customHeight="1">
      <c r="B335" s="36"/>
      <c r="C335" s="22" t="s">
        <v>46</v>
      </c>
      <c r="D335" s="56"/>
      <c r="E335" s="22" t="s">
        <v>48</v>
      </c>
      <c r="F335" s="56"/>
      <c r="G335" s="22">
        <v>51.53</v>
      </c>
      <c r="H335" s="22">
        <v>6.36</v>
      </c>
      <c r="I335" s="22">
        <v>41.97</v>
      </c>
      <c r="J335" s="22">
        <v>0.12</v>
      </c>
      <c r="K335" s="22">
        <v>0.02</v>
      </c>
      <c r="L335" s="26">
        <f t="shared" si="75"/>
        <v>11.14</v>
      </c>
      <c r="M335" s="22">
        <v>77.76</v>
      </c>
      <c r="N335" s="22">
        <v>9.3</v>
      </c>
      <c r="O335" s="22">
        <v>1.8</v>
      </c>
      <c r="P335" s="22">
        <v>0.5</v>
      </c>
      <c r="Q335" s="22">
        <v>880.0</v>
      </c>
      <c r="R335" s="22" t="s">
        <v>51</v>
      </c>
      <c r="S335" s="58">
        <v>0.0</v>
      </c>
      <c r="T335" s="22">
        <v>17.62</v>
      </c>
      <c r="U335" s="25">
        <v>7.54</v>
      </c>
      <c r="V335" s="25">
        <v>15.19</v>
      </c>
      <c r="W335" s="22">
        <v>12.62</v>
      </c>
      <c r="X335" s="22">
        <v>1.81</v>
      </c>
      <c r="Y335" s="54">
        <f t="shared" si="274"/>
        <v>62.84</v>
      </c>
      <c r="Z335" s="22">
        <f t="shared" si="77"/>
        <v>0.3984063745</v>
      </c>
      <c r="AA335" s="22">
        <v>49.19</v>
      </c>
      <c r="AB335" s="22">
        <v>77.59</v>
      </c>
      <c r="AC335" s="25">
        <f t="shared" si="78"/>
        <v>3420</v>
      </c>
      <c r="AD335" s="22" t="s">
        <v>51</v>
      </c>
      <c r="AG335" s="33">
        <v>2.51</v>
      </c>
      <c r="AH335" s="33">
        <v>3.42</v>
      </c>
      <c r="AO335" s="34">
        <f t="shared" ref="AO335:AS335" si="311">U335</f>
        <v>7.54</v>
      </c>
      <c r="AP335" s="34">
        <f t="shared" si="311"/>
        <v>15.19</v>
      </c>
      <c r="AQ335" s="34">
        <f t="shared" si="311"/>
        <v>12.62</v>
      </c>
      <c r="AR335" s="34">
        <f t="shared" si="311"/>
        <v>1.81</v>
      </c>
      <c r="AS335" s="34">
        <f t="shared" si="311"/>
        <v>62.84</v>
      </c>
      <c r="AT335" s="35">
        <f t="shared" si="15"/>
        <v>100</v>
      </c>
      <c r="AV335" s="25">
        <f t="shared" si="87"/>
        <v>3420</v>
      </c>
    </row>
    <row r="336" ht="14.25" customHeight="1">
      <c r="B336" s="36"/>
      <c r="C336" s="22" t="s">
        <v>46</v>
      </c>
      <c r="D336" s="56"/>
      <c r="E336" s="22" t="s">
        <v>48</v>
      </c>
      <c r="F336" s="56"/>
      <c r="G336" s="22">
        <v>51.53</v>
      </c>
      <c r="H336" s="22">
        <v>6.36</v>
      </c>
      <c r="I336" s="22">
        <v>41.97</v>
      </c>
      <c r="J336" s="22">
        <v>0.12</v>
      </c>
      <c r="K336" s="22">
        <v>0.02</v>
      </c>
      <c r="L336" s="26">
        <f t="shared" si="75"/>
        <v>11.14</v>
      </c>
      <c r="M336" s="22">
        <v>77.76</v>
      </c>
      <c r="N336" s="22">
        <v>9.3</v>
      </c>
      <c r="O336" s="22">
        <v>1.8</v>
      </c>
      <c r="P336" s="22">
        <v>0.5</v>
      </c>
      <c r="Q336" s="22">
        <v>880.0</v>
      </c>
      <c r="R336" s="22" t="s">
        <v>51</v>
      </c>
      <c r="S336" s="58">
        <v>0.0</v>
      </c>
      <c r="T336" s="22">
        <v>17.62</v>
      </c>
      <c r="U336" s="25">
        <v>7.98</v>
      </c>
      <c r="V336" s="25">
        <v>16.28</v>
      </c>
      <c r="W336" s="22">
        <v>13.89</v>
      </c>
      <c r="X336" s="22">
        <v>2.04</v>
      </c>
      <c r="Y336" s="54">
        <f t="shared" si="274"/>
        <v>59.81</v>
      </c>
      <c r="Z336" s="22">
        <f t="shared" si="77"/>
        <v>0.4115226337</v>
      </c>
      <c r="AA336" s="22">
        <v>51.39</v>
      </c>
      <c r="AB336" s="22">
        <v>81.69</v>
      </c>
      <c r="AC336" s="25">
        <f t="shared" si="78"/>
        <v>3690</v>
      </c>
      <c r="AD336" s="22" t="s">
        <v>51</v>
      </c>
      <c r="AG336" s="33">
        <v>2.43</v>
      </c>
      <c r="AH336" s="33">
        <v>3.69</v>
      </c>
      <c r="AO336" s="34">
        <f t="shared" ref="AO336:AS336" si="312">U336</f>
        <v>7.98</v>
      </c>
      <c r="AP336" s="34">
        <f t="shared" si="312"/>
        <v>16.28</v>
      </c>
      <c r="AQ336" s="34">
        <f t="shared" si="312"/>
        <v>13.89</v>
      </c>
      <c r="AR336" s="34">
        <f t="shared" si="312"/>
        <v>2.04</v>
      </c>
      <c r="AS336" s="34">
        <f t="shared" si="312"/>
        <v>59.81</v>
      </c>
      <c r="AT336" s="35">
        <f t="shared" si="15"/>
        <v>100</v>
      </c>
      <c r="AV336" s="25">
        <f t="shared" si="87"/>
        <v>3690</v>
      </c>
    </row>
    <row r="337" ht="14.25" customHeight="1">
      <c r="B337" s="36"/>
      <c r="C337" s="22" t="s">
        <v>46</v>
      </c>
      <c r="D337" s="56"/>
      <c r="E337" s="22" t="s">
        <v>48</v>
      </c>
      <c r="F337" s="56"/>
      <c r="G337" s="22">
        <v>51.53</v>
      </c>
      <c r="H337" s="22">
        <v>6.36</v>
      </c>
      <c r="I337" s="22">
        <v>41.97</v>
      </c>
      <c r="J337" s="22">
        <v>0.12</v>
      </c>
      <c r="K337" s="22">
        <v>0.02</v>
      </c>
      <c r="L337" s="26">
        <f t="shared" si="75"/>
        <v>11.14</v>
      </c>
      <c r="M337" s="22">
        <v>77.76</v>
      </c>
      <c r="N337" s="22">
        <v>9.3</v>
      </c>
      <c r="O337" s="22">
        <v>1.8</v>
      </c>
      <c r="P337" s="22">
        <v>0.5</v>
      </c>
      <c r="Q337" s="22">
        <v>880.0</v>
      </c>
      <c r="R337" s="22" t="s">
        <v>51</v>
      </c>
      <c r="S337" s="58">
        <v>0.0</v>
      </c>
      <c r="T337" s="22">
        <v>17.62</v>
      </c>
      <c r="U337" s="25">
        <v>8.23</v>
      </c>
      <c r="V337" s="25">
        <v>15.61</v>
      </c>
      <c r="W337" s="22">
        <v>12.18</v>
      </c>
      <c r="X337" s="22">
        <v>1.6</v>
      </c>
      <c r="Y337" s="54">
        <f t="shared" si="274"/>
        <v>62.38</v>
      </c>
      <c r="Z337" s="22">
        <f t="shared" si="77"/>
        <v>0.3968253968</v>
      </c>
      <c r="AA337" s="22">
        <v>50.11</v>
      </c>
      <c r="AB337" s="22">
        <v>77.3</v>
      </c>
      <c r="AC337" s="25">
        <f t="shared" si="78"/>
        <v>3470</v>
      </c>
      <c r="AD337" s="22" t="s">
        <v>51</v>
      </c>
      <c r="AG337" s="33">
        <v>2.52</v>
      </c>
      <c r="AH337" s="33">
        <v>3.47</v>
      </c>
      <c r="AO337" s="34">
        <f t="shared" ref="AO337:AS337" si="313">U337</f>
        <v>8.23</v>
      </c>
      <c r="AP337" s="34">
        <f t="shared" si="313"/>
        <v>15.61</v>
      </c>
      <c r="AQ337" s="34">
        <f t="shared" si="313"/>
        <v>12.18</v>
      </c>
      <c r="AR337" s="34">
        <f t="shared" si="313"/>
        <v>1.6</v>
      </c>
      <c r="AS337" s="34">
        <f t="shared" si="313"/>
        <v>62.38</v>
      </c>
      <c r="AT337" s="35">
        <f t="shared" si="15"/>
        <v>100</v>
      </c>
      <c r="AV337" s="25">
        <f t="shared" si="87"/>
        <v>3470</v>
      </c>
    </row>
    <row r="338" ht="14.25" customHeight="1">
      <c r="B338" s="36"/>
      <c r="C338" s="22" t="s">
        <v>46</v>
      </c>
      <c r="D338" s="56"/>
      <c r="E338" s="22" t="s">
        <v>48</v>
      </c>
      <c r="F338" s="56"/>
      <c r="G338" s="22">
        <v>51.53</v>
      </c>
      <c r="H338" s="22">
        <v>6.36</v>
      </c>
      <c r="I338" s="22">
        <v>41.97</v>
      </c>
      <c r="J338" s="22">
        <v>0.12</v>
      </c>
      <c r="K338" s="22">
        <v>0.02</v>
      </c>
      <c r="L338" s="26">
        <f t="shared" si="75"/>
        <v>11.14</v>
      </c>
      <c r="M338" s="22">
        <v>77.76</v>
      </c>
      <c r="N338" s="22">
        <v>9.3</v>
      </c>
      <c r="O338" s="22">
        <v>1.8</v>
      </c>
      <c r="P338" s="22">
        <v>0.5</v>
      </c>
      <c r="Q338" s="22">
        <v>880.0</v>
      </c>
      <c r="R338" s="22" t="s">
        <v>51</v>
      </c>
      <c r="S338" s="58">
        <v>0.0</v>
      </c>
      <c r="T338" s="22">
        <v>17.62</v>
      </c>
      <c r="U338" s="25">
        <v>9.98</v>
      </c>
      <c r="V338" s="25">
        <v>17.38</v>
      </c>
      <c r="W338" s="22">
        <v>11.96</v>
      </c>
      <c r="X338" s="22">
        <v>2.45</v>
      </c>
      <c r="Y338" s="54">
        <f t="shared" si="274"/>
        <v>58.23</v>
      </c>
      <c r="Z338" s="22">
        <f t="shared" si="77"/>
        <v>0.36900369</v>
      </c>
      <c r="AA338" s="22">
        <v>65.38</v>
      </c>
      <c r="AB338" s="22">
        <v>89.91</v>
      </c>
      <c r="AC338" s="25">
        <f t="shared" si="78"/>
        <v>4210</v>
      </c>
      <c r="AD338" s="22" t="s">
        <v>51</v>
      </c>
      <c r="AG338" s="33">
        <v>2.71</v>
      </c>
      <c r="AH338" s="33">
        <v>4.21</v>
      </c>
      <c r="AO338" s="34">
        <f t="shared" ref="AO338:AS338" si="314">U338</f>
        <v>9.98</v>
      </c>
      <c r="AP338" s="34">
        <f t="shared" si="314"/>
        <v>17.38</v>
      </c>
      <c r="AQ338" s="34">
        <f t="shared" si="314"/>
        <v>11.96</v>
      </c>
      <c r="AR338" s="34">
        <f t="shared" si="314"/>
        <v>2.45</v>
      </c>
      <c r="AS338" s="34">
        <f t="shared" si="314"/>
        <v>58.23</v>
      </c>
      <c r="AT338" s="35">
        <f t="shared" si="15"/>
        <v>100</v>
      </c>
      <c r="AV338" s="25">
        <f t="shared" si="87"/>
        <v>4210</v>
      </c>
    </row>
    <row r="339" ht="14.25" customHeight="1">
      <c r="B339" s="36"/>
      <c r="C339" s="22" t="s">
        <v>46</v>
      </c>
      <c r="D339" s="56"/>
      <c r="E339" s="22" t="s">
        <v>48</v>
      </c>
      <c r="F339" s="56"/>
      <c r="G339" s="22">
        <v>51.53</v>
      </c>
      <c r="H339" s="22">
        <v>6.36</v>
      </c>
      <c r="I339" s="22">
        <v>41.97</v>
      </c>
      <c r="J339" s="22">
        <v>0.12</v>
      </c>
      <c r="K339" s="22">
        <v>0.02</v>
      </c>
      <c r="L339" s="26">
        <f t="shared" si="75"/>
        <v>11.14</v>
      </c>
      <c r="M339" s="22">
        <v>77.76</v>
      </c>
      <c r="N339" s="22">
        <v>9.3</v>
      </c>
      <c r="O339" s="22">
        <v>1.8</v>
      </c>
      <c r="P339" s="22">
        <v>0.5</v>
      </c>
      <c r="Q339" s="22">
        <v>880.0</v>
      </c>
      <c r="R339" s="22" t="s">
        <v>51</v>
      </c>
      <c r="S339" s="58">
        <v>0.0</v>
      </c>
      <c r="T339" s="22">
        <v>17.62</v>
      </c>
      <c r="U339" s="25">
        <v>10.14</v>
      </c>
      <c r="V339" s="25">
        <v>17.54</v>
      </c>
      <c r="W339" s="22">
        <v>10.78</v>
      </c>
      <c r="X339" s="22">
        <v>3.21</v>
      </c>
      <c r="Y339" s="54">
        <f t="shared" si="274"/>
        <v>58.33</v>
      </c>
      <c r="Z339" s="22">
        <f t="shared" si="77"/>
        <v>0.3787878788</v>
      </c>
      <c r="AA339" s="22">
        <v>68.69</v>
      </c>
      <c r="AB339" s="22">
        <v>86.87</v>
      </c>
      <c r="AC339" s="25">
        <f t="shared" si="78"/>
        <v>4540</v>
      </c>
      <c r="AD339" s="22" t="s">
        <v>51</v>
      </c>
      <c r="AG339" s="33">
        <v>2.64</v>
      </c>
      <c r="AH339" s="33">
        <v>4.54</v>
      </c>
      <c r="AO339" s="34">
        <f t="shared" ref="AO339:AS339" si="315">U339</f>
        <v>10.14</v>
      </c>
      <c r="AP339" s="34">
        <f t="shared" si="315"/>
        <v>17.54</v>
      </c>
      <c r="AQ339" s="34">
        <f t="shared" si="315"/>
        <v>10.78</v>
      </c>
      <c r="AR339" s="34">
        <f t="shared" si="315"/>
        <v>3.21</v>
      </c>
      <c r="AS339" s="34">
        <f t="shared" si="315"/>
        <v>58.33</v>
      </c>
      <c r="AT339" s="35">
        <f t="shared" si="15"/>
        <v>100</v>
      </c>
      <c r="AV339" s="25">
        <f t="shared" si="87"/>
        <v>4540</v>
      </c>
    </row>
    <row r="340" ht="14.25" customHeight="1">
      <c r="B340" s="36"/>
      <c r="C340" s="22" t="s">
        <v>46</v>
      </c>
      <c r="D340" s="56"/>
      <c r="E340" s="22" t="s">
        <v>48</v>
      </c>
      <c r="F340" s="56"/>
      <c r="G340" s="22">
        <v>51.53</v>
      </c>
      <c r="H340" s="22">
        <v>6.36</v>
      </c>
      <c r="I340" s="22">
        <v>41.97</v>
      </c>
      <c r="J340" s="22">
        <v>0.12</v>
      </c>
      <c r="K340" s="22">
        <v>0.02</v>
      </c>
      <c r="L340" s="26">
        <f t="shared" si="75"/>
        <v>11.14</v>
      </c>
      <c r="M340" s="22">
        <v>77.76</v>
      </c>
      <c r="N340" s="22">
        <v>9.3</v>
      </c>
      <c r="O340" s="22">
        <v>1.8</v>
      </c>
      <c r="P340" s="22">
        <v>0.5</v>
      </c>
      <c r="Q340" s="22">
        <v>880.0</v>
      </c>
      <c r="R340" s="22" t="s">
        <v>51</v>
      </c>
      <c r="S340" s="58">
        <v>0.0</v>
      </c>
      <c r="T340" s="22">
        <v>17.62</v>
      </c>
      <c r="U340" s="25">
        <v>5.59</v>
      </c>
      <c r="V340" s="25">
        <v>13.55</v>
      </c>
      <c r="W340" s="22">
        <v>15.31</v>
      </c>
      <c r="X340" s="22">
        <v>1.06</v>
      </c>
      <c r="Y340" s="54">
        <f t="shared" si="274"/>
        <v>64.49</v>
      </c>
      <c r="Z340" s="22">
        <f t="shared" si="77"/>
        <v>0.3521126761</v>
      </c>
      <c r="AA340" s="22">
        <v>43.94</v>
      </c>
      <c r="AB340" s="22">
        <v>88.68</v>
      </c>
      <c r="AC340" s="25">
        <f t="shared" si="78"/>
        <v>2700</v>
      </c>
      <c r="AD340" s="22" t="s">
        <v>51</v>
      </c>
      <c r="AG340" s="33">
        <v>2.84</v>
      </c>
      <c r="AH340" s="33">
        <v>2.7</v>
      </c>
      <c r="AO340" s="34">
        <f t="shared" ref="AO340:AS340" si="316">U340</f>
        <v>5.59</v>
      </c>
      <c r="AP340" s="34">
        <f t="shared" si="316"/>
        <v>13.55</v>
      </c>
      <c r="AQ340" s="34">
        <f t="shared" si="316"/>
        <v>15.31</v>
      </c>
      <c r="AR340" s="34">
        <f t="shared" si="316"/>
        <v>1.06</v>
      </c>
      <c r="AS340" s="34">
        <f t="shared" si="316"/>
        <v>64.49</v>
      </c>
      <c r="AT340" s="35">
        <f t="shared" si="15"/>
        <v>100</v>
      </c>
      <c r="AV340" s="25">
        <f t="shared" si="87"/>
        <v>2700</v>
      </c>
    </row>
    <row r="341" ht="14.25" customHeight="1">
      <c r="B341" s="36"/>
      <c r="C341" s="22" t="s">
        <v>46</v>
      </c>
      <c r="D341" s="56"/>
      <c r="E341" s="22" t="s">
        <v>48</v>
      </c>
      <c r="F341" s="56"/>
      <c r="G341" s="22">
        <v>51.53</v>
      </c>
      <c r="H341" s="22">
        <v>6.36</v>
      </c>
      <c r="I341" s="22">
        <v>41.97</v>
      </c>
      <c r="J341" s="22">
        <v>0.12</v>
      </c>
      <c r="K341" s="22">
        <v>0.02</v>
      </c>
      <c r="L341" s="26">
        <f t="shared" si="75"/>
        <v>11.14</v>
      </c>
      <c r="M341" s="22">
        <v>77.76</v>
      </c>
      <c r="N341" s="22">
        <v>9.3</v>
      </c>
      <c r="O341" s="22">
        <v>1.8</v>
      </c>
      <c r="P341" s="22">
        <v>0.5</v>
      </c>
      <c r="Q341" s="22">
        <v>880.0</v>
      </c>
      <c r="R341" s="22" t="s">
        <v>51</v>
      </c>
      <c r="S341" s="58">
        <v>0.0</v>
      </c>
      <c r="T341" s="22">
        <v>17.62</v>
      </c>
      <c r="U341" s="25">
        <v>6.78</v>
      </c>
      <c r="V341" s="25">
        <v>14.41</v>
      </c>
      <c r="W341" s="22">
        <v>14.87</v>
      </c>
      <c r="X341" s="22">
        <v>1.17</v>
      </c>
      <c r="Y341" s="54">
        <f t="shared" si="274"/>
        <v>62.77</v>
      </c>
      <c r="Z341" s="22">
        <f t="shared" si="77"/>
        <v>0.3424657534</v>
      </c>
      <c r="AA341" s="22">
        <v>50.03</v>
      </c>
      <c r="AB341" s="22">
        <v>92.8</v>
      </c>
      <c r="AC341" s="25">
        <f t="shared" si="78"/>
        <v>2990</v>
      </c>
      <c r="AD341" s="22" t="s">
        <v>51</v>
      </c>
      <c r="AG341" s="33">
        <v>2.92</v>
      </c>
      <c r="AH341" s="33">
        <v>2.99</v>
      </c>
      <c r="AO341" s="34">
        <f t="shared" ref="AO341:AS341" si="317">U341</f>
        <v>6.78</v>
      </c>
      <c r="AP341" s="34">
        <f t="shared" si="317"/>
        <v>14.41</v>
      </c>
      <c r="AQ341" s="34">
        <f t="shared" si="317"/>
        <v>14.87</v>
      </c>
      <c r="AR341" s="34">
        <f t="shared" si="317"/>
        <v>1.17</v>
      </c>
      <c r="AS341" s="34">
        <f t="shared" si="317"/>
        <v>62.77</v>
      </c>
      <c r="AT341" s="35">
        <f t="shared" si="15"/>
        <v>100</v>
      </c>
      <c r="AV341" s="25">
        <f t="shared" si="87"/>
        <v>2990</v>
      </c>
    </row>
    <row r="342" ht="14.25" customHeight="1">
      <c r="B342" s="36"/>
      <c r="C342" s="22" t="s">
        <v>46</v>
      </c>
      <c r="D342" s="56"/>
      <c r="E342" s="22" t="s">
        <v>48</v>
      </c>
      <c r="F342" s="56"/>
      <c r="G342" s="22">
        <v>51.53</v>
      </c>
      <c r="H342" s="22">
        <v>6.36</v>
      </c>
      <c r="I342" s="22">
        <v>41.97</v>
      </c>
      <c r="J342" s="22">
        <v>0.12</v>
      </c>
      <c r="K342" s="22">
        <v>0.02</v>
      </c>
      <c r="L342" s="26">
        <f t="shared" si="75"/>
        <v>11.14</v>
      </c>
      <c r="M342" s="22">
        <v>77.76</v>
      </c>
      <c r="N342" s="22">
        <v>9.3</v>
      </c>
      <c r="O342" s="22">
        <v>1.8</v>
      </c>
      <c r="P342" s="22">
        <v>0.5</v>
      </c>
      <c r="Q342" s="22">
        <v>880.0</v>
      </c>
      <c r="R342" s="22" t="s">
        <v>51</v>
      </c>
      <c r="S342" s="58">
        <v>0.0</v>
      </c>
      <c r="T342" s="22">
        <v>17.62</v>
      </c>
      <c r="U342" s="25">
        <v>7.69</v>
      </c>
      <c r="V342" s="25">
        <v>15.82</v>
      </c>
      <c r="W342" s="22">
        <v>13.25</v>
      </c>
      <c r="X342" s="22">
        <v>1.24</v>
      </c>
      <c r="Y342" s="54">
        <f t="shared" si="274"/>
        <v>62</v>
      </c>
      <c r="Z342" s="22">
        <f t="shared" si="77"/>
        <v>0.3460207612</v>
      </c>
      <c r="AA342" s="22">
        <v>54.49</v>
      </c>
      <c r="AB342" s="22">
        <v>91.42</v>
      </c>
      <c r="AC342" s="25">
        <f t="shared" si="78"/>
        <v>3290</v>
      </c>
      <c r="AD342" s="22" t="s">
        <v>51</v>
      </c>
      <c r="AG342" s="33">
        <v>2.89</v>
      </c>
      <c r="AH342" s="33">
        <v>3.29</v>
      </c>
      <c r="AO342" s="34">
        <f t="shared" ref="AO342:AS342" si="318">U342</f>
        <v>7.69</v>
      </c>
      <c r="AP342" s="34">
        <f t="shared" si="318"/>
        <v>15.82</v>
      </c>
      <c r="AQ342" s="34">
        <f t="shared" si="318"/>
        <v>13.25</v>
      </c>
      <c r="AR342" s="34">
        <f t="shared" si="318"/>
        <v>1.24</v>
      </c>
      <c r="AS342" s="34">
        <f t="shared" si="318"/>
        <v>62</v>
      </c>
      <c r="AT342" s="35">
        <f t="shared" si="15"/>
        <v>100</v>
      </c>
      <c r="AV342" s="25">
        <f t="shared" si="87"/>
        <v>3290</v>
      </c>
    </row>
    <row r="343" ht="14.25" customHeight="1">
      <c r="B343" s="36"/>
      <c r="C343" s="22" t="s">
        <v>46</v>
      </c>
      <c r="D343" s="56"/>
      <c r="E343" s="22" t="s">
        <v>48</v>
      </c>
      <c r="F343" s="56"/>
      <c r="G343" s="22">
        <v>51.53</v>
      </c>
      <c r="H343" s="22">
        <v>6.36</v>
      </c>
      <c r="I343" s="22">
        <v>41.97</v>
      </c>
      <c r="J343" s="22">
        <v>0.12</v>
      </c>
      <c r="K343" s="22">
        <v>0.02</v>
      </c>
      <c r="L343" s="26">
        <f t="shared" si="75"/>
        <v>11.14</v>
      </c>
      <c r="M343" s="22">
        <v>77.76</v>
      </c>
      <c r="N343" s="22">
        <v>9.3</v>
      </c>
      <c r="O343" s="22">
        <v>1.8</v>
      </c>
      <c r="P343" s="22">
        <v>0.5</v>
      </c>
      <c r="Q343" s="22">
        <v>880.0</v>
      </c>
      <c r="R343" s="22" t="s">
        <v>51</v>
      </c>
      <c r="S343" s="58">
        <v>0.0</v>
      </c>
      <c r="T343" s="22">
        <v>17.62</v>
      </c>
      <c r="U343" s="25">
        <v>7.82</v>
      </c>
      <c r="V343" s="25">
        <v>15.67</v>
      </c>
      <c r="W343" s="22">
        <v>12.55</v>
      </c>
      <c r="X343" s="22">
        <v>1.8</v>
      </c>
      <c r="Y343" s="54">
        <f t="shared" si="274"/>
        <v>62.16</v>
      </c>
      <c r="Z343" s="22">
        <f t="shared" si="77"/>
        <v>0.3322259136</v>
      </c>
      <c r="AA343" s="22">
        <v>60.37</v>
      </c>
      <c r="AB343" s="22">
        <v>94.31</v>
      </c>
      <c r="AC343" s="25">
        <f t="shared" si="78"/>
        <v>3500</v>
      </c>
      <c r="AD343" s="22" t="s">
        <v>51</v>
      </c>
      <c r="AG343" s="33">
        <v>3.01</v>
      </c>
      <c r="AH343" s="33">
        <v>3.5</v>
      </c>
      <c r="AO343" s="34">
        <f t="shared" ref="AO343:AS343" si="319">U343</f>
        <v>7.82</v>
      </c>
      <c r="AP343" s="34">
        <f t="shared" si="319"/>
        <v>15.67</v>
      </c>
      <c r="AQ343" s="34">
        <f t="shared" si="319"/>
        <v>12.55</v>
      </c>
      <c r="AR343" s="34">
        <f t="shared" si="319"/>
        <v>1.8</v>
      </c>
      <c r="AS343" s="34">
        <f t="shared" si="319"/>
        <v>62.16</v>
      </c>
      <c r="AT343" s="35">
        <f t="shared" si="15"/>
        <v>100</v>
      </c>
      <c r="AV343" s="25">
        <f t="shared" si="87"/>
        <v>3500</v>
      </c>
    </row>
    <row r="344" ht="14.25" customHeight="1">
      <c r="B344" s="36"/>
      <c r="C344" s="22" t="s">
        <v>46</v>
      </c>
      <c r="D344" s="56"/>
      <c r="E344" s="22" t="s">
        <v>48</v>
      </c>
      <c r="F344" s="56"/>
      <c r="G344" s="22">
        <v>51.53</v>
      </c>
      <c r="H344" s="22">
        <v>6.36</v>
      </c>
      <c r="I344" s="22">
        <v>41.97</v>
      </c>
      <c r="J344" s="22">
        <v>0.12</v>
      </c>
      <c r="K344" s="22">
        <v>0.02</v>
      </c>
      <c r="L344" s="26">
        <f t="shared" si="75"/>
        <v>11.14</v>
      </c>
      <c r="M344" s="22">
        <v>77.76</v>
      </c>
      <c r="N344" s="22">
        <v>9.3</v>
      </c>
      <c r="O344" s="22">
        <v>1.8</v>
      </c>
      <c r="P344" s="22">
        <v>0.5</v>
      </c>
      <c r="Q344" s="22">
        <v>880.0</v>
      </c>
      <c r="R344" s="22" t="s">
        <v>51</v>
      </c>
      <c r="S344" s="58">
        <v>0.0</v>
      </c>
      <c r="T344" s="22">
        <v>17.62</v>
      </c>
      <c r="U344" s="25">
        <v>8.12</v>
      </c>
      <c r="V344" s="25">
        <v>16.32</v>
      </c>
      <c r="W344" s="22">
        <v>11.16</v>
      </c>
      <c r="X344" s="22">
        <v>2.14</v>
      </c>
      <c r="Y344" s="54">
        <f t="shared" si="274"/>
        <v>62.26</v>
      </c>
      <c r="Z344" s="22">
        <f t="shared" si="77"/>
        <v>0.3174603175</v>
      </c>
      <c r="AA344" s="22">
        <v>67.69</v>
      </c>
      <c r="AB344" s="22">
        <v>97.38</v>
      </c>
      <c r="AC344" s="25">
        <f t="shared" si="78"/>
        <v>3750</v>
      </c>
      <c r="AD344" s="22" t="s">
        <v>51</v>
      </c>
      <c r="AG344" s="33">
        <v>3.15</v>
      </c>
      <c r="AH344" s="33">
        <v>3.75</v>
      </c>
      <c r="AO344" s="34">
        <f t="shared" ref="AO344:AS344" si="320">U344</f>
        <v>8.12</v>
      </c>
      <c r="AP344" s="34">
        <f t="shared" si="320"/>
        <v>16.32</v>
      </c>
      <c r="AQ344" s="34">
        <f t="shared" si="320"/>
        <v>11.16</v>
      </c>
      <c r="AR344" s="34">
        <f t="shared" si="320"/>
        <v>2.14</v>
      </c>
      <c r="AS344" s="34">
        <f t="shared" si="320"/>
        <v>62.26</v>
      </c>
      <c r="AT344" s="35">
        <f t="shared" si="15"/>
        <v>100</v>
      </c>
      <c r="AV344" s="25">
        <f t="shared" si="87"/>
        <v>3750</v>
      </c>
    </row>
    <row r="345" ht="14.25" customHeight="1">
      <c r="B345" s="36"/>
      <c r="C345" s="22" t="s">
        <v>46</v>
      </c>
      <c r="D345" s="56"/>
      <c r="E345" s="22" t="s">
        <v>48</v>
      </c>
      <c r="F345" s="56"/>
      <c r="G345" s="22">
        <v>51.53</v>
      </c>
      <c r="H345" s="22">
        <v>6.36</v>
      </c>
      <c r="I345" s="22">
        <v>41.97</v>
      </c>
      <c r="J345" s="22">
        <v>0.12</v>
      </c>
      <c r="K345" s="22">
        <v>0.02</v>
      </c>
      <c r="L345" s="26">
        <f t="shared" si="75"/>
        <v>11.14</v>
      </c>
      <c r="M345" s="22">
        <v>77.76</v>
      </c>
      <c r="N345" s="22">
        <v>9.3</v>
      </c>
      <c r="O345" s="22">
        <v>1.8</v>
      </c>
      <c r="P345" s="22">
        <v>0.5</v>
      </c>
      <c r="Q345" s="22">
        <v>880.0</v>
      </c>
      <c r="R345" s="22" t="s">
        <v>51</v>
      </c>
      <c r="S345" s="58">
        <v>0.0</v>
      </c>
      <c r="T345" s="22">
        <v>17.62</v>
      </c>
      <c r="U345" s="25">
        <v>9.35</v>
      </c>
      <c r="V345" s="25">
        <v>17.73</v>
      </c>
      <c r="W345" s="22">
        <v>11.87</v>
      </c>
      <c r="X345" s="22">
        <v>2.62</v>
      </c>
      <c r="Y345" s="54">
        <f t="shared" si="274"/>
        <v>58.43</v>
      </c>
      <c r="Z345" s="22">
        <f t="shared" si="77"/>
        <v>0.3115264798</v>
      </c>
      <c r="AA345" s="22">
        <v>77.99</v>
      </c>
      <c r="AB345" s="22">
        <v>107.94</v>
      </c>
      <c r="AC345" s="25">
        <f t="shared" si="78"/>
        <v>4240</v>
      </c>
      <c r="AD345" s="22" t="s">
        <v>51</v>
      </c>
      <c r="AG345" s="33">
        <v>3.21</v>
      </c>
      <c r="AH345" s="33">
        <v>4.24</v>
      </c>
      <c r="AO345" s="34">
        <f t="shared" ref="AO345:AS345" si="321">U345</f>
        <v>9.35</v>
      </c>
      <c r="AP345" s="34">
        <f t="shared" si="321"/>
        <v>17.73</v>
      </c>
      <c r="AQ345" s="34">
        <f t="shared" si="321"/>
        <v>11.87</v>
      </c>
      <c r="AR345" s="34">
        <f t="shared" si="321"/>
        <v>2.62</v>
      </c>
      <c r="AS345" s="34">
        <f t="shared" si="321"/>
        <v>58.43</v>
      </c>
      <c r="AT345" s="35">
        <f t="shared" si="15"/>
        <v>100</v>
      </c>
      <c r="AV345" s="25">
        <f t="shared" si="87"/>
        <v>4240</v>
      </c>
    </row>
    <row r="346" ht="14.25" customHeight="1">
      <c r="B346" s="36"/>
      <c r="C346" s="22" t="s">
        <v>46</v>
      </c>
      <c r="D346" s="56"/>
      <c r="E346" s="22" t="s">
        <v>48</v>
      </c>
      <c r="F346" s="56"/>
      <c r="G346" s="22">
        <v>51.53</v>
      </c>
      <c r="H346" s="22">
        <v>6.36</v>
      </c>
      <c r="I346" s="22">
        <v>41.97</v>
      </c>
      <c r="J346" s="22">
        <v>0.12</v>
      </c>
      <c r="K346" s="22">
        <v>0.02</v>
      </c>
      <c r="L346" s="26">
        <f t="shared" si="75"/>
        <v>11.14</v>
      </c>
      <c r="M346" s="22">
        <v>77.76</v>
      </c>
      <c r="N346" s="22">
        <v>9.3</v>
      </c>
      <c r="O346" s="22">
        <v>1.8</v>
      </c>
      <c r="P346" s="22">
        <v>0.5</v>
      </c>
      <c r="Q346" s="22">
        <v>880.0</v>
      </c>
      <c r="R346" s="22" t="s">
        <v>51</v>
      </c>
      <c r="S346" s="58">
        <v>0.0</v>
      </c>
      <c r="T346" s="22">
        <v>17.62</v>
      </c>
      <c r="U346" s="25">
        <v>5.24</v>
      </c>
      <c r="V346" s="25">
        <v>12.62</v>
      </c>
      <c r="W346" s="22">
        <v>16.84</v>
      </c>
      <c r="X346" s="22">
        <v>0.98</v>
      </c>
      <c r="Y346" s="54">
        <f t="shared" si="274"/>
        <v>64.32</v>
      </c>
      <c r="Z346" s="22">
        <f t="shared" si="77"/>
        <v>0.3322259136</v>
      </c>
      <c r="AA346" s="22">
        <v>43.47</v>
      </c>
      <c r="AB346" s="22">
        <v>95.63</v>
      </c>
      <c r="AC346" s="25">
        <f t="shared" si="78"/>
        <v>2520</v>
      </c>
      <c r="AD346" s="22" t="s">
        <v>51</v>
      </c>
      <c r="AG346" s="33">
        <v>3.01</v>
      </c>
      <c r="AH346" s="33">
        <v>2.52</v>
      </c>
      <c r="AO346" s="34">
        <f t="shared" ref="AO346:AS346" si="322">U346</f>
        <v>5.24</v>
      </c>
      <c r="AP346" s="34">
        <f t="shared" si="322"/>
        <v>12.62</v>
      </c>
      <c r="AQ346" s="34">
        <f t="shared" si="322"/>
        <v>16.84</v>
      </c>
      <c r="AR346" s="34">
        <f t="shared" si="322"/>
        <v>0.98</v>
      </c>
      <c r="AS346" s="34">
        <f t="shared" si="322"/>
        <v>64.32</v>
      </c>
      <c r="AT346" s="35">
        <f t="shared" si="15"/>
        <v>100</v>
      </c>
      <c r="AV346" s="25">
        <f t="shared" si="87"/>
        <v>2520</v>
      </c>
    </row>
    <row r="347" ht="14.25" customHeight="1">
      <c r="B347" s="36"/>
      <c r="C347" s="22" t="s">
        <v>46</v>
      </c>
      <c r="D347" s="56"/>
      <c r="E347" s="22" t="s">
        <v>48</v>
      </c>
      <c r="F347" s="56"/>
      <c r="G347" s="22">
        <v>51.53</v>
      </c>
      <c r="H347" s="22">
        <v>6.36</v>
      </c>
      <c r="I347" s="22">
        <v>41.97</v>
      </c>
      <c r="J347" s="22">
        <v>0.12</v>
      </c>
      <c r="K347" s="22">
        <v>0.02</v>
      </c>
      <c r="L347" s="26">
        <f t="shared" si="75"/>
        <v>11.14</v>
      </c>
      <c r="M347" s="22">
        <v>77.76</v>
      </c>
      <c r="N347" s="22">
        <v>9.3</v>
      </c>
      <c r="O347" s="22">
        <v>1.8</v>
      </c>
      <c r="P347" s="22">
        <v>0.5</v>
      </c>
      <c r="Q347" s="22">
        <v>880.0</v>
      </c>
      <c r="R347" s="22" t="s">
        <v>51</v>
      </c>
      <c r="S347" s="58">
        <v>0.0</v>
      </c>
      <c r="T347" s="22">
        <v>17.62</v>
      </c>
      <c r="U347" s="25">
        <v>5.63</v>
      </c>
      <c r="V347" s="25">
        <v>12.39</v>
      </c>
      <c r="W347" s="22">
        <v>15.56</v>
      </c>
      <c r="X347" s="22">
        <v>1.25</v>
      </c>
      <c r="Y347" s="54">
        <f t="shared" si="274"/>
        <v>65.17</v>
      </c>
      <c r="Z347" s="22">
        <f t="shared" si="77"/>
        <v>0.293255132</v>
      </c>
      <c r="AA347" s="22">
        <v>51.59</v>
      </c>
      <c r="AB347" s="22">
        <v>103.92</v>
      </c>
      <c r="AC347" s="25">
        <f t="shared" si="78"/>
        <v>2640</v>
      </c>
      <c r="AD347" s="22" t="s">
        <v>51</v>
      </c>
      <c r="AG347" s="33">
        <v>3.41</v>
      </c>
      <c r="AH347" s="33">
        <v>2.64</v>
      </c>
      <c r="AO347" s="34">
        <f t="shared" ref="AO347:AS347" si="323">U347</f>
        <v>5.63</v>
      </c>
      <c r="AP347" s="34">
        <f t="shared" si="323"/>
        <v>12.39</v>
      </c>
      <c r="AQ347" s="34">
        <f t="shared" si="323"/>
        <v>15.56</v>
      </c>
      <c r="AR347" s="34">
        <f t="shared" si="323"/>
        <v>1.25</v>
      </c>
      <c r="AS347" s="34">
        <f t="shared" si="323"/>
        <v>65.17</v>
      </c>
      <c r="AT347" s="35">
        <f t="shared" si="15"/>
        <v>100</v>
      </c>
      <c r="AV347" s="25">
        <f t="shared" si="87"/>
        <v>2640</v>
      </c>
    </row>
    <row r="348" ht="14.25" customHeight="1">
      <c r="B348" s="36"/>
      <c r="C348" s="22" t="s">
        <v>46</v>
      </c>
      <c r="D348" s="56"/>
      <c r="E348" s="22" t="s">
        <v>48</v>
      </c>
      <c r="F348" s="56"/>
      <c r="G348" s="22">
        <v>51.53</v>
      </c>
      <c r="H348" s="22">
        <v>6.36</v>
      </c>
      <c r="I348" s="22">
        <v>41.97</v>
      </c>
      <c r="J348" s="22">
        <v>0.12</v>
      </c>
      <c r="K348" s="22">
        <v>0.02</v>
      </c>
      <c r="L348" s="26">
        <f t="shared" si="75"/>
        <v>11.14</v>
      </c>
      <c r="M348" s="22">
        <v>77.76</v>
      </c>
      <c r="N348" s="22">
        <v>9.3</v>
      </c>
      <c r="O348" s="22">
        <v>1.8</v>
      </c>
      <c r="P348" s="22">
        <v>0.5</v>
      </c>
      <c r="Q348" s="22">
        <v>880.0</v>
      </c>
      <c r="R348" s="22" t="s">
        <v>51</v>
      </c>
      <c r="S348" s="58">
        <v>0.0</v>
      </c>
      <c r="T348" s="22">
        <v>17.62</v>
      </c>
      <c r="U348" s="25">
        <v>6.87</v>
      </c>
      <c r="V348" s="25">
        <v>13.42</v>
      </c>
      <c r="W348" s="22">
        <v>14.24</v>
      </c>
      <c r="X348" s="22">
        <v>1.62</v>
      </c>
      <c r="Y348" s="54">
        <f t="shared" si="274"/>
        <v>63.85</v>
      </c>
      <c r="Z348" s="22">
        <f t="shared" si="77"/>
        <v>0.2770083102</v>
      </c>
      <c r="AA348" s="22">
        <v>63.1</v>
      </c>
      <c r="AB348" s="22">
        <v>110.31</v>
      </c>
      <c r="AC348" s="25">
        <f t="shared" si="78"/>
        <v>3050</v>
      </c>
      <c r="AD348" s="22" t="s">
        <v>51</v>
      </c>
      <c r="AG348" s="33">
        <v>3.61</v>
      </c>
      <c r="AH348" s="33">
        <v>3.05</v>
      </c>
      <c r="AO348" s="34">
        <f t="shared" ref="AO348:AS348" si="324">U348</f>
        <v>6.87</v>
      </c>
      <c r="AP348" s="34">
        <f t="shared" si="324"/>
        <v>13.42</v>
      </c>
      <c r="AQ348" s="34">
        <f t="shared" si="324"/>
        <v>14.24</v>
      </c>
      <c r="AR348" s="34">
        <f t="shared" si="324"/>
        <v>1.62</v>
      </c>
      <c r="AS348" s="34">
        <f t="shared" si="324"/>
        <v>63.85</v>
      </c>
      <c r="AT348" s="35">
        <f t="shared" si="15"/>
        <v>100</v>
      </c>
      <c r="AV348" s="25">
        <f t="shared" si="87"/>
        <v>3050</v>
      </c>
    </row>
    <row r="349" ht="14.25" customHeight="1">
      <c r="B349" s="36"/>
      <c r="C349" s="22" t="s">
        <v>46</v>
      </c>
      <c r="D349" s="56"/>
      <c r="E349" s="22" t="s">
        <v>48</v>
      </c>
      <c r="F349" s="56"/>
      <c r="G349" s="22">
        <v>51.53</v>
      </c>
      <c r="H349" s="22">
        <v>6.36</v>
      </c>
      <c r="I349" s="22">
        <v>41.97</v>
      </c>
      <c r="J349" s="22">
        <v>0.12</v>
      </c>
      <c r="K349" s="22">
        <v>0.02</v>
      </c>
      <c r="L349" s="26">
        <f t="shared" si="75"/>
        <v>11.14</v>
      </c>
      <c r="M349" s="22">
        <v>77.76</v>
      </c>
      <c r="N349" s="22">
        <v>9.3</v>
      </c>
      <c r="O349" s="22">
        <v>1.8</v>
      </c>
      <c r="P349" s="22">
        <v>0.5</v>
      </c>
      <c r="Q349" s="22">
        <v>880.0</v>
      </c>
      <c r="R349" s="22" t="s">
        <v>51</v>
      </c>
      <c r="S349" s="58">
        <v>0.0</v>
      </c>
      <c r="T349" s="22">
        <v>17.62</v>
      </c>
      <c r="U349" s="25">
        <v>7.29</v>
      </c>
      <c r="V349" s="25">
        <v>14.56</v>
      </c>
      <c r="W349" s="22">
        <v>12.63</v>
      </c>
      <c r="X349" s="22">
        <v>1.24</v>
      </c>
      <c r="Y349" s="54">
        <f t="shared" si="274"/>
        <v>64.28</v>
      </c>
      <c r="Z349" s="22">
        <f t="shared" si="77"/>
        <v>0.2801120448</v>
      </c>
      <c r="AA349" s="22">
        <v>63.22</v>
      </c>
      <c r="AB349" s="22">
        <v>105.93</v>
      </c>
      <c r="AC349" s="25">
        <f t="shared" si="78"/>
        <v>3090</v>
      </c>
      <c r="AD349" s="22" t="s">
        <v>51</v>
      </c>
      <c r="AG349" s="33">
        <v>3.57</v>
      </c>
      <c r="AH349" s="33">
        <v>3.09</v>
      </c>
      <c r="AO349" s="34">
        <f t="shared" ref="AO349:AS349" si="325">U349</f>
        <v>7.29</v>
      </c>
      <c r="AP349" s="34">
        <f t="shared" si="325"/>
        <v>14.56</v>
      </c>
      <c r="AQ349" s="34">
        <f t="shared" si="325"/>
        <v>12.63</v>
      </c>
      <c r="AR349" s="34">
        <f t="shared" si="325"/>
        <v>1.24</v>
      </c>
      <c r="AS349" s="34">
        <f t="shared" si="325"/>
        <v>64.28</v>
      </c>
      <c r="AT349" s="35">
        <f t="shared" si="15"/>
        <v>100</v>
      </c>
      <c r="AV349" s="25">
        <f t="shared" si="87"/>
        <v>3090</v>
      </c>
    </row>
    <row r="350" ht="14.25" customHeight="1">
      <c r="B350" s="36"/>
      <c r="C350" s="22" t="s">
        <v>46</v>
      </c>
      <c r="D350" s="56"/>
      <c r="E350" s="22" t="s">
        <v>48</v>
      </c>
      <c r="F350" s="56"/>
      <c r="G350" s="22">
        <v>51.53</v>
      </c>
      <c r="H350" s="22">
        <v>6.36</v>
      </c>
      <c r="I350" s="22">
        <v>41.97</v>
      </c>
      <c r="J350" s="22">
        <v>0.12</v>
      </c>
      <c r="K350" s="22">
        <v>0.02</v>
      </c>
      <c r="L350" s="26">
        <f t="shared" si="75"/>
        <v>11.14</v>
      </c>
      <c r="M350" s="22">
        <v>77.76</v>
      </c>
      <c r="N350" s="22">
        <v>9.3</v>
      </c>
      <c r="O350" s="22">
        <v>1.8</v>
      </c>
      <c r="P350" s="22">
        <v>0.5</v>
      </c>
      <c r="Q350" s="22">
        <v>880.0</v>
      </c>
      <c r="R350" s="22" t="s">
        <v>51</v>
      </c>
      <c r="S350" s="58">
        <v>0.0</v>
      </c>
      <c r="T350" s="22">
        <v>17.62</v>
      </c>
      <c r="U350" s="25">
        <v>7.38</v>
      </c>
      <c r="V350" s="25">
        <v>15.85</v>
      </c>
      <c r="W350" s="22">
        <v>12.81</v>
      </c>
      <c r="X350" s="22">
        <v>1.82</v>
      </c>
      <c r="Y350" s="54">
        <f t="shared" si="274"/>
        <v>62.14</v>
      </c>
      <c r="Z350" s="22">
        <f t="shared" si="77"/>
        <v>0.2747252747</v>
      </c>
      <c r="AA350" s="22">
        <v>72.59</v>
      </c>
      <c r="AB350" s="22">
        <v>115.79</v>
      </c>
      <c r="AC350" s="25">
        <f t="shared" si="78"/>
        <v>3480</v>
      </c>
      <c r="AD350" s="22" t="s">
        <v>51</v>
      </c>
      <c r="AG350" s="33">
        <v>3.64</v>
      </c>
      <c r="AH350" s="33">
        <v>3.48</v>
      </c>
      <c r="AO350" s="34">
        <f t="shared" ref="AO350:AS350" si="326">U350</f>
        <v>7.38</v>
      </c>
      <c r="AP350" s="34">
        <f t="shared" si="326"/>
        <v>15.85</v>
      </c>
      <c r="AQ350" s="34">
        <f t="shared" si="326"/>
        <v>12.81</v>
      </c>
      <c r="AR350" s="34">
        <f t="shared" si="326"/>
        <v>1.82</v>
      </c>
      <c r="AS350" s="34">
        <f t="shared" si="326"/>
        <v>62.14</v>
      </c>
      <c r="AT350" s="35">
        <f t="shared" si="15"/>
        <v>100</v>
      </c>
      <c r="AV350" s="25">
        <f t="shared" si="87"/>
        <v>3480</v>
      </c>
    </row>
    <row r="351" ht="14.25" customHeight="1">
      <c r="B351" s="36"/>
      <c r="C351" s="22" t="s">
        <v>46</v>
      </c>
      <c r="D351" s="56"/>
      <c r="E351" s="22" t="s">
        <v>48</v>
      </c>
      <c r="F351" s="56"/>
      <c r="G351" s="22">
        <v>51.53</v>
      </c>
      <c r="H351" s="22">
        <v>6.36</v>
      </c>
      <c r="I351" s="22">
        <v>41.97</v>
      </c>
      <c r="J351" s="22">
        <v>0.12</v>
      </c>
      <c r="K351" s="22">
        <v>0.02</v>
      </c>
      <c r="L351" s="26">
        <f t="shared" si="75"/>
        <v>11.14</v>
      </c>
      <c r="M351" s="22">
        <v>77.76</v>
      </c>
      <c r="N351" s="22">
        <v>9.3</v>
      </c>
      <c r="O351" s="22">
        <v>1.8</v>
      </c>
      <c r="P351" s="22">
        <v>0.5</v>
      </c>
      <c r="Q351" s="22">
        <v>880.0</v>
      </c>
      <c r="R351" s="22" t="s">
        <v>51</v>
      </c>
      <c r="S351" s="58">
        <v>0.0</v>
      </c>
      <c r="T351" s="22">
        <v>17.62</v>
      </c>
      <c r="U351" s="25">
        <v>8.42</v>
      </c>
      <c r="V351" s="25">
        <v>16.48</v>
      </c>
      <c r="W351" s="22">
        <v>12.33</v>
      </c>
      <c r="X351" s="22">
        <v>2.18</v>
      </c>
      <c r="Y351" s="54">
        <f t="shared" si="274"/>
        <v>60.59</v>
      </c>
      <c r="Z351" s="22">
        <f t="shared" si="77"/>
        <v>0.2702702703</v>
      </c>
      <c r="AA351" s="22">
        <v>80.99</v>
      </c>
      <c r="AB351" s="22">
        <v>119.67</v>
      </c>
      <c r="AC351" s="25">
        <f t="shared" si="78"/>
        <v>3820</v>
      </c>
      <c r="AD351" s="22" t="s">
        <v>51</v>
      </c>
      <c r="AG351" s="33">
        <v>3.7</v>
      </c>
      <c r="AH351" s="33">
        <v>3.82</v>
      </c>
      <c r="AO351" s="34">
        <f t="shared" ref="AO351:AS351" si="327">U351</f>
        <v>8.42</v>
      </c>
      <c r="AP351" s="34">
        <f t="shared" si="327"/>
        <v>16.48</v>
      </c>
      <c r="AQ351" s="34">
        <f t="shared" si="327"/>
        <v>12.33</v>
      </c>
      <c r="AR351" s="34">
        <f t="shared" si="327"/>
        <v>2.18</v>
      </c>
      <c r="AS351" s="34">
        <f t="shared" si="327"/>
        <v>60.59</v>
      </c>
      <c r="AT351" s="35">
        <f t="shared" si="15"/>
        <v>100</v>
      </c>
      <c r="AV351" s="25">
        <f t="shared" si="87"/>
        <v>3820</v>
      </c>
    </row>
    <row r="352" ht="14.25" customHeight="1">
      <c r="B352" s="36"/>
      <c r="C352" s="22" t="s">
        <v>46</v>
      </c>
      <c r="D352" s="56"/>
      <c r="E352" s="22" t="s">
        <v>48</v>
      </c>
      <c r="F352" s="56"/>
      <c r="G352" s="27">
        <f t="shared" ref="G352:G360" si="329">37.6*100/(100-O352)</f>
        <v>47</v>
      </c>
      <c r="H352" s="27">
        <f t="shared" ref="H352:H360" si="330">5.42*100/(100-O352)</f>
        <v>6.775</v>
      </c>
      <c r="I352" s="27">
        <f t="shared" ref="I352:I360" si="331">36.56*100/(100-O352)</f>
        <v>45.7</v>
      </c>
      <c r="J352" s="27">
        <f t="shared" ref="J352:J360" si="332">0.39*100/(100-O352)</f>
        <v>0.4875</v>
      </c>
      <c r="K352" s="27">
        <f t="shared" ref="K352:K360" si="333">0.03*100/(100-O352)</f>
        <v>0.0375</v>
      </c>
      <c r="L352" s="26">
        <f t="shared" si="75"/>
        <v>66.4</v>
      </c>
      <c r="M352" s="22">
        <v>13.6</v>
      </c>
      <c r="N352" s="64">
        <v>0.0</v>
      </c>
      <c r="O352" s="22">
        <v>20.0</v>
      </c>
      <c r="P352" s="22">
        <v>0.25</v>
      </c>
      <c r="Q352" s="22">
        <v>665.0</v>
      </c>
      <c r="R352" s="22" t="s">
        <v>51</v>
      </c>
      <c r="S352" s="61">
        <v>0.0</v>
      </c>
      <c r="T352" s="22">
        <v>14.22</v>
      </c>
      <c r="U352" s="25">
        <v>4.0</v>
      </c>
      <c r="V352" s="25">
        <v>19.2</v>
      </c>
      <c r="W352" s="22">
        <v>14.45</v>
      </c>
      <c r="X352" s="22">
        <v>2.9</v>
      </c>
      <c r="Y352" s="54">
        <f t="shared" si="274"/>
        <v>59.45</v>
      </c>
      <c r="Z352" s="22">
        <f t="shared" si="77"/>
        <v>0.6666666667</v>
      </c>
      <c r="AA352" s="22">
        <v>53.06</v>
      </c>
      <c r="AB352" s="22">
        <v>76.0</v>
      </c>
      <c r="AC352" s="25">
        <f t="shared" si="78"/>
        <v>5030</v>
      </c>
      <c r="AD352" s="22" t="s">
        <v>51</v>
      </c>
      <c r="AG352" s="33">
        <v>1.5</v>
      </c>
      <c r="AH352" s="33">
        <v>5.03</v>
      </c>
      <c r="AO352" s="34">
        <f t="shared" ref="AO352:AS352" si="328">U352</f>
        <v>4</v>
      </c>
      <c r="AP352" s="34">
        <f t="shared" si="328"/>
        <v>19.2</v>
      </c>
      <c r="AQ352" s="34">
        <f t="shared" si="328"/>
        <v>14.45</v>
      </c>
      <c r="AR352" s="34">
        <f t="shared" si="328"/>
        <v>2.9</v>
      </c>
      <c r="AS352" s="34">
        <f t="shared" si="328"/>
        <v>59.45</v>
      </c>
      <c r="AT352" s="35">
        <f t="shared" si="15"/>
        <v>100</v>
      </c>
      <c r="AV352" s="25">
        <f t="shared" si="87"/>
        <v>5030</v>
      </c>
    </row>
    <row r="353" ht="14.25" customHeight="1">
      <c r="B353" s="36"/>
      <c r="C353" s="22" t="s">
        <v>46</v>
      </c>
      <c r="D353" s="56"/>
      <c r="E353" s="22" t="s">
        <v>48</v>
      </c>
      <c r="F353" s="56"/>
      <c r="G353" s="27">
        <f t="shared" si="329"/>
        <v>47</v>
      </c>
      <c r="H353" s="27">
        <f t="shared" si="330"/>
        <v>6.775</v>
      </c>
      <c r="I353" s="27">
        <f t="shared" si="331"/>
        <v>45.7</v>
      </c>
      <c r="J353" s="27">
        <f t="shared" si="332"/>
        <v>0.4875</v>
      </c>
      <c r="K353" s="27">
        <f t="shared" si="333"/>
        <v>0.0375</v>
      </c>
      <c r="L353" s="26">
        <f t="shared" si="75"/>
        <v>66.4</v>
      </c>
      <c r="M353" s="22">
        <v>13.6</v>
      </c>
      <c r="N353" s="64">
        <v>0.0</v>
      </c>
      <c r="O353" s="22">
        <v>20.0</v>
      </c>
      <c r="P353" s="22">
        <v>0.3</v>
      </c>
      <c r="Q353" s="22">
        <v>744.0</v>
      </c>
      <c r="R353" s="22" t="s">
        <v>51</v>
      </c>
      <c r="S353" s="61">
        <v>0.0</v>
      </c>
      <c r="T353" s="22">
        <v>14.22</v>
      </c>
      <c r="U353" s="25">
        <v>3.78</v>
      </c>
      <c r="V353" s="25">
        <v>14.95</v>
      </c>
      <c r="W353" s="22">
        <v>16.25</v>
      </c>
      <c r="X353" s="22">
        <v>2.27</v>
      </c>
      <c r="Y353" s="54">
        <f t="shared" si="274"/>
        <v>62.75</v>
      </c>
      <c r="Z353" s="22">
        <f t="shared" si="77"/>
        <v>0.5780346821</v>
      </c>
      <c r="AA353" s="22">
        <v>46.6</v>
      </c>
      <c r="AB353" s="22">
        <v>78.3</v>
      </c>
      <c r="AC353" s="25">
        <f t="shared" si="78"/>
        <v>3830</v>
      </c>
      <c r="AD353" s="22" t="s">
        <v>51</v>
      </c>
      <c r="AG353" s="33">
        <v>1.73</v>
      </c>
      <c r="AH353" s="33">
        <v>3.83</v>
      </c>
      <c r="AO353" s="34">
        <f t="shared" ref="AO353:AS353" si="334">U353</f>
        <v>3.78</v>
      </c>
      <c r="AP353" s="34">
        <f t="shared" si="334"/>
        <v>14.95</v>
      </c>
      <c r="AQ353" s="34">
        <f t="shared" si="334"/>
        <v>16.25</v>
      </c>
      <c r="AR353" s="34">
        <f t="shared" si="334"/>
        <v>2.27</v>
      </c>
      <c r="AS353" s="34">
        <f t="shared" si="334"/>
        <v>62.75</v>
      </c>
      <c r="AT353" s="35">
        <f t="shared" si="15"/>
        <v>100</v>
      </c>
      <c r="AV353" s="25">
        <f t="shared" si="87"/>
        <v>3830</v>
      </c>
    </row>
    <row r="354" ht="14.25" customHeight="1">
      <c r="B354" s="36"/>
      <c r="C354" s="22" t="s">
        <v>46</v>
      </c>
      <c r="D354" s="56"/>
      <c r="E354" s="22" t="s">
        <v>48</v>
      </c>
      <c r="F354" s="56"/>
      <c r="G354" s="27">
        <f t="shared" si="329"/>
        <v>47</v>
      </c>
      <c r="H354" s="27">
        <f t="shared" si="330"/>
        <v>6.775</v>
      </c>
      <c r="I354" s="27">
        <f t="shared" si="331"/>
        <v>45.7</v>
      </c>
      <c r="J354" s="27">
        <f t="shared" si="332"/>
        <v>0.4875</v>
      </c>
      <c r="K354" s="27">
        <f t="shared" si="333"/>
        <v>0.0375</v>
      </c>
      <c r="L354" s="26">
        <f t="shared" si="75"/>
        <v>66.4</v>
      </c>
      <c r="M354" s="22">
        <v>13.6</v>
      </c>
      <c r="N354" s="64">
        <v>0.0</v>
      </c>
      <c r="O354" s="22">
        <v>20.0</v>
      </c>
      <c r="P354" s="22">
        <v>0.35</v>
      </c>
      <c r="Q354" s="22">
        <v>811.0</v>
      </c>
      <c r="R354" s="22" t="s">
        <v>51</v>
      </c>
      <c r="S354" s="61">
        <v>0.0</v>
      </c>
      <c r="T354" s="22">
        <v>14.22</v>
      </c>
      <c r="U354" s="25">
        <v>3.39</v>
      </c>
      <c r="V354" s="25">
        <v>12.75</v>
      </c>
      <c r="W354" s="22">
        <v>17.14</v>
      </c>
      <c r="X354" s="22">
        <v>1.98</v>
      </c>
      <c r="Y354" s="54">
        <f t="shared" si="274"/>
        <v>64.74</v>
      </c>
      <c r="Z354" s="22">
        <f t="shared" si="77"/>
        <v>0.5050505051</v>
      </c>
      <c r="AA354" s="22">
        <v>45.67</v>
      </c>
      <c r="AB354" s="22">
        <v>81.0</v>
      </c>
      <c r="AC354" s="25">
        <f t="shared" si="78"/>
        <v>3280</v>
      </c>
      <c r="AD354" s="22" t="s">
        <v>51</v>
      </c>
      <c r="AG354" s="33">
        <v>1.98</v>
      </c>
      <c r="AH354" s="33">
        <v>3.28</v>
      </c>
      <c r="AO354" s="34">
        <f t="shared" ref="AO354:AS354" si="335">U354</f>
        <v>3.39</v>
      </c>
      <c r="AP354" s="34">
        <f t="shared" si="335"/>
        <v>12.75</v>
      </c>
      <c r="AQ354" s="34">
        <f t="shared" si="335"/>
        <v>17.14</v>
      </c>
      <c r="AR354" s="34">
        <f t="shared" si="335"/>
        <v>1.98</v>
      </c>
      <c r="AS354" s="34">
        <f t="shared" si="335"/>
        <v>64.74</v>
      </c>
      <c r="AT354" s="35">
        <f t="shared" si="15"/>
        <v>100</v>
      </c>
      <c r="AV354" s="25">
        <f t="shared" si="87"/>
        <v>3280</v>
      </c>
    </row>
    <row r="355" ht="14.25" customHeight="1">
      <c r="B355" s="36"/>
      <c r="C355" s="22" t="s">
        <v>46</v>
      </c>
      <c r="D355" s="56"/>
      <c r="E355" s="22" t="s">
        <v>48</v>
      </c>
      <c r="F355" s="56"/>
      <c r="G355" s="27">
        <f t="shared" si="329"/>
        <v>47</v>
      </c>
      <c r="H355" s="27">
        <f t="shared" si="330"/>
        <v>6.775</v>
      </c>
      <c r="I355" s="27">
        <f t="shared" si="331"/>
        <v>45.7</v>
      </c>
      <c r="J355" s="27">
        <f t="shared" si="332"/>
        <v>0.4875</v>
      </c>
      <c r="K355" s="27">
        <f t="shared" si="333"/>
        <v>0.0375</v>
      </c>
      <c r="L355" s="26">
        <f t="shared" si="75"/>
        <v>66.4</v>
      </c>
      <c r="M355" s="22">
        <v>13.6</v>
      </c>
      <c r="N355" s="64">
        <v>0.0</v>
      </c>
      <c r="O355" s="22">
        <v>20.0</v>
      </c>
      <c r="P355" s="22">
        <v>0.25</v>
      </c>
      <c r="Q355" s="22">
        <v>670.0</v>
      </c>
      <c r="R355" s="22" t="s">
        <v>51</v>
      </c>
      <c r="S355" s="61">
        <v>0.0</v>
      </c>
      <c r="T355" s="22">
        <v>14.22</v>
      </c>
      <c r="U355" s="25">
        <v>3.77</v>
      </c>
      <c r="V355" s="25">
        <v>18.29</v>
      </c>
      <c r="W355" s="22">
        <v>14.5</v>
      </c>
      <c r="X355" s="22">
        <v>2.36</v>
      </c>
      <c r="Y355" s="54">
        <f t="shared" si="274"/>
        <v>61.08</v>
      </c>
      <c r="Z355" s="22">
        <f t="shared" si="77"/>
        <v>0.6711409396</v>
      </c>
      <c r="AA355" s="22">
        <v>45.89</v>
      </c>
      <c r="AB355" s="22">
        <v>70.4</v>
      </c>
      <c r="AC355" s="25">
        <f t="shared" si="78"/>
        <v>4380</v>
      </c>
      <c r="AD355" s="22" t="s">
        <v>51</v>
      </c>
      <c r="AG355" s="33">
        <v>1.49</v>
      </c>
      <c r="AH355" s="33">
        <v>4.38</v>
      </c>
      <c r="AO355" s="34">
        <f t="shared" ref="AO355:AS355" si="336">U355</f>
        <v>3.77</v>
      </c>
      <c r="AP355" s="34">
        <f t="shared" si="336"/>
        <v>18.29</v>
      </c>
      <c r="AQ355" s="34">
        <f t="shared" si="336"/>
        <v>14.5</v>
      </c>
      <c r="AR355" s="34">
        <f t="shared" si="336"/>
        <v>2.36</v>
      </c>
      <c r="AS355" s="34">
        <f t="shared" si="336"/>
        <v>61.08</v>
      </c>
      <c r="AT355" s="35">
        <f t="shared" si="15"/>
        <v>100</v>
      </c>
      <c r="AV355" s="25">
        <f t="shared" si="87"/>
        <v>4380</v>
      </c>
    </row>
    <row r="356" ht="14.25" customHeight="1">
      <c r="B356" s="36"/>
      <c r="C356" s="22" t="s">
        <v>46</v>
      </c>
      <c r="D356" s="56"/>
      <c r="E356" s="22" t="s">
        <v>48</v>
      </c>
      <c r="F356" s="56"/>
      <c r="G356" s="27">
        <f t="shared" si="329"/>
        <v>47</v>
      </c>
      <c r="H356" s="27">
        <f t="shared" si="330"/>
        <v>6.775</v>
      </c>
      <c r="I356" s="27">
        <f t="shared" si="331"/>
        <v>45.7</v>
      </c>
      <c r="J356" s="27">
        <f t="shared" si="332"/>
        <v>0.4875</v>
      </c>
      <c r="K356" s="27">
        <f t="shared" si="333"/>
        <v>0.0375</v>
      </c>
      <c r="L356" s="26">
        <f t="shared" si="75"/>
        <v>66.4</v>
      </c>
      <c r="M356" s="22">
        <v>13.6</v>
      </c>
      <c r="N356" s="64">
        <v>0.0</v>
      </c>
      <c r="O356" s="22">
        <v>20.0</v>
      </c>
      <c r="P356" s="22">
        <v>0.3</v>
      </c>
      <c r="Q356" s="22">
        <v>750.0</v>
      </c>
      <c r="R356" s="22" t="s">
        <v>51</v>
      </c>
      <c r="S356" s="61">
        <v>0.0</v>
      </c>
      <c r="T356" s="22">
        <v>14.22</v>
      </c>
      <c r="U356" s="25">
        <v>3.4</v>
      </c>
      <c r="V356" s="25">
        <v>14.23</v>
      </c>
      <c r="W356" s="22">
        <v>16.46</v>
      </c>
      <c r="X356" s="22">
        <v>2.0</v>
      </c>
      <c r="Y356" s="54">
        <f t="shared" si="274"/>
        <v>63.91</v>
      </c>
      <c r="Z356" s="22">
        <f t="shared" si="77"/>
        <v>0.5847953216</v>
      </c>
      <c r="AA356" s="22">
        <v>42.57</v>
      </c>
      <c r="AB356" s="22">
        <v>72.6</v>
      </c>
      <c r="AC356" s="25">
        <f t="shared" si="78"/>
        <v>3540</v>
      </c>
      <c r="AD356" s="22" t="s">
        <v>51</v>
      </c>
      <c r="AG356" s="33">
        <v>1.71</v>
      </c>
      <c r="AH356" s="33">
        <v>3.54</v>
      </c>
      <c r="AO356" s="34">
        <f t="shared" ref="AO356:AS356" si="337">U356</f>
        <v>3.4</v>
      </c>
      <c r="AP356" s="34">
        <f t="shared" si="337"/>
        <v>14.23</v>
      </c>
      <c r="AQ356" s="34">
        <f t="shared" si="337"/>
        <v>16.46</v>
      </c>
      <c r="AR356" s="34">
        <f t="shared" si="337"/>
        <v>2</v>
      </c>
      <c r="AS356" s="34">
        <f t="shared" si="337"/>
        <v>63.91</v>
      </c>
      <c r="AT356" s="35">
        <f t="shared" si="15"/>
        <v>100</v>
      </c>
      <c r="AV356" s="25">
        <f t="shared" si="87"/>
        <v>3540</v>
      </c>
    </row>
    <row r="357" ht="14.25" customHeight="1">
      <c r="B357" s="36"/>
      <c r="C357" s="22" t="s">
        <v>46</v>
      </c>
      <c r="D357" s="56"/>
      <c r="E357" s="22" t="s">
        <v>48</v>
      </c>
      <c r="F357" s="56"/>
      <c r="G357" s="27">
        <f t="shared" si="329"/>
        <v>47</v>
      </c>
      <c r="H357" s="27">
        <f t="shared" si="330"/>
        <v>6.775</v>
      </c>
      <c r="I357" s="27">
        <f t="shared" si="331"/>
        <v>45.7</v>
      </c>
      <c r="J357" s="27">
        <f t="shared" si="332"/>
        <v>0.4875</v>
      </c>
      <c r="K357" s="27">
        <f t="shared" si="333"/>
        <v>0.0375</v>
      </c>
      <c r="L357" s="26">
        <f t="shared" si="75"/>
        <v>66.4</v>
      </c>
      <c r="M357" s="22">
        <v>13.6</v>
      </c>
      <c r="N357" s="64">
        <v>0.0</v>
      </c>
      <c r="O357" s="22">
        <v>20.0</v>
      </c>
      <c r="P357" s="22">
        <v>0.35</v>
      </c>
      <c r="Q357" s="22">
        <v>822.0</v>
      </c>
      <c r="R357" s="22" t="s">
        <v>51</v>
      </c>
      <c r="S357" s="61">
        <v>0.0</v>
      </c>
      <c r="T357" s="22">
        <v>14.22</v>
      </c>
      <c r="U357" s="25">
        <v>3.26</v>
      </c>
      <c r="V357" s="25">
        <v>12.5</v>
      </c>
      <c r="W357" s="22">
        <v>17.23</v>
      </c>
      <c r="X357" s="22">
        <v>1.85</v>
      </c>
      <c r="Y357" s="54">
        <f t="shared" si="274"/>
        <v>65.16</v>
      </c>
      <c r="Z357" s="22">
        <f t="shared" si="77"/>
        <v>0.5076142132</v>
      </c>
      <c r="AA357" s="22">
        <v>43.64</v>
      </c>
      <c r="AB357" s="22">
        <v>78.6</v>
      </c>
      <c r="AC357" s="25">
        <f t="shared" si="78"/>
        <v>3150</v>
      </c>
      <c r="AD357" s="22" t="s">
        <v>51</v>
      </c>
      <c r="AG357" s="33">
        <v>1.97</v>
      </c>
      <c r="AH357" s="33">
        <v>3.15</v>
      </c>
      <c r="AO357" s="34">
        <f t="shared" ref="AO357:AS357" si="338">U357</f>
        <v>3.26</v>
      </c>
      <c r="AP357" s="34">
        <f t="shared" si="338"/>
        <v>12.5</v>
      </c>
      <c r="AQ357" s="34">
        <f t="shared" si="338"/>
        <v>17.23</v>
      </c>
      <c r="AR357" s="34">
        <f t="shared" si="338"/>
        <v>1.85</v>
      </c>
      <c r="AS357" s="34">
        <f t="shared" si="338"/>
        <v>65.16</v>
      </c>
      <c r="AT357" s="35">
        <f t="shared" si="15"/>
        <v>100</v>
      </c>
      <c r="AV357" s="25">
        <f t="shared" si="87"/>
        <v>3150</v>
      </c>
    </row>
    <row r="358" ht="14.25" customHeight="1">
      <c r="B358" s="36"/>
      <c r="C358" s="22" t="s">
        <v>46</v>
      </c>
      <c r="D358" s="56"/>
      <c r="E358" s="22" t="s">
        <v>48</v>
      </c>
      <c r="F358" s="56"/>
      <c r="G358" s="27">
        <f t="shared" si="329"/>
        <v>47</v>
      </c>
      <c r="H358" s="27">
        <f t="shared" si="330"/>
        <v>6.775</v>
      </c>
      <c r="I358" s="27">
        <f t="shared" si="331"/>
        <v>45.7</v>
      </c>
      <c r="J358" s="27">
        <f t="shared" si="332"/>
        <v>0.4875</v>
      </c>
      <c r="K358" s="27">
        <f t="shared" si="333"/>
        <v>0.0375</v>
      </c>
      <c r="L358" s="26">
        <f t="shared" si="75"/>
        <v>66.4</v>
      </c>
      <c r="M358" s="22">
        <v>13.6</v>
      </c>
      <c r="N358" s="64">
        <v>0.0</v>
      </c>
      <c r="O358" s="22">
        <v>20.0</v>
      </c>
      <c r="P358" s="22">
        <v>0.25</v>
      </c>
      <c r="Q358" s="22">
        <v>700.0</v>
      </c>
      <c r="R358" s="22" t="s">
        <v>51</v>
      </c>
      <c r="S358" s="61">
        <v>0.0</v>
      </c>
      <c r="T358" s="22">
        <v>14.22</v>
      </c>
      <c r="U358" s="25">
        <v>3.41</v>
      </c>
      <c r="V358" s="25">
        <v>15.13</v>
      </c>
      <c r="W358" s="22">
        <v>14.82</v>
      </c>
      <c r="X358" s="22">
        <v>2.0</v>
      </c>
      <c r="Y358" s="54">
        <f t="shared" si="274"/>
        <v>64.64</v>
      </c>
      <c r="Z358" s="22">
        <f t="shared" si="77"/>
        <v>0.7692307692</v>
      </c>
      <c r="AA358" s="22">
        <v>34.28</v>
      </c>
      <c r="AB358" s="22">
        <v>55.0</v>
      </c>
      <c r="AC358" s="25">
        <f t="shared" si="78"/>
        <v>3750</v>
      </c>
      <c r="AD358" s="22" t="s">
        <v>51</v>
      </c>
      <c r="AG358" s="33">
        <v>1.3</v>
      </c>
      <c r="AH358" s="33">
        <v>3.75</v>
      </c>
      <c r="AO358" s="34">
        <f t="shared" ref="AO358:AS358" si="339">U358</f>
        <v>3.41</v>
      </c>
      <c r="AP358" s="34">
        <f t="shared" si="339"/>
        <v>15.13</v>
      </c>
      <c r="AQ358" s="34">
        <f t="shared" si="339"/>
        <v>14.82</v>
      </c>
      <c r="AR358" s="34">
        <f t="shared" si="339"/>
        <v>2</v>
      </c>
      <c r="AS358" s="34">
        <f t="shared" si="339"/>
        <v>64.64</v>
      </c>
      <c r="AT358" s="35">
        <f t="shared" si="15"/>
        <v>100</v>
      </c>
      <c r="AV358" s="25">
        <f t="shared" si="87"/>
        <v>3750</v>
      </c>
    </row>
    <row r="359" ht="14.25" customHeight="1">
      <c r="B359" s="36"/>
      <c r="C359" s="22" t="s">
        <v>46</v>
      </c>
      <c r="D359" s="56"/>
      <c r="E359" s="22" t="s">
        <v>48</v>
      </c>
      <c r="F359" s="56"/>
      <c r="G359" s="27">
        <f t="shared" si="329"/>
        <v>47</v>
      </c>
      <c r="H359" s="27">
        <f t="shared" si="330"/>
        <v>6.775</v>
      </c>
      <c r="I359" s="27">
        <f t="shared" si="331"/>
        <v>45.7</v>
      </c>
      <c r="J359" s="27">
        <f t="shared" si="332"/>
        <v>0.4875</v>
      </c>
      <c r="K359" s="27">
        <f t="shared" si="333"/>
        <v>0.0375</v>
      </c>
      <c r="L359" s="26">
        <f t="shared" si="75"/>
        <v>66.4</v>
      </c>
      <c r="M359" s="22">
        <v>13.6</v>
      </c>
      <c r="N359" s="64">
        <v>0.0</v>
      </c>
      <c r="O359" s="22">
        <v>20.0</v>
      </c>
      <c r="P359" s="22">
        <v>0.3</v>
      </c>
      <c r="Q359" s="22">
        <v>766.0</v>
      </c>
      <c r="R359" s="22" t="s">
        <v>51</v>
      </c>
      <c r="S359" s="61">
        <v>0.0</v>
      </c>
      <c r="T359" s="22">
        <v>14.22</v>
      </c>
      <c r="U359" s="25">
        <v>3.32</v>
      </c>
      <c r="V359" s="25">
        <v>13.0</v>
      </c>
      <c r="W359" s="22">
        <v>16.62</v>
      </c>
      <c r="X359" s="22">
        <v>1.91</v>
      </c>
      <c r="Y359" s="54">
        <f t="shared" si="274"/>
        <v>65.15</v>
      </c>
      <c r="Z359" s="22">
        <f t="shared" si="77"/>
        <v>0.6666666667</v>
      </c>
      <c r="AA359" s="22">
        <v>35.44</v>
      </c>
      <c r="AB359" s="22">
        <v>66.0</v>
      </c>
      <c r="AC359" s="25">
        <f t="shared" si="78"/>
        <v>3360</v>
      </c>
      <c r="AD359" s="22" t="s">
        <v>51</v>
      </c>
      <c r="AG359" s="33">
        <v>1.5</v>
      </c>
      <c r="AH359" s="33">
        <v>3.36</v>
      </c>
      <c r="AO359" s="34">
        <f t="shared" ref="AO359:AS359" si="340">U359</f>
        <v>3.32</v>
      </c>
      <c r="AP359" s="34">
        <f t="shared" si="340"/>
        <v>13</v>
      </c>
      <c r="AQ359" s="34">
        <f t="shared" si="340"/>
        <v>16.62</v>
      </c>
      <c r="AR359" s="34">
        <f t="shared" si="340"/>
        <v>1.91</v>
      </c>
      <c r="AS359" s="34">
        <f t="shared" si="340"/>
        <v>65.15</v>
      </c>
      <c r="AT359" s="35">
        <f t="shared" si="15"/>
        <v>100</v>
      </c>
      <c r="AV359" s="25">
        <f t="shared" si="87"/>
        <v>3360</v>
      </c>
    </row>
    <row r="360" ht="14.25" customHeight="1">
      <c r="B360" s="36"/>
      <c r="C360" s="22" t="s">
        <v>46</v>
      </c>
      <c r="D360" s="56"/>
      <c r="E360" s="22" t="s">
        <v>48</v>
      </c>
      <c r="F360" s="56"/>
      <c r="G360" s="27">
        <f t="shared" si="329"/>
        <v>47</v>
      </c>
      <c r="H360" s="27">
        <f t="shared" si="330"/>
        <v>6.775</v>
      </c>
      <c r="I360" s="27">
        <f t="shared" si="331"/>
        <v>45.7</v>
      </c>
      <c r="J360" s="27">
        <f t="shared" si="332"/>
        <v>0.4875</v>
      </c>
      <c r="K360" s="27">
        <f t="shared" si="333"/>
        <v>0.0375</v>
      </c>
      <c r="L360" s="26">
        <f t="shared" si="75"/>
        <v>66.4</v>
      </c>
      <c r="M360" s="22">
        <v>13.6</v>
      </c>
      <c r="N360" s="64">
        <v>0.0</v>
      </c>
      <c r="O360" s="22">
        <v>20.0</v>
      </c>
      <c r="P360" s="22">
        <v>0.35</v>
      </c>
      <c r="Q360" s="22">
        <v>828.0</v>
      </c>
      <c r="R360" s="22" t="s">
        <v>51</v>
      </c>
      <c r="S360" s="61">
        <v>0.0</v>
      </c>
      <c r="T360" s="22">
        <v>14.22</v>
      </c>
      <c r="U360" s="25">
        <v>3.25</v>
      </c>
      <c r="V360" s="25">
        <v>12.29</v>
      </c>
      <c r="W360" s="22">
        <v>17.42</v>
      </c>
      <c r="X360" s="22">
        <v>1.84</v>
      </c>
      <c r="Y360" s="54">
        <f t="shared" si="274"/>
        <v>65.2</v>
      </c>
      <c r="Z360" s="22">
        <f t="shared" si="77"/>
        <v>0.5882352941</v>
      </c>
      <c r="AA360" s="22">
        <v>36.94</v>
      </c>
      <c r="AB360" s="22">
        <v>67.0</v>
      </c>
      <c r="AC360" s="25">
        <f t="shared" si="78"/>
        <v>3090</v>
      </c>
      <c r="AD360" s="22" t="s">
        <v>51</v>
      </c>
      <c r="AG360" s="33">
        <v>1.7</v>
      </c>
      <c r="AH360" s="33">
        <v>3.09</v>
      </c>
      <c r="AO360" s="34">
        <f t="shared" ref="AO360:AS360" si="341">U360</f>
        <v>3.25</v>
      </c>
      <c r="AP360" s="34">
        <f t="shared" si="341"/>
        <v>12.29</v>
      </c>
      <c r="AQ360" s="34">
        <f t="shared" si="341"/>
        <v>17.42</v>
      </c>
      <c r="AR360" s="34">
        <f t="shared" si="341"/>
        <v>1.84</v>
      </c>
      <c r="AS360" s="34">
        <f t="shared" si="341"/>
        <v>65.2</v>
      </c>
      <c r="AT360" s="35">
        <f t="shared" si="15"/>
        <v>100</v>
      </c>
      <c r="AV360" s="25">
        <f t="shared" si="87"/>
        <v>3090</v>
      </c>
    </row>
    <row r="361" ht="14.25" customHeight="1">
      <c r="B361" s="36"/>
      <c r="C361" s="22" t="s">
        <v>46</v>
      </c>
      <c r="D361" s="56"/>
      <c r="E361" s="22" t="s">
        <v>48</v>
      </c>
      <c r="F361" s="56"/>
      <c r="G361" s="65">
        <v>77.55</v>
      </c>
      <c r="H361" s="65">
        <v>4.3</v>
      </c>
      <c r="I361" s="65">
        <v>17.88</v>
      </c>
      <c r="J361" s="65">
        <v>0.22</v>
      </c>
      <c r="K361" s="65">
        <v>0.05</v>
      </c>
      <c r="L361" s="66">
        <f t="shared" si="75"/>
        <v>0</v>
      </c>
      <c r="M361" s="65">
        <v>91.1</v>
      </c>
      <c r="N361" s="65">
        <v>6.2</v>
      </c>
      <c r="O361" s="65">
        <v>2.7</v>
      </c>
      <c r="P361" s="22">
        <v>0.25</v>
      </c>
      <c r="Q361" s="22">
        <v>975.0</v>
      </c>
      <c r="R361" s="22" t="s">
        <v>51</v>
      </c>
      <c r="S361" s="61">
        <v>0.0</v>
      </c>
      <c r="T361" s="22">
        <v>15.38</v>
      </c>
      <c r="U361" s="25">
        <v>12.39</v>
      </c>
      <c r="V361" s="25">
        <v>13.96</v>
      </c>
      <c r="W361" s="22">
        <v>14.08</v>
      </c>
      <c r="X361" s="22">
        <v>0.56</v>
      </c>
      <c r="Y361" s="54">
        <f t="shared" si="274"/>
        <v>59.01</v>
      </c>
      <c r="Z361" s="22">
        <f t="shared" si="77"/>
        <v>0.3861003861</v>
      </c>
      <c r="AA361" s="22">
        <v>44.23</v>
      </c>
      <c r="AB361" s="22">
        <v>56.12</v>
      </c>
      <c r="AC361" s="25">
        <f t="shared" si="78"/>
        <v>3690</v>
      </c>
      <c r="AD361" s="22" t="s">
        <v>51</v>
      </c>
      <c r="AG361" s="33">
        <v>2.59</v>
      </c>
      <c r="AH361" s="33">
        <v>3.69</v>
      </c>
      <c r="AO361" s="34">
        <f t="shared" ref="AO361:AS361" si="342">U361</f>
        <v>12.39</v>
      </c>
      <c r="AP361" s="34">
        <f t="shared" si="342"/>
        <v>13.96</v>
      </c>
      <c r="AQ361" s="34">
        <f t="shared" si="342"/>
        <v>14.08</v>
      </c>
      <c r="AR361" s="34">
        <f t="shared" si="342"/>
        <v>0.56</v>
      </c>
      <c r="AS361" s="34">
        <f t="shared" si="342"/>
        <v>59.01</v>
      </c>
      <c r="AT361" s="35">
        <f t="shared" si="15"/>
        <v>100</v>
      </c>
      <c r="AV361" s="25">
        <f t="shared" si="87"/>
        <v>3690</v>
      </c>
    </row>
    <row r="362" ht="14.25" customHeight="1">
      <c r="B362" s="36"/>
      <c r="C362" s="22" t="s">
        <v>46</v>
      </c>
      <c r="D362" s="56"/>
      <c r="E362" s="22" t="s">
        <v>48</v>
      </c>
      <c r="F362" s="56"/>
      <c r="G362" s="65">
        <v>77.55</v>
      </c>
      <c r="H362" s="65">
        <v>4.3</v>
      </c>
      <c r="I362" s="65">
        <v>17.88</v>
      </c>
      <c r="J362" s="65">
        <v>0.22</v>
      </c>
      <c r="K362" s="65">
        <v>0.05</v>
      </c>
      <c r="L362" s="66">
        <f t="shared" si="75"/>
        <v>0</v>
      </c>
      <c r="M362" s="65">
        <v>91.1</v>
      </c>
      <c r="N362" s="65">
        <v>6.2</v>
      </c>
      <c r="O362" s="65">
        <v>2.7</v>
      </c>
      <c r="P362" s="22">
        <v>0.25</v>
      </c>
      <c r="Q362" s="22">
        <v>975.0</v>
      </c>
      <c r="R362" s="22" t="s">
        <v>51</v>
      </c>
      <c r="S362" s="61">
        <v>0.0</v>
      </c>
      <c r="T362" s="22">
        <v>15.38</v>
      </c>
      <c r="U362" s="25">
        <v>13.01</v>
      </c>
      <c r="V362" s="25">
        <v>14.44</v>
      </c>
      <c r="W362" s="22">
        <v>13.66</v>
      </c>
      <c r="X362" s="22">
        <v>0.69</v>
      </c>
      <c r="Y362" s="54">
        <f t="shared" si="274"/>
        <v>58.2</v>
      </c>
      <c r="Z362" s="22">
        <f t="shared" si="77"/>
        <v>0.3891050584</v>
      </c>
      <c r="AA362" s="22">
        <v>46.34</v>
      </c>
      <c r="AB362" s="22">
        <v>56.17</v>
      </c>
      <c r="AC362" s="25">
        <f t="shared" si="78"/>
        <v>3890</v>
      </c>
      <c r="AD362" s="22" t="s">
        <v>51</v>
      </c>
      <c r="AG362" s="33">
        <v>2.57</v>
      </c>
      <c r="AH362" s="33">
        <v>3.89</v>
      </c>
      <c r="AO362" s="34">
        <f t="shared" ref="AO362:AS362" si="343">U362</f>
        <v>13.01</v>
      </c>
      <c r="AP362" s="34">
        <f t="shared" si="343"/>
        <v>14.44</v>
      </c>
      <c r="AQ362" s="34">
        <f t="shared" si="343"/>
        <v>13.66</v>
      </c>
      <c r="AR362" s="34">
        <f t="shared" si="343"/>
        <v>0.69</v>
      </c>
      <c r="AS362" s="34">
        <f t="shared" si="343"/>
        <v>58.2</v>
      </c>
      <c r="AT362" s="35">
        <f t="shared" si="15"/>
        <v>100</v>
      </c>
      <c r="AV362" s="25">
        <f t="shared" si="87"/>
        <v>3890</v>
      </c>
    </row>
    <row r="363" ht="14.25" customHeight="1">
      <c r="B363" s="36"/>
      <c r="C363" s="22" t="s">
        <v>46</v>
      </c>
      <c r="D363" s="56"/>
      <c r="E363" s="22" t="s">
        <v>48</v>
      </c>
      <c r="F363" s="56"/>
      <c r="G363" s="65">
        <v>77.55</v>
      </c>
      <c r="H363" s="65">
        <v>4.3</v>
      </c>
      <c r="I363" s="65">
        <v>17.88</v>
      </c>
      <c r="J363" s="65">
        <v>0.22</v>
      </c>
      <c r="K363" s="65">
        <v>0.05</v>
      </c>
      <c r="L363" s="66">
        <f t="shared" si="75"/>
        <v>0</v>
      </c>
      <c r="M363" s="65">
        <v>91.1</v>
      </c>
      <c r="N363" s="65">
        <v>6.2</v>
      </c>
      <c r="O363" s="65">
        <v>2.7</v>
      </c>
      <c r="P363" s="22">
        <v>0.25</v>
      </c>
      <c r="Q363" s="22">
        <v>975.0</v>
      </c>
      <c r="R363" s="22" t="s">
        <v>51</v>
      </c>
      <c r="S363" s="61">
        <v>0.0</v>
      </c>
      <c r="T363" s="22">
        <v>15.38</v>
      </c>
      <c r="U363" s="25">
        <v>11.36</v>
      </c>
      <c r="V363" s="25">
        <v>12.31</v>
      </c>
      <c r="W363" s="22">
        <v>15.42</v>
      </c>
      <c r="X363" s="22">
        <v>0.57</v>
      </c>
      <c r="Y363" s="54">
        <f t="shared" si="274"/>
        <v>60.34</v>
      </c>
      <c r="Z363" s="22">
        <f t="shared" si="77"/>
        <v>0.3861003861</v>
      </c>
      <c r="AA363" s="22">
        <v>40.07</v>
      </c>
      <c r="AB363" s="22">
        <v>55.54</v>
      </c>
      <c r="AC363" s="25">
        <f t="shared" si="78"/>
        <v>3350</v>
      </c>
      <c r="AD363" s="22" t="s">
        <v>51</v>
      </c>
      <c r="AG363" s="33">
        <v>2.59</v>
      </c>
      <c r="AH363" s="33">
        <v>3.35</v>
      </c>
      <c r="AO363" s="34">
        <f t="shared" ref="AO363:AS363" si="344">U363</f>
        <v>11.36</v>
      </c>
      <c r="AP363" s="34">
        <f t="shared" si="344"/>
        <v>12.31</v>
      </c>
      <c r="AQ363" s="34">
        <f t="shared" si="344"/>
        <v>15.42</v>
      </c>
      <c r="AR363" s="34">
        <f t="shared" si="344"/>
        <v>0.57</v>
      </c>
      <c r="AS363" s="34">
        <f t="shared" si="344"/>
        <v>60.34</v>
      </c>
      <c r="AT363" s="35">
        <f t="shared" si="15"/>
        <v>100</v>
      </c>
      <c r="AV363" s="25">
        <f t="shared" si="87"/>
        <v>3350</v>
      </c>
    </row>
    <row r="364" ht="14.25" customHeight="1">
      <c r="B364" s="36"/>
      <c r="C364" s="22" t="s">
        <v>46</v>
      </c>
      <c r="D364" s="56"/>
      <c r="E364" s="22" t="s">
        <v>48</v>
      </c>
      <c r="F364" s="56"/>
      <c r="G364" s="65">
        <v>77.55</v>
      </c>
      <c r="H364" s="65">
        <v>4.3</v>
      </c>
      <c r="I364" s="65">
        <v>17.88</v>
      </c>
      <c r="J364" s="65">
        <v>0.22</v>
      </c>
      <c r="K364" s="65">
        <v>0.05</v>
      </c>
      <c r="L364" s="66">
        <f t="shared" si="75"/>
        <v>0</v>
      </c>
      <c r="M364" s="65">
        <v>91.1</v>
      </c>
      <c r="N364" s="65">
        <v>6.2</v>
      </c>
      <c r="O364" s="65">
        <v>2.7</v>
      </c>
      <c r="P364" s="22">
        <v>0.25</v>
      </c>
      <c r="Q364" s="22">
        <v>975.0</v>
      </c>
      <c r="R364" s="22" t="s">
        <v>51</v>
      </c>
      <c r="S364" s="61">
        <v>0.0</v>
      </c>
      <c r="T364" s="22">
        <v>15.38</v>
      </c>
      <c r="U364" s="25">
        <v>12.74</v>
      </c>
      <c r="V364" s="25">
        <v>12.79</v>
      </c>
      <c r="W364" s="22">
        <v>13.9</v>
      </c>
      <c r="X364" s="22">
        <v>0.94</v>
      </c>
      <c r="Y364" s="54">
        <f t="shared" si="274"/>
        <v>59.63</v>
      </c>
      <c r="Z364" s="22">
        <f t="shared" si="77"/>
        <v>0.3717472119</v>
      </c>
      <c r="AA364" s="22">
        <v>46.6</v>
      </c>
      <c r="AB364" s="22">
        <v>56.36</v>
      </c>
      <c r="AC364" s="25">
        <f t="shared" si="78"/>
        <v>3740</v>
      </c>
      <c r="AD364" s="22" t="s">
        <v>51</v>
      </c>
      <c r="AG364" s="33">
        <v>2.69</v>
      </c>
      <c r="AH364" s="33">
        <v>3.74</v>
      </c>
      <c r="AO364" s="34">
        <f t="shared" ref="AO364:AS364" si="345">U364</f>
        <v>12.74</v>
      </c>
      <c r="AP364" s="34">
        <f t="shared" si="345"/>
        <v>12.79</v>
      </c>
      <c r="AQ364" s="34">
        <f t="shared" si="345"/>
        <v>13.9</v>
      </c>
      <c r="AR364" s="34">
        <f t="shared" si="345"/>
        <v>0.94</v>
      </c>
      <c r="AS364" s="34">
        <f t="shared" si="345"/>
        <v>59.63</v>
      </c>
      <c r="AT364" s="35">
        <f t="shared" si="15"/>
        <v>100</v>
      </c>
      <c r="AV364" s="25">
        <f t="shared" si="87"/>
        <v>3740</v>
      </c>
    </row>
    <row r="365" ht="14.25" customHeight="1">
      <c r="B365" s="36"/>
      <c r="C365" s="22" t="s">
        <v>46</v>
      </c>
      <c r="D365" s="56"/>
      <c r="E365" s="22" t="s">
        <v>48</v>
      </c>
      <c r="F365" s="56"/>
      <c r="G365" s="65">
        <v>77.55</v>
      </c>
      <c r="H365" s="65">
        <v>4.3</v>
      </c>
      <c r="I365" s="65">
        <v>17.88</v>
      </c>
      <c r="J365" s="65">
        <v>0.22</v>
      </c>
      <c r="K365" s="65">
        <v>0.05</v>
      </c>
      <c r="L365" s="66">
        <f t="shared" si="75"/>
        <v>0</v>
      </c>
      <c r="M365" s="65">
        <v>91.1</v>
      </c>
      <c r="N365" s="65">
        <v>6.2</v>
      </c>
      <c r="O365" s="65">
        <v>2.7</v>
      </c>
      <c r="P365" s="22">
        <v>0.25</v>
      </c>
      <c r="Q365" s="22">
        <v>975.0</v>
      </c>
      <c r="R365" s="22" t="s">
        <v>51</v>
      </c>
      <c r="S365" s="61">
        <v>0.0</v>
      </c>
      <c r="T365" s="22">
        <v>15.38</v>
      </c>
      <c r="U365" s="25">
        <v>11.89</v>
      </c>
      <c r="V365" s="25">
        <v>16.02</v>
      </c>
      <c r="W365" s="22">
        <v>13.62</v>
      </c>
      <c r="X365" s="22">
        <v>0.77</v>
      </c>
      <c r="Y365" s="54">
        <f t="shared" si="274"/>
        <v>57.7</v>
      </c>
      <c r="Z365" s="22">
        <f t="shared" si="77"/>
        <v>0.3546099291</v>
      </c>
      <c r="AA365" s="22">
        <v>52.04</v>
      </c>
      <c r="AB365" s="22">
        <v>65.1</v>
      </c>
      <c r="AC365" s="25">
        <f t="shared" si="78"/>
        <v>3990</v>
      </c>
      <c r="AD365" s="22" t="s">
        <v>51</v>
      </c>
      <c r="AG365" s="33">
        <v>2.82</v>
      </c>
      <c r="AH365" s="33">
        <v>3.99</v>
      </c>
      <c r="AO365" s="34">
        <f t="shared" ref="AO365:AS365" si="346">U365</f>
        <v>11.89</v>
      </c>
      <c r="AP365" s="34">
        <f t="shared" si="346"/>
        <v>16.02</v>
      </c>
      <c r="AQ365" s="34">
        <f t="shared" si="346"/>
        <v>13.62</v>
      </c>
      <c r="AR365" s="34">
        <f t="shared" si="346"/>
        <v>0.77</v>
      </c>
      <c r="AS365" s="34">
        <f t="shared" si="346"/>
        <v>57.7</v>
      </c>
      <c r="AT365" s="35">
        <f t="shared" si="15"/>
        <v>100</v>
      </c>
      <c r="AV365" s="25">
        <f t="shared" si="87"/>
        <v>3990</v>
      </c>
    </row>
    <row r="366" ht="14.25" customHeight="1">
      <c r="B366" s="36"/>
      <c r="C366" s="22" t="s">
        <v>46</v>
      </c>
      <c r="D366" s="56"/>
      <c r="E366" s="22" t="s">
        <v>48</v>
      </c>
      <c r="F366" s="56"/>
      <c r="G366" s="65">
        <v>77.55</v>
      </c>
      <c r="H366" s="65">
        <v>4.3</v>
      </c>
      <c r="I366" s="65">
        <v>17.88</v>
      </c>
      <c r="J366" s="65">
        <v>0.22</v>
      </c>
      <c r="K366" s="65">
        <v>0.05</v>
      </c>
      <c r="L366" s="66">
        <f t="shared" si="75"/>
        <v>0</v>
      </c>
      <c r="M366" s="65">
        <v>91.1</v>
      </c>
      <c r="N366" s="65">
        <v>6.2</v>
      </c>
      <c r="O366" s="65">
        <v>2.7</v>
      </c>
      <c r="P366" s="22">
        <v>0.25</v>
      </c>
      <c r="Q366" s="22">
        <v>975.0</v>
      </c>
      <c r="R366" s="22" t="s">
        <v>51</v>
      </c>
      <c r="S366" s="61">
        <v>0.0</v>
      </c>
      <c r="T366" s="22">
        <v>15.38</v>
      </c>
      <c r="U366" s="25">
        <v>12.43</v>
      </c>
      <c r="V366" s="25">
        <v>13.79</v>
      </c>
      <c r="W366" s="22">
        <v>13.9</v>
      </c>
      <c r="X366" s="22">
        <v>0.68</v>
      </c>
      <c r="Y366" s="54">
        <f t="shared" si="274"/>
        <v>59.2</v>
      </c>
      <c r="Z366" s="22">
        <f t="shared" si="77"/>
        <v>0.3649635036</v>
      </c>
      <c r="AA366" s="22">
        <v>47.22</v>
      </c>
      <c r="AB366" s="22">
        <v>58.92</v>
      </c>
      <c r="AC366" s="25">
        <f t="shared" si="78"/>
        <v>3730</v>
      </c>
      <c r="AD366" s="22" t="s">
        <v>51</v>
      </c>
      <c r="AG366" s="33">
        <v>2.74</v>
      </c>
      <c r="AH366" s="33">
        <v>3.73</v>
      </c>
      <c r="AO366" s="34">
        <f t="shared" ref="AO366:AS366" si="347">U366</f>
        <v>12.43</v>
      </c>
      <c r="AP366" s="34">
        <f t="shared" si="347"/>
        <v>13.79</v>
      </c>
      <c r="AQ366" s="34">
        <f t="shared" si="347"/>
        <v>13.9</v>
      </c>
      <c r="AR366" s="34">
        <f t="shared" si="347"/>
        <v>0.68</v>
      </c>
      <c r="AS366" s="34">
        <f t="shared" si="347"/>
        <v>59.2</v>
      </c>
      <c r="AT366" s="35">
        <f t="shared" si="15"/>
        <v>100</v>
      </c>
      <c r="AV366" s="25">
        <f t="shared" si="87"/>
        <v>3730</v>
      </c>
    </row>
    <row r="367" ht="14.25" customHeight="1">
      <c r="B367" s="36"/>
      <c r="C367" s="22" t="s">
        <v>46</v>
      </c>
      <c r="D367" s="56"/>
      <c r="E367" s="22" t="s">
        <v>48</v>
      </c>
      <c r="F367" s="56"/>
      <c r="G367" s="65">
        <v>77.55</v>
      </c>
      <c r="H367" s="65">
        <v>4.3</v>
      </c>
      <c r="I367" s="65">
        <v>17.88</v>
      </c>
      <c r="J367" s="65">
        <v>0.22</v>
      </c>
      <c r="K367" s="65">
        <v>0.05</v>
      </c>
      <c r="L367" s="66">
        <f t="shared" si="75"/>
        <v>0</v>
      </c>
      <c r="M367" s="65">
        <v>91.1</v>
      </c>
      <c r="N367" s="65">
        <v>6.2</v>
      </c>
      <c r="O367" s="65">
        <v>2.7</v>
      </c>
      <c r="P367" s="22">
        <v>0.25</v>
      </c>
      <c r="Q367" s="22">
        <v>975.0</v>
      </c>
      <c r="R367" s="22" t="s">
        <v>51</v>
      </c>
      <c r="S367" s="61">
        <v>0.0</v>
      </c>
      <c r="T367" s="22">
        <v>15.38</v>
      </c>
      <c r="U367" s="25">
        <v>13.48</v>
      </c>
      <c r="V367" s="25">
        <v>14.77</v>
      </c>
      <c r="W367" s="22">
        <v>13.86</v>
      </c>
      <c r="X367" s="22">
        <v>0.93</v>
      </c>
      <c r="Y367" s="54">
        <f t="shared" si="274"/>
        <v>56.96</v>
      </c>
      <c r="Z367" s="22">
        <f t="shared" si="77"/>
        <v>0.3802281369</v>
      </c>
      <c r="AA367" s="22">
        <v>49.78</v>
      </c>
      <c r="AB367" s="22">
        <v>58.83</v>
      </c>
      <c r="AC367" s="25">
        <f t="shared" si="78"/>
        <v>4100</v>
      </c>
      <c r="AD367" s="22" t="s">
        <v>51</v>
      </c>
      <c r="AG367" s="33">
        <v>2.63</v>
      </c>
      <c r="AH367" s="33">
        <v>4.1</v>
      </c>
      <c r="AO367" s="34">
        <f t="shared" ref="AO367:AS367" si="348">U367</f>
        <v>13.48</v>
      </c>
      <c r="AP367" s="34">
        <f t="shared" si="348"/>
        <v>14.77</v>
      </c>
      <c r="AQ367" s="34">
        <f t="shared" si="348"/>
        <v>13.86</v>
      </c>
      <c r="AR367" s="34">
        <f t="shared" si="348"/>
        <v>0.93</v>
      </c>
      <c r="AS367" s="34">
        <f t="shared" si="348"/>
        <v>56.96</v>
      </c>
      <c r="AT367" s="35">
        <f t="shared" si="15"/>
        <v>100</v>
      </c>
      <c r="AV367" s="25">
        <f t="shared" si="87"/>
        <v>4100</v>
      </c>
    </row>
    <row r="368" ht="14.25" customHeight="1">
      <c r="B368" s="36"/>
      <c r="C368" s="22" t="s">
        <v>46</v>
      </c>
      <c r="D368" s="56"/>
      <c r="E368" s="22" t="s">
        <v>48</v>
      </c>
      <c r="F368" s="56"/>
      <c r="G368" s="65">
        <v>77.55</v>
      </c>
      <c r="H368" s="65">
        <v>4.3</v>
      </c>
      <c r="I368" s="65">
        <v>17.88</v>
      </c>
      <c r="J368" s="65">
        <v>0.22</v>
      </c>
      <c r="K368" s="65">
        <v>0.05</v>
      </c>
      <c r="L368" s="66">
        <f t="shared" si="75"/>
        <v>0</v>
      </c>
      <c r="M368" s="65">
        <v>91.1</v>
      </c>
      <c r="N368" s="65">
        <v>6.2</v>
      </c>
      <c r="O368" s="65">
        <v>2.7</v>
      </c>
      <c r="P368" s="22">
        <v>0.25</v>
      </c>
      <c r="Q368" s="22">
        <v>975.0</v>
      </c>
      <c r="R368" s="22" t="s">
        <v>51</v>
      </c>
      <c r="S368" s="61">
        <v>0.0</v>
      </c>
      <c r="T368" s="22">
        <v>15.38</v>
      </c>
      <c r="U368" s="25">
        <v>12.6</v>
      </c>
      <c r="V368" s="25">
        <v>15.64</v>
      </c>
      <c r="W368" s="22">
        <v>14.75</v>
      </c>
      <c r="X368" s="22">
        <v>0.61</v>
      </c>
      <c r="Y368" s="54">
        <f t="shared" si="274"/>
        <v>56.4</v>
      </c>
      <c r="Z368" s="22">
        <f t="shared" si="77"/>
        <v>0.3663003663</v>
      </c>
      <c r="AA368" s="22">
        <v>50.11</v>
      </c>
      <c r="AB368" s="22">
        <v>64.25</v>
      </c>
      <c r="AC368" s="25">
        <f t="shared" si="78"/>
        <v>3960</v>
      </c>
      <c r="AD368" s="22" t="s">
        <v>51</v>
      </c>
      <c r="AG368" s="33">
        <v>2.73</v>
      </c>
      <c r="AH368" s="33">
        <v>3.96</v>
      </c>
      <c r="AO368" s="34">
        <f t="shared" ref="AO368:AS368" si="349">U368</f>
        <v>12.6</v>
      </c>
      <c r="AP368" s="34">
        <f t="shared" si="349"/>
        <v>15.64</v>
      </c>
      <c r="AQ368" s="34">
        <f t="shared" si="349"/>
        <v>14.75</v>
      </c>
      <c r="AR368" s="34">
        <f t="shared" si="349"/>
        <v>0.61</v>
      </c>
      <c r="AS368" s="34">
        <f t="shared" si="349"/>
        <v>56.4</v>
      </c>
      <c r="AT368" s="35">
        <f t="shared" si="15"/>
        <v>100</v>
      </c>
      <c r="AV368" s="25">
        <f t="shared" si="87"/>
        <v>3960</v>
      </c>
    </row>
    <row r="369" ht="14.25" customHeight="1">
      <c r="B369" s="36"/>
      <c r="C369" s="22" t="s">
        <v>46</v>
      </c>
      <c r="D369" s="56"/>
      <c r="E369" s="22" t="s">
        <v>48</v>
      </c>
      <c r="F369" s="56"/>
      <c r="G369" s="65">
        <v>77.55</v>
      </c>
      <c r="H369" s="65">
        <v>4.3</v>
      </c>
      <c r="I369" s="65">
        <v>17.88</v>
      </c>
      <c r="J369" s="65">
        <v>0.22</v>
      </c>
      <c r="K369" s="65">
        <v>0.05</v>
      </c>
      <c r="L369" s="66">
        <f t="shared" si="75"/>
        <v>0</v>
      </c>
      <c r="M369" s="65">
        <v>91.1</v>
      </c>
      <c r="N369" s="65">
        <v>6.2</v>
      </c>
      <c r="O369" s="65">
        <v>2.7</v>
      </c>
      <c r="P369" s="22">
        <v>0.25</v>
      </c>
      <c r="Q369" s="22">
        <v>975.0</v>
      </c>
      <c r="R369" s="22" t="s">
        <v>51</v>
      </c>
      <c r="S369" s="61">
        <v>0.0</v>
      </c>
      <c r="T369" s="22">
        <v>15.38</v>
      </c>
      <c r="U369" s="25">
        <v>11.61</v>
      </c>
      <c r="V369" s="25">
        <v>14.49</v>
      </c>
      <c r="W369" s="22">
        <v>15.08</v>
      </c>
      <c r="X369" s="22">
        <v>0.55</v>
      </c>
      <c r="Y369" s="54">
        <f t="shared" si="274"/>
        <v>58.27</v>
      </c>
      <c r="Z369" s="22">
        <f t="shared" si="77"/>
        <v>0.3787878788</v>
      </c>
      <c r="AA369" s="22">
        <v>44.63</v>
      </c>
      <c r="AB369" s="22">
        <v>60.25</v>
      </c>
      <c r="AC369" s="25">
        <f t="shared" si="78"/>
        <v>3660</v>
      </c>
      <c r="AD369" s="22" t="s">
        <v>51</v>
      </c>
      <c r="AG369" s="33">
        <v>2.64</v>
      </c>
      <c r="AH369" s="33">
        <v>3.66</v>
      </c>
      <c r="AO369" s="34">
        <f t="shared" ref="AO369:AS369" si="350">U369</f>
        <v>11.61</v>
      </c>
      <c r="AP369" s="34">
        <f t="shared" si="350"/>
        <v>14.49</v>
      </c>
      <c r="AQ369" s="34">
        <f t="shared" si="350"/>
        <v>15.08</v>
      </c>
      <c r="AR369" s="34">
        <f t="shared" si="350"/>
        <v>0.55</v>
      </c>
      <c r="AS369" s="34">
        <f t="shared" si="350"/>
        <v>58.27</v>
      </c>
      <c r="AT369" s="35">
        <f t="shared" si="15"/>
        <v>100</v>
      </c>
      <c r="AV369" s="25">
        <f t="shared" si="87"/>
        <v>3660</v>
      </c>
    </row>
    <row r="370" ht="14.25" customHeight="1">
      <c r="B370" s="36"/>
      <c r="C370" s="22" t="s">
        <v>46</v>
      </c>
      <c r="D370" s="56"/>
      <c r="E370" s="22" t="s">
        <v>48</v>
      </c>
      <c r="F370" s="56"/>
      <c r="G370" s="65">
        <v>77.55</v>
      </c>
      <c r="H370" s="65">
        <v>4.3</v>
      </c>
      <c r="I370" s="65">
        <v>17.88</v>
      </c>
      <c r="J370" s="65">
        <v>0.22</v>
      </c>
      <c r="K370" s="65">
        <v>0.05</v>
      </c>
      <c r="L370" s="66">
        <f t="shared" si="75"/>
        <v>0</v>
      </c>
      <c r="M370" s="65">
        <v>91.1</v>
      </c>
      <c r="N370" s="65">
        <v>6.2</v>
      </c>
      <c r="O370" s="65">
        <v>2.7</v>
      </c>
      <c r="P370" s="22">
        <v>0.25</v>
      </c>
      <c r="Q370" s="22">
        <v>975.0</v>
      </c>
      <c r="R370" s="22" t="s">
        <v>51</v>
      </c>
      <c r="S370" s="61">
        <v>0.0</v>
      </c>
      <c r="T370" s="22">
        <v>15.38</v>
      </c>
      <c r="U370" s="25">
        <v>11.44</v>
      </c>
      <c r="V370" s="25">
        <v>17.65</v>
      </c>
      <c r="W370" s="22">
        <v>13.58</v>
      </c>
      <c r="X370" s="22">
        <v>0.68</v>
      </c>
      <c r="Y370" s="54">
        <f t="shared" si="274"/>
        <v>56.65</v>
      </c>
      <c r="Z370" s="22">
        <f t="shared" si="77"/>
        <v>0.3875968992</v>
      </c>
      <c r="AA370" s="22">
        <v>48.98</v>
      </c>
      <c r="AB370" s="22">
        <v>62.46</v>
      </c>
      <c r="AC370" s="25">
        <f t="shared" si="78"/>
        <v>4100</v>
      </c>
      <c r="AD370" s="22" t="s">
        <v>51</v>
      </c>
      <c r="AG370" s="33">
        <v>2.58</v>
      </c>
      <c r="AH370" s="33">
        <v>4.1</v>
      </c>
      <c r="AO370" s="34">
        <f t="shared" ref="AO370:AS370" si="351">U370</f>
        <v>11.44</v>
      </c>
      <c r="AP370" s="34">
        <f t="shared" si="351"/>
        <v>17.65</v>
      </c>
      <c r="AQ370" s="34">
        <f t="shared" si="351"/>
        <v>13.58</v>
      </c>
      <c r="AR370" s="34">
        <f t="shared" si="351"/>
        <v>0.68</v>
      </c>
      <c r="AS370" s="34">
        <f t="shared" si="351"/>
        <v>56.65</v>
      </c>
      <c r="AT370" s="35">
        <f t="shared" si="15"/>
        <v>100</v>
      </c>
      <c r="AV370" s="25">
        <f t="shared" si="87"/>
        <v>4100</v>
      </c>
    </row>
    <row r="371" ht="14.25" customHeight="1">
      <c r="B371" s="36"/>
      <c r="C371" s="22" t="s">
        <v>46</v>
      </c>
      <c r="D371" s="56"/>
      <c r="E371" s="22" t="s">
        <v>48</v>
      </c>
      <c r="F371" s="56"/>
      <c r="G371" s="65">
        <v>77.55</v>
      </c>
      <c r="H371" s="65">
        <v>4.3</v>
      </c>
      <c r="I371" s="65">
        <v>17.88</v>
      </c>
      <c r="J371" s="65">
        <v>0.22</v>
      </c>
      <c r="K371" s="65">
        <v>0.05</v>
      </c>
      <c r="L371" s="66">
        <f t="shared" si="75"/>
        <v>0</v>
      </c>
      <c r="M371" s="65">
        <v>91.1</v>
      </c>
      <c r="N371" s="65">
        <v>6.2</v>
      </c>
      <c r="O371" s="65">
        <v>2.7</v>
      </c>
      <c r="P371" s="22">
        <v>0.25</v>
      </c>
      <c r="Q371" s="22">
        <v>975.0</v>
      </c>
      <c r="R371" s="22" t="s">
        <v>51</v>
      </c>
      <c r="S371" s="61">
        <v>0.0</v>
      </c>
      <c r="T371" s="22">
        <v>15.38</v>
      </c>
      <c r="U371" s="25">
        <v>11.55</v>
      </c>
      <c r="V371" s="25">
        <v>16.58</v>
      </c>
      <c r="W371" s="22">
        <v>14.22</v>
      </c>
      <c r="X371" s="22">
        <v>0.51</v>
      </c>
      <c r="Y371" s="54">
        <f t="shared" si="274"/>
        <v>57.14</v>
      </c>
      <c r="Z371" s="22">
        <f t="shared" si="77"/>
        <v>0.3773584906</v>
      </c>
      <c r="AA371" s="22">
        <v>47.95</v>
      </c>
      <c r="AB371" s="22">
        <v>62.99</v>
      </c>
      <c r="AC371" s="25">
        <f t="shared" si="78"/>
        <v>3910</v>
      </c>
      <c r="AD371" s="22" t="s">
        <v>51</v>
      </c>
      <c r="AG371" s="33">
        <v>2.65</v>
      </c>
      <c r="AH371" s="33">
        <v>3.91</v>
      </c>
      <c r="AO371" s="34">
        <f t="shared" ref="AO371:AS371" si="352">U371</f>
        <v>11.55</v>
      </c>
      <c r="AP371" s="34">
        <f t="shared" si="352"/>
        <v>16.58</v>
      </c>
      <c r="AQ371" s="34">
        <f t="shared" si="352"/>
        <v>14.22</v>
      </c>
      <c r="AR371" s="34">
        <f t="shared" si="352"/>
        <v>0.51</v>
      </c>
      <c r="AS371" s="34">
        <f t="shared" si="352"/>
        <v>57.14</v>
      </c>
      <c r="AT371" s="35">
        <f t="shared" si="15"/>
        <v>100</v>
      </c>
      <c r="AV371" s="25">
        <f t="shared" si="87"/>
        <v>3910</v>
      </c>
    </row>
    <row r="372" ht="14.25" customHeight="1">
      <c r="B372" s="36"/>
      <c r="C372" s="22" t="s">
        <v>46</v>
      </c>
      <c r="D372" s="56"/>
      <c r="E372" s="22" t="s">
        <v>48</v>
      </c>
      <c r="F372" s="56"/>
      <c r="G372" s="65">
        <v>77.55</v>
      </c>
      <c r="H372" s="65">
        <v>4.3</v>
      </c>
      <c r="I372" s="65">
        <v>17.88</v>
      </c>
      <c r="J372" s="65">
        <v>0.22</v>
      </c>
      <c r="K372" s="65">
        <v>0.05</v>
      </c>
      <c r="L372" s="66">
        <f t="shared" si="75"/>
        <v>0</v>
      </c>
      <c r="M372" s="65">
        <v>91.1</v>
      </c>
      <c r="N372" s="65">
        <v>6.2</v>
      </c>
      <c r="O372" s="65">
        <v>2.7</v>
      </c>
      <c r="P372" s="22">
        <v>0.25</v>
      </c>
      <c r="Q372" s="22">
        <v>975.0</v>
      </c>
      <c r="R372" s="22" t="s">
        <v>51</v>
      </c>
      <c r="S372" s="61">
        <v>0.0</v>
      </c>
      <c r="T372" s="22">
        <v>15.38</v>
      </c>
      <c r="U372" s="25">
        <v>11.64</v>
      </c>
      <c r="V372" s="25">
        <v>17.19</v>
      </c>
      <c r="W372" s="22">
        <v>13.41</v>
      </c>
      <c r="X372" s="22">
        <v>0.62</v>
      </c>
      <c r="Y372" s="54">
        <f t="shared" si="274"/>
        <v>57.14</v>
      </c>
      <c r="Z372" s="22">
        <f t="shared" si="77"/>
        <v>0.3846153846</v>
      </c>
      <c r="AA372" s="22">
        <v>48.53</v>
      </c>
      <c r="AB372" s="22">
        <v>61.42</v>
      </c>
      <c r="AC372" s="25">
        <f t="shared" si="78"/>
        <v>4040</v>
      </c>
      <c r="AD372" s="22" t="s">
        <v>51</v>
      </c>
      <c r="AG372" s="33">
        <v>2.6</v>
      </c>
      <c r="AH372" s="33">
        <v>4.04</v>
      </c>
      <c r="AO372" s="34">
        <f t="shared" ref="AO372:AS372" si="353">U372</f>
        <v>11.64</v>
      </c>
      <c r="AP372" s="34">
        <f t="shared" si="353"/>
        <v>17.19</v>
      </c>
      <c r="AQ372" s="34">
        <f t="shared" si="353"/>
        <v>13.41</v>
      </c>
      <c r="AR372" s="34">
        <f t="shared" si="353"/>
        <v>0.62</v>
      </c>
      <c r="AS372" s="34">
        <f t="shared" si="353"/>
        <v>57.14</v>
      </c>
      <c r="AT372" s="35">
        <f t="shared" si="15"/>
        <v>100</v>
      </c>
      <c r="AV372" s="25">
        <f t="shared" si="87"/>
        <v>4040</v>
      </c>
    </row>
    <row r="373" ht="14.25" customHeight="1">
      <c r="B373" s="36"/>
      <c r="C373" s="22" t="s">
        <v>46</v>
      </c>
      <c r="D373" s="56"/>
      <c r="E373" s="22" t="s">
        <v>48</v>
      </c>
      <c r="F373" s="56"/>
      <c r="G373" s="65">
        <v>77.55</v>
      </c>
      <c r="H373" s="65">
        <v>4.3</v>
      </c>
      <c r="I373" s="65">
        <v>17.88</v>
      </c>
      <c r="J373" s="65">
        <v>0.22</v>
      </c>
      <c r="K373" s="65">
        <v>0.05</v>
      </c>
      <c r="L373" s="66">
        <f t="shared" si="75"/>
        <v>0</v>
      </c>
      <c r="M373" s="65">
        <v>91.1</v>
      </c>
      <c r="N373" s="65">
        <v>6.2</v>
      </c>
      <c r="O373" s="65">
        <v>2.7</v>
      </c>
      <c r="P373" s="22">
        <v>0.25</v>
      </c>
      <c r="Q373" s="22">
        <v>975.0</v>
      </c>
      <c r="R373" s="22" t="s">
        <v>51</v>
      </c>
      <c r="S373" s="61">
        <v>0.0</v>
      </c>
      <c r="T373" s="22">
        <v>15.38</v>
      </c>
      <c r="U373" s="25">
        <v>11.62</v>
      </c>
      <c r="V373" s="25">
        <v>19.76</v>
      </c>
      <c r="W373" s="22">
        <v>12.39</v>
      </c>
      <c r="X373" s="22">
        <v>0.93</v>
      </c>
      <c r="Y373" s="54">
        <f t="shared" si="274"/>
        <v>55.3</v>
      </c>
      <c r="Z373" s="22">
        <f t="shared" si="77"/>
        <v>0.3861003861</v>
      </c>
      <c r="AA373" s="22">
        <v>54.05</v>
      </c>
      <c r="AB373" s="22">
        <v>65.05</v>
      </c>
      <c r="AC373" s="25">
        <f t="shared" si="78"/>
        <v>4510</v>
      </c>
      <c r="AD373" s="22" t="s">
        <v>51</v>
      </c>
      <c r="AG373" s="33">
        <v>2.59</v>
      </c>
      <c r="AH373" s="33">
        <v>4.51</v>
      </c>
      <c r="AO373" s="34">
        <f t="shared" ref="AO373:AS373" si="354">U373</f>
        <v>11.62</v>
      </c>
      <c r="AP373" s="34">
        <f t="shared" si="354"/>
        <v>19.76</v>
      </c>
      <c r="AQ373" s="34">
        <f t="shared" si="354"/>
        <v>12.39</v>
      </c>
      <c r="AR373" s="34">
        <f t="shared" si="354"/>
        <v>0.93</v>
      </c>
      <c r="AS373" s="34">
        <f t="shared" si="354"/>
        <v>55.3</v>
      </c>
      <c r="AT373" s="35">
        <f t="shared" si="15"/>
        <v>100</v>
      </c>
      <c r="AV373" s="25">
        <f t="shared" si="87"/>
        <v>4510</v>
      </c>
    </row>
    <row r="374" ht="14.25" customHeight="1">
      <c r="B374" s="36"/>
      <c r="C374" s="22" t="s">
        <v>46</v>
      </c>
      <c r="D374" s="56"/>
      <c r="E374" s="22" t="s">
        <v>48</v>
      </c>
      <c r="F374" s="56"/>
      <c r="G374" s="65">
        <v>77.55</v>
      </c>
      <c r="H374" s="65">
        <v>4.3</v>
      </c>
      <c r="I374" s="65">
        <v>17.88</v>
      </c>
      <c r="J374" s="65">
        <v>0.22</v>
      </c>
      <c r="K374" s="65">
        <v>0.05</v>
      </c>
      <c r="L374" s="66">
        <f t="shared" si="75"/>
        <v>0</v>
      </c>
      <c r="M374" s="65">
        <v>91.1</v>
      </c>
      <c r="N374" s="65">
        <v>6.2</v>
      </c>
      <c r="O374" s="65">
        <v>2.7</v>
      </c>
      <c r="P374" s="22">
        <v>0.25</v>
      </c>
      <c r="Q374" s="22">
        <v>975.0</v>
      </c>
      <c r="R374" s="22" t="s">
        <v>51</v>
      </c>
      <c r="S374" s="61">
        <v>0.0</v>
      </c>
      <c r="T374" s="22">
        <v>15.38</v>
      </c>
      <c r="U374" s="25">
        <v>11.9</v>
      </c>
      <c r="V374" s="25">
        <v>16.0</v>
      </c>
      <c r="W374" s="22">
        <v>14.41</v>
      </c>
      <c r="X374" s="22">
        <v>0.84</v>
      </c>
      <c r="Y374" s="54">
        <f t="shared" si="274"/>
        <v>56.85</v>
      </c>
      <c r="Z374" s="22">
        <f t="shared" si="77"/>
        <v>0.3831417625</v>
      </c>
      <c r="AA374" s="22">
        <v>48.36</v>
      </c>
      <c r="AB374" s="22">
        <v>61.74</v>
      </c>
      <c r="AC374" s="25">
        <f t="shared" si="78"/>
        <v>4010</v>
      </c>
      <c r="AD374" s="22" t="s">
        <v>51</v>
      </c>
      <c r="AG374" s="33">
        <v>2.61</v>
      </c>
      <c r="AH374" s="33">
        <v>4.01</v>
      </c>
      <c r="AO374" s="34">
        <f t="shared" ref="AO374:AS374" si="355">U374</f>
        <v>11.9</v>
      </c>
      <c r="AP374" s="34">
        <f t="shared" si="355"/>
        <v>16</v>
      </c>
      <c r="AQ374" s="34">
        <f t="shared" si="355"/>
        <v>14.41</v>
      </c>
      <c r="AR374" s="34">
        <f t="shared" si="355"/>
        <v>0.84</v>
      </c>
      <c r="AS374" s="34">
        <f t="shared" si="355"/>
        <v>56.85</v>
      </c>
      <c r="AT374" s="35">
        <f t="shared" si="15"/>
        <v>100</v>
      </c>
      <c r="AV374" s="25">
        <f t="shared" si="87"/>
        <v>4010</v>
      </c>
    </row>
    <row r="375" ht="14.25" customHeight="1">
      <c r="B375" s="36"/>
      <c r="C375" s="22" t="s">
        <v>46</v>
      </c>
      <c r="D375" s="56"/>
      <c r="E375" s="22" t="s">
        <v>48</v>
      </c>
      <c r="F375" s="56"/>
      <c r="G375" s="65">
        <v>77.55</v>
      </c>
      <c r="H375" s="65">
        <v>4.3</v>
      </c>
      <c r="I375" s="65">
        <v>17.88</v>
      </c>
      <c r="J375" s="65">
        <v>0.22</v>
      </c>
      <c r="K375" s="65">
        <v>0.05</v>
      </c>
      <c r="L375" s="66">
        <f t="shared" si="75"/>
        <v>0</v>
      </c>
      <c r="M375" s="65">
        <v>91.1</v>
      </c>
      <c r="N375" s="65">
        <v>6.2</v>
      </c>
      <c r="O375" s="65">
        <v>2.7</v>
      </c>
      <c r="P375" s="22">
        <v>0.25</v>
      </c>
      <c r="Q375" s="22">
        <v>975.0</v>
      </c>
      <c r="R375" s="22" t="s">
        <v>51</v>
      </c>
      <c r="S375" s="61">
        <v>0.0</v>
      </c>
      <c r="T375" s="22">
        <v>15.38</v>
      </c>
      <c r="U375" s="25">
        <v>12.27</v>
      </c>
      <c r="V375" s="25">
        <v>17.68</v>
      </c>
      <c r="W375" s="22">
        <v>13.14</v>
      </c>
      <c r="X375" s="22">
        <v>0.75</v>
      </c>
      <c r="Y375" s="54">
        <f t="shared" si="274"/>
        <v>56.16</v>
      </c>
      <c r="Z375" s="22">
        <f t="shared" si="77"/>
        <v>0.3846153846</v>
      </c>
      <c r="AA375" s="22">
        <v>51.11</v>
      </c>
      <c r="AB375" s="22">
        <v>62.31</v>
      </c>
      <c r="AC375" s="25">
        <f t="shared" si="78"/>
        <v>4240</v>
      </c>
      <c r="AD375" s="22" t="s">
        <v>51</v>
      </c>
      <c r="AG375" s="33">
        <v>2.6</v>
      </c>
      <c r="AH375" s="33">
        <v>4.24</v>
      </c>
      <c r="AO375" s="34">
        <f t="shared" ref="AO375:AS375" si="356">U375</f>
        <v>12.27</v>
      </c>
      <c r="AP375" s="34">
        <f t="shared" si="356"/>
        <v>17.68</v>
      </c>
      <c r="AQ375" s="34">
        <f t="shared" si="356"/>
        <v>13.14</v>
      </c>
      <c r="AR375" s="34">
        <f t="shared" si="356"/>
        <v>0.75</v>
      </c>
      <c r="AS375" s="34">
        <f t="shared" si="356"/>
        <v>56.16</v>
      </c>
      <c r="AT375" s="35">
        <f t="shared" si="15"/>
        <v>100</v>
      </c>
      <c r="AV375" s="25">
        <f t="shared" si="87"/>
        <v>4240</v>
      </c>
    </row>
    <row r="376" ht="14.25" customHeight="1">
      <c r="B376" s="36"/>
      <c r="C376" s="22" t="s">
        <v>46</v>
      </c>
      <c r="D376" s="56"/>
      <c r="E376" s="22" t="s">
        <v>48</v>
      </c>
      <c r="F376" s="56"/>
      <c r="G376" s="65">
        <v>77.55</v>
      </c>
      <c r="H376" s="65">
        <v>4.3</v>
      </c>
      <c r="I376" s="65">
        <v>17.88</v>
      </c>
      <c r="J376" s="65">
        <v>0.22</v>
      </c>
      <c r="K376" s="65">
        <v>0.05</v>
      </c>
      <c r="L376" s="66">
        <f t="shared" si="75"/>
        <v>0</v>
      </c>
      <c r="M376" s="65">
        <v>91.1</v>
      </c>
      <c r="N376" s="65">
        <v>6.2</v>
      </c>
      <c r="O376" s="65">
        <v>2.7</v>
      </c>
      <c r="P376" s="22">
        <v>0.25</v>
      </c>
      <c r="Q376" s="22">
        <v>975.0</v>
      </c>
      <c r="R376" s="22" t="s">
        <v>51</v>
      </c>
      <c r="S376" s="61">
        <v>0.0</v>
      </c>
      <c r="T376" s="22">
        <v>15.38</v>
      </c>
      <c r="U376" s="25">
        <v>11.29</v>
      </c>
      <c r="V376" s="25">
        <v>18.42</v>
      </c>
      <c r="W376" s="22">
        <v>12.87</v>
      </c>
      <c r="X376" s="22">
        <v>0.85</v>
      </c>
      <c r="Y376" s="54">
        <f t="shared" si="274"/>
        <v>56.57</v>
      </c>
      <c r="Z376" s="22">
        <f t="shared" si="77"/>
        <v>0.3731343284</v>
      </c>
      <c r="AA376" s="22">
        <v>52.72</v>
      </c>
      <c r="AB376" s="22">
        <v>65.3</v>
      </c>
      <c r="AC376" s="25">
        <f t="shared" si="78"/>
        <v>4250</v>
      </c>
      <c r="AD376" s="22" t="s">
        <v>51</v>
      </c>
      <c r="AG376" s="33">
        <v>2.68</v>
      </c>
      <c r="AH376" s="33">
        <v>4.25</v>
      </c>
      <c r="AO376" s="34">
        <f t="shared" ref="AO376:AS376" si="357">U376</f>
        <v>11.29</v>
      </c>
      <c r="AP376" s="34">
        <f t="shared" si="357"/>
        <v>18.42</v>
      </c>
      <c r="AQ376" s="34">
        <f t="shared" si="357"/>
        <v>12.87</v>
      </c>
      <c r="AR376" s="34">
        <f t="shared" si="357"/>
        <v>0.85</v>
      </c>
      <c r="AS376" s="34">
        <f t="shared" si="357"/>
        <v>56.57</v>
      </c>
      <c r="AT376" s="35">
        <f t="shared" si="15"/>
        <v>100</v>
      </c>
      <c r="AV376" s="25">
        <f t="shared" si="87"/>
        <v>4250</v>
      </c>
    </row>
    <row r="377" ht="14.25" customHeight="1">
      <c r="B377" s="36"/>
      <c r="C377" s="22" t="s">
        <v>46</v>
      </c>
      <c r="D377" s="56"/>
      <c r="E377" s="22" t="s">
        <v>48</v>
      </c>
      <c r="F377" s="56"/>
      <c r="G377" s="65">
        <v>77.55</v>
      </c>
      <c r="H377" s="65">
        <v>4.3</v>
      </c>
      <c r="I377" s="65">
        <v>17.88</v>
      </c>
      <c r="J377" s="65">
        <v>0.22</v>
      </c>
      <c r="K377" s="65">
        <v>0.05</v>
      </c>
      <c r="L377" s="66">
        <f t="shared" si="75"/>
        <v>0</v>
      </c>
      <c r="M377" s="65">
        <v>91.1</v>
      </c>
      <c r="N377" s="65">
        <v>6.2</v>
      </c>
      <c r="O377" s="65">
        <v>2.7</v>
      </c>
      <c r="P377" s="22">
        <v>0.25</v>
      </c>
      <c r="Q377" s="22">
        <v>975.0</v>
      </c>
      <c r="R377" s="22" t="s">
        <v>51</v>
      </c>
      <c r="S377" s="61">
        <v>0.0</v>
      </c>
      <c r="T377" s="22">
        <v>15.38</v>
      </c>
      <c r="U377" s="25">
        <v>10.75</v>
      </c>
      <c r="V377" s="25">
        <v>15.5</v>
      </c>
      <c r="W377" s="22">
        <v>14.19</v>
      </c>
      <c r="X377" s="22">
        <v>0.9</v>
      </c>
      <c r="Y377" s="54">
        <f t="shared" si="274"/>
        <v>58.66</v>
      </c>
      <c r="Z377" s="22">
        <f t="shared" si="77"/>
        <v>0.3968253968</v>
      </c>
      <c r="AA377" s="22">
        <v>44.6</v>
      </c>
      <c r="AB377" s="22">
        <v>58.54</v>
      </c>
      <c r="AC377" s="25">
        <f t="shared" si="78"/>
        <v>3820</v>
      </c>
      <c r="AD377" s="22" t="s">
        <v>51</v>
      </c>
      <c r="AG377" s="33">
        <v>2.52</v>
      </c>
      <c r="AH377" s="33">
        <v>3.82</v>
      </c>
      <c r="AO377" s="34">
        <f t="shared" ref="AO377:AS377" si="358">U377</f>
        <v>10.75</v>
      </c>
      <c r="AP377" s="34">
        <f t="shared" si="358"/>
        <v>15.5</v>
      </c>
      <c r="AQ377" s="34">
        <f t="shared" si="358"/>
        <v>14.19</v>
      </c>
      <c r="AR377" s="34">
        <f t="shared" si="358"/>
        <v>0.9</v>
      </c>
      <c r="AS377" s="34">
        <f t="shared" si="358"/>
        <v>58.66</v>
      </c>
      <c r="AT377" s="35">
        <f t="shared" si="15"/>
        <v>100</v>
      </c>
      <c r="AV377" s="25">
        <f t="shared" si="87"/>
        <v>3820</v>
      </c>
    </row>
    <row r="378" ht="14.25" customHeight="1">
      <c r="B378" s="36"/>
      <c r="C378" s="22" t="s">
        <v>46</v>
      </c>
      <c r="D378" s="56"/>
      <c r="E378" s="22" t="s">
        <v>48</v>
      </c>
      <c r="F378" s="56"/>
      <c r="G378" s="65">
        <v>77.55</v>
      </c>
      <c r="H378" s="65">
        <v>4.3</v>
      </c>
      <c r="I378" s="65">
        <v>17.88</v>
      </c>
      <c r="J378" s="65">
        <v>0.22</v>
      </c>
      <c r="K378" s="65">
        <v>0.05</v>
      </c>
      <c r="L378" s="66">
        <f t="shared" si="75"/>
        <v>0</v>
      </c>
      <c r="M378" s="65">
        <v>91.1</v>
      </c>
      <c r="N378" s="65">
        <v>6.2</v>
      </c>
      <c r="O378" s="65">
        <v>2.7</v>
      </c>
      <c r="P378" s="22">
        <v>0.25</v>
      </c>
      <c r="Q378" s="22">
        <v>975.0</v>
      </c>
      <c r="R378" s="22" t="s">
        <v>51</v>
      </c>
      <c r="S378" s="61">
        <v>0.0</v>
      </c>
      <c r="T378" s="22">
        <v>15.38</v>
      </c>
      <c r="U378" s="25">
        <v>10.9</v>
      </c>
      <c r="V378" s="25">
        <v>15.32</v>
      </c>
      <c r="W378" s="22">
        <v>14.05</v>
      </c>
      <c r="X378" s="22">
        <v>0.88</v>
      </c>
      <c r="Y378" s="54">
        <f t="shared" si="274"/>
        <v>58.85</v>
      </c>
      <c r="Z378" s="22">
        <f t="shared" si="77"/>
        <v>0.4032258065</v>
      </c>
      <c r="AA378" s="22">
        <v>43.58</v>
      </c>
      <c r="AB378" s="22">
        <v>56.75</v>
      </c>
      <c r="AC378" s="25">
        <f t="shared" si="78"/>
        <v>3810</v>
      </c>
      <c r="AD378" s="22" t="s">
        <v>51</v>
      </c>
      <c r="AG378" s="33">
        <v>2.48</v>
      </c>
      <c r="AH378" s="33">
        <v>3.81</v>
      </c>
      <c r="AO378" s="34">
        <f t="shared" ref="AO378:AS378" si="359">U378</f>
        <v>10.9</v>
      </c>
      <c r="AP378" s="34">
        <f t="shared" si="359"/>
        <v>15.32</v>
      </c>
      <c r="AQ378" s="34">
        <f t="shared" si="359"/>
        <v>14.05</v>
      </c>
      <c r="AR378" s="34">
        <f t="shared" si="359"/>
        <v>0.88</v>
      </c>
      <c r="AS378" s="34">
        <f t="shared" si="359"/>
        <v>58.85</v>
      </c>
      <c r="AT378" s="35">
        <f t="shared" si="15"/>
        <v>100</v>
      </c>
      <c r="AV378" s="25">
        <f t="shared" si="87"/>
        <v>3810</v>
      </c>
    </row>
    <row r="379" ht="14.25" customHeight="1">
      <c r="B379" s="36"/>
      <c r="C379" s="22" t="s">
        <v>46</v>
      </c>
      <c r="D379" s="56"/>
      <c r="E379" s="22" t="s">
        <v>48</v>
      </c>
      <c r="F379" s="56"/>
      <c r="G379" s="67">
        <v>79.34</v>
      </c>
      <c r="H379" s="67">
        <v>5.72</v>
      </c>
      <c r="I379" s="67">
        <v>48.9</v>
      </c>
      <c r="J379" s="67">
        <v>1.2</v>
      </c>
      <c r="K379" s="67">
        <v>0.66</v>
      </c>
      <c r="L379" s="68">
        <f t="shared" si="75"/>
        <v>70.7</v>
      </c>
      <c r="M379" s="67">
        <v>15.0</v>
      </c>
      <c r="N379" s="67">
        <v>9.8</v>
      </c>
      <c r="O379" s="67">
        <v>4.5</v>
      </c>
      <c r="P379" s="22">
        <v>0.2</v>
      </c>
      <c r="Q379" s="22">
        <v>849.0</v>
      </c>
      <c r="R379" s="22" t="s">
        <v>51</v>
      </c>
      <c r="S379" s="61">
        <v>0.0</v>
      </c>
      <c r="T379" s="22">
        <v>14.0</v>
      </c>
      <c r="U379" s="25">
        <v>6.0</v>
      </c>
      <c r="V379" s="25">
        <v>10.0</v>
      </c>
      <c r="W379" s="22">
        <v>10.0</v>
      </c>
      <c r="X379" s="22">
        <v>4.0</v>
      </c>
      <c r="Y379" s="54">
        <f t="shared" si="274"/>
        <v>70</v>
      </c>
      <c r="Z379" s="22">
        <f t="shared" si="77"/>
        <v>0.5681818182</v>
      </c>
      <c r="AA379" s="22">
        <v>40.0</v>
      </c>
      <c r="AB379" s="22">
        <v>71.0</v>
      </c>
      <c r="AC379" s="25">
        <f t="shared" si="78"/>
        <v>4530</v>
      </c>
      <c r="AD379" s="22" t="s">
        <v>51</v>
      </c>
      <c r="AG379" s="33">
        <v>1.76</v>
      </c>
      <c r="AH379" s="33">
        <v>4.53</v>
      </c>
      <c r="AO379" s="34">
        <f t="shared" ref="AO379:AS379" si="360">U379</f>
        <v>6</v>
      </c>
      <c r="AP379" s="34">
        <f t="shared" si="360"/>
        <v>10</v>
      </c>
      <c r="AQ379" s="34">
        <f t="shared" si="360"/>
        <v>10</v>
      </c>
      <c r="AR379" s="34">
        <f t="shared" si="360"/>
        <v>4</v>
      </c>
      <c r="AS379" s="34">
        <f t="shared" si="360"/>
        <v>70</v>
      </c>
      <c r="AT379" s="35">
        <f t="shared" si="15"/>
        <v>100</v>
      </c>
      <c r="AV379" s="25">
        <f t="shared" si="87"/>
        <v>4530</v>
      </c>
    </row>
    <row r="380" ht="14.25" customHeight="1">
      <c r="B380" s="36"/>
      <c r="C380" s="22" t="s">
        <v>46</v>
      </c>
      <c r="D380" s="56"/>
      <c r="E380" s="22" t="s">
        <v>48</v>
      </c>
      <c r="F380" s="56"/>
      <c r="G380" s="27">
        <f t="shared" ref="G380:G388" si="362">37.6*100/(100-O380)</f>
        <v>47</v>
      </c>
      <c r="H380" s="27">
        <f t="shared" ref="H380:H388" si="363">5.43*100/(100-O380)</f>
        <v>6.7875</v>
      </c>
      <c r="I380" s="27">
        <f t="shared" ref="I380:I388" si="364">36.56*100/(100-O380)</f>
        <v>45.7</v>
      </c>
      <c r="J380" s="27">
        <f t="shared" ref="J380:J388" si="365">0.38*100/(100-O380)</f>
        <v>0.475</v>
      </c>
      <c r="K380" s="27">
        <f t="shared" ref="K380:K388" si="366">0.03*100/(100-O380)</f>
        <v>0.0375</v>
      </c>
      <c r="L380" s="26">
        <f t="shared" si="75"/>
        <v>13.6</v>
      </c>
      <c r="M380" s="22">
        <v>66.4</v>
      </c>
      <c r="N380" s="64">
        <v>0.0</v>
      </c>
      <c r="O380" s="22">
        <v>20.0</v>
      </c>
      <c r="P380" s="22">
        <v>0.25</v>
      </c>
      <c r="Q380" s="22">
        <v>665.0</v>
      </c>
      <c r="R380" s="22" t="s">
        <v>51</v>
      </c>
      <c r="S380" s="61">
        <v>0.0</v>
      </c>
      <c r="T380" s="22">
        <v>13.55</v>
      </c>
      <c r="U380" s="25">
        <v>4.0</v>
      </c>
      <c r="V380" s="25">
        <v>19.2</v>
      </c>
      <c r="W380" s="22">
        <v>14.45</v>
      </c>
      <c r="X380" s="22">
        <v>2.9</v>
      </c>
      <c r="Y380" s="54">
        <f t="shared" si="274"/>
        <v>59.45</v>
      </c>
      <c r="Z380" s="22">
        <f t="shared" si="77"/>
        <v>0.6666666667</v>
      </c>
      <c r="AA380" s="22">
        <v>55.68</v>
      </c>
      <c r="AB380" s="22">
        <v>76.0</v>
      </c>
      <c r="AC380" s="25">
        <f t="shared" si="78"/>
        <v>5030</v>
      </c>
      <c r="AD380" s="22" t="s">
        <v>51</v>
      </c>
      <c r="AG380" s="33">
        <v>1.5</v>
      </c>
      <c r="AH380" s="33">
        <v>5.03</v>
      </c>
      <c r="AO380" s="34">
        <f t="shared" ref="AO380:AS380" si="361">U380</f>
        <v>4</v>
      </c>
      <c r="AP380" s="34">
        <f t="shared" si="361"/>
        <v>19.2</v>
      </c>
      <c r="AQ380" s="34">
        <f t="shared" si="361"/>
        <v>14.45</v>
      </c>
      <c r="AR380" s="34">
        <f t="shared" si="361"/>
        <v>2.9</v>
      </c>
      <c r="AS380" s="34">
        <f t="shared" si="361"/>
        <v>59.45</v>
      </c>
      <c r="AT380" s="35">
        <f t="shared" si="15"/>
        <v>100</v>
      </c>
      <c r="AV380" s="25">
        <f t="shared" si="87"/>
        <v>5030</v>
      </c>
    </row>
    <row r="381" ht="14.25" customHeight="1">
      <c r="B381" s="36"/>
      <c r="C381" s="22" t="s">
        <v>46</v>
      </c>
      <c r="D381" s="56"/>
      <c r="E381" s="22" t="s">
        <v>48</v>
      </c>
      <c r="F381" s="56"/>
      <c r="G381" s="27">
        <f t="shared" si="362"/>
        <v>47</v>
      </c>
      <c r="H381" s="27">
        <f t="shared" si="363"/>
        <v>6.7875</v>
      </c>
      <c r="I381" s="27">
        <f t="shared" si="364"/>
        <v>45.7</v>
      </c>
      <c r="J381" s="27">
        <f t="shared" si="365"/>
        <v>0.475</v>
      </c>
      <c r="K381" s="27">
        <f t="shared" si="366"/>
        <v>0.0375</v>
      </c>
      <c r="L381" s="26">
        <f t="shared" si="75"/>
        <v>13.6</v>
      </c>
      <c r="M381" s="22">
        <v>66.4</v>
      </c>
      <c r="N381" s="64">
        <v>0.0</v>
      </c>
      <c r="O381" s="22">
        <v>20.0</v>
      </c>
      <c r="P381" s="22">
        <v>0.3</v>
      </c>
      <c r="Q381" s="22">
        <v>744.0</v>
      </c>
      <c r="R381" s="22" t="s">
        <v>51</v>
      </c>
      <c r="S381" s="61">
        <v>0.0</v>
      </c>
      <c r="T381" s="22">
        <v>13.55</v>
      </c>
      <c r="U381" s="25">
        <v>3.78</v>
      </c>
      <c r="V381" s="25">
        <v>14.45</v>
      </c>
      <c r="W381" s="22">
        <v>16.25</v>
      </c>
      <c r="X381" s="22">
        <v>2.37</v>
      </c>
      <c r="Y381" s="54">
        <f t="shared" si="274"/>
        <v>63.15</v>
      </c>
      <c r="Z381" s="22">
        <f t="shared" si="77"/>
        <v>0.5780346821</v>
      </c>
      <c r="AA381" s="22">
        <v>48.9</v>
      </c>
      <c r="AB381" s="22">
        <v>78.3</v>
      </c>
      <c r="AC381" s="25">
        <f t="shared" si="78"/>
        <v>3830</v>
      </c>
      <c r="AD381" s="22" t="s">
        <v>51</v>
      </c>
      <c r="AG381" s="33">
        <v>1.73</v>
      </c>
      <c r="AH381" s="33">
        <v>3.83</v>
      </c>
      <c r="AO381" s="34">
        <f t="shared" ref="AO381:AS381" si="367">U381</f>
        <v>3.78</v>
      </c>
      <c r="AP381" s="34">
        <f t="shared" si="367"/>
        <v>14.45</v>
      </c>
      <c r="AQ381" s="34">
        <f t="shared" si="367"/>
        <v>16.25</v>
      </c>
      <c r="AR381" s="34">
        <f t="shared" si="367"/>
        <v>2.37</v>
      </c>
      <c r="AS381" s="34">
        <f t="shared" si="367"/>
        <v>63.15</v>
      </c>
      <c r="AT381" s="35">
        <f t="shared" si="15"/>
        <v>100</v>
      </c>
      <c r="AV381" s="25">
        <f t="shared" si="87"/>
        <v>3830</v>
      </c>
    </row>
    <row r="382" ht="14.25" customHeight="1">
      <c r="B382" s="36"/>
      <c r="C382" s="22" t="s">
        <v>46</v>
      </c>
      <c r="D382" s="56"/>
      <c r="E382" s="22" t="s">
        <v>48</v>
      </c>
      <c r="F382" s="56"/>
      <c r="G382" s="27">
        <f t="shared" si="362"/>
        <v>47</v>
      </c>
      <c r="H382" s="27">
        <f t="shared" si="363"/>
        <v>6.7875</v>
      </c>
      <c r="I382" s="27">
        <f t="shared" si="364"/>
        <v>45.7</v>
      </c>
      <c r="J382" s="27">
        <f t="shared" si="365"/>
        <v>0.475</v>
      </c>
      <c r="K382" s="27">
        <f t="shared" si="366"/>
        <v>0.0375</v>
      </c>
      <c r="L382" s="26">
        <f t="shared" si="75"/>
        <v>13.6</v>
      </c>
      <c r="M382" s="22">
        <v>66.4</v>
      </c>
      <c r="N382" s="64">
        <v>0.0</v>
      </c>
      <c r="O382" s="22">
        <v>20.0</v>
      </c>
      <c r="P382" s="22">
        <v>0.35</v>
      </c>
      <c r="Q382" s="22">
        <v>811.0</v>
      </c>
      <c r="R382" s="22" t="s">
        <v>51</v>
      </c>
      <c r="S382" s="61">
        <v>0.0</v>
      </c>
      <c r="T382" s="22">
        <v>13.55</v>
      </c>
      <c r="U382" s="25">
        <v>3.39</v>
      </c>
      <c r="V382" s="25">
        <v>12.75</v>
      </c>
      <c r="W382" s="22">
        <v>17.14</v>
      </c>
      <c r="X382" s="22">
        <v>1.98</v>
      </c>
      <c r="Y382" s="54">
        <f t="shared" si="274"/>
        <v>64.74</v>
      </c>
      <c r="Z382" s="22">
        <f t="shared" si="77"/>
        <v>0.5050505051</v>
      </c>
      <c r="AA382" s="22">
        <v>47.93</v>
      </c>
      <c r="AB382" s="22">
        <v>81.0</v>
      </c>
      <c r="AC382" s="25">
        <f t="shared" si="78"/>
        <v>3280</v>
      </c>
      <c r="AD382" s="22" t="s">
        <v>51</v>
      </c>
      <c r="AG382" s="33">
        <v>1.98</v>
      </c>
      <c r="AH382" s="33">
        <v>3.28</v>
      </c>
      <c r="AO382" s="34">
        <f t="shared" ref="AO382:AS382" si="368">U382</f>
        <v>3.39</v>
      </c>
      <c r="AP382" s="34">
        <f t="shared" si="368"/>
        <v>12.75</v>
      </c>
      <c r="AQ382" s="34">
        <f t="shared" si="368"/>
        <v>17.14</v>
      </c>
      <c r="AR382" s="34">
        <f t="shared" si="368"/>
        <v>1.98</v>
      </c>
      <c r="AS382" s="34">
        <f t="shared" si="368"/>
        <v>64.74</v>
      </c>
      <c r="AT382" s="35">
        <f t="shared" si="15"/>
        <v>100</v>
      </c>
      <c r="AV382" s="25">
        <f t="shared" si="87"/>
        <v>3280</v>
      </c>
    </row>
    <row r="383" ht="14.25" customHeight="1">
      <c r="B383" s="36"/>
      <c r="C383" s="22" t="s">
        <v>46</v>
      </c>
      <c r="D383" s="56"/>
      <c r="E383" s="22" t="s">
        <v>48</v>
      </c>
      <c r="F383" s="56"/>
      <c r="G383" s="27">
        <f t="shared" si="362"/>
        <v>47</v>
      </c>
      <c r="H383" s="27">
        <f t="shared" si="363"/>
        <v>6.7875</v>
      </c>
      <c r="I383" s="27">
        <f t="shared" si="364"/>
        <v>45.7</v>
      </c>
      <c r="J383" s="27">
        <f t="shared" si="365"/>
        <v>0.475</v>
      </c>
      <c r="K383" s="27">
        <f t="shared" si="366"/>
        <v>0.0375</v>
      </c>
      <c r="L383" s="26">
        <f t="shared" si="75"/>
        <v>13.6</v>
      </c>
      <c r="M383" s="22">
        <v>66.4</v>
      </c>
      <c r="N383" s="64">
        <v>0.0</v>
      </c>
      <c r="O383" s="22">
        <v>20.0</v>
      </c>
      <c r="P383" s="22">
        <v>0.25</v>
      </c>
      <c r="Q383" s="22">
        <v>670.0</v>
      </c>
      <c r="R383" s="22" t="s">
        <v>51</v>
      </c>
      <c r="S383" s="61">
        <v>0.0</v>
      </c>
      <c r="T383" s="22">
        <v>13.55</v>
      </c>
      <c r="U383" s="25">
        <v>3.77</v>
      </c>
      <c r="V383" s="25">
        <v>18.29</v>
      </c>
      <c r="W383" s="22">
        <v>14.5</v>
      </c>
      <c r="X383" s="22">
        <v>2.36</v>
      </c>
      <c r="Y383" s="54">
        <f t="shared" si="274"/>
        <v>61.08</v>
      </c>
      <c r="Z383" s="22">
        <f t="shared" si="77"/>
        <v>0.6711409396</v>
      </c>
      <c r="AA383" s="22">
        <v>48.16</v>
      </c>
      <c r="AB383" s="22">
        <v>70.4</v>
      </c>
      <c r="AC383" s="25">
        <f t="shared" si="78"/>
        <v>4380</v>
      </c>
      <c r="AD383" s="22" t="s">
        <v>51</v>
      </c>
      <c r="AG383" s="33">
        <v>1.49</v>
      </c>
      <c r="AH383" s="33">
        <v>4.38</v>
      </c>
      <c r="AO383" s="34">
        <f t="shared" ref="AO383:AS383" si="369">U383</f>
        <v>3.77</v>
      </c>
      <c r="AP383" s="34">
        <f t="shared" si="369"/>
        <v>18.29</v>
      </c>
      <c r="AQ383" s="34">
        <f t="shared" si="369"/>
        <v>14.5</v>
      </c>
      <c r="AR383" s="34">
        <f t="shared" si="369"/>
        <v>2.36</v>
      </c>
      <c r="AS383" s="34">
        <f t="shared" si="369"/>
        <v>61.08</v>
      </c>
      <c r="AT383" s="35">
        <f t="shared" si="15"/>
        <v>100</v>
      </c>
      <c r="AV383" s="25">
        <f t="shared" si="87"/>
        <v>4380</v>
      </c>
    </row>
    <row r="384" ht="14.25" customHeight="1">
      <c r="B384" s="36"/>
      <c r="C384" s="22" t="s">
        <v>46</v>
      </c>
      <c r="D384" s="56"/>
      <c r="E384" s="22" t="s">
        <v>48</v>
      </c>
      <c r="F384" s="56"/>
      <c r="G384" s="27">
        <f t="shared" si="362"/>
        <v>47</v>
      </c>
      <c r="H384" s="27">
        <f t="shared" si="363"/>
        <v>6.7875</v>
      </c>
      <c r="I384" s="27">
        <f t="shared" si="364"/>
        <v>45.7</v>
      </c>
      <c r="J384" s="27">
        <f t="shared" si="365"/>
        <v>0.475</v>
      </c>
      <c r="K384" s="27">
        <f t="shared" si="366"/>
        <v>0.0375</v>
      </c>
      <c r="L384" s="26">
        <f t="shared" si="75"/>
        <v>13.6</v>
      </c>
      <c r="M384" s="22">
        <v>66.4</v>
      </c>
      <c r="N384" s="64">
        <v>0.0</v>
      </c>
      <c r="O384" s="22">
        <v>20.0</v>
      </c>
      <c r="P384" s="22">
        <v>0.3</v>
      </c>
      <c r="Q384" s="22">
        <v>750.0</v>
      </c>
      <c r="R384" s="22" t="s">
        <v>51</v>
      </c>
      <c r="S384" s="61">
        <v>0.0</v>
      </c>
      <c r="T384" s="22">
        <v>13.55</v>
      </c>
      <c r="U384" s="25">
        <v>3.4</v>
      </c>
      <c r="V384" s="25">
        <v>14.43</v>
      </c>
      <c r="W384" s="22">
        <v>16.46</v>
      </c>
      <c r="X384" s="22">
        <v>2.0</v>
      </c>
      <c r="Y384" s="54">
        <f t="shared" si="274"/>
        <v>63.71</v>
      </c>
      <c r="Z384" s="22">
        <f t="shared" si="77"/>
        <v>0.5847953216</v>
      </c>
      <c r="AA384" s="22">
        <v>44.67</v>
      </c>
      <c r="AB384" s="22">
        <v>72.6</v>
      </c>
      <c r="AC384" s="25">
        <f t="shared" si="78"/>
        <v>3540</v>
      </c>
      <c r="AD384" s="22" t="s">
        <v>51</v>
      </c>
      <c r="AG384" s="33">
        <v>1.71</v>
      </c>
      <c r="AH384" s="33">
        <v>3.54</v>
      </c>
      <c r="AO384" s="34">
        <f t="shared" ref="AO384:AS384" si="370">U384</f>
        <v>3.4</v>
      </c>
      <c r="AP384" s="34">
        <f t="shared" si="370"/>
        <v>14.43</v>
      </c>
      <c r="AQ384" s="34">
        <f t="shared" si="370"/>
        <v>16.46</v>
      </c>
      <c r="AR384" s="34">
        <f t="shared" si="370"/>
        <v>2</v>
      </c>
      <c r="AS384" s="34">
        <f t="shared" si="370"/>
        <v>63.71</v>
      </c>
      <c r="AT384" s="35">
        <f t="shared" si="15"/>
        <v>100</v>
      </c>
      <c r="AV384" s="25">
        <f t="shared" si="87"/>
        <v>3540</v>
      </c>
    </row>
    <row r="385" ht="14.25" customHeight="1">
      <c r="B385" s="36"/>
      <c r="C385" s="22" t="s">
        <v>46</v>
      </c>
      <c r="D385" s="56"/>
      <c r="E385" s="22" t="s">
        <v>48</v>
      </c>
      <c r="F385" s="56"/>
      <c r="G385" s="27">
        <f t="shared" si="362"/>
        <v>47</v>
      </c>
      <c r="H385" s="27">
        <f t="shared" si="363"/>
        <v>6.7875</v>
      </c>
      <c r="I385" s="27">
        <f t="shared" si="364"/>
        <v>45.7</v>
      </c>
      <c r="J385" s="27">
        <f t="shared" si="365"/>
        <v>0.475</v>
      </c>
      <c r="K385" s="27">
        <f t="shared" si="366"/>
        <v>0.0375</v>
      </c>
      <c r="L385" s="26">
        <f t="shared" si="75"/>
        <v>13.6</v>
      </c>
      <c r="M385" s="22">
        <v>66.4</v>
      </c>
      <c r="N385" s="64">
        <v>0.0</v>
      </c>
      <c r="O385" s="22">
        <v>20.0</v>
      </c>
      <c r="P385" s="22">
        <v>0.35</v>
      </c>
      <c r="Q385" s="22">
        <v>822.0</v>
      </c>
      <c r="R385" s="22" t="s">
        <v>51</v>
      </c>
      <c r="S385" s="61">
        <v>0.0</v>
      </c>
      <c r="T385" s="22">
        <v>13.55</v>
      </c>
      <c r="U385" s="25">
        <v>3.26</v>
      </c>
      <c r="V385" s="25">
        <v>12.5</v>
      </c>
      <c r="W385" s="22">
        <v>17.23</v>
      </c>
      <c r="X385" s="22">
        <v>1.85</v>
      </c>
      <c r="Y385" s="54">
        <f t="shared" si="274"/>
        <v>65.16</v>
      </c>
      <c r="Z385" s="22">
        <f t="shared" si="77"/>
        <v>0.5076142132</v>
      </c>
      <c r="AA385" s="22">
        <v>45.8</v>
      </c>
      <c r="AB385" s="22">
        <v>78.6</v>
      </c>
      <c r="AC385" s="25">
        <f t="shared" si="78"/>
        <v>3150</v>
      </c>
      <c r="AD385" s="22" t="s">
        <v>51</v>
      </c>
      <c r="AG385" s="33">
        <v>1.97</v>
      </c>
      <c r="AH385" s="33">
        <v>3.15</v>
      </c>
      <c r="AO385" s="34">
        <f t="shared" ref="AO385:AS385" si="371">U385</f>
        <v>3.26</v>
      </c>
      <c r="AP385" s="34">
        <f t="shared" si="371"/>
        <v>12.5</v>
      </c>
      <c r="AQ385" s="34">
        <f t="shared" si="371"/>
        <v>17.23</v>
      </c>
      <c r="AR385" s="34">
        <f t="shared" si="371"/>
        <v>1.85</v>
      </c>
      <c r="AS385" s="34">
        <f t="shared" si="371"/>
        <v>65.16</v>
      </c>
      <c r="AT385" s="35">
        <f t="shared" si="15"/>
        <v>100</v>
      </c>
      <c r="AV385" s="25">
        <f t="shared" si="87"/>
        <v>3150</v>
      </c>
    </row>
    <row r="386" ht="14.25" customHeight="1">
      <c r="B386" s="36"/>
      <c r="C386" s="22" t="s">
        <v>46</v>
      </c>
      <c r="D386" s="56"/>
      <c r="E386" s="22" t="s">
        <v>48</v>
      </c>
      <c r="F386" s="56"/>
      <c r="G386" s="27">
        <f t="shared" si="362"/>
        <v>47</v>
      </c>
      <c r="H386" s="27">
        <f t="shared" si="363"/>
        <v>6.7875</v>
      </c>
      <c r="I386" s="27">
        <f t="shared" si="364"/>
        <v>45.7</v>
      </c>
      <c r="J386" s="27">
        <f t="shared" si="365"/>
        <v>0.475</v>
      </c>
      <c r="K386" s="27">
        <f t="shared" si="366"/>
        <v>0.0375</v>
      </c>
      <c r="L386" s="26">
        <f t="shared" si="75"/>
        <v>13.6</v>
      </c>
      <c r="M386" s="22">
        <v>66.4</v>
      </c>
      <c r="N386" s="64">
        <v>0.0</v>
      </c>
      <c r="O386" s="22">
        <v>20.0</v>
      </c>
      <c r="P386" s="22">
        <v>0.25</v>
      </c>
      <c r="Q386" s="22">
        <v>700.0</v>
      </c>
      <c r="R386" s="22" t="s">
        <v>51</v>
      </c>
      <c r="S386" s="61">
        <v>0.0</v>
      </c>
      <c r="T386" s="22">
        <v>13.55</v>
      </c>
      <c r="U386" s="25">
        <v>3.41</v>
      </c>
      <c r="V386" s="25">
        <v>15.13</v>
      </c>
      <c r="W386" s="22">
        <v>14.82</v>
      </c>
      <c r="X386" s="22">
        <v>2.0</v>
      </c>
      <c r="Y386" s="54">
        <f t="shared" si="274"/>
        <v>64.64</v>
      </c>
      <c r="Z386" s="22">
        <f t="shared" si="77"/>
        <v>0.7692307692</v>
      </c>
      <c r="AA386" s="22">
        <v>35.98</v>
      </c>
      <c r="AB386" s="22">
        <v>55.0</v>
      </c>
      <c r="AC386" s="25">
        <f t="shared" si="78"/>
        <v>3750</v>
      </c>
      <c r="AD386" s="22" t="s">
        <v>51</v>
      </c>
      <c r="AG386" s="33">
        <v>1.3</v>
      </c>
      <c r="AH386" s="33">
        <v>3.75</v>
      </c>
      <c r="AO386" s="34">
        <f t="shared" ref="AO386:AS386" si="372">U386</f>
        <v>3.41</v>
      </c>
      <c r="AP386" s="34">
        <f t="shared" si="372"/>
        <v>15.13</v>
      </c>
      <c r="AQ386" s="34">
        <f t="shared" si="372"/>
        <v>14.82</v>
      </c>
      <c r="AR386" s="34">
        <f t="shared" si="372"/>
        <v>2</v>
      </c>
      <c r="AS386" s="34">
        <f t="shared" si="372"/>
        <v>64.64</v>
      </c>
      <c r="AT386" s="35">
        <f t="shared" si="15"/>
        <v>100</v>
      </c>
      <c r="AV386" s="25">
        <f t="shared" si="87"/>
        <v>3750</v>
      </c>
    </row>
    <row r="387" ht="14.25" customHeight="1">
      <c r="B387" s="36"/>
      <c r="C387" s="22" t="s">
        <v>46</v>
      </c>
      <c r="D387" s="56"/>
      <c r="E387" s="22" t="s">
        <v>48</v>
      </c>
      <c r="F387" s="56"/>
      <c r="G387" s="27">
        <f t="shared" si="362"/>
        <v>47</v>
      </c>
      <c r="H387" s="27">
        <f t="shared" si="363"/>
        <v>6.7875</v>
      </c>
      <c r="I387" s="27">
        <f t="shared" si="364"/>
        <v>45.7</v>
      </c>
      <c r="J387" s="27">
        <f t="shared" si="365"/>
        <v>0.475</v>
      </c>
      <c r="K387" s="27">
        <f t="shared" si="366"/>
        <v>0.0375</v>
      </c>
      <c r="L387" s="26">
        <f t="shared" si="75"/>
        <v>13.6</v>
      </c>
      <c r="M387" s="22">
        <v>66.4</v>
      </c>
      <c r="N387" s="64">
        <v>0.0</v>
      </c>
      <c r="O387" s="22">
        <v>20.0</v>
      </c>
      <c r="P387" s="22">
        <v>0.3</v>
      </c>
      <c r="Q387" s="22">
        <v>766.0</v>
      </c>
      <c r="R387" s="22" t="s">
        <v>51</v>
      </c>
      <c r="S387" s="61">
        <v>0.0</v>
      </c>
      <c r="T387" s="22">
        <v>13.55</v>
      </c>
      <c r="U387" s="25">
        <v>3.32</v>
      </c>
      <c r="V387" s="25">
        <v>13.0</v>
      </c>
      <c r="W387" s="22">
        <v>16.62</v>
      </c>
      <c r="X387" s="22">
        <v>1.91</v>
      </c>
      <c r="Y387" s="54">
        <f t="shared" si="274"/>
        <v>65.15</v>
      </c>
      <c r="Z387" s="22">
        <f t="shared" si="77"/>
        <v>0.6666666667</v>
      </c>
      <c r="AA387" s="22">
        <v>37.2</v>
      </c>
      <c r="AB387" s="22">
        <v>60.0</v>
      </c>
      <c r="AC387" s="25">
        <f t="shared" si="78"/>
        <v>3360</v>
      </c>
      <c r="AD387" s="22" t="s">
        <v>51</v>
      </c>
      <c r="AG387" s="33">
        <v>1.5</v>
      </c>
      <c r="AH387" s="33">
        <v>3.36</v>
      </c>
      <c r="AO387" s="34">
        <f t="shared" ref="AO387:AS387" si="373">U387</f>
        <v>3.32</v>
      </c>
      <c r="AP387" s="34">
        <f t="shared" si="373"/>
        <v>13</v>
      </c>
      <c r="AQ387" s="34">
        <f t="shared" si="373"/>
        <v>16.62</v>
      </c>
      <c r="AR387" s="34">
        <f t="shared" si="373"/>
        <v>1.91</v>
      </c>
      <c r="AS387" s="34">
        <f t="shared" si="373"/>
        <v>65.15</v>
      </c>
      <c r="AT387" s="35">
        <f t="shared" si="15"/>
        <v>100</v>
      </c>
      <c r="AV387" s="25">
        <f t="shared" si="87"/>
        <v>3360</v>
      </c>
    </row>
    <row r="388" ht="14.25" customHeight="1">
      <c r="B388" s="36"/>
      <c r="C388" s="22" t="s">
        <v>46</v>
      </c>
      <c r="D388" s="56"/>
      <c r="E388" s="22" t="s">
        <v>48</v>
      </c>
      <c r="F388" s="56"/>
      <c r="G388" s="27">
        <f t="shared" si="362"/>
        <v>47</v>
      </c>
      <c r="H388" s="27">
        <f t="shared" si="363"/>
        <v>6.7875</v>
      </c>
      <c r="I388" s="27">
        <f t="shared" si="364"/>
        <v>45.7</v>
      </c>
      <c r="J388" s="27">
        <f t="shared" si="365"/>
        <v>0.475</v>
      </c>
      <c r="K388" s="27">
        <f t="shared" si="366"/>
        <v>0.0375</v>
      </c>
      <c r="L388" s="26">
        <f t="shared" si="75"/>
        <v>13.6</v>
      </c>
      <c r="M388" s="22">
        <v>66.4</v>
      </c>
      <c r="N388" s="64">
        <v>0.0</v>
      </c>
      <c r="O388" s="22">
        <v>20.0</v>
      </c>
      <c r="P388" s="22">
        <v>0.35</v>
      </c>
      <c r="Q388" s="22">
        <v>828.0</v>
      </c>
      <c r="R388" s="22" t="s">
        <v>51</v>
      </c>
      <c r="S388" s="61">
        <v>0.0</v>
      </c>
      <c r="T388" s="22">
        <v>13.55</v>
      </c>
      <c r="U388" s="25">
        <v>3.25</v>
      </c>
      <c r="V388" s="25">
        <v>12.0</v>
      </c>
      <c r="W388" s="22">
        <v>17.42</v>
      </c>
      <c r="X388" s="22">
        <v>1.84</v>
      </c>
      <c r="Y388" s="54">
        <f t="shared" si="274"/>
        <v>65.49</v>
      </c>
      <c r="Z388" s="22">
        <f t="shared" si="77"/>
        <v>0.5882352941</v>
      </c>
      <c r="AA388" s="22">
        <v>38.78</v>
      </c>
      <c r="AB388" s="22">
        <v>67.0</v>
      </c>
      <c r="AC388" s="25">
        <f t="shared" si="78"/>
        <v>3090</v>
      </c>
      <c r="AD388" s="22" t="s">
        <v>51</v>
      </c>
      <c r="AG388" s="33">
        <v>1.7</v>
      </c>
      <c r="AH388" s="33">
        <v>3.09</v>
      </c>
      <c r="AO388" s="34">
        <f t="shared" ref="AO388:AS388" si="374">U388</f>
        <v>3.25</v>
      </c>
      <c r="AP388" s="34">
        <f t="shared" si="374"/>
        <v>12</v>
      </c>
      <c r="AQ388" s="34">
        <f t="shared" si="374"/>
        <v>17.42</v>
      </c>
      <c r="AR388" s="34">
        <f t="shared" si="374"/>
        <v>1.84</v>
      </c>
      <c r="AS388" s="34">
        <f t="shared" si="374"/>
        <v>65.49</v>
      </c>
      <c r="AT388" s="35">
        <f t="shared" si="15"/>
        <v>100</v>
      </c>
      <c r="AV388" s="25">
        <f t="shared" si="87"/>
        <v>3090</v>
      </c>
    </row>
    <row r="389" ht="14.25" customHeight="1">
      <c r="B389" s="36"/>
      <c r="C389" s="22" t="s">
        <v>46</v>
      </c>
      <c r="D389" s="56"/>
      <c r="E389" s="22" t="s">
        <v>48</v>
      </c>
      <c r="F389" s="56"/>
      <c r="G389" s="22">
        <v>44.48</v>
      </c>
      <c r="H389" s="22">
        <v>6.49</v>
      </c>
      <c r="I389" s="22">
        <v>48.23</v>
      </c>
      <c r="J389" s="22">
        <v>0.73</v>
      </c>
      <c r="K389" s="22">
        <v>0.07</v>
      </c>
      <c r="L389" s="26">
        <f t="shared" si="75"/>
        <v>15.06</v>
      </c>
      <c r="M389" s="22">
        <v>75.23</v>
      </c>
      <c r="N389" s="22">
        <v>8.48</v>
      </c>
      <c r="O389" s="22">
        <v>1.23</v>
      </c>
      <c r="P389" s="22">
        <v>0.28</v>
      </c>
      <c r="Q389" s="22">
        <v>702.0</v>
      </c>
      <c r="R389" s="22" t="s">
        <v>51</v>
      </c>
      <c r="S389" s="58">
        <v>0.0</v>
      </c>
      <c r="T389" s="22">
        <v>17.88</v>
      </c>
      <c r="U389" s="25">
        <v>33.91</v>
      </c>
      <c r="V389" s="25">
        <v>25.75</v>
      </c>
      <c r="W389" s="22">
        <v>21.83</v>
      </c>
      <c r="X389" s="22">
        <v>8.14</v>
      </c>
      <c r="Y389" s="31">
        <f t="shared" ref="Y389:Y397" si="375">(AK389/AM389)*100</f>
        <v>37.85327251</v>
      </c>
      <c r="Z389" s="22">
        <f t="shared" si="77"/>
        <v>1.075268817</v>
      </c>
      <c r="AA389" s="22">
        <v>62.41</v>
      </c>
      <c r="AB389" s="22">
        <v>78.11</v>
      </c>
      <c r="AC389" s="25">
        <f t="shared" si="78"/>
        <v>14280</v>
      </c>
      <c r="AD389" s="22" t="s">
        <v>51</v>
      </c>
      <c r="AG389" s="33">
        <v>0.93</v>
      </c>
      <c r="AH389" s="33">
        <v>14.28</v>
      </c>
      <c r="AK389" s="33">
        <f t="shared" ref="AK389:AK397" si="376">0.79*((P389*(((G389/12)+(H389/4))-((I389/16)/2)))/0.21)+(J389/14)/2</f>
        <v>4.051889484</v>
      </c>
      <c r="AL389" s="33">
        <f t="shared" ref="AL389:AL397" si="377">(100*G389)/(12*(V389+W389+X389))</f>
        <v>6.652309165</v>
      </c>
      <c r="AM389" s="33">
        <f t="shared" ref="AM389:AM397" si="378">AL389+AK389</f>
        <v>10.70419865</v>
      </c>
      <c r="AO389" s="34">
        <f t="shared" ref="AO389:AO397" si="379">((AL389*(U389/100))/AM389)*100</f>
        <v>21.07395529</v>
      </c>
      <c r="AP389" s="34">
        <f t="shared" ref="AP389:AP397" si="380">((AL389*(V389/100))/AM389)*100</f>
        <v>16.00278233</v>
      </c>
      <c r="AQ389" s="34">
        <f t="shared" ref="AQ389:AQ397" si="381">((AL389*(W389/100))/AM389)*100</f>
        <v>13.56663061</v>
      </c>
      <c r="AR389" s="34">
        <f t="shared" ref="AR389:AR397" si="382">((AL389*(X389/100))/AM389)*100</f>
        <v>5.058743618</v>
      </c>
      <c r="AS389" s="34">
        <f t="shared" ref="AS389:AS397" si="383">Y389</f>
        <v>37.85327251</v>
      </c>
      <c r="AT389" s="35">
        <f t="shared" si="15"/>
        <v>93.55538436</v>
      </c>
      <c r="AV389" s="25">
        <f t="shared" si="87"/>
        <v>14280</v>
      </c>
    </row>
    <row r="390" ht="14.25" customHeight="1">
      <c r="B390" s="36"/>
      <c r="C390" s="22" t="s">
        <v>46</v>
      </c>
      <c r="D390" s="56"/>
      <c r="E390" s="22" t="s">
        <v>48</v>
      </c>
      <c r="F390" s="56"/>
      <c r="G390" s="22">
        <v>44.48</v>
      </c>
      <c r="H390" s="22">
        <v>6.49</v>
      </c>
      <c r="I390" s="22">
        <v>48.23</v>
      </c>
      <c r="J390" s="22">
        <v>0.73</v>
      </c>
      <c r="K390" s="22">
        <v>0.07</v>
      </c>
      <c r="L390" s="26">
        <f t="shared" si="75"/>
        <v>15.06</v>
      </c>
      <c r="M390" s="22">
        <v>75.23</v>
      </c>
      <c r="N390" s="22">
        <v>8.48</v>
      </c>
      <c r="O390" s="22">
        <v>1.23</v>
      </c>
      <c r="P390" s="22">
        <v>0.28</v>
      </c>
      <c r="Q390" s="22">
        <v>760.0</v>
      </c>
      <c r="R390" s="22" t="s">
        <v>51</v>
      </c>
      <c r="S390" s="58">
        <v>0.0</v>
      </c>
      <c r="T390" s="22">
        <v>17.88</v>
      </c>
      <c r="U390" s="25">
        <v>40.23</v>
      </c>
      <c r="V390" s="25">
        <v>18.42</v>
      </c>
      <c r="W390" s="22">
        <v>25.36</v>
      </c>
      <c r="X390" s="22">
        <v>8.11</v>
      </c>
      <c r="Y390" s="31">
        <f t="shared" si="375"/>
        <v>36.19307831</v>
      </c>
      <c r="Z390" s="22">
        <f t="shared" si="77"/>
        <v>0.8928571429</v>
      </c>
      <c r="AA390" s="22">
        <v>70.09</v>
      </c>
      <c r="AB390" s="22">
        <v>83.73</v>
      </c>
      <c r="AC390" s="25">
        <f t="shared" si="78"/>
        <v>12810</v>
      </c>
      <c r="AD390" s="22" t="s">
        <v>51</v>
      </c>
      <c r="AG390" s="33">
        <v>1.12</v>
      </c>
      <c r="AH390" s="33">
        <v>12.81</v>
      </c>
      <c r="AK390" s="33">
        <f t="shared" si="376"/>
        <v>4.051889484</v>
      </c>
      <c r="AL390" s="33">
        <f t="shared" si="377"/>
        <v>7.143315989</v>
      </c>
      <c r="AM390" s="33">
        <f t="shared" si="378"/>
        <v>11.19520547</v>
      </c>
      <c r="AO390" s="34">
        <f t="shared" si="379"/>
        <v>25.66952459</v>
      </c>
      <c r="AP390" s="34">
        <f t="shared" si="380"/>
        <v>11.75323497</v>
      </c>
      <c r="AQ390" s="34">
        <f t="shared" si="381"/>
        <v>16.18143534</v>
      </c>
      <c r="AR390" s="34">
        <f t="shared" si="382"/>
        <v>5.174741349</v>
      </c>
      <c r="AS390" s="34">
        <f t="shared" si="383"/>
        <v>36.19307831</v>
      </c>
      <c r="AT390" s="35">
        <f t="shared" si="15"/>
        <v>94.97201457</v>
      </c>
      <c r="AV390" s="25">
        <f t="shared" si="87"/>
        <v>12810</v>
      </c>
    </row>
    <row r="391" ht="14.25" customHeight="1">
      <c r="B391" s="36"/>
      <c r="C391" s="22" t="s">
        <v>46</v>
      </c>
      <c r="D391" s="56"/>
      <c r="E391" s="22" t="s">
        <v>48</v>
      </c>
      <c r="F391" s="56"/>
      <c r="G391" s="22">
        <v>44.48</v>
      </c>
      <c r="H391" s="22">
        <v>6.49</v>
      </c>
      <c r="I391" s="22">
        <v>48.23</v>
      </c>
      <c r="J391" s="22">
        <v>0.73</v>
      </c>
      <c r="K391" s="22">
        <v>0.07</v>
      </c>
      <c r="L391" s="26">
        <f t="shared" si="75"/>
        <v>15.06</v>
      </c>
      <c r="M391" s="22">
        <v>75.23</v>
      </c>
      <c r="N391" s="22">
        <v>8.48</v>
      </c>
      <c r="O391" s="22">
        <v>1.23</v>
      </c>
      <c r="P391" s="22">
        <v>0.28</v>
      </c>
      <c r="Q391" s="22">
        <v>846.0</v>
      </c>
      <c r="R391" s="22" t="s">
        <v>51</v>
      </c>
      <c r="S391" s="58">
        <v>0.0</v>
      </c>
      <c r="T391" s="22">
        <v>17.88</v>
      </c>
      <c r="U391" s="25">
        <v>46.31</v>
      </c>
      <c r="V391" s="25">
        <v>26.9</v>
      </c>
      <c r="W391" s="22">
        <v>16.99</v>
      </c>
      <c r="X391" s="22">
        <v>6.41</v>
      </c>
      <c r="Y391" s="31">
        <f t="shared" si="375"/>
        <v>35.47751168</v>
      </c>
      <c r="Z391" s="22">
        <f t="shared" si="77"/>
        <v>0.7352941176</v>
      </c>
      <c r="AA391" s="22">
        <v>72.92</v>
      </c>
      <c r="AB391" s="22">
        <v>87.14</v>
      </c>
      <c r="AC391" s="25">
        <f t="shared" si="78"/>
        <v>11610</v>
      </c>
      <c r="AD391" s="22" t="s">
        <v>51</v>
      </c>
      <c r="AG391" s="33">
        <v>1.36</v>
      </c>
      <c r="AH391" s="33">
        <v>11.61</v>
      </c>
      <c r="AK391" s="33">
        <f t="shared" si="376"/>
        <v>4.051889484</v>
      </c>
      <c r="AL391" s="33">
        <f t="shared" si="377"/>
        <v>7.369118622</v>
      </c>
      <c r="AM391" s="33">
        <f t="shared" si="378"/>
        <v>11.42100811</v>
      </c>
      <c r="AO391" s="34">
        <f t="shared" si="379"/>
        <v>29.88036434</v>
      </c>
      <c r="AP391" s="34">
        <f t="shared" si="380"/>
        <v>17.35654936</v>
      </c>
      <c r="AQ391" s="34">
        <f t="shared" si="381"/>
        <v>10.96237077</v>
      </c>
      <c r="AR391" s="34">
        <f t="shared" si="382"/>
        <v>4.135891502</v>
      </c>
      <c r="AS391" s="34">
        <f t="shared" si="383"/>
        <v>35.47751168</v>
      </c>
      <c r="AT391" s="35">
        <f t="shared" si="15"/>
        <v>97.81268765</v>
      </c>
      <c r="AV391" s="25">
        <f t="shared" si="87"/>
        <v>11610</v>
      </c>
    </row>
    <row r="392" ht="14.25" customHeight="1">
      <c r="B392" s="36"/>
      <c r="C392" s="22" t="s">
        <v>46</v>
      </c>
      <c r="D392" s="56"/>
      <c r="E392" s="22" t="s">
        <v>48</v>
      </c>
      <c r="F392" s="56"/>
      <c r="G392" s="22">
        <v>49.47</v>
      </c>
      <c r="H392" s="22">
        <v>7.82</v>
      </c>
      <c r="I392" s="22">
        <v>42.53</v>
      </c>
      <c r="J392" s="22">
        <v>0.12</v>
      </c>
      <c r="K392" s="22">
        <v>0.06</v>
      </c>
      <c r="L392" s="26">
        <f t="shared" si="75"/>
        <v>13.87</v>
      </c>
      <c r="M392" s="22">
        <v>76.5</v>
      </c>
      <c r="N392" s="22">
        <v>8.61</v>
      </c>
      <c r="O392" s="22">
        <v>1.02</v>
      </c>
      <c r="P392" s="22">
        <v>0.28</v>
      </c>
      <c r="Q392" s="22">
        <v>702.0</v>
      </c>
      <c r="R392" s="22" t="s">
        <v>51</v>
      </c>
      <c r="S392" s="58">
        <v>0.0</v>
      </c>
      <c r="T392" s="22">
        <v>18.21</v>
      </c>
      <c r="U392" s="25">
        <v>21.31</v>
      </c>
      <c r="V392" s="25">
        <v>13.74</v>
      </c>
      <c r="W392" s="22">
        <v>33.18</v>
      </c>
      <c r="X392" s="22">
        <v>12.25</v>
      </c>
      <c r="Y392" s="31">
        <f t="shared" si="375"/>
        <v>41.80986645</v>
      </c>
      <c r="Z392" s="22">
        <f t="shared" si="77"/>
        <v>1.886792453</v>
      </c>
      <c r="AA392" s="22">
        <v>33.43</v>
      </c>
      <c r="AB392" s="22">
        <v>51.61</v>
      </c>
      <c r="AC392" s="25">
        <f t="shared" si="78"/>
        <v>15310</v>
      </c>
      <c r="AD392" s="22" t="s">
        <v>51</v>
      </c>
      <c r="AG392" s="33">
        <v>0.53</v>
      </c>
      <c r="AH392" s="33">
        <v>15.31</v>
      </c>
      <c r="AK392" s="33">
        <f t="shared" si="376"/>
        <v>5.005973214</v>
      </c>
      <c r="AL392" s="33">
        <f t="shared" si="377"/>
        <v>6.967213115</v>
      </c>
      <c r="AM392" s="33">
        <f t="shared" si="378"/>
        <v>11.97318633</v>
      </c>
      <c r="AO392" s="34">
        <f t="shared" si="379"/>
        <v>12.40031746</v>
      </c>
      <c r="AP392" s="34">
        <f t="shared" si="380"/>
        <v>7.995324349</v>
      </c>
      <c r="AQ392" s="34">
        <f t="shared" si="381"/>
        <v>19.30748631</v>
      </c>
      <c r="AR392" s="34">
        <f t="shared" si="382"/>
        <v>7.12829136</v>
      </c>
      <c r="AS392" s="34">
        <f t="shared" si="383"/>
        <v>41.80986645</v>
      </c>
      <c r="AT392" s="35">
        <f t="shared" si="15"/>
        <v>88.64128593</v>
      </c>
      <c r="AV392" s="25">
        <f t="shared" si="87"/>
        <v>15310</v>
      </c>
    </row>
    <row r="393" ht="14.25" customHeight="1">
      <c r="B393" s="36"/>
      <c r="C393" s="22" t="s">
        <v>46</v>
      </c>
      <c r="D393" s="56"/>
      <c r="E393" s="22" t="s">
        <v>48</v>
      </c>
      <c r="F393" s="56"/>
      <c r="G393" s="22">
        <v>49.47</v>
      </c>
      <c r="H393" s="22">
        <v>7.82</v>
      </c>
      <c r="I393" s="22">
        <v>42.53</v>
      </c>
      <c r="J393" s="22">
        <v>0.12</v>
      </c>
      <c r="K393" s="22">
        <v>0.06</v>
      </c>
      <c r="L393" s="26">
        <f t="shared" si="75"/>
        <v>13.87</v>
      </c>
      <c r="M393" s="22">
        <v>76.5</v>
      </c>
      <c r="N393" s="22">
        <v>8.61</v>
      </c>
      <c r="O393" s="22">
        <v>1.02</v>
      </c>
      <c r="P393" s="22">
        <v>0.28</v>
      </c>
      <c r="Q393" s="22">
        <v>760.0</v>
      </c>
      <c r="R393" s="22" t="s">
        <v>51</v>
      </c>
      <c r="S393" s="58">
        <v>0.0</v>
      </c>
      <c r="T393" s="22">
        <v>18.21</v>
      </c>
      <c r="U393" s="25">
        <v>24.73</v>
      </c>
      <c r="V393" s="25">
        <v>17.57</v>
      </c>
      <c r="W393" s="22">
        <v>29.14</v>
      </c>
      <c r="X393" s="22">
        <v>11.13</v>
      </c>
      <c r="Y393" s="31">
        <f t="shared" si="375"/>
        <v>41.25781578</v>
      </c>
      <c r="Z393" s="22">
        <f t="shared" si="77"/>
        <v>1.428571429</v>
      </c>
      <c r="AA393" s="22">
        <v>43.16</v>
      </c>
      <c r="AB393" s="22">
        <v>64.82</v>
      </c>
      <c r="AC393" s="25">
        <f t="shared" si="78"/>
        <v>14940</v>
      </c>
      <c r="AD393" s="22" t="s">
        <v>51</v>
      </c>
      <c r="AG393" s="33">
        <v>0.7</v>
      </c>
      <c r="AH393" s="33">
        <v>14.94</v>
      </c>
      <c r="AK393" s="33">
        <f t="shared" si="376"/>
        <v>5.005973214</v>
      </c>
      <c r="AL393" s="33">
        <f t="shared" si="377"/>
        <v>7.12742047</v>
      </c>
      <c r="AM393" s="33">
        <f t="shared" si="378"/>
        <v>12.13339368</v>
      </c>
      <c r="AO393" s="34">
        <f t="shared" si="379"/>
        <v>14.52694216</v>
      </c>
      <c r="AP393" s="34">
        <f t="shared" si="380"/>
        <v>10.32100177</v>
      </c>
      <c r="AQ393" s="34">
        <f t="shared" si="381"/>
        <v>17.11747248</v>
      </c>
      <c r="AR393" s="34">
        <f t="shared" si="382"/>
        <v>6.538005104</v>
      </c>
      <c r="AS393" s="34">
        <f t="shared" si="383"/>
        <v>41.25781578</v>
      </c>
      <c r="AT393" s="35">
        <f t="shared" si="15"/>
        <v>89.76123729</v>
      </c>
      <c r="AV393" s="25">
        <f t="shared" si="87"/>
        <v>14940</v>
      </c>
    </row>
    <row r="394" ht="14.25" customHeight="1">
      <c r="B394" s="36"/>
      <c r="C394" s="22" t="s">
        <v>46</v>
      </c>
      <c r="D394" s="56"/>
      <c r="E394" s="22" t="s">
        <v>48</v>
      </c>
      <c r="F394" s="56"/>
      <c r="G394" s="22">
        <v>49.47</v>
      </c>
      <c r="H394" s="22">
        <v>7.82</v>
      </c>
      <c r="I394" s="22">
        <v>42.53</v>
      </c>
      <c r="J394" s="22">
        <v>0.12</v>
      </c>
      <c r="K394" s="22">
        <v>0.06</v>
      </c>
      <c r="L394" s="26">
        <f t="shared" si="75"/>
        <v>13.87</v>
      </c>
      <c r="M394" s="22">
        <v>76.5</v>
      </c>
      <c r="N394" s="22">
        <v>8.61</v>
      </c>
      <c r="O394" s="22">
        <v>1.02</v>
      </c>
      <c r="P394" s="22">
        <v>0.28</v>
      </c>
      <c r="Q394" s="22">
        <v>846.0</v>
      </c>
      <c r="R394" s="22" t="s">
        <v>51</v>
      </c>
      <c r="S394" s="58">
        <v>0.0</v>
      </c>
      <c r="T394" s="22">
        <v>18.21</v>
      </c>
      <c r="U394" s="25">
        <v>27.14</v>
      </c>
      <c r="V394" s="25">
        <v>22.32</v>
      </c>
      <c r="W394" s="22">
        <v>25.43</v>
      </c>
      <c r="X394" s="22">
        <v>10.35</v>
      </c>
      <c r="Y394" s="31">
        <f t="shared" si="375"/>
        <v>41.36655762</v>
      </c>
      <c r="Z394" s="22">
        <f t="shared" si="77"/>
        <v>1.282051282</v>
      </c>
      <c r="AA394" s="22">
        <v>48.3</v>
      </c>
      <c r="AB394" s="22">
        <v>71.3</v>
      </c>
      <c r="AC394" s="25">
        <f t="shared" si="78"/>
        <v>14510</v>
      </c>
      <c r="AD394" s="22" t="s">
        <v>51</v>
      </c>
      <c r="AG394" s="33">
        <v>0.78</v>
      </c>
      <c r="AH394" s="33">
        <v>14.51</v>
      </c>
      <c r="AK394" s="33">
        <f t="shared" si="376"/>
        <v>5.005973214</v>
      </c>
      <c r="AL394" s="33">
        <f t="shared" si="377"/>
        <v>7.095524957</v>
      </c>
      <c r="AM394" s="33">
        <f t="shared" si="378"/>
        <v>12.10149817</v>
      </c>
      <c r="AO394" s="34">
        <f t="shared" si="379"/>
        <v>15.91311626</v>
      </c>
      <c r="AP394" s="34">
        <f t="shared" si="380"/>
        <v>13.08698434</v>
      </c>
      <c r="AQ394" s="34">
        <f t="shared" si="381"/>
        <v>14.9104844</v>
      </c>
      <c r="AR394" s="34">
        <f t="shared" si="382"/>
        <v>6.068561286</v>
      </c>
      <c r="AS394" s="34">
        <f t="shared" si="383"/>
        <v>41.36655762</v>
      </c>
      <c r="AT394" s="35">
        <f t="shared" si="15"/>
        <v>91.34570391</v>
      </c>
      <c r="AV394" s="25">
        <f t="shared" si="87"/>
        <v>14510</v>
      </c>
    </row>
    <row r="395" ht="14.25" customHeight="1">
      <c r="B395" s="36"/>
      <c r="C395" s="22" t="s">
        <v>46</v>
      </c>
      <c r="D395" s="56"/>
      <c r="E395" s="22" t="s">
        <v>48</v>
      </c>
      <c r="F395" s="56"/>
      <c r="G395" s="22">
        <v>49.47</v>
      </c>
      <c r="H395" s="22">
        <v>7.82</v>
      </c>
      <c r="I395" s="22">
        <v>42.53</v>
      </c>
      <c r="J395" s="22">
        <v>0.12</v>
      </c>
      <c r="K395" s="22">
        <v>0.06</v>
      </c>
      <c r="L395" s="26">
        <f t="shared" si="75"/>
        <v>13.87</v>
      </c>
      <c r="M395" s="22">
        <v>76.5</v>
      </c>
      <c r="N395" s="22">
        <v>8.61</v>
      </c>
      <c r="O395" s="22">
        <v>1.02</v>
      </c>
      <c r="P395" s="22">
        <v>0.28</v>
      </c>
      <c r="Q395" s="22">
        <v>846.0</v>
      </c>
      <c r="R395" s="22" t="s">
        <v>51</v>
      </c>
      <c r="S395" s="58">
        <v>0.0</v>
      </c>
      <c r="T395" s="22">
        <v>18.21</v>
      </c>
      <c r="U395" s="25">
        <v>24.42</v>
      </c>
      <c r="V395" s="25">
        <v>17.31</v>
      </c>
      <c r="W395" s="22">
        <v>31.6</v>
      </c>
      <c r="X395" s="22">
        <v>11.37</v>
      </c>
      <c r="Y395" s="31">
        <f t="shared" si="375"/>
        <v>42.26271869</v>
      </c>
      <c r="Z395" s="22">
        <f t="shared" si="77"/>
        <v>1.408450704</v>
      </c>
      <c r="AA395" s="22">
        <v>45.62</v>
      </c>
      <c r="AB395" s="22">
        <v>64.47</v>
      </c>
      <c r="AC395" s="25">
        <f t="shared" si="78"/>
        <v>14800</v>
      </c>
      <c r="AD395" s="22" t="s">
        <v>51</v>
      </c>
      <c r="AG395" s="33">
        <v>0.71</v>
      </c>
      <c r="AH395" s="33">
        <v>14.8</v>
      </c>
      <c r="AK395" s="33">
        <f t="shared" si="376"/>
        <v>5.005973214</v>
      </c>
      <c r="AL395" s="33">
        <f t="shared" si="377"/>
        <v>6.838918381</v>
      </c>
      <c r="AM395" s="33">
        <f t="shared" si="378"/>
        <v>11.8448916</v>
      </c>
      <c r="AO395" s="34">
        <f t="shared" si="379"/>
        <v>14.0994441</v>
      </c>
      <c r="AP395" s="34">
        <f t="shared" si="380"/>
        <v>9.994323394</v>
      </c>
      <c r="AQ395" s="34">
        <f t="shared" si="381"/>
        <v>18.24498089</v>
      </c>
      <c r="AR395" s="34">
        <f t="shared" si="382"/>
        <v>6.564728885</v>
      </c>
      <c r="AS395" s="34">
        <f t="shared" si="383"/>
        <v>42.26271869</v>
      </c>
      <c r="AT395" s="35">
        <f t="shared" si="15"/>
        <v>91.16619596</v>
      </c>
      <c r="AV395" s="25">
        <f t="shared" si="87"/>
        <v>14800</v>
      </c>
    </row>
    <row r="396" ht="14.25" customHeight="1">
      <c r="B396" s="36"/>
      <c r="C396" s="22" t="s">
        <v>46</v>
      </c>
      <c r="D396" s="56"/>
      <c r="E396" s="22" t="s">
        <v>48</v>
      </c>
      <c r="F396" s="56"/>
      <c r="G396" s="22">
        <v>49.47</v>
      </c>
      <c r="H396" s="22">
        <v>7.82</v>
      </c>
      <c r="I396" s="22">
        <v>42.53</v>
      </c>
      <c r="J396" s="22">
        <v>0.12</v>
      </c>
      <c r="K396" s="22">
        <v>0.06</v>
      </c>
      <c r="L396" s="26">
        <f t="shared" si="75"/>
        <v>13.87</v>
      </c>
      <c r="M396" s="22">
        <v>76.5</v>
      </c>
      <c r="N396" s="22">
        <v>8.61</v>
      </c>
      <c r="O396" s="22">
        <v>1.02</v>
      </c>
      <c r="P396" s="22">
        <v>0.28</v>
      </c>
      <c r="Q396" s="22">
        <v>846.0</v>
      </c>
      <c r="R396" s="22" t="s">
        <v>51</v>
      </c>
      <c r="S396" s="58">
        <v>0.0</v>
      </c>
      <c r="T396" s="22">
        <v>18.21</v>
      </c>
      <c r="U396" s="25">
        <v>28.92</v>
      </c>
      <c r="V396" s="25">
        <v>22.8</v>
      </c>
      <c r="W396" s="22">
        <v>25.91</v>
      </c>
      <c r="X396" s="22">
        <v>9.33</v>
      </c>
      <c r="Y396" s="31">
        <f t="shared" si="375"/>
        <v>41.3414991</v>
      </c>
      <c r="Z396" s="22">
        <f t="shared" si="77"/>
        <v>1.204819277</v>
      </c>
      <c r="AA396" s="22">
        <v>51.35</v>
      </c>
      <c r="AB396" s="22">
        <v>74.47</v>
      </c>
      <c r="AC396" s="25">
        <f t="shared" si="78"/>
        <v>14570</v>
      </c>
      <c r="AD396" s="22" t="s">
        <v>51</v>
      </c>
      <c r="AG396" s="33">
        <v>0.83</v>
      </c>
      <c r="AH396" s="33">
        <v>14.57</v>
      </c>
      <c r="AK396" s="33">
        <f t="shared" si="376"/>
        <v>5.005973214</v>
      </c>
      <c r="AL396" s="33">
        <f t="shared" si="377"/>
        <v>7.102860096</v>
      </c>
      <c r="AM396" s="33">
        <f t="shared" si="378"/>
        <v>12.10883331</v>
      </c>
      <c r="AO396" s="34">
        <f t="shared" si="379"/>
        <v>16.96403846</v>
      </c>
      <c r="AP396" s="34">
        <f t="shared" si="380"/>
        <v>13.37413821</v>
      </c>
      <c r="AQ396" s="34">
        <f t="shared" si="381"/>
        <v>15.19841758</v>
      </c>
      <c r="AR396" s="34">
        <f t="shared" si="382"/>
        <v>5.472838134</v>
      </c>
      <c r="AS396" s="34">
        <f t="shared" si="383"/>
        <v>41.3414991</v>
      </c>
      <c r="AT396" s="35">
        <f t="shared" si="15"/>
        <v>92.35093148</v>
      </c>
      <c r="AV396" s="25">
        <f t="shared" si="87"/>
        <v>14570</v>
      </c>
    </row>
    <row r="397" ht="14.25" customHeight="1">
      <c r="B397" s="36"/>
      <c r="C397" s="22" t="s">
        <v>46</v>
      </c>
      <c r="D397" s="56"/>
      <c r="E397" s="22" t="s">
        <v>48</v>
      </c>
      <c r="F397" s="56"/>
      <c r="G397" s="22">
        <v>49.47</v>
      </c>
      <c r="H397" s="22">
        <v>7.82</v>
      </c>
      <c r="I397" s="22">
        <v>42.53</v>
      </c>
      <c r="J397" s="22">
        <v>0.12</v>
      </c>
      <c r="K397" s="22">
        <v>0.06</v>
      </c>
      <c r="L397" s="26">
        <f t="shared" si="75"/>
        <v>13.87</v>
      </c>
      <c r="M397" s="22">
        <v>76.5</v>
      </c>
      <c r="N397" s="22">
        <v>8.61</v>
      </c>
      <c r="O397" s="22">
        <v>1.02</v>
      </c>
      <c r="P397" s="22">
        <v>0.28</v>
      </c>
      <c r="Q397" s="22">
        <v>846.0</v>
      </c>
      <c r="R397" s="22" t="s">
        <v>51</v>
      </c>
      <c r="S397" s="58">
        <v>0.0</v>
      </c>
      <c r="T397" s="22">
        <v>18.21</v>
      </c>
      <c r="U397" s="25">
        <v>33.91</v>
      </c>
      <c r="V397" s="25">
        <v>25.73</v>
      </c>
      <c r="W397" s="22">
        <v>21.83</v>
      </c>
      <c r="X397" s="22">
        <v>9.14</v>
      </c>
      <c r="Y397" s="31">
        <f t="shared" si="375"/>
        <v>40.77622419</v>
      </c>
      <c r="Z397" s="22">
        <f t="shared" si="77"/>
        <v>1.075268817</v>
      </c>
      <c r="AA397" s="22">
        <v>56.21</v>
      </c>
      <c r="AB397" s="22">
        <v>78.11</v>
      </c>
      <c r="AC397" s="25">
        <f t="shared" si="78"/>
        <v>14280</v>
      </c>
      <c r="AD397" s="22" t="s">
        <v>51</v>
      </c>
      <c r="AG397" s="33">
        <v>0.93</v>
      </c>
      <c r="AH397" s="33">
        <v>14.28</v>
      </c>
      <c r="AK397" s="33">
        <f t="shared" si="376"/>
        <v>5.005973214</v>
      </c>
      <c r="AL397" s="33">
        <f t="shared" si="377"/>
        <v>7.270723104</v>
      </c>
      <c r="AM397" s="33">
        <f t="shared" si="378"/>
        <v>12.27669632</v>
      </c>
      <c r="AO397" s="34">
        <f t="shared" si="379"/>
        <v>20.08278238</v>
      </c>
      <c r="AP397" s="34">
        <f t="shared" si="380"/>
        <v>15.23827752</v>
      </c>
      <c r="AQ397" s="34">
        <f t="shared" si="381"/>
        <v>12.92855026</v>
      </c>
      <c r="AR397" s="34">
        <f t="shared" si="382"/>
        <v>5.413053109</v>
      </c>
      <c r="AS397" s="34">
        <f t="shared" si="383"/>
        <v>40.77622419</v>
      </c>
      <c r="AT397" s="35">
        <f t="shared" si="15"/>
        <v>94.43888745</v>
      </c>
      <c r="AV397" s="25">
        <f t="shared" si="87"/>
        <v>14280</v>
      </c>
    </row>
    <row r="398" ht="14.25" customHeight="1">
      <c r="B398" s="36"/>
      <c r="C398" s="22" t="s">
        <v>46</v>
      </c>
      <c r="D398" s="56"/>
      <c r="E398" s="22" t="s">
        <v>48</v>
      </c>
      <c r="F398" s="56"/>
      <c r="G398" s="22">
        <v>50.28</v>
      </c>
      <c r="H398" s="22">
        <v>6.14</v>
      </c>
      <c r="I398" s="22">
        <v>42.59</v>
      </c>
      <c r="J398" s="22">
        <v>0.96</v>
      </c>
      <c r="K398" s="22">
        <v>0.03</v>
      </c>
      <c r="L398" s="26">
        <f t="shared" si="75"/>
        <v>0</v>
      </c>
      <c r="M398" s="22">
        <v>93.2</v>
      </c>
      <c r="N398" s="22">
        <v>6.3</v>
      </c>
      <c r="O398" s="22">
        <v>0.5</v>
      </c>
      <c r="P398" s="22">
        <v>0.2</v>
      </c>
      <c r="Q398" s="22">
        <v>755.0</v>
      </c>
      <c r="R398" s="22" t="s">
        <v>51</v>
      </c>
      <c r="S398" s="58">
        <v>0.0</v>
      </c>
      <c r="T398" s="22">
        <v>17.1</v>
      </c>
      <c r="U398" s="25">
        <v>8.7</v>
      </c>
      <c r="V398" s="25">
        <v>15.8</v>
      </c>
      <c r="W398" s="22">
        <v>1.03</v>
      </c>
      <c r="X398" s="22">
        <v>5.1</v>
      </c>
      <c r="Y398" s="54">
        <f t="shared" ref="Y398:Y432" si="385">100-SUM(U398:X398)</f>
        <v>69.37</v>
      </c>
      <c r="Z398" s="22">
        <f t="shared" si="77"/>
        <v>0.9708737864</v>
      </c>
      <c r="AA398" s="22">
        <v>59.0</v>
      </c>
      <c r="AB398" s="22">
        <v>93.0</v>
      </c>
      <c r="AC398" s="25">
        <f t="shared" si="78"/>
        <v>4760</v>
      </c>
      <c r="AD398" s="22" t="s">
        <v>51</v>
      </c>
      <c r="AG398" s="33">
        <v>1.03</v>
      </c>
      <c r="AH398" s="33">
        <v>4.76</v>
      </c>
      <c r="AO398" s="34">
        <f t="shared" ref="AO398:AS398" si="384">U398</f>
        <v>8.7</v>
      </c>
      <c r="AP398" s="34">
        <f t="shared" si="384"/>
        <v>15.8</v>
      </c>
      <c r="AQ398" s="34">
        <f t="shared" si="384"/>
        <v>1.03</v>
      </c>
      <c r="AR398" s="34">
        <f t="shared" si="384"/>
        <v>5.1</v>
      </c>
      <c r="AS398" s="34">
        <f t="shared" si="384"/>
        <v>69.37</v>
      </c>
      <c r="AT398" s="35">
        <f t="shared" si="15"/>
        <v>100</v>
      </c>
      <c r="AV398" s="25">
        <f t="shared" si="87"/>
        <v>4760</v>
      </c>
    </row>
    <row r="399" ht="14.25" customHeight="1">
      <c r="B399" s="36"/>
      <c r="C399" s="22" t="s">
        <v>46</v>
      </c>
      <c r="D399" s="56"/>
      <c r="E399" s="22" t="s">
        <v>48</v>
      </c>
      <c r="F399" s="56"/>
      <c r="G399" s="22">
        <v>50.28</v>
      </c>
      <c r="H399" s="22">
        <v>6.14</v>
      </c>
      <c r="I399" s="22">
        <v>42.59</v>
      </c>
      <c r="J399" s="22">
        <v>0.96</v>
      </c>
      <c r="K399" s="22">
        <v>0.03</v>
      </c>
      <c r="L399" s="26">
        <f t="shared" si="75"/>
        <v>0</v>
      </c>
      <c r="M399" s="22">
        <v>93.2</v>
      </c>
      <c r="N399" s="22">
        <v>6.3</v>
      </c>
      <c r="O399" s="22">
        <v>0.5</v>
      </c>
      <c r="P399" s="22">
        <v>0.22</v>
      </c>
      <c r="Q399" s="22">
        <v>840.0</v>
      </c>
      <c r="R399" s="22" t="s">
        <v>51</v>
      </c>
      <c r="S399" s="58">
        <v>0.0</v>
      </c>
      <c r="T399" s="22">
        <v>17.1</v>
      </c>
      <c r="U399" s="25">
        <v>11.9</v>
      </c>
      <c r="V399" s="25">
        <v>15.4</v>
      </c>
      <c r="W399" s="22">
        <v>1.11</v>
      </c>
      <c r="X399" s="22">
        <v>4.8</v>
      </c>
      <c r="Y399" s="54">
        <f t="shared" si="385"/>
        <v>66.79</v>
      </c>
      <c r="Z399" s="22">
        <f t="shared" si="77"/>
        <v>0.9009009009</v>
      </c>
      <c r="AA399" s="22">
        <v>62.0</v>
      </c>
      <c r="AB399" s="22">
        <v>90.0</v>
      </c>
      <c r="AC399" s="25">
        <f t="shared" si="78"/>
        <v>4950</v>
      </c>
      <c r="AD399" s="22" t="s">
        <v>51</v>
      </c>
      <c r="AG399" s="33">
        <v>1.11</v>
      </c>
      <c r="AH399" s="33">
        <v>4.95</v>
      </c>
      <c r="AO399" s="34">
        <f t="shared" ref="AO399:AS399" si="386">U399</f>
        <v>11.9</v>
      </c>
      <c r="AP399" s="34">
        <f t="shared" si="386"/>
        <v>15.4</v>
      </c>
      <c r="AQ399" s="34">
        <f t="shared" si="386"/>
        <v>1.11</v>
      </c>
      <c r="AR399" s="34">
        <f t="shared" si="386"/>
        <v>4.8</v>
      </c>
      <c r="AS399" s="34">
        <f t="shared" si="386"/>
        <v>66.79</v>
      </c>
      <c r="AT399" s="35">
        <f t="shared" si="15"/>
        <v>100</v>
      </c>
      <c r="AV399" s="25">
        <f t="shared" si="87"/>
        <v>4950</v>
      </c>
    </row>
    <row r="400" ht="14.25" customHeight="1">
      <c r="B400" s="36"/>
      <c r="C400" s="22" t="s">
        <v>46</v>
      </c>
      <c r="D400" s="56"/>
      <c r="E400" s="22" t="s">
        <v>48</v>
      </c>
      <c r="F400" s="56"/>
      <c r="G400" s="22">
        <v>50.28</v>
      </c>
      <c r="H400" s="22">
        <v>6.14</v>
      </c>
      <c r="I400" s="22">
        <v>42.59</v>
      </c>
      <c r="J400" s="22">
        <v>0.96</v>
      </c>
      <c r="K400" s="22">
        <v>0.03</v>
      </c>
      <c r="L400" s="26">
        <f t="shared" si="75"/>
        <v>0</v>
      </c>
      <c r="M400" s="22">
        <v>93.2</v>
      </c>
      <c r="N400" s="22">
        <v>6.3</v>
      </c>
      <c r="O400" s="22">
        <v>0.5</v>
      </c>
      <c r="P400" s="22">
        <v>0.45</v>
      </c>
      <c r="Q400" s="22">
        <v>755.0</v>
      </c>
      <c r="R400" s="22" t="s">
        <v>51</v>
      </c>
      <c r="S400" s="58">
        <v>0.0</v>
      </c>
      <c r="T400" s="22">
        <v>17.1</v>
      </c>
      <c r="U400" s="25">
        <v>13.3</v>
      </c>
      <c r="V400" s="25">
        <v>13.8</v>
      </c>
      <c r="W400" s="22">
        <v>1.14</v>
      </c>
      <c r="X400" s="22">
        <v>4.6</v>
      </c>
      <c r="Y400" s="54">
        <f t="shared" si="385"/>
        <v>67.16</v>
      </c>
      <c r="Z400" s="22">
        <f t="shared" si="77"/>
        <v>0.8771929825</v>
      </c>
      <c r="AA400" s="22">
        <v>61.0</v>
      </c>
      <c r="AB400" s="22">
        <v>92.0</v>
      </c>
      <c r="AC400" s="25">
        <f t="shared" si="78"/>
        <v>4830</v>
      </c>
      <c r="AD400" s="22" t="s">
        <v>51</v>
      </c>
      <c r="AG400" s="33">
        <v>1.14</v>
      </c>
      <c r="AH400" s="33">
        <v>4.83</v>
      </c>
      <c r="AO400" s="34">
        <f t="shared" ref="AO400:AS400" si="387">U400</f>
        <v>13.3</v>
      </c>
      <c r="AP400" s="34">
        <f t="shared" si="387"/>
        <v>13.8</v>
      </c>
      <c r="AQ400" s="34">
        <f t="shared" si="387"/>
        <v>1.14</v>
      </c>
      <c r="AR400" s="34">
        <f t="shared" si="387"/>
        <v>4.6</v>
      </c>
      <c r="AS400" s="34">
        <f t="shared" si="387"/>
        <v>67.16</v>
      </c>
      <c r="AT400" s="35">
        <f t="shared" si="15"/>
        <v>100</v>
      </c>
      <c r="AV400" s="25">
        <f t="shared" si="87"/>
        <v>4830</v>
      </c>
    </row>
    <row r="401" ht="14.25" customHeight="1">
      <c r="B401" s="36"/>
      <c r="C401" s="22" t="s">
        <v>46</v>
      </c>
      <c r="D401" s="56"/>
      <c r="E401" s="22" t="s">
        <v>48</v>
      </c>
      <c r="F401" s="56"/>
      <c r="G401" s="22">
        <v>50.28</v>
      </c>
      <c r="H401" s="22">
        <v>6.14</v>
      </c>
      <c r="I401" s="22">
        <v>42.59</v>
      </c>
      <c r="J401" s="22">
        <v>0.96</v>
      </c>
      <c r="K401" s="22">
        <v>0.03</v>
      </c>
      <c r="L401" s="26">
        <f t="shared" si="75"/>
        <v>0</v>
      </c>
      <c r="M401" s="22">
        <v>93.2</v>
      </c>
      <c r="N401" s="22">
        <v>6.3</v>
      </c>
      <c r="O401" s="22">
        <v>0.5</v>
      </c>
      <c r="P401" s="22">
        <v>0.23</v>
      </c>
      <c r="Q401" s="22">
        <v>840.0</v>
      </c>
      <c r="R401" s="22" t="s">
        <v>51</v>
      </c>
      <c r="S401" s="58">
        <v>0.0</v>
      </c>
      <c r="T401" s="22">
        <v>17.1</v>
      </c>
      <c r="U401" s="25">
        <v>14.0</v>
      </c>
      <c r="V401" s="25">
        <v>15.0</v>
      </c>
      <c r="W401" s="22">
        <v>0.97</v>
      </c>
      <c r="X401" s="22">
        <v>4.7</v>
      </c>
      <c r="Y401" s="54">
        <f t="shared" si="385"/>
        <v>65.33</v>
      </c>
      <c r="Z401" s="22">
        <f t="shared" si="77"/>
        <v>1.030927835</v>
      </c>
      <c r="AA401" s="22">
        <v>54.0</v>
      </c>
      <c r="AB401" s="22">
        <v>90.0</v>
      </c>
      <c r="AC401" s="25">
        <f t="shared" si="78"/>
        <v>5090</v>
      </c>
      <c r="AD401" s="22" t="s">
        <v>51</v>
      </c>
      <c r="AG401" s="33">
        <v>0.97</v>
      </c>
      <c r="AH401" s="33">
        <v>5.09</v>
      </c>
      <c r="AO401" s="34">
        <f t="shared" ref="AO401:AS401" si="388">U401</f>
        <v>14</v>
      </c>
      <c r="AP401" s="34">
        <f t="shared" si="388"/>
        <v>15</v>
      </c>
      <c r="AQ401" s="34">
        <f t="shared" si="388"/>
        <v>0.97</v>
      </c>
      <c r="AR401" s="34">
        <f t="shared" si="388"/>
        <v>4.7</v>
      </c>
      <c r="AS401" s="34">
        <f t="shared" si="388"/>
        <v>65.33</v>
      </c>
      <c r="AT401" s="35">
        <f t="shared" si="15"/>
        <v>100</v>
      </c>
      <c r="AV401" s="25">
        <f t="shared" si="87"/>
        <v>5090</v>
      </c>
    </row>
    <row r="402" ht="14.25" customHeight="1">
      <c r="B402" s="36"/>
      <c r="C402" s="22" t="s">
        <v>46</v>
      </c>
      <c r="D402" s="56"/>
      <c r="E402" s="22" t="s">
        <v>48</v>
      </c>
      <c r="F402" s="56"/>
      <c r="G402" s="22">
        <v>50.28</v>
      </c>
      <c r="H402" s="22">
        <v>6.14</v>
      </c>
      <c r="I402" s="22">
        <v>42.59</v>
      </c>
      <c r="J402" s="22">
        <v>0.96</v>
      </c>
      <c r="K402" s="22">
        <v>0.03</v>
      </c>
      <c r="L402" s="26">
        <f t="shared" si="75"/>
        <v>0</v>
      </c>
      <c r="M402" s="22">
        <v>93.2</v>
      </c>
      <c r="N402" s="22">
        <v>6.3</v>
      </c>
      <c r="O402" s="22">
        <v>0.5</v>
      </c>
      <c r="P402" s="22">
        <v>0.42</v>
      </c>
      <c r="Q402" s="22">
        <v>755.0</v>
      </c>
      <c r="R402" s="22" t="s">
        <v>51</v>
      </c>
      <c r="S402" s="58">
        <v>0.0</v>
      </c>
      <c r="T402" s="22">
        <v>17.1</v>
      </c>
      <c r="U402" s="25">
        <v>16.2</v>
      </c>
      <c r="V402" s="25">
        <v>11.9</v>
      </c>
      <c r="W402" s="22">
        <v>1.06</v>
      </c>
      <c r="X402" s="22">
        <v>5.3</v>
      </c>
      <c r="Y402" s="54">
        <f t="shared" si="385"/>
        <v>65.54</v>
      </c>
      <c r="Z402" s="22">
        <f t="shared" si="77"/>
        <v>0.9433962264</v>
      </c>
      <c r="AA402" s="22">
        <v>57.0</v>
      </c>
      <c r="AB402" s="22">
        <v>91.0</v>
      </c>
      <c r="AC402" s="25">
        <f t="shared" si="78"/>
        <v>5150</v>
      </c>
      <c r="AD402" s="22" t="s">
        <v>51</v>
      </c>
      <c r="AG402" s="33">
        <v>1.06</v>
      </c>
      <c r="AH402" s="33">
        <v>5.15</v>
      </c>
      <c r="AO402" s="34">
        <f t="shared" ref="AO402:AS402" si="389">U402</f>
        <v>16.2</v>
      </c>
      <c r="AP402" s="34">
        <f t="shared" si="389"/>
        <v>11.9</v>
      </c>
      <c r="AQ402" s="34">
        <f t="shared" si="389"/>
        <v>1.06</v>
      </c>
      <c r="AR402" s="34">
        <f t="shared" si="389"/>
        <v>5.3</v>
      </c>
      <c r="AS402" s="34">
        <f t="shared" si="389"/>
        <v>65.54</v>
      </c>
      <c r="AT402" s="35">
        <f t="shared" si="15"/>
        <v>100</v>
      </c>
      <c r="AV402" s="25">
        <f t="shared" si="87"/>
        <v>5150</v>
      </c>
    </row>
    <row r="403" ht="14.25" customHeight="1">
      <c r="B403" s="36"/>
      <c r="C403" s="22" t="s">
        <v>46</v>
      </c>
      <c r="D403" s="56"/>
      <c r="E403" s="22" t="s">
        <v>48</v>
      </c>
      <c r="F403" s="56"/>
      <c r="G403" s="22">
        <v>50.28</v>
      </c>
      <c r="H403" s="22">
        <v>6.14</v>
      </c>
      <c r="I403" s="22">
        <v>42.59</v>
      </c>
      <c r="J403" s="22">
        <v>0.96</v>
      </c>
      <c r="K403" s="22">
        <v>0.03</v>
      </c>
      <c r="L403" s="26">
        <f t="shared" si="75"/>
        <v>0</v>
      </c>
      <c r="M403" s="22">
        <v>93.2</v>
      </c>
      <c r="N403" s="22">
        <v>6.3</v>
      </c>
      <c r="O403" s="22">
        <v>0.5</v>
      </c>
      <c r="P403" s="22">
        <v>0.32</v>
      </c>
      <c r="Q403" s="22">
        <v>840.0</v>
      </c>
      <c r="R403" s="22" t="s">
        <v>51</v>
      </c>
      <c r="S403" s="58">
        <v>0.0</v>
      </c>
      <c r="T403" s="22">
        <v>17.1</v>
      </c>
      <c r="U403" s="25">
        <v>16.4</v>
      </c>
      <c r="V403" s="25">
        <v>18.9</v>
      </c>
      <c r="W403" s="22">
        <v>1.13</v>
      </c>
      <c r="X403" s="22">
        <v>5.55</v>
      </c>
      <c r="Y403" s="54">
        <f t="shared" si="385"/>
        <v>58.02</v>
      </c>
      <c r="Z403" s="22">
        <f t="shared" si="77"/>
        <v>0.8849557522</v>
      </c>
      <c r="AA403" s="22">
        <v>64.0</v>
      </c>
      <c r="AB403" s="22">
        <v>94.0</v>
      </c>
      <c r="AC403" s="25">
        <f t="shared" si="78"/>
        <v>6120</v>
      </c>
      <c r="AD403" s="22" t="s">
        <v>51</v>
      </c>
      <c r="AG403" s="33">
        <v>1.13</v>
      </c>
      <c r="AH403" s="33">
        <v>6.12</v>
      </c>
      <c r="AO403" s="34">
        <f t="shared" ref="AO403:AS403" si="390">U403</f>
        <v>16.4</v>
      </c>
      <c r="AP403" s="34">
        <f t="shared" si="390"/>
        <v>18.9</v>
      </c>
      <c r="AQ403" s="34">
        <f t="shared" si="390"/>
        <v>1.13</v>
      </c>
      <c r="AR403" s="34">
        <f t="shared" si="390"/>
        <v>5.55</v>
      </c>
      <c r="AS403" s="34">
        <f t="shared" si="390"/>
        <v>58.02</v>
      </c>
      <c r="AT403" s="35">
        <f t="shared" si="15"/>
        <v>100</v>
      </c>
      <c r="AV403" s="25">
        <f t="shared" si="87"/>
        <v>6120</v>
      </c>
    </row>
    <row r="404" ht="14.25" customHeight="1">
      <c r="B404" s="36"/>
      <c r="C404" s="22" t="s">
        <v>46</v>
      </c>
      <c r="D404" s="56"/>
      <c r="E404" s="22" t="s">
        <v>48</v>
      </c>
      <c r="F404" s="56"/>
      <c r="G404" s="22">
        <v>50.28</v>
      </c>
      <c r="H404" s="22">
        <v>6.14</v>
      </c>
      <c r="I404" s="22">
        <v>42.59</v>
      </c>
      <c r="J404" s="22">
        <v>0.96</v>
      </c>
      <c r="K404" s="22">
        <v>0.03</v>
      </c>
      <c r="L404" s="26">
        <f t="shared" si="75"/>
        <v>0</v>
      </c>
      <c r="M404" s="22">
        <v>93.2</v>
      </c>
      <c r="N404" s="22">
        <v>6.3</v>
      </c>
      <c r="O404" s="22">
        <v>0.5</v>
      </c>
      <c r="P404" s="22">
        <v>0.6</v>
      </c>
      <c r="Q404" s="22">
        <v>755.0</v>
      </c>
      <c r="R404" s="22" t="s">
        <v>51</v>
      </c>
      <c r="S404" s="58">
        <v>0.0</v>
      </c>
      <c r="T404" s="22">
        <v>17.1</v>
      </c>
      <c r="U404" s="25">
        <v>18.3</v>
      </c>
      <c r="V404" s="25">
        <v>15.7</v>
      </c>
      <c r="W404" s="22">
        <v>1.08</v>
      </c>
      <c r="X404" s="22">
        <v>5.7</v>
      </c>
      <c r="Y404" s="54">
        <f t="shared" si="385"/>
        <v>59.22</v>
      </c>
      <c r="Z404" s="22">
        <f t="shared" si="77"/>
        <v>0.9259259259</v>
      </c>
      <c r="AA404" s="22">
        <v>60.0</v>
      </c>
      <c r="AB404" s="22">
        <v>95.0</v>
      </c>
      <c r="AC404" s="25">
        <f t="shared" si="78"/>
        <v>6000</v>
      </c>
      <c r="AD404" s="22" t="s">
        <v>51</v>
      </c>
      <c r="AG404" s="33">
        <v>1.08</v>
      </c>
      <c r="AH404" s="33">
        <v>6.0</v>
      </c>
      <c r="AO404" s="34">
        <f t="shared" ref="AO404:AS404" si="391">U404</f>
        <v>18.3</v>
      </c>
      <c r="AP404" s="34">
        <f t="shared" si="391"/>
        <v>15.7</v>
      </c>
      <c r="AQ404" s="34">
        <f t="shared" si="391"/>
        <v>1.08</v>
      </c>
      <c r="AR404" s="34">
        <f t="shared" si="391"/>
        <v>5.7</v>
      </c>
      <c r="AS404" s="34">
        <f t="shared" si="391"/>
        <v>59.22</v>
      </c>
      <c r="AT404" s="35">
        <f t="shared" si="15"/>
        <v>100</v>
      </c>
      <c r="AV404" s="25">
        <f t="shared" si="87"/>
        <v>6000</v>
      </c>
    </row>
    <row r="405" ht="14.25" customHeight="1">
      <c r="B405" s="36"/>
      <c r="C405" s="22" t="s">
        <v>46</v>
      </c>
      <c r="D405" s="56"/>
      <c r="E405" s="22" t="s">
        <v>48</v>
      </c>
      <c r="F405" s="56"/>
      <c r="G405" s="22">
        <v>50.28</v>
      </c>
      <c r="H405" s="22">
        <v>6.14</v>
      </c>
      <c r="I405" s="22">
        <v>42.59</v>
      </c>
      <c r="J405" s="22">
        <v>0.96</v>
      </c>
      <c r="K405" s="22">
        <v>0.03</v>
      </c>
      <c r="L405" s="26">
        <f t="shared" si="75"/>
        <v>0</v>
      </c>
      <c r="M405" s="22">
        <v>93.2</v>
      </c>
      <c r="N405" s="22">
        <v>6.3</v>
      </c>
      <c r="O405" s="22">
        <v>0.5</v>
      </c>
      <c r="P405" s="22">
        <v>0.31</v>
      </c>
      <c r="Q405" s="22">
        <v>840.0</v>
      </c>
      <c r="R405" s="22" t="s">
        <v>51</v>
      </c>
      <c r="S405" s="58">
        <v>0.0</v>
      </c>
      <c r="T405" s="22">
        <v>17.1</v>
      </c>
      <c r="U405" s="25">
        <v>20.0</v>
      </c>
      <c r="V405" s="25">
        <v>20.8</v>
      </c>
      <c r="W405" s="22">
        <v>0.98</v>
      </c>
      <c r="X405" s="22">
        <v>6.7</v>
      </c>
      <c r="Y405" s="54">
        <f t="shared" si="385"/>
        <v>51.52</v>
      </c>
      <c r="Z405" s="22">
        <f t="shared" si="77"/>
        <v>1.020408163</v>
      </c>
      <c r="AA405" s="22">
        <v>61.0</v>
      </c>
      <c r="AB405" s="22">
        <v>96.0</v>
      </c>
      <c r="AC405" s="25">
        <f t="shared" si="78"/>
        <v>7180</v>
      </c>
      <c r="AD405" s="22" t="s">
        <v>51</v>
      </c>
      <c r="AG405" s="33">
        <v>0.98</v>
      </c>
      <c r="AH405" s="33">
        <v>7.18</v>
      </c>
      <c r="AO405" s="34">
        <f t="shared" ref="AO405:AS405" si="392">U405</f>
        <v>20</v>
      </c>
      <c r="AP405" s="34">
        <f t="shared" si="392"/>
        <v>20.8</v>
      </c>
      <c r="AQ405" s="34">
        <f t="shared" si="392"/>
        <v>0.98</v>
      </c>
      <c r="AR405" s="34">
        <f t="shared" si="392"/>
        <v>6.7</v>
      </c>
      <c r="AS405" s="34">
        <f t="shared" si="392"/>
        <v>51.52</v>
      </c>
      <c r="AT405" s="35">
        <f t="shared" si="15"/>
        <v>100</v>
      </c>
      <c r="AV405" s="25">
        <f t="shared" si="87"/>
        <v>7180</v>
      </c>
    </row>
    <row r="406" ht="14.25" customHeight="1">
      <c r="B406" s="36"/>
      <c r="C406" s="22" t="s">
        <v>46</v>
      </c>
      <c r="D406" s="56"/>
      <c r="E406" s="22" t="s">
        <v>48</v>
      </c>
      <c r="F406" s="56"/>
      <c r="G406" s="22">
        <v>50.28</v>
      </c>
      <c r="H406" s="22">
        <v>6.14</v>
      </c>
      <c r="I406" s="22">
        <v>42.59</v>
      </c>
      <c r="J406" s="22">
        <v>0.96</v>
      </c>
      <c r="K406" s="22">
        <v>0.03</v>
      </c>
      <c r="L406" s="26">
        <f t="shared" si="75"/>
        <v>0</v>
      </c>
      <c r="M406" s="22">
        <v>93.2</v>
      </c>
      <c r="N406" s="22">
        <v>6.3</v>
      </c>
      <c r="O406" s="22">
        <v>0.5</v>
      </c>
      <c r="P406" s="22">
        <v>0.58</v>
      </c>
      <c r="Q406" s="22">
        <v>755.0</v>
      </c>
      <c r="R406" s="22" t="s">
        <v>51</v>
      </c>
      <c r="S406" s="58">
        <v>0.0</v>
      </c>
      <c r="T406" s="22">
        <v>17.1</v>
      </c>
      <c r="U406" s="25">
        <v>17.5</v>
      </c>
      <c r="V406" s="25">
        <v>15.3</v>
      </c>
      <c r="W406" s="22">
        <v>20.3</v>
      </c>
      <c r="X406" s="22">
        <v>7.1</v>
      </c>
      <c r="Y406" s="54">
        <f t="shared" si="385"/>
        <v>39.8</v>
      </c>
      <c r="Z406" s="22">
        <f t="shared" si="77"/>
        <v>0.9615384615</v>
      </c>
      <c r="AA406" s="22">
        <v>60.0</v>
      </c>
      <c r="AB406" s="22">
        <v>96.0</v>
      </c>
      <c r="AC406" s="25">
        <f t="shared" si="78"/>
        <v>6880</v>
      </c>
      <c r="AD406" s="22" t="s">
        <v>51</v>
      </c>
      <c r="AG406" s="33">
        <v>1.04</v>
      </c>
      <c r="AH406" s="33">
        <v>6.88</v>
      </c>
      <c r="AO406" s="34">
        <f t="shared" ref="AO406:AS406" si="393">U406</f>
        <v>17.5</v>
      </c>
      <c r="AP406" s="34">
        <f t="shared" si="393"/>
        <v>15.3</v>
      </c>
      <c r="AQ406" s="34">
        <f t="shared" si="393"/>
        <v>20.3</v>
      </c>
      <c r="AR406" s="34">
        <f t="shared" si="393"/>
        <v>7.1</v>
      </c>
      <c r="AS406" s="34">
        <f t="shared" si="393"/>
        <v>39.8</v>
      </c>
      <c r="AT406" s="35">
        <f t="shared" si="15"/>
        <v>100</v>
      </c>
      <c r="AV406" s="25">
        <f t="shared" si="87"/>
        <v>6880</v>
      </c>
    </row>
    <row r="407" ht="14.25" customHeight="1">
      <c r="B407" s="36"/>
      <c r="C407" s="22" t="s">
        <v>46</v>
      </c>
      <c r="D407" s="56"/>
      <c r="E407" s="22" t="s">
        <v>48</v>
      </c>
      <c r="F407" s="56"/>
      <c r="G407" s="22">
        <v>50.28</v>
      </c>
      <c r="H407" s="22">
        <v>6.14</v>
      </c>
      <c r="I407" s="22">
        <v>42.59</v>
      </c>
      <c r="J407" s="22">
        <v>0.96</v>
      </c>
      <c r="K407" s="22">
        <v>0.03</v>
      </c>
      <c r="L407" s="26">
        <f t="shared" si="75"/>
        <v>0</v>
      </c>
      <c r="M407" s="22">
        <v>93.2</v>
      </c>
      <c r="N407" s="22">
        <v>6.3</v>
      </c>
      <c r="O407" s="22">
        <v>0.5</v>
      </c>
      <c r="P407" s="22">
        <v>0.33</v>
      </c>
      <c r="Q407" s="22">
        <v>840.0</v>
      </c>
      <c r="R407" s="22" t="s">
        <v>51</v>
      </c>
      <c r="S407" s="58">
        <v>0.0</v>
      </c>
      <c r="T407" s="22">
        <v>17.1</v>
      </c>
      <c r="U407" s="25">
        <v>16.6</v>
      </c>
      <c r="V407" s="25">
        <v>20.0</v>
      </c>
      <c r="W407" s="22">
        <v>16.8</v>
      </c>
      <c r="X407" s="22">
        <v>5.6</v>
      </c>
      <c r="Y407" s="54">
        <f t="shared" si="385"/>
        <v>41</v>
      </c>
      <c r="Z407" s="22">
        <f t="shared" si="77"/>
        <v>0.8771929825</v>
      </c>
      <c r="AA407" s="22">
        <v>66.0</v>
      </c>
      <c r="AB407" s="22">
        <v>95.0</v>
      </c>
      <c r="AC407" s="25">
        <f t="shared" si="78"/>
        <v>6140</v>
      </c>
      <c r="AD407" s="22" t="s">
        <v>51</v>
      </c>
      <c r="AG407" s="33">
        <v>1.14</v>
      </c>
      <c r="AH407" s="33">
        <v>6.14</v>
      </c>
      <c r="AO407" s="34">
        <f t="shared" ref="AO407:AS407" si="394">U407</f>
        <v>16.6</v>
      </c>
      <c r="AP407" s="34">
        <f t="shared" si="394"/>
        <v>20</v>
      </c>
      <c r="AQ407" s="34">
        <f t="shared" si="394"/>
        <v>16.8</v>
      </c>
      <c r="AR407" s="34">
        <f t="shared" si="394"/>
        <v>5.6</v>
      </c>
      <c r="AS407" s="34">
        <f t="shared" si="394"/>
        <v>41</v>
      </c>
      <c r="AT407" s="35">
        <f t="shared" si="15"/>
        <v>100</v>
      </c>
      <c r="AV407" s="25">
        <f t="shared" si="87"/>
        <v>6140</v>
      </c>
    </row>
    <row r="408" ht="14.25" customHeight="1">
      <c r="B408" s="36"/>
      <c r="C408" s="22" t="s">
        <v>46</v>
      </c>
      <c r="D408" s="56"/>
      <c r="E408" s="22" t="s">
        <v>48</v>
      </c>
      <c r="F408" s="56"/>
      <c r="G408" s="22">
        <v>50.28</v>
      </c>
      <c r="H408" s="22">
        <v>6.14</v>
      </c>
      <c r="I408" s="22">
        <v>42.59</v>
      </c>
      <c r="J408" s="22">
        <v>0.96</v>
      </c>
      <c r="K408" s="22">
        <v>0.03</v>
      </c>
      <c r="L408" s="26">
        <f t="shared" si="75"/>
        <v>0</v>
      </c>
      <c r="M408" s="22">
        <v>93.2</v>
      </c>
      <c r="N408" s="22">
        <v>6.3</v>
      </c>
      <c r="O408" s="22">
        <v>0.5</v>
      </c>
      <c r="P408" s="22">
        <v>0.56</v>
      </c>
      <c r="Q408" s="22">
        <v>755.0</v>
      </c>
      <c r="R408" s="22" t="s">
        <v>51</v>
      </c>
      <c r="S408" s="58">
        <v>0.0</v>
      </c>
      <c r="T408" s="22">
        <v>17.1</v>
      </c>
      <c r="U408" s="25">
        <v>21.8</v>
      </c>
      <c r="V408" s="25">
        <v>17.5</v>
      </c>
      <c r="W408" s="22">
        <v>18.0</v>
      </c>
      <c r="X408" s="22">
        <v>6.1</v>
      </c>
      <c r="Y408" s="54">
        <f t="shared" si="385"/>
        <v>36.6</v>
      </c>
      <c r="Z408" s="22">
        <f t="shared" si="77"/>
        <v>1</v>
      </c>
      <c r="AA408" s="22">
        <v>60.0</v>
      </c>
      <c r="AB408" s="22">
        <v>90.0</v>
      </c>
      <c r="AC408" s="25">
        <f t="shared" si="78"/>
        <v>6000</v>
      </c>
      <c r="AD408" s="22" t="s">
        <v>51</v>
      </c>
      <c r="AG408" s="33">
        <v>1.0</v>
      </c>
      <c r="AH408" s="33">
        <v>6.0</v>
      </c>
      <c r="AO408" s="34">
        <f t="shared" ref="AO408:AS408" si="395">U408</f>
        <v>21.8</v>
      </c>
      <c r="AP408" s="34">
        <f t="shared" si="395"/>
        <v>17.5</v>
      </c>
      <c r="AQ408" s="34">
        <f t="shared" si="395"/>
        <v>18</v>
      </c>
      <c r="AR408" s="34">
        <f t="shared" si="395"/>
        <v>6.1</v>
      </c>
      <c r="AS408" s="34">
        <f t="shared" si="395"/>
        <v>36.6</v>
      </c>
      <c r="AT408" s="35">
        <f t="shared" si="15"/>
        <v>100</v>
      </c>
      <c r="AV408" s="25">
        <f t="shared" si="87"/>
        <v>6000</v>
      </c>
    </row>
    <row r="409" ht="14.25" customHeight="1">
      <c r="B409" s="36"/>
      <c r="C409" s="22" t="s">
        <v>46</v>
      </c>
      <c r="D409" s="56"/>
      <c r="E409" s="22" t="s">
        <v>48</v>
      </c>
      <c r="F409" s="56"/>
      <c r="G409" s="22">
        <v>50.28</v>
      </c>
      <c r="H409" s="22">
        <v>6.14</v>
      </c>
      <c r="I409" s="22">
        <v>42.59</v>
      </c>
      <c r="J409" s="22">
        <v>0.96</v>
      </c>
      <c r="K409" s="22">
        <v>0.03</v>
      </c>
      <c r="L409" s="26">
        <f t="shared" si="75"/>
        <v>0</v>
      </c>
      <c r="M409" s="22">
        <v>93.2</v>
      </c>
      <c r="N409" s="22">
        <v>6.3</v>
      </c>
      <c r="O409" s="22">
        <v>0.5</v>
      </c>
      <c r="P409" s="22">
        <v>0.31</v>
      </c>
      <c r="Q409" s="22">
        <v>840.0</v>
      </c>
      <c r="R409" s="22" t="s">
        <v>51</v>
      </c>
      <c r="S409" s="58">
        <v>0.0</v>
      </c>
      <c r="T409" s="22">
        <v>17.1</v>
      </c>
      <c r="U409" s="25">
        <v>22.4</v>
      </c>
      <c r="V409" s="25">
        <v>23.9</v>
      </c>
      <c r="W409" s="22">
        <v>12.6</v>
      </c>
      <c r="X409" s="22">
        <v>7.3</v>
      </c>
      <c r="Y409" s="54">
        <f t="shared" si="385"/>
        <v>33.8</v>
      </c>
      <c r="Z409" s="22">
        <f t="shared" si="77"/>
        <v>1.030927835</v>
      </c>
      <c r="AA409" s="22">
        <v>64.0</v>
      </c>
      <c r="AB409" s="22">
        <v>96.0</v>
      </c>
      <c r="AC409" s="25">
        <f t="shared" si="78"/>
        <v>8060</v>
      </c>
      <c r="AD409" s="22" t="s">
        <v>51</v>
      </c>
      <c r="AG409" s="33">
        <v>0.97</v>
      </c>
      <c r="AH409" s="33">
        <v>8.06</v>
      </c>
      <c r="AO409" s="34">
        <f t="shared" ref="AO409:AS409" si="396">U409</f>
        <v>22.4</v>
      </c>
      <c r="AP409" s="34">
        <f t="shared" si="396"/>
        <v>23.9</v>
      </c>
      <c r="AQ409" s="34">
        <f t="shared" si="396"/>
        <v>12.6</v>
      </c>
      <c r="AR409" s="34">
        <f t="shared" si="396"/>
        <v>7.3</v>
      </c>
      <c r="AS409" s="34">
        <f t="shared" si="396"/>
        <v>33.8</v>
      </c>
      <c r="AT409" s="35">
        <f t="shared" si="15"/>
        <v>100</v>
      </c>
      <c r="AV409" s="25">
        <f t="shared" si="87"/>
        <v>8060</v>
      </c>
    </row>
    <row r="410" ht="14.25" customHeight="1">
      <c r="B410" s="36"/>
      <c r="C410" s="22" t="s">
        <v>46</v>
      </c>
      <c r="D410" s="56"/>
      <c r="E410" s="22" t="s">
        <v>48</v>
      </c>
      <c r="F410" s="56"/>
      <c r="G410" s="22">
        <v>50.28</v>
      </c>
      <c r="H410" s="22">
        <v>6.14</v>
      </c>
      <c r="I410" s="22">
        <v>42.59</v>
      </c>
      <c r="J410" s="22">
        <v>0.96</v>
      </c>
      <c r="K410" s="22">
        <v>0.03</v>
      </c>
      <c r="L410" s="26">
        <f t="shared" si="75"/>
        <v>0</v>
      </c>
      <c r="M410" s="22">
        <v>93.2</v>
      </c>
      <c r="N410" s="22">
        <v>6.3</v>
      </c>
      <c r="O410" s="22">
        <v>0.5</v>
      </c>
      <c r="P410" s="22">
        <v>0.61</v>
      </c>
      <c r="Q410" s="22">
        <v>755.0</v>
      </c>
      <c r="R410" s="22" t="s">
        <v>51</v>
      </c>
      <c r="S410" s="58">
        <v>0.0</v>
      </c>
      <c r="T410" s="22">
        <v>17.1</v>
      </c>
      <c r="U410" s="25">
        <v>25.1</v>
      </c>
      <c r="V410" s="25">
        <v>19.3</v>
      </c>
      <c r="W410" s="22">
        <v>16.2</v>
      </c>
      <c r="X410" s="22">
        <v>7.4</v>
      </c>
      <c r="Y410" s="54">
        <f t="shared" si="385"/>
        <v>32</v>
      </c>
      <c r="Z410" s="22">
        <f t="shared" si="77"/>
        <v>0.9615384615</v>
      </c>
      <c r="AA410" s="22">
        <v>65.0</v>
      </c>
      <c r="AB410" s="22">
        <v>96.0</v>
      </c>
      <c r="AC410" s="25">
        <f t="shared" si="78"/>
        <v>7810</v>
      </c>
      <c r="AD410" s="22" t="s">
        <v>51</v>
      </c>
      <c r="AG410" s="33">
        <v>1.04</v>
      </c>
      <c r="AH410" s="33">
        <v>7.81</v>
      </c>
      <c r="AO410" s="34">
        <f t="shared" ref="AO410:AS410" si="397">U410</f>
        <v>25.1</v>
      </c>
      <c r="AP410" s="34">
        <f t="shared" si="397"/>
        <v>19.3</v>
      </c>
      <c r="AQ410" s="34">
        <f t="shared" si="397"/>
        <v>16.2</v>
      </c>
      <c r="AR410" s="34">
        <f t="shared" si="397"/>
        <v>7.4</v>
      </c>
      <c r="AS410" s="34">
        <f t="shared" si="397"/>
        <v>32</v>
      </c>
      <c r="AT410" s="35">
        <f t="shared" si="15"/>
        <v>100</v>
      </c>
      <c r="AV410" s="25">
        <f t="shared" si="87"/>
        <v>7810</v>
      </c>
    </row>
    <row r="411" ht="14.25" customHeight="1">
      <c r="B411" s="36"/>
      <c r="C411" s="22" t="s">
        <v>46</v>
      </c>
      <c r="D411" s="56"/>
      <c r="E411" s="22" t="s">
        <v>48</v>
      </c>
      <c r="F411" s="56"/>
      <c r="G411" s="22">
        <v>50.28</v>
      </c>
      <c r="H411" s="22">
        <v>6.14</v>
      </c>
      <c r="I411" s="22">
        <v>42.59</v>
      </c>
      <c r="J411" s="22">
        <v>0.96</v>
      </c>
      <c r="K411" s="22">
        <v>0.03</v>
      </c>
      <c r="L411" s="26">
        <f t="shared" si="75"/>
        <v>0</v>
      </c>
      <c r="M411" s="22">
        <v>93.2</v>
      </c>
      <c r="N411" s="22">
        <v>6.3</v>
      </c>
      <c r="O411" s="22">
        <v>0.5</v>
      </c>
      <c r="P411" s="22">
        <v>0.1</v>
      </c>
      <c r="Q411" s="22">
        <v>840.0</v>
      </c>
      <c r="R411" s="22" t="s">
        <v>51</v>
      </c>
      <c r="S411" s="58">
        <v>0.0</v>
      </c>
      <c r="T411" s="22">
        <v>17.1</v>
      </c>
      <c r="U411" s="25">
        <v>18.3</v>
      </c>
      <c r="V411" s="25">
        <v>27.4</v>
      </c>
      <c r="W411" s="22">
        <v>16.2</v>
      </c>
      <c r="X411" s="22">
        <v>7.3</v>
      </c>
      <c r="Y411" s="54">
        <f t="shared" si="385"/>
        <v>30.8</v>
      </c>
      <c r="Z411" s="22">
        <f t="shared" si="77"/>
        <v>0.9523809524</v>
      </c>
      <c r="AA411" s="22">
        <v>67.0</v>
      </c>
      <c r="AB411" s="22">
        <v>97.0</v>
      </c>
      <c r="AC411" s="25">
        <f t="shared" si="78"/>
        <v>8060</v>
      </c>
      <c r="AD411" s="22" t="s">
        <v>51</v>
      </c>
      <c r="AG411" s="33">
        <v>1.05</v>
      </c>
      <c r="AH411" s="33">
        <v>8.06</v>
      </c>
      <c r="AO411" s="34">
        <f t="shared" ref="AO411:AS411" si="398">U411</f>
        <v>18.3</v>
      </c>
      <c r="AP411" s="34">
        <f t="shared" si="398"/>
        <v>27.4</v>
      </c>
      <c r="AQ411" s="34">
        <f t="shared" si="398"/>
        <v>16.2</v>
      </c>
      <c r="AR411" s="34">
        <f t="shared" si="398"/>
        <v>7.3</v>
      </c>
      <c r="AS411" s="34">
        <f t="shared" si="398"/>
        <v>30.8</v>
      </c>
      <c r="AT411" s="35">
        <f t="shared" si="15"/>
        <v>100</v>
      </c>
      <c r="AV411" s="25">
        <f t="shared" si="87"/>
        <v>8060</v>
      </c>
    </row>
    <row r="412" ht="14.25" customHeight="1">
      <c r="B412" s="36"/>
      <c r="C412" s="22" t="s">
        <v>46</v>
      </c>
      <c r="D412" s="56"/>
      <c r="E412" s="22" t="s">
        <v>48</v>
      </c>
      <c r="F412" s="56"/>
      <c r="G412" s="22">
        <v>50.28</v>
      </c>
      <c r="H412" s="22">
        <v>6.14</v>
      </c>
      <c r="I412" s="22">
        <v>42.59</v>
      </c>
      <c r="J412" s="22">
        <v>0.96</v>
      </c>
      <c r="K412" s="22">
        <v>0.03</v>
      </c>
      <c r="L412" s="26">
        <f t="shared" si="75"/>
        <v>0</v>
      </c>
      <c r="M412" s="22">
        <v>93.2</v>
      </c>
      <c r="N412" s="22">
        <v>6.3</v>
      </c>
      <c r="O412" s="22">
        <v>0.5</v>
      </c>
      <c r="P412" s="22">
        <v>0.29</v>
      </c>
      <c r="Q412" s="22">
        <v>755.0</v>
      </c>
      <c r="R412" s="22" t="s">
        <v>51</v>
      </c>
      <c r="S412" s="58">
        <v>0.0</v>
      </c>
      <c r="T412" s="22">
        <v>17.1</v>
      </c>
      <c r="U412" s="25">
        <v>23.1</v>
      </c>
      <c r="V412" s="25">
        <v>25.1</v>
      </c>
      <c r="W412" s="22">
        <v>13.7</v>
      </c>
      <c r="X412" s="22">
        <v>6.5</v>
      </c>
      <c r="Y412" s="54">
        <f t="shared" si="385"/>
        <v>31.6</v>
      </c>
      <c r="Z412" s="22">
        <f t="shared" si="77"/>
        <v>0.9174311927</v>
      </c>
      <c r="AA412" s="22">
        <v>69.0</v>
      </c>
      <c r="AB412" s="22">
        <v>96.0</v>
      </c>
      <c r="AC412" s="25">
        <f t="shared" si="78"/>
        <v>8000</v>
      </c>
      <c r="AD412" s="22" t="s">
        <v>51</v>
      </c>
      <c r="AG412" s="33">
        <v>1.09</v>
      </c>
      <c r="AH412" s="33">
        <v>8.0</v>
      </c>
      <c r="AO412" s="34">
        <f t="shared" ref="AO412:AS412" si="399">U412</f>
        <v>23.1</v>
      </c>
      <c r="AP412" s="34">
        <f t="shared" si="399"/>
        <v>25.1</v>
      </c>
      <c r="AQ412" s="34">
        <f t="shared" si="399"/>
        <v>13.7</v>
      </c>
      <c r="AR412" s="34">
        <f t="shared" si="399"/>
        <v>6.5</v>
      </c>
      <c r="AS412" s="34">
        <f t="shared" si="399"/>
        <v>31.6</v>
      </c>
      <c r="AT412" s="35">
        <f t="shared" si="15"/>
        <v>100</v>
      </c>
      <c r="AV412" s="25">
        <f t="shared" si="87"/>
        <v>8000</v>
      </c>
    </row>
    <row r="413" ht="14.25" customHeight="1">
      <c r="B413" s="36"/>
      <c r="C413" s="22" t="s">
        <v>46</v>
      </c>
      <c r="D413" s="56"/>
      <c r="E413" s="22" t="s">
        <v>48</v>
      </c>
      <c r="F413" s="56"/>
      <c r="G413" s="22">
        <v>50.28</v>
      </c>
      <c r="H413" s="22">
        <v>6.14</v>
      </c>
      <c r="I413" s="22">
        <v>42.59</v>
      </c>
      <c r="J413" s="22">
        <v>0.96</v>
      </c>
      <c r="K413" s="22">
        <v>0.03</v>
      </c>
      <c r="L413" s="26">
        <f t="shared" si="75"/>
        <v>0</v>
      </c>
      <c r="M413" s="22">
        <v>93.2</v>
      </c>
      <c r="N413" s="22">
        <v>6.3</v>
      </c>
      <c r="O413" s="22">
        <v>0.5</v>
      </c>
      <c r="P413" s="22">
        <v>0.36</v>
      </c>
      <c r="Q413" s="22">
        <v>840.0</v>
      </c>
      <c r="R413" s="22" t="s">
        <v>51</v>
      </c>
      <c r="S413" s="58">
        <v>0.0</v>
      </c>
      <c r="T413" s="22">
        <v>17.1</v>
      </c>
      <c r="U413" s="25">
        <v>22.3</v>
      </c>
      <c r="V413" s="25">
        <v>23.9</v>
      </c>
      <c r="W413" s="22">
        <v>14.6</v>
      </c>
      <c r="X413" s="22">
        <v>6.7</v>
      </c>
      <c r="Y413" s="54">
        <f t="shared" si="385"/>
        <v>32.5</v>
      </c>
      <c r="Z413" s="22">
        <f t="shared" si="77"/>
        <v>0.9174311927</v>
      </c>
      <c r="AA413" s="22">
        <v>69.0</v>
      </c>
      <c r="AB413" s="22">
        <v>96.0</v>
      </c>
      <c r="AC413" s="25">
        <f t="shared" si="78"/>
        <v>7830</v>
      </c>
      <c r="AD413" s="22" t="s">
        <v>51</v>
      </c>
      <c r="AG413" s="33">
        <v>1.09</v>
      </c>
      <c r="AH413" s="33">
        <v>7.83</v>
      </c>
      <c r="AO413" s="34">
        <f t="shared" ref="AO413:AS413" si="400">U413</f>
        <v>22.3</v>
      </c>
      <c r="AP413" s="34">
        <f t="shared" si="400"/>
        <v>23.9</v>
      </c>
      <c r="AQ413" s="34">
        <f t="shared" si="400"/>
        <v>14.6</v>
      </c>
      <c r="AR413" s="34">
        <f t="shared" si="400"/>
        <v>6.7</v>
      </c>
      <c r="AS413" s="34">
        <f t="shared" si="400"/>
        <v>32.5</v>
      </c>
      <c r="AT413" s="35">
        <f t="shared" si="15"/>
        <v>100</v>
      </c>
      <c r="AV413" s="25">
        <f t="shared" si="87"/>
        <v>7830</v>
      </c>
    </row>
    <row r="414" ht="14.25" customHeight="1">
      <c r="B414" s="36"/>
      <c r="C414" s="22" t="s">
        <v>46</v>
      </c>
      <c r="D414" s="56"/>
      <c r="E414" s="22" t="s">
        <v>48</v>
      </c>
      <c r="F414" s="56"/>
      <c r="G414" s="22">
        <v>50.28</v>
      </c>
      <c r="H414" s="22">
        <v>6.14</v>
      </c>
      <c r="I414" s="22">
        <v>42.59</v>
      </c>
      <c r="J414" s="22">
        <v>0.96</v>
      </c>
      <c r="K414" s="22">
        <v>0.03</v>
      </c>
      <c r="L414" s="26">
        <f t="shared" si="75"/>
        <v>0</v>
      </c>
      <c r="M414" s="22">
        <v>93.2</v>
      </c>
      <c r="N414" s="22">
        <v>6.3</v>
      </c>
      <c r="O414" s="22">
        <v>0.5</v>
      </c>
      <c r="P414" s="22">
        <v>0.54</v>
      </c>
      <c r="Q414" s="22">
        <v>755.0</v>
      </c>
      <c r="R414" s="22" t="s">
        <v>51</v>
      </c>
      <c r="S414" s="58">
        <v>0.0</v>
      </c>
      <c r="T414" s="22">
        <v>17.1</v>
      </c>
      <c r="U414" s="25">
        <v>24.5</v>
      </c>
      <c r="V414" s="25">
        <v>20.2</v>
      </c>
      <c r="W414" s="22">
        <v>16.7</v>
      </c>
      <c r="X414" s="22">
        <v>6.8</v>
      </c>
      <c r="Y414" s="54">
        <f t="shared" si="385"/>
        <v>31.8</v>
      </c>
      <c r="Z414" s="22">
        <f t="shared" si="77"/>
        <v>0.9523809524</v>
      </c>
      <c r="AA414" s="22">
        <v>64.0</v>
      </c>
      <c r="AB414" s="22">
        <v>97.0</v>
      </c>
      <c r="AC414" s="25">
        <f t="shared" si="78"/>
        <v>7670</v>
      </c>
      <c r="AD414" s="22" t="s">
        <v>51</v>
      </c>
      <c r="AG414" s="33">
        <v>1.05</v>
      </c>
      <c r="AH414" s="33">
        <v>7.67</v>
      </c>
      <c r="AO414" s="34">
        <f t="shared" ref="AO414:AS414" si="401">U414</f>
        <v>24.5</v>
      </c>
      <c r="AP414" s="34">
        <f t="shared" si="401"/>
        <v>20.2</v>
      </c>
      <c r="AQ414" s="34">
        <f t="shared" si="401"/>
        <v>16.7</v>
      </c>
      <c r="AR414" s="34">
        <f t="shared" si="401"/>
        <v>6.8</v>
      </c>
      <c r="AS414" s="34">
        <f t="shared" si="401"/>
        <v>31.8</v>
      </c>
      <c r="AT414" s="35">
        <f t="shared" si="15"/>
        <v>100</v>
      </c>
      <c r="AV414" s="25">
        <f t="shared" si="87"/>
        <v>7670</v>
      </c>
    </row>
    <row r="415" ht="14.25" customHeight="1">
      <c r="B415" s="36"/>
      <c r="C415" s="22" t="s">
        <v>46</v>
      </c>
      <c r="D415" s="56"/>
      <c r="E415" s="22" t="s">
        <v>48</v>
      </c>
      <c r="F415" s="56"/>
      <c r="G415" s="22">
        <v>50.28</v>
      </c>
      <c r="H415" s="22">
        <v>6.14</v>
      </c>
      <c r="I415" s="22">
        <v>42.59</v>
      </c>
      <c r="J415" s="22">
        <v>0.96</v>
      </c>
      <c r="K415" s="22">
        <v>0.03</v>
      </c>
      <c r="L415" s="26">
        <f t="shared" si="75"/>
        <v>0</v>
      </c>
      <c r="M415" s="22">
        <v>93.2</v>
      </c>
      <c r="N415" s="22">
        <v>6.3</v>
      </c>
      <c r="O415" s="22">
        <v>0.5</v>
      </c>
      <c r="P415" s="22">
        <v>0.57</v>
      </c>
      <c r="Q415" s="22">
        <v>840.0</v>
      </c>
      <c r="R415" s="22" t="s">
        <v>51</v>
      </c>
      <c r="S415" s="58">
        <v>0.0</v>
      </c>
      <c r="T415" s="22">
        <v>17.1</v>
      </c>
      <c r="U415" s="25">
        <v>25.7</v>
      </c>
      <c r="V415" s="25">
        <v>19.3</v>
      </c>
      <c r="W415" s="22">
        <v>17.0</v>
      </c>
      <c r="X415" s="22">
        <v>6.7</v>
      </c>
      <c r="Y415" s="54">
        <f t="shared" si="385"/>
        <v>31.3</v>
      </c>
      <c r="Z415" s="22">
        <f t="shared" si="77"/>
        <v>0.9090909091</v>
      </c>
      <c r="AA415" s="22">
        <v>66.0</v>
      </c>
      <c r="AB415" s="22">
        <v>96.0</v>
      </c>
      <c r="AC415" s="25">
        <f t="shared" si="78"/>
        <v>7620</v>
      </c>
      <c r="AD415" s="22" t="s">
        <v>51</v>
      </c>
      <c r="AG415" s="33">
        <v>1.1</v>
      </c>
      <c r="AH415" s="33">
        <v>7.62</v>
      </c>
      <c r="AO415" s="34">
        <f t="shared" ref="AO415:AS415" si="402">U415</f>
        <v>25.7</v>
      </c>
      <c r="AP415" s="34">
        <f t="shared" si="402"/>
        <v>19.3</v>
      </c>
      <c r="AQ415" s="34">
        <f t="shared" si="402"/>
        <v>17</v>
      </c>
      <c r="AR415" s="34">
        <f t="shared" si="402"/>
        <v>6.7</v>
      </c>
      <c r="AS415" s="34">
        <f t="shared" si="402"/>
        <v>31.3</v>
      </c>
      <c r="AT415" s="35">
        <f t="shared" si="15"/>
        <v>100</v>
      </c>
      <c r="AV415" s="25">
        <f t="shared" si="87"/>
        <v>7620</v>
      </c>
    </row>
    <row r="416" ht="14.25" customHeight="1">
      <c r="B416" s="36"/>
      <c r="C416" s="22" t="s">
        <v>46</v>
      </c>
      <c r="D416" s="56"/>
      <c r="E416" s="22" t="s">
        <v>48</v>
      </c>
      <c r="F416" s="56"/>
      <c r="G416" s="22">
        <v>50.28</v>
      </c>
      <c r="H416" s="22">
        <v>6.14</v>
      </c>
      <c r="I416" s="22">
        <v>42.59</v>
      </c>
      <c r="J416" s="22">
        <v>0.96</v>
      </c>
      <c r="K416" s="22">
        <v>0.03</v>
      </c>
      <c r="L416" s="26">
        <f t="shared" si="75"/>
        <v>0</v>
      </c>
      <c r="M416" s="22">
        <v>93.2</v>
      </c>
      <c r="N416" s="22">
        <v>6.3</v>
      </c>
      <c r="O416" s="22">
        <v>0.5</v>
      </c>
      <c r="P416" s="22">
        <v>0.3</v>
      </c>
      <c r="Q416" s="22">
        <v>755.0</v>
      </c>
      <c r="R416" s="22" t="s">
        <v>51</v>
      </c>
      <c r="S416" s="58">
        <v>0.0</v>
      </c>
      <c r="T416" s="22">
        <v>17.1</v>
      </c>
      <c r="U416" s="25">
        <v>25.7</v>
      </c>
      <c r="V416" s="25">
        <v>28.5</v>
      </c>
      <c r="W416" s="22">
        <v>9.2</v>
      </c>
      <c r="X416" s="22">
        <v>8.1</v>
      </c>
      <c r="Y416" s="54">
        <f t="shared" si="385"/>
        <v>28.5</v>
      </c>
      <c r="Z416" s="22">
        <f t="shared" si="77"/>
        <v>1.041666667</v>
      </c>
      <c r="AA416" s="22">
        <v>68.0</v>
      </c>
      <c r="AB416" s="22">
        <v>97.0</v>
      </c>
      <c r="AC416" s="25">
        <f t="shared" si="78"/>
        <v>9280</v>
      </c>
      <c r="AD416" s="22" t="s">
        <v>51</v>
      </c>
      <c r="AG416" s="33">
        <v>0.96</v>
      </c>
      <c r="AH416" s="33">
        <v>9.28</v>
      </c>
      <c r="AO416" s="34">
        <f t="shared" ref="AO416:AS416" si="403">U416</f>
        <v>25.7</v>
      </c>
      <c r="AP416" s="34">
        <f t="shared" si="403"/>
        <v>28.5</v>
      </c>
      <c r="AQ416" s="34">
        <f t="shared" si="403"/>
        <v>9.2</v>
      </c>
      <c r="AR416" s="34">
        <f t="shared" si="403"/>
        <v>8.1</v>
      </c>
      <c r="AS416" s="34">
        <f t="shared" si="403"/>
        <v>28.5</v>
      </c>
      <c r="AT416" s="35">
        <f t="shared" si="15"/>
        <v>100</v>
      </c>
      <c r="AV416" s="25">
        <f t="shared" si="87"/>
        <v>9280</v>
      </c>
    </row>
    <row r="417" ht="14.25" customHeight="1">
      <c r="B417" s="36"/>
      <c r="C417" s="22" t="s">
        <v>46</v>
      </c>
      <c r="D417" s="56"/>
      <c r="E417" s="22" t="s">
        <v>48</v>
      </c>
      <c r="F417" s="56"/>
      <c r="G417" s="22">
        <v>50.28</v>
      </c>
      <c r="H417" s="22">
        <v>6.14</v>
      </c>
      <c r="I417" s="22">
        <v>42.59</v>
      </c>
      <c r="J417" s="22">
        <v>0.96</v>
      </c>
      <c r="K417" s="22">
        <v>0.03</v>
      </c>
      <c r="L417" s="26">
        <f t="shared" si="75"/>
        <v>0</v>
      </c>
      <c r="M417" s="22">
        <v>93.2</v>
      </c>
      <c r="N417" s="22">
        <v>6.3</v>
      </c>
      <c r="O417" s="22">
        <v>0.5</v>
      </c>
      <c r="P417" s="22">
        <v>0.56</v>
      </c>
      <c r="Q417" s="22">
        <v>840.0</v>
      </c>
      <c r="R417" s="22" t="s">
        <v>51</v>
      </c>
      <c r="S417" s="58">
        <v>0.0</v>
      </c>
      <c r="T417" s="22">
        <v>17.1</v>
      </c>
      <c r="U417" s="25">
        <v>27.5</v>
      </c>
      <c r="V417" s="25">
        <v>23.5</v>
      </c>
      <c r="W417" s="22">
        <v>14.6</v>
      </c>
      <c r="X417" s="22">
        <v>7.7</v>
      </c>
      <c r="Y417" s="54">
        <f t="shared" si="385"/>
        <v>26.7</v>
      </c>
      <c r="Z417" s="22">
        <f t="shared" si="77"/>
        <v>1.020408163</v>
      </c>
      <c r="AA417" s="22">
        <v>63.0</v>
      </c>
      <c r="AB417" s="22">
        <v>97.0</v>
      </c>
      <c r="AC417" s="25">
        <f t="shared" si="78"/>
        <v>8700</v>
      </c>
      <c r="AD417" s="22" t="s">
        <v>51</v>
      </c>
      <c r="AG417" s="33">
        <v>0.98</v>
      </c>
      <c r="AH417" s="33">
        <v>8.7</v>
      </c>
      <c r="AO417" s="34">
        <f t="shared" ref="AO417:AS417" si="404">U417</f>
        <v>27.5</v>
      </c>
      <c r="AP417" s="34">
        <f t="shared" si="404"/>
        <v>23.5</v>
      </c>
      <c r="AQ417" s="34">
        <f t="shared" si="404"/>
        <v>14.6</v>
      </c>
      <c r="AR417" s="34">
        <f t="shared" si="404"/>
        <v>7.7</v>
      </c>
      <c r="AS417" s="34">
        <f t="shared" si="404"/>
        <v>26.7</v>
      </c>
      <c r="AT417" s="35">
        <f t="shared" si="15"/>
        <v>100</v>
      </c>
      <c r="AV417" s="25">
        <f t="shared" si="87"/>
        <v>8700</v>
      </c>
    </row>
    <row r="418" ht="14.25" customHeight="1">
      <c r="B418" s="36"/>
      <c r="C418" s="60" t="s">
        <v>46</v>
      </c>
      <c r="D418" s="56"/>
      <c r="E418" s="22" t="s">
        <v>48</v>
      </c>
      <c r="F418" s="56"/>
      <c r="G418" s="22">
        <v>42.72</v>
      </c>
      <c r="H418" s="22">
        <v>6.07</v>
      </c>
      <c r="I418" s="22">
        <v>50.3</v>
      </c>
      <c r="J418" s="22">
        <v>0.77</v>
      </c>
      <c r="K418" s="22">
        <v>0.14</v>
      </c>
      <c r="L418" s="26">
        <f t="shared" si="75"/>
        <v>17.3</v>
      </c>
      <c r="M418" s="22">
        <v>64.4</v>
      </c>
      <c r="N418" s="22">
        <v>10.4</v>
      </c>
      <c r="O418" s="22">
        <v>7.9</v>
      </c>
      <c r="P418" s="22">
        <v>0.36</v>
      </c>
      <c r="Q418" s="22">
        <v>740.0</v>
      </c>
      <c r="R418" s="22" t="s">
        <v>51</v>
      </c>
      <c r="S418" s="58">
        <v>0.0</v>
      </c>
      <c r="T418" s="22">
        <v>16.36</v>
      </c>
      <c r="U418" s="25">
        <v>8.74</v>
      </c>
      <c r="V418" s="25">
        <v>9.84</v>
      </c>
      <c r="W418" s="22">
        <v>7.1</v>
      </c>
      <c r="X418" s="22">
        <v>3.97</v>
      </c>
      <c r="Y418" s="54">
        <f t="shared" si="385"/>
        <v>70.35</v>
      </c>
      <c r="Z418" s="22">
        <f t="shared" si="77"/>
        <v>0.6849315068</v>
      </c>
      <c r="AA418" s="22">
        <v>35.23</v>
      </c>
      <c r="AB418" s="22">
        <v>39.0</v>
      </c>
      <c r="AC418" s="25">
        <f t="shared" si="78"/>
        <v>3610</v>
      </c>
      <c r="AD418" s="22" t="s">
        <v>51</v>
      </c>
      <c r="AG418" s="33">
        <v>1.46</v>
      </c>
      <c r="AH418" s="33">
        <v>3.61</v>
      </c>
      <c r="AO418" s="34">
        <f t="shared" ref="AO418:AS418" si="405">U418</f>
        <v>8.74</v>
      </c>
      <c r="AP418" s="34">
        <f t="shared" si="405"/>
        <v>9.84</v>
      </c>
      <c r="AQ418" s="34">
        <f t="shared" si="405"/>
        <v>7.1</v>
      </c>
      <c r="AR418" s="34">
        <f t="shared" si="405"/>
        <v>3.97</v>
      </c>
      <c r="AS418" s="34">
        <f t="shared" si="405"/>
        <v>70.35</v>
      </c>
      <c r="AT418" s="35">
        <f t="shared" si="15"/>
        <v>100</v>
      </c>
      <c r="AV418" s="25">
        <f t="shared" si="87"/>
        <v>3610</v>
      </c>
    </row>
    <row r="419" ht="14.25" customHeight="1">
      <c r="B419" s="36"/>
      <c r="C419" s="60" t="s">
        <v>46</v>
      </c>
      <c r="D419" s="56"/>
      <c r="E419" s="22" t="s">
        <v>48</v>
      </c>
      <c r="F419" s="56"/>
      <c r="G419" s="22">
        <v>42.72</v>
      </c>
      <c r="H419" s="22">
        <v>6.07</v>
      </c>
      <c r="I419" s="22">
        <v>50.3</v>
      </c>
      <c r="J419" s="22">
        <v>0.77</v>
      </c>
      <c r="K419" s="22">
        <v>0.14</v>
      </c>
      <c r="L419" s="26">
        <f t="shared" si="75"/>
        <v>17.3</v>
      </c>
      <c r="M419" s="22">
        <v>64.4</v>
      </c>
      <c r="N419" s="22">
        <v>10.4</v>
      </c>
      <c r="O419" s="22">
        <v>7.9</v>
      </c>
      <c r="P419" s="22">
        <v>0.36</v>
      </c>
      <c r="Q419" s="22">
        <v>700.0</v>
      </c>
      <c r="R419" s="22" t="s">
        <v>51</v>
      </c>
      <c r="S419" s="58">
        <v>0.0</v>
      </c>
      <c r="T419" s="22">
        <v>16.36</v>
      </c>
      <c r="U419" s="25">
        <v>7.68</v>
      </c>
      <c r="V419" s="25">
        <v>9.49</v>
      </c>
      <c r="W419" s="22">
        <v>7.2</v>
      </c>
      <c r="X419" s="22">
        <v>3.89</v>
      </c>
      <c r="Y419" s="54">
        <f t="shared" si="385"/>
        <v>71.74</v>
      </c>
      <c r="Z419" s="22">
        <f t="shared" si="77"/>
        <v>0.6993006993</v>
      </c>
      <c r="AA419" s="22">
        <v>32.71</v>
      </c>
      <c r="AB419" s="22">
        <v>37.7</v>
      </c>
      <c r="AC419" s="25">
        <f t="shared" si="78"/>
        <v>3420</v>
      </c>
      <c r="AD419" s="22" t="s">
        <v>51</v>
      </c>
      <c r="AG419" s="33">
        <v>1.43</v>
      </c>
      <c r="AH419" s="33">
        <v>3.42</v>
      </c>
      <c r="AO419" s="34">
        <f t="shared" ref="AO419:AS419" si="406">U419</f>
        <v>7.68</v>
      </c>
      <c r="AP419" s="34">
        <f t="shared" si="406"/>
        <v>9.49</v>
      </c>
      <c r="AQ419" s="34">
        <f t="shared" si="406"/>
        <v>7.2</v>
      </c>
      <c r="AR419" s="34">
        <f t="shared" si="406"/>
        <v>3.89</v>
      </c>
      <c r="AS419" s="34">
        <f t="shared" si="406"/>
        <v>71.74</v>
      </c>
      <c r="AT419" s="35">
        <f t="shared" si="15"/>
        <v>100</v>
      </c>
      <c r="AV419" s="25">
        <f t="shared" si="87"/>
        <v>3420</v>
      </c>
    </row>
    <row r="420" ht="14.25" customHeight="1">
      <c r="B420" s="36"/>
      <c r="C420" s="60" t="s">
        <v>46</v>
      </c>
      <c r="D420" s="56"/>
      <c r="E420" s="22" t="s">
        <v>48</v>
      </c>
      <c r="F420" s="56"/>
      <c r="G420" s="22">
        <v>42.72</v>
      </c>
      <c r="H420" s="22">
        <v>6.07</v>
      </c>
      <c r="I420" s="22">
        <v>50.3</v>
      </c>
      <c r="J420" s="22">
        <v>0.77</v>
      </c>
      <c r="K420" s="22">
        <v>0.14</v>
      </c>
      <c r="L420" s="26">
        <f t="shared" si="75"/>
        <v>17.3</v>
      </c>
      <c r="M420" s="22">
        <v>64.4</v>
      </c>
      <c r="N420" s="22">
        <v>10.4</v>
      </c>
      <c r="O420" s="22">
        <v>7.9</v>
      </c>
      <c r="P420" s="22">
        <v>0.36</v>
      </c>
      <c r="Q420" s="22">
        <v>740.0</v>
      </c>
      <c r="R420" s="22" t="s">
        <v>51</v>
      </c>
      <c r="S420" s="58">
        <v>0.0</v>
      </c>
      <c r="T420" s="22">
        <v>16.36</v>
      </c>
      <c r="U420" s="25">
        <v>6.9</v>
      </c>
      <c r="V420" s="25">
        <v>9.1</v>
      </c>
      <c r="W420" s="22">
        <v>7.8</v>
      </c>
      <c r="X420" s="22">
        <v>8.1</v>
      </c>
      <c r="Y420" s="54">
        <f t="shared" si="385"/>
        <v>68.1</v>
      </c>
      <c r="Z420" s="22">
        <f t="shared" si="77"/>
        <v>0.5917159763</v>
      </c>
      <c r="AA420" s="22">
        <v>59.2</v>
      </c>
      <c r="AB420" s="22">
        <v>54.8</v>
      </c>
      <c r="AC420" s="25">
        <f t="shared" si="78"/>
        <v>4800</v>
      </c>
      <c r="AD420" s="22" t="s">
        <v>51</v>
      </c>
      <c r="AG420" s="33">
        <v>1.69</v>
      </c>
      <c r="AH420" s="33">
        <v>4.8</v>
      </c>
      <c r="AO420" s="34">
        <f t="shared" ref="AO420:AS420" si="407">U420</f>
        <v>6.9</v>
      </c>
      <c r="AP420" s="34">
        <f t="shared" si="407"/>
        <v>9.1</v>
      </c>
      <c r="AQ420" s="34">
        <f t="shared" si="407"/>
        <v>7.8</v>
      </c>
      <c r="AR420" s="34">
        <f t="shared" si="407"/>
        <v>8.1</v>
      </c>
      <c r="AS420" s="34">
        <f t="shared" si="407"/>
        <v>68.1</v>
      </c>
      <c r="AT420" s="35">
        <f t="shared" si="15"/>
        <v>100</v>
      </c>
      <c r="AV420" s="25">
        <f t="shared" si="87"/>
        <v>4800</v>
      </c>
    </row>
    <row r="421" ht="14.25" customHeight="1">
      <c r="B421" s="36"/>
      <c r="C421" s="60" t="s">
        <v>46</v>
      </c>
      <c r="D421" s="56"/>
      <c r="E421" s="22" t="s">
        <v>48</v>
      </c>
      <c r="F421" s="56"/>
      <c r="G421" s="22">
        <v>42.72</v>
      </c>
      <c r="H421" s="22">
        <v>6.07</v>
      </c>
      <c r="I421" s="22">
        <v>50.3</v>
      </c>
      <c r="J421" s="22">
        <v>0.77</v>
      </c>
      <c r="K421" s="22">
        <v>0.14</v>
      </c>
      <c r="L421" s="26">
        <f t="shared" si="75"/>
        <v>17.3</v>
      </c>
      <c r="M421" s="22">
        <v>64.4</v>
      </c>
      <c r="N421" s="22">
        <v>10.4</v>
      </c>
      <c r="O421" s="22">
        <v>7.9</v>
      </c>
      <c r="P421" s="22">
        <v>0.36</v>
      </c>
      <c r="Q421" s="22">
        <v>700.0</v>
      </c>
      <c r="R421" s="22" t="s">
        <v>51</v>
      </c>
      <c r="S421" s="58">
        <v>0.0</v>
      </c>
      <c r="T421" s="22">
        <v>16.36</v>
      </c>
      <c r="U421" s="25">
        <v>5.9</v>
      </c>
      <c r="V421" s="25">
        <v>7.6</v>
      </c>
      <c r="W421" s="22">
        <v>8.9</v>
      </c>
      <c r="X421" s="22">
        <v>5.4</v>
      </c>
      <c r="Y421" s="54">
        <f t="shared" si="385"/>
        <v>72.2</v>
      </c>
      <c r="Z421" s="22">
        <f t="shared" si="77"/>
        <v>0.6451612903</v>
      </c>
      <c r="AA421" s="22">
        <v>39.9</v>
      </c>
      <c r="AB421" s="22">
        <v>40.7</v>
      </c>
      <c r="AC421" s="25">
        <f t="shared" si="78"/>
        <v>3530</v>
      </c>
      <c r="AD421" s="22" t="s">
        <v>51</v>
      </c>
      <c r="AG421" s="33">
        <v>1.55</v>
      </c>
      <c r="AH421" s="33">
        <v>3.53</v>
      </c>
      <c r="AO421" s="34">
        <f t="shared" ref="AO421:AS421" si="408">U421</f>
        <v>5.9</v>
      </c>
      <c r="AP421" s="34">
        <f t="shared" si="408"/>
        <v>7.6</v>
      </c>
      <c r="AQ421" s="34">
        <f t="shared" si="408"/>
        <v>8.9</v>
      </c>
      <c r="AR421" s="34">
        <f t="shared" si="408"/>
        <v>5.4</v>
      </c>
      <c r="AS421" s="34">
        <f t="shared" si="408"/>
        <v>72.2</v>
      </c>
      <c r="AT421" s="35">
        <f t="shared" si="15"/>
        <v>100</v>
      </c>
      <c r="AV421" s="25">
        <f t="shared" si="87"/>
        <v>3530</v>
      </c>
    </row>
    <row r="422" ht="14.25" customHeight="1">
      <c r="B422" s="36"/>
      <c r="C422" s="60" t="s">
        <v>46</v>
      </c>
      <c r="D422" s="56"/>
      <c r="E422" s="22" t="s">
        <v>48</v>
      </c>
      <c r="F422" s="56"/>
      <c r="G422" s="22">
        <v>42.72</v>
      </c>
      <c r="H422" s="22">
        <v>6.07</v>
      </c>
      <c r="I422" s="22">
        <v>50.3</v>
      </c>
      <c r="J422" s="22">
        <v>0.77</v>
      </c>
      <c r="K422" s="22">
        <v>0.14</v>
      </c>
      <c r="L422" s="26">
        <f t="shared" si="75"/>
        <v>17.3</v>
      </c>
      <c r="M422" s="22">
        <v>64.4</v>
      </c>
      <c r="N422" s="22">
        <v>10.4</v>
      </c>
      <c r="O422" s="22">
        <v>7.9</v>
      </c>
      <c r="P422" s="22">
        <v>0.36</v>
      </c>
      <c r="Q422" s="22">
        <v>740.0</v>
      </c>
      <c r="R422" s="22" t="s">
        <v>51</v>
      </c>
      <c r="S422" s="58">
        <v>0.0</v>
      </c>
      <c r="T422" s="22">
        <v>16.36</v>
      </c>
      <c r="U422" s="25">
        <v>7.46</v>
      </c>
      <c r="V422" s="25">
        <v>10.7</v>
      </c>
      <c r="W422" s="22">
        <v>9.2</v>
      </c>
      <c r="X422" s="22">
        <v>5.6</v>
      </c>
      <c r="Y422" s="54">
        <f t="shared" si="385"/>
        <v>67.04</v>
      </c>
      <c r="Z422" s="22">
        <f t="shared" si="77"/>
        <v>0.625</v>
      </c>
      <c r="AA422" s="22">
        <v>47.57</v>
      </c>
      <c r="AB422" s="22">
        <v>50.6</v>
      </c>
      <c r="AC422" s="25">
        <f t="shared" si="78"/>
        <v>4160</v>
      </c>
      <c r="AD422" s="22" t="s">
        <v>51</v>
      </c>
      <c r="AG422" s="33">
        <v>1.6</v>
      </c>
      <c r="AH422" s="33">
        <v>4.16</v>
      </c>
      <c r="AO422" s="34">
        <f t="shared" ref="AO422:AS422" si="409">U422</f>
        <v>7.46</v>
      </c>
      <c r="AP422" s="34">
        <f t="shared" si="409"/>
        <v>10.7</v>
      </c>
      <c r="AQ422" s="34">
        <f t="shared" si="409"/>
        <v>9.2</v>
      </c>
      <c r="AR422" s="34">
        <f t="shared" si="409"/>
        <v>5.6</v>
      </c>
      <c r="AS422" s="34">
        <f t="shared" si="409"/>
        <v>67.04</v>
      </c>
      <c r="AT422" s="35">
        <f t="shared" si="15"/>
        <v>100</v>
      </c>
      <c r="AV422" s="25">
        <f t="shared" si="87"/>
        <v>4160</v>
      </c>
    </row>
    <row r="423" ht="14.25" customHeight="1">
      <c r="B423" s="36"/>
      <c r="C423" s="60" t="s">
        <v>46</v>
      </c>
      <c r="D423" s="56"/>
      <c r="E423" s="22" t="s">
        <v>48</v>
      </c>
      <c r="F423" s="56"/>
      <c r="G423" s="22">
        <v>42.72</v>
      </c>
      <c r="H423" s="22">
        <v>6.07</v>
      </c>
      <c r="I423" s="22">
        <v>50.3</v>
      </c>
      <c r="J423" s="22">
        <v>0.77</v>
      </c>
      <c r="K423" s="22">
        <v>0.14</v>
      </c>
      <c r="L423" s="26">
        <f t="shared" si="75"/>
        <v>17.3</v>
      </c>
      <c r="M423" s="22">
        <v>64.4</v>
      </c>
      <c r="N423" s="22">
        <v>10.4</v>
      </c>
      <c r="O423" s="22">
        <v>7.9</v>
      </c>
      <c r="P423" s="22">
        <v>0.36</v>
      </c>
      <c r="Q423" s="22">
        <v>700.0</v>
      </c>
      <c r="R423" s="22" t="s">
        <v>51</v>
      </c>
      <c r="S423" s="58">
        <v>0.0</v>
      </c>
      <c r="T423" s="22">
        <v>16.36</v>
      </c>
      <c r="U423" s="25">
        <v>6.6</v>
      </c>
      <c r="V423" s="25">
        <v>9.84</v>
      </c>
      <c r="W423" s="22">
        <v>9.05</v>
      </c>
      <c r="X423" s="22">
        <v>4.6</v>
      </c>
      <c r="Y423" s="54">
        <f t="shared" si="385"/>
        <v>69.91</v>
      </c>
      <c r="Z423" s="22">
        <f t="shared" si="77"/>
        <v>0.6493506494</v>
      </c>
      <c r="AA423" s="22">
        <v>39.75</v>
      </c>
      <c r="AB423" s="22">
        <v>44.9</v>
      </c>
      <c r="AC423" s="25">
        <f t="shared" si="78"/>
        <v>3630</v>
      </c>
      <c r="AD423" s="22" t="s">
        <v>51</v>
      </c>
      <c r="AG423" s="33">
        <v>1.54</v>
      </c>
      <c r="AH423" s="33">
        <v>3.63</v>
      </c>
      <c r="AO423" s="34">
        <f t="shared" ref="AO423:AS423" si="410">U423</f>
        <v>6.6</v>
      </c>
      <c r="AP423" s="34">
        <f t="shared" si="410"/>
        <v>9.84</v>
      </c>
      <c r="AQ423" s="34">
        <f t="shared" si="410"/>
        <v>9.05</v>
      </c>
      <c r="AR423" s="34">
        <f t="shared" si="410"/>
        <v>4.6</v>
      </c>
      <c r="AS423" s="34">
        <f t="shared" si="410"/>
        <v>69.91</v>
      </c>
      <c r="AT423" s="35">
        <f t="shared" si="15"/>
        <v>100</v>
      </c>
      <c r="AV423" s="25">
        <f t="shared" si="87"/>
        <v>3630</v>
      </c>
    </row>
    <row r="424" ht="14.25" customHeight="1">
      <c r="B424" s="36"/>
      <c r="C424" s="22" t="s">
        <v>46</v>
      </c>
      <c r="D424" s="56"/>
      <c r="E424" s="22" t="s">
        <v>48</v>
      </c>
      <c r="F424" s="56"/>
      <c r="G424" s="27">
        <f t="shared" ref="G424:G431" si="412">38.02*100/(100-O424)</f>
        <v>45.1704883</v>
      </c>
      <c r="H424" s="27">
        <f t="shared" ref="H424:H431" si="413">6.02*100/(100-O424)</f>
        <v>7.152191992</v>
      </c>
      <c r="I424" s="27">
        <f t="shared" ref="I424:I431" si="414">39.48*100/(100-O424)</f>
        <v>46.90507307</v>
      </c>
      <c r="J424" s="27">
        <f t="shared" ref="J424:J431" si="415">0.47*100/(100-O424)</f>
        <v>0.558393727</v>
      </c>
      <c r="K424" s="27">
        <f t="shared" ref="K424:K431" si="416">0.18*100/(100-O424)</f>
        <v>0.2138529167</v>
      </c>
      <c r="L424" s="26">
        <f t="shared" si="75"/>
        <v>11.96</v>
      </c>
      <c r="M424" s="22">
        <v>60.01</v>
      </c>
      <c r="N424" s="22">
        <v>12.2</v>
      </c>
      <c r="O424" s="22">
        <v>15.83</v>
      </c>
      <c r="P424" s="22">
        <v>0.18</v>
      </c>
      <c r="Q424" s="22">
        <v>620.0</v>
      </c>
      <c r="R424" s="22" t="s">
        <v>51</v>
      </c>
      <c r="S424" s="58">
        <v>0.0</v>
      </c>
      <c r="T424" s="22">
        <v>16.38</v>
      </c>
      <c r="U424" s="25">
        <v>11.0</v>
      </c>
      <c r="V424" s="25">
        <v>9.1</v>
      </c>
      <c r="W424" s="22">
        <v>12.92</v>
      </c>
      <c r="X424" s="22">
        <v>0.6</v>
      </c>
      <c r="Y424" s="54">
        <f t="shared" si="385"/>
        <v>66.38</v>
      </c>
      <c r="Z424" s="22">
        <f t="shared" si="77"/>
        <v>0.3636363636</v>
      </c>
      <c r="AA424" s="22">
        <v>46.98</v>
      </c>
      <c r="AB424" s="22">
        <v>67.9</v>
      </c>
      <c r="AC424" s="25">
        <f t="shared" si="78"/>
        <v>3000</v>
      </c>
      <c r="AD424" s="22" t="s">
        <v>51</v>
      </c>
      <c r="AG424" s="33">
        <v>2.75</v>
      </c>
      <c r="AH424" s="33">
        <v>3.0</v>
      </c>
      <c r="AO424" s="34">
        <f t="shared" ref="AO424:AS424" si="411">U424</f>
        <v>11</v>
      </c>
      <c r="AP424" s="34">
        <f t="shared" si="411"/>
        <v>9.1</v>
      </c>
      <c r="AQ424" s="34">
        <f t="shared" si="411"/>
        <v>12.92</v>
      </c>
      <c r="AR424" s="34">
        <f t="shared" si="411"/>
        <v>0.6</v>
      </c>
      <c r="AS424" s="34">
        <f t="shared" si="411"/>
        <v>66.38</v>
      </c>
      <c r="AT424" s="35">
        <f t="shared" si="15"/>
        <v>100</v>
      </c>
      <c r="AV424" s="25">
        <f t="shared" si="87"/>
        <v>3000</v>
      </c>
    </row>
    <row r="425" ht="14.25" customHeight="1">
      <c r="B425" s="36"/>
      <c r="C425" s="22" t="s">
        <v>46</v>
      </c>
      <c r="D425" s="56"/>
      <c r="E425" s="22" t="s">
        <v>48</v>
      </c>
      <c r="F425" s="56"/>
      <c r="G425" s="27">
        <f t="shared" si="412"/>
        <v>45.1704883</v>
      </c>
      <c r="H425" s="27">
        <f t="shared" si="413"/>
        <v>7.152191992</v>
      </c>
      <c r="I425" s="27">
        <f t="shared" si="414"/>
        <v>46.90507307</v>
      </c>
      <c r="J425" s="27">
        <f t="shared" si="415"/>
        <v>0.558393727</v>
      </c>
      <c r="K425" s="27">
        <f t="shared" si="416"/>
        <v>0.2138529167</v>
      </c>
      <c r="L425" s="26">
        <f t="shared" si="75"/>
        <v>11.96</v>
      </c>
      <c r="M425" s="22">
        <v>60.01</v>
      </c>
      <c r="N425" s="22">
        <v>12.2</v>
      </c>
      <c r="O425" s="22">
        <v>15.83</v>
      </c>
      <c r="P425" s="22">
        <v>0.2</v>
      </c>
      <c r="Q425" s="22">
        <v>720.0</v>
      </c>
      <c r="R425" s="22" t="s">
        <v>51</v>
      </c>
      <c r="S425" s="58">
        <v>0.0</v>
      </c>
      <c r="T425" s="22">
        <v>16.38</v>
      </c>
      <c r="U425" s="25">
        <v>12.3</v>
      </c>
      <c r="V425" s="25">
        <v>8.9</v>
      </c>
      <c r="W425" s="22">
        <v>12.3</v>
      </c>
      <c r="X425" s="22">
        <v>1.2</v>
      </c>
      <c r="Y425" s="54">
        <f t="shared" si="385"/>
        <v>65.3</v>
      </c>
      <c r="Z425" s="22">
        <f t="shared" si="77"/>
        <v>0.3773584906</v>
      </c>
      <c r="AA425" s="22">
        <v>52.82</v>
      </c>
      <c r="AB425" s="22">
        <v>68.6</v>
      </c>
      <c r="AC425" s="25">
        <f t="shared" si="78"/>
        <v>3500</v>
      </c>
      <c r="AD425" s="22" t="s">
        <v>51</v>
      </c>
      <c r="AG425" s="33">
        <v>2.65</v>
      </c>
      <c r="AH425" s="33">
        <v>3.5</v>
      </c>
      <c r="AO425" s="34">
        <f t="shared" ref="AO425:AS425" si="417">U425</f>
        <v>12.3</v>
      </c>
      <c r="AP425" s="34">
        <f t="shared" si="417"/>
        <v>8.9</v>
      </c>
      <c r="AQ425" s="34">
        <f t="shared" si="417"/>
        <v>12.3</v>
      </c>
      <c r="AR425" s="34">
        <f t="shared" si="417"/>
        <v>1.2</v>
      </c>
      <c r="AS425" s="34">
        <f t="shared" si="417"/>
        <v>65.3</v>
      </c>
      <c r="AT425" s="35">
        <f t="shared" si="15"/>
        <v>100</v>
      </c>
      <c r="AV425" s="25">
        <f t="shared" si="87"/>
        <v>3500</v>
      </c>
    </row>
    <row r="426" ht="14.25" customHeight="1">
      <c r="B426" s="36"/>
      <c r="C426" s="22" t="s">
        <v>46</v>
      </c>
      <c r="D426" s="56"/>
      <c r="E426" s="22" t="s">
        <v>48</v>
      </c>
      <c r="F426" s="56"/>
      <c r="G426" s="27">
        <f t="shared" si="412"/>
        <v>45.1704883</v>
      </c>
      <c r="H426" s="27">
        <f t="shared" si="413"/>
        <v>7.152191992</v>
      </c>
      <c r="I426" s="27">
        <f t="shared" si="414"/>
        <v>46.90507307</v>
      </c>
      <c r="J426" s="27">
        <f t="shared" si="415"/>
        <v>0.558393727</v>
      </c>
      <c r="K426" s="27">
        <f t="shared" si="416"/>
        <v>0.2138529167</v>
      </c>
      <c r="L426" s="26">
        <f t="shared" si="75"/>
        <v>11.96</v>
      </c>
      <c r="M426" s="22">
        <v>60.01</v>
      </c>
      <c r="N426" s="22">
        <v>12.2</v>
      </c>
      <c r="O426" s="22">
        <v>15.83</v>
      </c>
      <c r="P426" s="22">
        <v>0.21</v>
      </c>
      <c r="Q426" s="22">
        <v>620.0</v>
      </c>
      <c r="R426" s="22" t="s">
        <v>51</v>
      </c>
      <c r="S426" s="58">
        <v>0.0</v>
      </c>
      <c r="T426" s="22">
        <v>16.38</v>
      </c>
      <c r="U426" s="25">
        <v>13.7</v>
      </c>
      <c r="V426" s="25">
        <v>8.2</v>
      </c>
      <c r="W426" s="22">
        <v>13.7</v>
      </c>
      <c r="X426" s="22">
        <v>0.9</v>
      </c>
      <c r="Y426" s="54">
        <f t="shared" si="385"/>
        <v>63.5</v>
      </c>
      <c r="Z426" s="22">
        <f t="shared" si="77"/>
        <v>0.3703703704</v>
      </c>
      <c r="AA426" s="22">
        <v>56.89</v>
      </c>
      <c r="AB426" s="22">
        <v>72.2</v>
      </c>
      <c r="AC426" s="25">
        <f t="shared" si="78"/>
        <v>3700</v>
      </c>
      <c r="AD426" s="22" t="s">
        <v>51</v>
      </c>
      <c r="AG426" s="33">
        <v>2.7</v>
      </c>
      <c r="AH426" s="33">
        <v>3.7</v>
      </c>
      <c r="AO426" s="34">
        <f t="shared" ref="AO426:AS426" si="418">U426</f>
        <v>13.7</v>
      </c>
      <c r="AP426" s="34">
        <f t="shared" si="418"/>
        <v>8.2</v>
      </c>
      <c r="AQ426" s="34">
        <f t="shared" si="418"/>
        <v>13.7</v>
      </c>
      <c r="AR426" s="34">
        <f t="shared" si="418"/>
        <v>0.9</v>
      </c>
      <c r="AS426" s="34">
        <f t="shared" si="418"/>
        <v>63.5</v>
      </c>
      <c r="AT426" s="35">
        <f t="shared" si="15"/>
        <v>100</v>
      </c>
      <c r="AV426" s="25">
        <f t="shared" si="87"/>
        <v>3700</v>
      </c>
    </row>
    <row r="427" ht="14.25" customHeight="1">
      <c r="B427" s="36"/>
      <c r="C427" s="22" t="s">
        <v>46</v>
      </c>
      <c r="D427" s="56"/>
      <c r="E427" s="22" t="s">
        <v>48</v>
      </c>
      <c r="F427" s="56"/>
      <c r="G427" s="27">
        <f t="shared" si="412"/>
        <v>45.1704883</v>
      </c>
      <c r="H427" s="27">
        <f t="shared" si="413"/>
        <v>7.152191992</v>
      </c>
      <c r="I427" s="27">
        <f t="shared" si="414"/>
        <v>46.90507307</v>
      </c>
      <c r="J427" s="27">
        <f t="shared" si="415"/>
        <v>0.558393727</v>
      </c>
      <c r="K427" s="27">
        <f t="shared" si="416"/>
        <v>0.2138529167</v>
      </c>
      <c r="L427" s="26">
        <f t="shared" si="75"/>
        <v>11.96</v>
      </c>
      <c r="M427" s="22">
        <v>60.01</v>
      </c>
      <c r="N427" s="22">
        <v>12.2</v>
      </c>
      <c r="O427" s="22">
        <v>15.83</v>
      </c>
      <c r="P427" s="22">
        <v>0.2</v>
      </c>
      <c r="Q427" s="22">
        <v>720.0</v>
      </c>
      <c r="R427" s="22" t="s">
        <v>51</v>
      </c>
      <c r="S427" s="58">
        <v>0.0</v>
      </c>
      <c r="T427" s="22">
        <v>16.38</v>
      </c>
      <c r="U427" s="25">
        <v>19.1</v>
      </c>
      <c r="V427" s="25">
        <v>5.8</v>
      </c>
      <c r="W427" s="22">
        <v>19.1</v>
      </c>
      <c r="X427" s="22">
        <v>0.4</v>
      </c>
      <c r="Y427" s="54">
        <f t="shared" si="385"/>
        <v>55.6</v>
      </c>
      <c r="Z427" s="22">
        <f t="shared" si="77"/>
        <v>0.5263157895</v>
      </c>
      <c r="AA427" s="22">
        <v>72.49</v>
      </c>
      <c r="AB427" s="22">
        <v>87.0</v>
      </c>
      <c r="AC427" s="25">
        <f t="shared" si="78"/>
        <v>6700</v>
      </c>
      <c r="AD427" s="22" t="s">
        <v>51</v>
      </c>
      <c r="AG427" s="33">
        <v>1.9</v>
      </c>
      <c r="AH427" s="33">
        <v>6.7</v>
      </c>
      <c r="AO427" s="34">
        <f t="shared" ref="AO427:AS427" si="419">U427</f>
        <v>19.1</v>
      </c>
      <c r="AP427" s="34">
        <f t="shared" si="419"/>
        <v>5.8</v>
      </c>
      <c r="AQ427" s="34">
        <f t="shared" si="419"/>
        <v>19.1</v>
      </c>
      <c r="AR427" s="34">
        <f t="shared" si="419"/>
        <v>0.4</v>
      </c>
      <c r="AS427" s="34">
        <f t="shared" si="419"/>
        <v>55.6</v>
      </c>
      <c r="AT427" s="35">
        <f t="shared" si="15"/>
        <v>100</v>
      </c>
      <c r="AV427" s="25">
        <f t="shared" si="87"/>
        <v>6700</v>
      </c>
    </row>
    <row r="428" ht="14.25" customHeight="1">
      <c r="B428" s="36"/>
      <c r="C428" s="22" t="s">
        <v>46</v>
      </c>
      <c r="D428" s="56"/>
      <c r="E428" s="22" t="s">
        <v>48</v>
      </c>
      <c r="F428" s="56"/>
      <c r="G428" s="27">
        <f t="shared" si="412"/>
        <v>45.1704883</v>
      </c>
      <c r="H428" s="27">
        <f t="shared" si="413"/>
        <v>7.152191992</v>
      </c>
      <c r="I428" s="27">
        <f t="shared" si="414"/>
        <v>46.90507307</v>
      </c>
      <c r="J428" s="27">
        <f t="shared" si="415"/>
        <v>0.558393727</v>
      </c>
      <c r="K428" s="27">
        <f t="shared" si="416"/>
        <v>0.2138529167</v>
      </c>
      <c r="L428" s="26">
        <f t="shared" si="75"/>
        <v>11.96</v>
      </c>
      <c r="M428" s="22">
        <v>60.01</v>
      </c>
      <c r="N428" s="22">
        <v>12.2</v>
      </c>
      <c r="O428" s="22">
        <v>15.83</v>
      </c>
      <c r="P428" s="22">
        <v>0.32</v>
      </c>
      <c r="Q428" s="22">
        <v>850.0</v>
      </c>
      <c r="R428" s="22" t="s">
        <v>51</v>
      </c>
      <c r="S428" s="58">
        <v>0.0</v>
      </c>
      <c r="T428" s="22">
        <v>16.38</v>
      </c>
      <c r="U428" s="25">
        <v>6.1</v>
      </c>
      <c r="V428" s="25">
        <v>13.7</v>
      </c>
      <c r="W428" s="22">
        <v>18.5</v>
      </c>
      <c r="X428" s="22">
        <v>5.8</v>
      </c>
      <c r="Y428" s="54">
        <f t="shared" si="385"/>
        <v>55.9</v>
      </c>
      <c r="Z428" s="22">
        <f t="shared" si="77"/>
        <v>0.8547008547</v>
      </c>
      <c r="AA428" s="22">
        <v>33.98</v>
      </c>
      <c r="AB428" s="22">
        <v>48.5</v>
      </c>
      <c r="AC428" s="25">
        <f t="shared" si="78"/>
        <v>5100</v>
      </c>
      <c r="AD428" s="22" t="s">
        <v>51</v>
      </c>
      <c r="AG428" s="33">
        <v>1.17</v>
      </c>
      <c r="AH428" s="33">
        <v>5.1</v>
      </c>
      <c r="AO428" s="34">
        <f t="shared" ref="AO428:AS428" si="420">U428</f>
        <v>6.1</v>
      </c>
      <c r="AP428" s="34">
        <f t="shared" si="420"/>
        <v>13.7</v>
      </c>
      <c r="AQ428" s="34">
        <f t="shared" si="420"/>
        <v>18.5</v>
      </c>
      <c r="AR428" s="34">
        <f t="shared" si="420"/>
        <v>5.8</v>
      </c>
      <c r="AS428" s="34">
        <f t="shared" si="420"/>
        <v>55.9</v>
      </c>
      <c r="AT428" s="35">
        <f t="shared" si="15"/>
        <v>100</v>
      </c>
      <c r="AV428" s="25">
        <f t="shared" si="87"/>
        <v>5100</v>
      </c>
    </row>
    <row r="429" ht="14.25" customHeight="1">
      <c r="B429" s="36"/>
      <c r="C429" s="22" t="s">
        <v>46</v>
      </c>
      <c r="D429" s="56"/>
      <c r="E429" s="22" t="s">
        <v>48</v>
      </c>
      <c r="F429" s="56"/>
      <c r="G429" s="27">
        <f t="shared" si="412"/>
        <v>45.1704883</v>
      </c>
      <c r="H429" s="27">
        <f t="shared" si="413"/>
        <v>7.152191992</v>
      </c>
      <c r="I429" s="27">
        <f t="shared" si="414"/>
        <v>46.90507307</v>
      </c>
      <c r="J429" s="27">
        <f t="shared" si="415"/>
        <v>0.558393727</v>
      </c>
      <c r="K429" s="27">
        <f t="shared" si="416"/>
        <v>0.2138529167</v>
      </c>
      <c r="L429" s="26">
        <f t="shared" si="75"/>
        <v>11.96</v>
      </c>
      <c r="M429" s="22">
        <v>60.01</v>
      </c>
      <c r="N429" s="22">
        <v>12.2</v>
      </c>
      <c r="O429" s="22">
        <v>15.83</v>
      </c>
      <c r="P429" s="22">
        <v>0.26</v>
      </c>
      <c r="Q429" s="22">
        <v>850.0</v>
      </c>
      <c r="R429" s="22" t="s">
        <v>51</v>
      </c>
      <c r="S429" s="58">
        <v>0.0</v>
      </c>
      <c r="T429" s="22">
        <v>16.38</v>
      </c>
      <c r="U429" s="25">
        <v>5.7</v>
      </c>
      <c r="V429" s="25">
        <v>13.4</v>
      </c>
      <c r="W429" s="22">
        <v>18.9</v>
      </c>
      <c r="X429" s="22">
        <v>6.8</v>
      </c>
      <c r="Y429" s="54">
        <f t="shared" si="385"/>
        <v>55.2</v>
      </c>
      <c r="Z429" s="22">
        <f t="shared" si="77"/>
        <v>0.7751937984</v>
      </c>
      <c r="AA429" s="22">
        <v>39.67</v>
      </c>
      <c r="AB429" s="22">
        <v>54.9</v>
      </c>
      <c r="AC429" s="25">
        <f t="shared" si="78"/>
        <v>5400</v>
      </c>
      <c r="AD429" s="22" t="s">
        <v>51</v>
      </c>
      <c r="AG429" s="33">
        <v>1.29</v>
      </c>
      <c r="AH429" s="33">
        <v>5.4</v>
      </c>
      <c r="AO429" s="34">
        <f t="shared" ref="AO429:AS429" si="421">U429</f>
        <v>5.7</v>
      </c>
      <c r="AP429" s="34">
        <f t="shared" si="421"/>
        <v>13.4</v>
      </c>
      <c r="AQ429" s="34">
        <f t="shared" si="421"/>
        <v>18.9</v>
      </c>
      <c r="AR429" s="34">
        <f t="shared" si="421"/>
        <v>6.8</v>
      </c>
      <c r="AS429" s="34">
        <f t="shared" si="421"/>
        <v>55.2</v>
      </c>
      <c r="AT429" s="35">
        <f t="shared" si="15"/>
        <v>100</v>
      </c>
      <c r="AV429" s="25">
        <f t="shared" si="87"/>
        <v>5400</v>
      </c>
    </row>
    <row r="430" ht="14.25" customHeight="1">
      <c r="B430" s="36"/>
      <c r="C430" s="22" t="s">
        <v>46</v>
      </c>
      <c r="D430" s="56"/>
      <c r="E430" s="22" t="s">
        <v>48</v>
      </c>
      <c r="F430" s="56"/>
      <c r="G430" s="27">
        <f t="shared" si="412"/>
        <v>45.1704883</v>
      </c>
      <c r="H430" s="27">
        <f t="shared" si="413"/>
        <v>7.152191992</v>
      </c>
      <c r="I430" s="27">
        <f t="shared" si="414"/>
        <v>46.90507307</v>
      </c>
      <c r="J430" s="27">
        <f t="shared" si="415"/>
        <v>0.558393727</v>
      </c>
      <c r="K430" s="27">
        <f t="shared" si="416"/>
        <v>0.2138529167</v>
      </c>
      <c r="L430" s="26">
        <f t="shared" si="75"/>
        <v>11.96</v>
      </c>
      <c r="M430" s="22">
        <v>60.01</v>
      </c>
      <c r="N430" s="22">
        <v>12.2</v>
      </c>
      <c r="O430" s="22">
        <v>15.83</v>
      </c>
      <c r="P430" s="22">
        <v>0.25</v>
      </c>
      <c r="Q430" s="22">
        <v>850.0</v>
      </c>
      <c r="R430" s="22" t="s">
        <v>51</v>
      </c>
      <c r="S430" s="58">
        <v>0.0</v>
      </c>
      <c r="T430" s="22">
        <v>16.38</v>
      </c>
      <c r="U430" s="25">
        <v>6.9</v>
      </c>
      <c r="V430" s="25">
        <v>11.9</v>
      </c>
      <c r="W430" s="22">
        <v>21.7</v>
      </c>
      <c r="X430" s="22">
        <v>5.4</v>
      </c>
      <c r="Y430" s="54">
        <f t="shared" si="385"/>
        <v>54.1</v>
      </c>
      <c r="Z430" s="22">
        <f t="shared" si="77"/>
        <v>0.6944444444</v>
      </c>
      <c r="AA430" s="22">
        <v>44.28</v>
      </c>
      <c r="AB430" s="22">
        <v>61.0</v>
      </c>
      <c r="AC430" s="25">
        <f t="shared" si="78"/>
        <v>5400</v>
      </c>
      <c r="AD430" s="22" t="s">
        <v>51</v>
      </c>
      <c r="AG430" s="33">
        <v>1.44</v>
      </c>
      <c r="AH430" s="33">
        <v>5.4</v>
      </c>
      <c r="AO430" s="34">
        <f t="shared" ref="AO430:AS430" si="422">U430</f>
        <v>6.9</v>
      </c>
      <c r="AP430" s="34">
        <f t="shared" si="422"/>
        <v>11.9</v>
      </c>
      <c r="AQ430" s="34">
        <f t="shared" si="422"/>
        <v>21.7</v>
      </c>
      <c r="AR430" s="34">
        <f t="shared" si="422"/>
        <v>5.4</v>
      </c>
      <c r="AS430" s="34">
        <f t="shared" si="422"/>
        <v>54.1</v>
      </c>
      <c r="AT430" s="35">
        <f t="shared" si="15"/>
        <v>100</v>
      </c>
      <c r="AV430" s="25">
        <f t="shared" si="87"/>
        <v>5400</v>
      </c>
    </row>
    <row r="431" ht="14.25" customHeight="1">
      <c r="B431" s="36"/>
      <c r="C431" s="22" t="s">
        <v>46</v>
      </c>
      <c r="D431" s="56"/>
      <c r="E431" s="22" t="s">
        <v>48</v>
      </c>
      <c r="F431" s="56"/>
      <c r="G431" s="27">
        <f t="shared" si="412"/>
        <v>45.1704883</v>
      </c>
      <c r="H431" s="27">
        <f t="shared" si="413"/>
        <v>7.152191992</v>
      </c>
      <c r="I431" s="27">
        <f t="shared" si="414"/>
        <v>46.90507307</v>
      </c>
      <c r="J431" s="27">
        <f t="shared" si="415"/>
        <v>0.558393727</v>
      </c>
      <c r="K431" s="27">
        <f t="shared" si="416"/>
        <v>0.2138529167</v>
      </c>
      <c r="L431" s="26">
        <f t="shared" si="75"/>
        <v>11.96</v>
      </c>
      <c r="M431" s="22">
        <v>60.01</v>
      </c>
      <c r="N431" s="22">
        <v>12.2</v>
      </c>
      <c r="O431" s="22">
        <v>15.83</v>
      </c>
      <c r="P431" s="22">
        <v>0.26</v>
      </c>
      <c r="Q431" s="22">
        <v>850.0</v>
      </c>
      <c r="R431" s="22" t="s">
        <v>51</v>
      </c>
      <c r="S431" s="58">
        <v>0.0</v>
      </c>
      <c r="T431" s="22">
        <v>16.38</v>
      </c>
      <c r="U431" s="25">
        <v>6.0</v>
      </c>
      <c r="V431" s="25">
        <v>14.4</v>
      </c>
      <c r="W431" s="22">
        <v>16.1</v>
      </c>
      <c r="X431" s="22">
        <v>6.3</v>
      </c>
      <c r="Y431" s="54">
        <f t="shared" si="385"/>
        <v>57.2</v>
      </c>
      <c r="Z431" s="22">
        <f t="shared" si="77"/>
        <v>0.8064516129</v>
      </c>
      <c r="AA431" s="22">
        <v>34.6</v>
      </c>
      <c r="AB431" s="22">
        <v>49.9</v>
      </c>
      <c r="AC431" s="25">
        <f t="shared" si="78"/>
        <v>4900</v>
      </c>
      <c r="AD431" s="22" t="s">
        <v>51</v>
      </c>
      <c r="AG431" s="33">
        <v>1.24</v>
      </c>
      <c r="AH431" s="33">
        <v>4.9</v>
      </c>
      <c r="AO431" s="34">
        <f t="shared" ref="AO431:AS431" si="423">U431</f>
        <v>6</v>
      </c>
      <c r="AP431" s="34">
        <f t="shared" si="423"/>
        <v>14.4</v>
      </c>
      <c r="AQ431" s="34">
        <f t="shared" si="423"/>
        <v>16.1</v>
      </c>
      <c r="AR431" s="34">
        <f t="shared" si="423"/>
        <v>6.3</v>
      </c>
      <c r="AS431" s="34">
        <f t="shared" si="423"/>
        <v>57.2</v>
      </c>
      <c r="AT431" s="35">
        <f t="shared" si="15"/>
        <v>100</v>
      </c>
      <c r="AV431" s="25">
        <f t="shared" si="87"/>
        <v>4900</v>
      </c>
    </row>
    <row r="432" ht="14.25" customHeight="1">
      <c r="B432" s="55"/>
      <c r="C432" s="22" t="s">
        <v>46</v>
      </c>
      <c r="D432" s="69"/>
      <c r="E432" s="22" t="s">
        <v>48</v>
      </c>
      <c r="F432" s="69"/>
      <c r="G432" s="70">
        <v>42.18</v>
      </c>
      <c r="H432" s="70">
        <v>5.7</v>
      </c>
      <c r="I432" s="70">
        <v>27.54</v>
      </c>
      <c r="J432" s="70">
        <v>1.59</v>
      </c>
      <c r="K432" s="70">
        <v>0.5</v>
      </c>
      <c r="L432" s="71">
        <f t="shared" si="75"/>
        <v>34.2</v>
      </c>
      <c r="M432" s="70">
        <v>24.5</v>
      </c>
      <c r="N432" s="70">
        <v>7.8</v>
      </c>
      <c r="O432" s="70">
        <v>33.5</v>
      </c>
      <c r="P432" s="72">
        <v>1.0</v>
      </c>
      <c r="Q432" s="70">
        <v>800.0</v>
      </c>
      <c r="R432" s="22" t="s">
        <v>51</v>
      </c>
      <c r="S432" s="61">
        <v>0.0</v>
      </c>
      <c r="T432" s="22">
        <v>15.7</v>
      </c>
      <c r="U432" s="25">
        <v>8.2</v>
      </c>
      <c r="V432" s="25">
        <v>11.2</v>
      </c>
      <c r="W432" s="22">
        <v>15.4</v>
      </c>
      <c r="X432" s="22">
        <v>1.4</v>
      </c>
      <c r="Y432" s="54">
        <f t="shared" si="385"/>
        <v>63.8</v>
      </c>
      <c r="Z432" s="22">
        <f t="shared" si="77"/>
        <v>0.5050505051</v>
      </c>
      <c r="AA432" s="22">
        <v>30.9</v>
      </c>
      <c r="AB432" s="22">
        <v>70.41</v>
      </c>
      <c r="AC432" s="25">
        <f t="shared" si="78"/>
        <v>2740</v>
      </c>
      <c r="AD432" s="22" t="s">
        <v>51</v>
      </c>
      <c r="AG432" s="33">
        <v>1.98</v>
      </c>
      <c r="AH432" s="33">
        <v>2.74</v>
      </c>
      <c r="AO432" s="34">
        <f t="shared" ref="AO432:AS432" si="424">U432</f>
        <v>8.2</v>
      </c>
      <c r="AP432" s="34">
        <f t="shared" si="424"/>
        <v>11.2</v>
      </c>
      <c r="AQ432" s="34">
        <f t="shared" si="424"/>
        <v>15.4</v>
      </c>
      <c r="AR432" s="34">
        <f t="shared" si="424"/>
        <v>1.4</v>
      </c>
      <c r="AS432" s="34">
        <f t="shared" si="424"/>
        <v>63.8</v>
      </c>
      <c r="AT432" s="35">
        <f t="shared" si="15"/>
        <v>100</v>
      </c>
      <c r="AV432" s="25">
        <f t="shared" si="87"/>
        <v>2740</v>
      </c>
    </row>
    <row r="433" ht="14.25" customHeight="1">
      <c r="A433" s="18"/>
      <c r="B433" s="73" t="s">
        <v>73</v>
      </c>
      <c r="C433" s="22" t="s">
        <v>46</v>
      </c>
      <c r="D433" s="74" t="s">
        <v>74</v>
      </c>
      <c r="E433" s="22" t="s">
        <v>75</v>
      </c>
      <c r="F433" s="75" t="s">
        <v>55</v>
      </c>
      <c r="G433" s="27">
        <f t="shared" ref="G433:G437" si="425">38.43*100/(100-21.68)</f>
        <v>49.06792646</v>
      </c>
      <c r="H433" s="27">
        <f t="shared" ref="H433:H437" si="426">2.97*100/(100-21.68)</f>
        <v>3.792134831</v>
      </c>
      <c r="I433" s="27">
        <f t="shared" ref="I433:I437" si="427">36.36*100/(100-21.68)</f>
        <v>46.42492339</v>
      </c>
      <c r="J433" s="27">
        <f t="shared" ref="J433:J437" si="428">0.49*100/(100-21.68)</f>
        <v>0.6256384065</v>
      </c>
      <c r="K433" s="27">
        <f t="shared" ref="K433:K437" si="429">0.07*100/(100-21.68)</f>
        <v>0.08937691522</v>
      </c>
      <c r="L433" s="22">
        <v>14.99</v>
      </c>
      <c r="M433" s="22">
        <v>55.54</v>
      </c>
      <c r="N433" s="22">
        <v>9.95</v>
      </c>
      <c r="O433" s="40">
        <v>19.52</v>
      </c>
      <c r="P433" s="76">
        <v>0.0</v>
      </c>
      <c r="Q433" s="22">
        <v>690.0</v>
      </c>
      <c r="R433" s="22" t="s">
        <v>51</v>
      </c>
      <c r="S433" s="25">
        <v>1.32</v>
      </c>
      <c r="T433" s="22" t="s">
        <v>51</v>
      </c>
      <c r="U433" s="25">
        <v>50.5</v>
      </c>
      <c r="V433" s="25">
        <v>14.3</v>
      </c>
      <c r="W433" s="77">
        <v>26.6</v>
      </c>
      <c r="X433" s="77">
        <v>8.6</v>
      </c>
      <c r="Y433" s="78">
        <f t="shared" ref="Y433:Y464" si="430">(AK433/AM433)*100</f>
        <v>0.2697621189</v>
      </c>
      <c r="Z433" s="22" t="s">
        <v>51</v>
      </c>
      <c r="AA433" s="22" t="s">
        <v>51</v>
      </c>
      <c r="AB433" s="22" t="s">
        <v>51</v>
      </c>
      <c r="AC433" s="32">
        <f t="shared" ref="AC433:AC451" si="431">((U433*0.24182)+(V433*0.283)+(X433*0.80262))*(10000/22.4)</f>
        <v>10339.88482</v>
      </c>
      <c r="AD433" s="22" t="s">
        <v>51</v>
      </c>
      <c r="AK433" s="33">
        <f t="shared" ref="AK433:AK464" si="432">0.79*((P433*(((G433/12)+(H433/4))-((I433/16)/2)))/0.21)+(J433/14)/2</f>
        <v>0.0223442288</v>
      </c>
      <c r="AL433" s="33">
        <f t="shared" ref="AL433:AL464" si="433">(100*G433)/(12*(V433+W433+X433))</f>
        <v>8.260593679</v>
      </c>
      <c r="AM433" s="33">
        <f t="shared" ref="AM433:AM464" si="434">AL433+AK433</f>
        <v>8.282937908</v>
      </c>
      <c r="AO433" s="34">
        <f t="shared" ref="AO433:AO464" si="435">((AL433*(U433/100))/AM433)*100</f>
        <v>50.36377013</v>
      </c>
      <c r="AP433" s="34">
        <f t="shared" ref="AP433:AP464" si="436">((AL433*(V433/100))/AM433)*100</f>
        <v>14.26142402</v>
      </c>
      <c r="AQ433" s="34">
        <f t="shared" ref="AQ433:AQ464" si="437">((AL433*(W433/100))/AM433)*100</f>
        <v>26.52824328</v>
      </c>
      <c r="AR433" s="34">
        <f t="shared" ref="AR433:AR464" si="438">((AL433*(X433/100))/AM433)*100</f>
        <v>8.576800458</v>
      </c>
      <c r="AS433" s="34">
        <f t="shared" ref="AS433:AS464" si="439">Y433</f>
        <v>0.2697621189</v>
      </c>
      <c r="AT433" s="35">
        <f t="shared" si="15"/>
        <v>100</v>
      </c>
      <c r="AV433" s="32">
        <f t="shared" ref="AV433:AV451" si="440">((AO433*0.24182)+(AP433*0.283)+(AR433*0.80262))*(10000/22.4)</f>
        <v>10311.99173</v>
      </c>
    </row>
    <row r="434" ht="14.25" customHeight="1">
      <c r="B434" s="73"/>
      <c r="C434" s="22" t="s">
        <v>46</v>
      </c>
      <c r="D434" s="74"/>
      <c r="E434" s="22" t="s">
        <v>75</v>
      </c>
      <c r="F434" s="75"/>
      <c r="G434" s="27">
        <f t="shared" si="425"/>
        <v>49.06792646</v>
      </c>
      <c r="H434" s="27">
        <f t="shared" si="426"/>
        <v>3.792134831</v>
      </c>
      <c r="I434" s="27">
        <f t="shared" si="427"/>
        <v>46.42492339</v>
      </c>
      <c r="J434" s="27">
        <f t="shared" si="428"/>
        <v>0.6256384065</v>
      </c>
      <c r="K434" s="27">
        <f t="shared" si="429"/>
        <v>0.08937691522</v>
      </c>
      <c r="L434" s="22">
        <v>14.99</v>
      </c>
      <c r="M434" s="22">
        <v>55.54</v>
      </c>
      <c r="N434" s="22">
        <v>9.95</v>
      </c>
      <c r="O434" s="40">
        <v>19.52</v>
      </c>
      <c r="P434" s="76">
        <v>0.0</v>
      </c>
      <c r="Q434" s="22">
        <v>730.0</v>
      </c>
      <c r="R434" s="22" t="s">
        <v>51</v>
      </c>
      <c r="S434" s="25">
        <v>1.32</v>
      </c>
      <c r="T434" s="22" t="s">
        <v>51</v>
      </c>
      <c r="U434" s="25">
        <v>52.2</v>
      </c>
      <c r="V434" s="25">
        <v>16.4</v>
      </c>
      <c r="W434" s="77">
        <v>23.5</v>
      </c>
      <c r="X434" s="77">
        <v>7.9</v>
      </c>
      <c r="Y434" s="78">
        <f t="shared" si="430"/>
        <v>0.2605216974</v>
      </c>
      <c r="Z434" s="22" t="s">
        <v>51</v>
      </c>
      <c r="AA434" s="22" t="s">
        <v>51</v>
      </c>
      <c r="AB434" s="22" t="s">
        <v>51</v>
      </c>
      <c r="AC434" s="32">
        <f t="shared" si="431"/>
        <v>10537.90268</v>
      </c>
      <c r="AD434" s="22" t="s">
        <v>51</v>
      </c>
      <c r="AK434" s="33">
        <f t="shared" si="432"/>
        <v>0.0223442288</v>
      </c>
      <c r="AL434" s="33">
        <f t="shared" si="433"/>
        <v>8.554380484</v>
      </c>
      <c r="AM434" s="33">
        <f t="shared" si="434"/>
        <v>8.576724713</v>
      </c>
      <c r="AO434" s="34">
        <f t="shared" si="435"/>
        <v>52.06400767</v>
      </c>
      <c r="AP434" s="34">
        <f t="shared" si="436"/>
        <v>16.35727444</v>
      </c>
      <c r="AQ434" s="34">
        <f t="shared" si="437"/>
        <v>23.4387774</v>
      </c>
      <c r="AR434" s="34">
        <f t="shared" si="438"/>
        <v>7.879418786</v>
      </c>
      <c r="AS434" s="34">
        <f t="shared" si="439"/>
        <v>0.2605216974</v>
      </c>
      <c r="AT434" s="35">
        <f t="shared" si="15"/>
        <v>100</v>
      </c>
      <c r="AV434" s="32">
        <f t="shared" si="440"/>
        <v>10510.44916</v>
      </c>
    </row>
    <row r="435" ht="14.25" customHeight="1">
      <c r="B435" s="73"/>
      <c r="C435" s="22" t="s">
        <v>46</v>
      </c>
      <c r="D435" s="74"/>
      <c r="E435" s="22" t="s">
        <v>75</v>
      </c>
      <c r="F435" s="75"/>
      <c r="G435" s="27">
        <f t="shared" si="425"/>
        <v>49.06792646</v>
      </c>
      <c r="H435" s="27">
        <f t="shared" si="426"/>
        <v>3.792134831</v>
      </c>
      <c r="I435" s="27">
        <f t="shared" si="427"/>
        <v>46.42492339</v>
      </c>
      <c r="J435" s="27">
        <f t="shared" si="428"/>
        <v>0.6256384065</v>
      </c>
      <c r="K435" s="27">
        <f t="shared" si="429"/>
        <v>0.08937691522</v>
      </c>
      <c r="L435" s="22">
        <v>14.99</v>
      </c>
      <c r="M435" s="22">
        <v>55.54</v>
      </c>
      <c r="N435" s="22">
        <v>9.95</v>
      </c>
      <c r="O435" s="40">
        <v>19.52</v>
      </c>
      <c r="P435" s="76">
        <v>0.0</v>
      </c>
      <c r="Q435" s="22">
        <v>750.0</v>
      </c>
      <c r="R435" s="22" t="s">
        <v>51</v>
      </c>
      <c r="S435" s="25">
        <v>1.0</v>
      </c>
      <c r="T435" s="22" t="s">
        <v>51</v>
      </c>
      <c r="U435" s="25">
        <v>49.5</v>
      </c>
      <c r="V435" s="25">
        <v>23.7</v>
      </c>
      <c r="W435" s="77">
        <v>21.2</v>
      </c>
      <c r="X435" s="77">
        <v>5.6</v>
      </c>
      <c r="Y435" s="78">
        <f t="shared" si="430"/>
        <v>0.2751968611</v>
      </c>
      <c r="Z435" s="22" t="s">
        <v>51</v>
      </c>
      <c r="AA435" s="22" t="s">
        <v>51</v>
      </c>
      <c r="AB435" s="22" t="s">
        <v>51</v>
      </c>
      <c r="AC435" s="32">
        <f t="shared" si="431"/>
        <v>10344.58125</v>
      </c>
      <c r="AD435" s="22" t="s">
        <v>51</v>
      </c>
      <c r="AK435" s="33">
        <f t="shared" si="432"/>
        <v>0.0223442288</v>
      </c>
      <c r="AL435" s="33">
        <f t="shared" si="433"/>
        <v>8.097017567</v>
      </c>
      <c r="AM435" s="33">
        <f t="shared" si="434"/>
        <v>8.119361796</v>
      </c>
      <c r="AO435" s="34">
        <f t="shared" si="435"/>
        <v>49.36377755</v>
      </c>
      <c r="AP435" s="34">
        <f t="shared" si="436"/>
        <v>23.63477834</v>
      </c>
      <c r="AQ435" s="34">
        <f t="shared" si="437"/>
        <v>21.14165827</v>
      </c>
      <c r="AR435" s="34">
        <f t="shared" si="438"/>
        <v>5.584588976</v>
      </c>
      <c r="AS435" s="34">
        <f t="shared" si="439"/>
        <v>0.2751968611</v>
      </c>
      <c r="AT435" s="35">
        <f t="shared" si="15"/>
        <v>100</v>
      </c>
      <c r="AV435" s="32">
        <f t="shared" si="440"/>
        <v>10316.11329</v>
      </c>
    </row>
    <row r="436" ht="14.25" customHeight="1">
      <c r="B436" s="73"/>
      <c r="C436" s="22" t="s">
        <v>46</v>
      </c>
      <c r="D436" s="74"/>
      <c r="E436" s="22" t="s">
        <v>75</v>
      </c>
      <c r="F436" s="75"/>
      <c r="G436" s="27">
        <f t="shared" si="425"/>
        <v>49.06792646</v>
      </c>
      <c r="H436" s="27">
        <f t="shared" si="426"/>
        <v>3.792134831</v>
      </c>
      <c r="I436" s="27">
        <f t="shared" si="427"/>
        <v>46.42492339</v>
      </c>
      <c r="J436" s="27">
        <f t="shared" si="428"/>
        <v>0.6256384065</v>
      </c>
      <c r="K436" s="27">
        <f t="shared" si="429"/>
        <v>0.08937691522</v>
      </c>
      <c r="L436" s="22">
        <v>14.99</v>
      </c>
      <c r="M436" s="22">
        <v>55.54</v>
      </c>
      <c r="N436" s="22">
        <v>9.95</v>
      </c>
      <c r="O436" s="40">
        <v>19.52</v>
      </c>
      <c r="P436" s="76">
        <v>0.0</v>
      </c>
      <c r="Q436" s="22">
        <v>750.0</v>
      </c>
      <c r="R436" s="22" t="s">
        <v>51</v>
      </c>
      <c r="S436" s="25">
        <v>0.6</v>
      </c>
      <c r="T436" s="22" t="s">
        <v>51</v>
      </c>
      <c r="U436" s="25">
        <v>48.8</v>
      </c>
      <c r="V436" s="25">
        <v>27.5</v>
      </c>
      <c r="W436" s="77">
        <v>19.5</v>
      </c>
      <c r="X436" s="77">
        <v>4.2</v>
      </c>
      <c r="Y436" s="78">
        <f t="shared" si="430"/>
        <v>0.2790008283</v>
      </c>
      <c r="Z436" s="22" t="s">
        <v>51</v>
      </c>
      <c r="AA436" s="22" t="s">
        <v>51</v>
      </c>
      <c r="AB436" s="22" t="s">
        <v>51</v>
      </c>
      <c r="AC436" s="32">
        <f t="shared" si="431"/>
        <v>10247.46429</v>
      </c>
      <c r="AD436" s="22" t="s">
        <v>51</v>
      </c>
      <c r="AK436" s="33">
        <f t="shared" si="432"/>
        <v>0.0223442288</v>
      </c>
      <c r="AL436" s="33">
        <f t="shared" si="433"/>
        <v>7.986316155</v>
      </c>
      <c r="AM436" s="33">
        <f t="shared" si="434"/>
        <v>8.008660384</v>
      </c>
      <c r="AO436" s="34">
        <f t="shared" si="435"/>
        <v>48.6638476</v>
      </c>
      <c r="AP436" s="34">
        <f t="shared" si="436"/>
        <v>27.42327477</v>
      </c>
      <c r="AQ436" s="34">
        <f t="shared" si="437"/>
        <v>19.44559484</v>
      </c>
      <c r="AR436" s="34">
        <f t="shared" si="438"/>
        <v>4.188281965</v>
      </c>
      <c r="AS436" s="34">
        <f t="shared" si="439"/>
        <v>0.2790008283</v>
      </c>
      <c r="AT436" s="35">
        <f t="shared" si="15"/>
        <v>100</v>
      </c>
      <c r="AV436" s="32">
        <f t="shared" si="440"/>
        <v>10218.87378</v>
      </c>
    </row>
    <row r="437" ht="14.25" customHeight="1">
      <c r="B437" s="73"/>
      <c r="C437" s="22" t="s">
        <v>46</v>
      </c>
      <c r="D437" s="74"/>
      <c r="E437" s="22" t="s">
        <v>75</v>
      </c>
      <c r="F437" s="75"/>
      <c r="G437" s="27">
        <f t="shared" si="425"/>
        <v>49.06792646</v>
      </c>
      <c r="H437" s="27">
        <f t="shared" si="426"/>
        <v>3.792134831</v>
      </c>
      <c r="I437" s="27">
        <f t="shared" si="427"/>
        <v>46.42492339</v>
      </c>
      <c r="J437" s="27">
        <f t="shared" si="428"/>
        <v>0.6256384065</v>
      </c>
      <c r="K437" s="27">
        <f t="shared" si="429"/>
        <v>0.08937691522</v>
      </c>
      <c r="L437" s="22">
        <v>14.99</v>
      </c>
      <c r="M437" s="22">
        <v>55.54</v>
      </c>
      <c r="N437" s="22">
        <v>9.95</v>
      </c>
      <c r="O437" s="40">
        <v>19.52</v>
      </c>
      <c r="P437" s="76">
        <v>0.0</v>
      </c>
      <c r="Q437" s="22">
        <v>750.0</v>
      </c>
      <c r="R437" s="22" t="s">
        <v>51</v>
      </c>
      <c r="S437" s="25">
        <v>1.32</v>
      </c>
      <c r="T437" s="22" t="s">
        <v>51</v>
      </c>
      <c r="U437" s="25">
        <v>52.3</v>
      </c>
      <c r="V437" s="25">
        <v>17.75</v>
      </c>
      <c r="W437" s="77">
        <v>22.25</v>
      </c>
      <c r="X437" s="77">
        <v>7.4</v>
      </c>
      <c r="Y437" s="78">
        <f t="shared" si="430"/>
        <v>0.2583472318</v>
      </c>
      <c r="Z437" s="22" t="s">
        <v>51</v>
      </c>
      <c r="AA437" s="22" t="s">
        <v>51</v>
      </c>
      <c r="AB437" s="22" t="s">
        <v>51</v>
      </c>
      <c r="AC437" s="32">
        <f t="shared" si="431"/>
        <v>10540.1</v>
      </c>
      <c r="AD437" s="22" t="s">
        <v>51</v>
      </c>
      <c r="AK437" s="33">
        <f t="shared" si="432"/>
        <v>0.0223442288</v>
      </c>
      <c r="AL437" s="33">
        <f t="shared" si="433"/>
        <v>8.626569349</v>
      </c>
      <c r="AM437" s="33">
        <f t="shared" si="434"/>
        <v>8.648913578</v>
      </c>
      <c r="AO437" s="34">
        <f t="shared" si="435"/>
        <v>52.1648844</v>
      </c>
      <c r="AP437" s="34">
        <f t="shared" si="436"/>
        <v>17.70414337</v>
      </c>
      <c r="AQ437" s="34">
        <f t="shared" si="437"/>
        <v>22.19251774</v>
      </c>
      <c r="AR437" s="34">
        <f t="shared" si="438"/>
        <v>7.380882305</v>
      </c>
      <c r="AS437" s="34">
        <f t="shared" si="439"/>
        <v>0.2583472318</v>
      </c>
      <c r="AT437" s="35">
        <f t="shared" si="15"/>
        <v>99.70077504</v>
      </c>
      <c r="AV437" s="32">
        <f t="shared" si="440"/>
        <v>10512.86994</v>
      </c>
    </row>
    <row r="438" ht="14.25" customHeight="1">
      <c r="A438" s="18"/>
      <c r="B438" s="73" t="s">
        <v>76</v>
      </c>
      <c r="C438" s="60" t="s">
        <v>46</v>
      </c>
      <c r="D438" s="74" t="s">
        <v>77</v>
      </c>
      <c r="E438" s="22" t="s">
        <v>75</v>
      </c>
      <c r="F438" s="74" t="s">
        <v>78</v>
      </c>
      <c r="G438" s="22">
        <v>49.4</v>
      </c>
      <c r="H438" s="22">
        <v>5.8</v>
      </c>
      <c r="I438" s="22">
        <v>42.3</v>
      </c>
      <c r="J438" s="22">
        <v>1.2</v>
      </c>
      <c r="K438" s="22">
        <v>1.3</v>
      </c>
      <c r="L438" s="22">
        <v>5.2</v>
      </c>
      <c r="M438" s="22">
        <v>78.1</v>
      </c>
      <c r="N438" s="22">
        <v>5.0</v>
      </c>
      <c r="O438" s="22">
        <v>11.7</v>
      </c>
      <c r="P438" s="76">
        <v>0.0</v>
      </c>
      <c r="Q438" s="45">
        <v>650.0</v>
      </c>
      <c r="R438" s="22" t="s">
        <v>51</v>
      </c>
      <c r="S438" s="25">
        <v>1.5</v>
      </c>
      <c r="T438" s="22" t="s">
        <v>51</v>
      </c>
      <c r="U438" s="25">
        <v>50.7637474541751</v>
      </c>
      <c r="V438" s="25">
        <v>14.3021526440506</v>
      </c>
      <c r="W438" s="25">
        <v>28.2023563100384</v>
      </c>
      <c r="X438" s="25">
        <v>12.9121322774519</v>
      </c>
      <c r="Y438" s="78">
        <f t="shared" si="430"/>
        <v>0.573613505</v>
      </c>
      <c r="Z438" s="22" t="s">
        <v>51</v>
      </c>
      <c r="AA438" s="22" t="s">
        <v>51</v>
      </c>
      <c r="AB438" s="22" t="s">
        <v>51</v>
      </c>
      <c r="AC438" s="32">
        <f t="shared" si="431"/>
        <v>11913.72063</v>
      </c>
      <c r="AD438" s="22" t="s">
        <v>51</v>
      </c>
      <c r="AK438" s="33">
        <f t="shared" si="432"/>
        <v>0.04285714286</v>
      </c>
      <c r="AL438" s="33">
        <f t="shared" si="433"/>
        <v>7.428574838</v>
      </c>
      <c r="AM438" s="33">
        <f t="shared" si="434"/>
        <v>7.471431981</v>
      </c>
      <c r="AO438" s="34">
        <f t="shared" si="435"/>
        <v>50.47255974</v>
      </c>
      <c r="AP438" s="34">
        <f t="shared" si="436"/>
        <v>14.22011356</v>
      </c>
      <c r="AQ438" s="34">
        <f t="shared" si="437"/>
        <v>28.04058379</v>
      </c>
      <c r="AR438" s="34">
        <f t="shared" si="438"/>
        <v>12.83806654</v>
      </c>
      <c r="AS438" s="34">
        <f t="shared" si="439"/>
        <v>0.573613505</v>
      </c>
      <c r="AT438" s="35">
        <f t="shared" si="15"/>
        <v>106.1449371</v>
      </c>
      <c r="AV438" s="32">
        <f t="shared" si="440"/>
        <v>11845.38192</v>
      </c>
    </row>
    <row r="439" ht="14.25" customHeight="1">
      <c r="B439" s="73"/>
      <c r="C439" s="60" t="s">
        <v>46</v>
      </c>
      <c r="D439" s="74"/>
      <c r="E439" s="22" t="s">
        <v>75</v>
      </c>
      <c r="F439" s="74"/>
      <c r="G439" s="22">
        <v>49.4</v>
      </c>
      <c r="H439" s="22">
        <v>5.8</v>
      </c>
      <c r="I439" s="22">
        <v>42.3</v>
      </c>
      <c r="J439" s="22">
        <v>1.2</v>
      </c>
      <c r="K439" s="22">
        <v>1.3</v>
      </c>
      <c r="L439" s="22">
        <v>5.2</v>
      </c>
      <c r="M439" s="22">
        <v>78.1</v>
      </c>
      <c r="N439" s="22">
        <v>5.0</v>
      </c>
      <c r="O439" s="22">
        <v>11.7</v>
      </c>
      <c r="P439" s="76">
        <v>0.0</v>
      </c>
      <c r="Q439" s="45">
        <v>675.0</v>
      </c>
      <c r="R439" s="22" t="s">
        <v>51</v>
      </c>
      <c r="S439" s="25">
        <v>1.5</v>
      </c>
      <c r="T439" s="22" t="s">
        <v>51</v>
      </c>
      <c r="U439" s="25">
        <v>52.278464680322</v>
      </c>
      <c r="V439" s="25">
        <v>16.1380808226552</v>
      </c>
      <c r="W439" s="25">
        <v>26.4027009328679</v>
      </c>
      <c r="X439" s="25">
        <v>11.2189645221618</v>
      </c>
      <c r="Y439" s="78">
        <f t="shared" si="430"/>
        <v>0.5565585613</v>
      </c>
      <c r="Z439" s="22" t="s">
        <v>51</v>
      </c>
      <c r="AA439" s="22" t="s">
        <v>51</v>
      </c>
      <c r="AB439" s="22" t="s">
        <v>51</v>
      </c>
      <c r="AC439" s="32">
        <f t="shared" si="431"/>
        <v>11702.50915</v>
      </c>
      <c r="AD439" s="22" t="s">
        <v>51</v>
      </c>
      <c r="AK439" s="33">
        <f t="shared" si="432"/>
        <v>0.04285714286</v>
      </c>
      <c r="AL439" s="33">
        <f t="shared" si="433"/>
        <v>7.657526219</v>
      </c>
      <c r="AM439" s="33">
        <f t="shared" si="434"/>
        <v>7.700383362</v>
      </c>
      <c r="AO439" s="34">
        <f t="shared" si="435"/>
        <v>51.98750441</v>
      </c>
      <c r="AP439" s="34">
        <f t="shared" si="436"/>
        <v>16.04826295</v>
      </c>
      <c r="AQ439" s="34">
        <f t="shared" si="437"/>
        <v>26.25575444</v>
      </c>
      <c r="AR439" s="34">
        <f t="shared" si="438"/>
        <v>11.15652441</v>
      </c>
      <c r="AS439" s="34">
        <f t="shared" si="439"/>
        <v>0.5565585613</v>
      </c>
      <c r="AT439" s="35">
        <f t="shared" si="15"/>
        <v>106.0046048</v>
      </c>
      <c r="AV439" s="32">
        <f t="shared" si="440"/>
        <v>11637.37784</v>
      </c>
    </row>
    <row r="440" ht="14.25" customHeight="1">
      <c r="B440" s="73"/>
      <c r="C440" s="60" t="s">
        <v>46</v>
      </c>
      <c r="D440" s="74"/>
      <c r="E440" s="22" t="s">
        <v>75</v>
      </c>
      <c r="F440" s="74"/>
      <c r="G440" s="22">
        <v>49.4</v>
      </c>
      <c r="H440" s="22">
        <v>5.8</v>
      </c>
      <c r="I440" s="22">
        <v>42.3</v>
      </c>
      <c r="J440" s="22">
        <v>1.2</v>
      </c>
      <c r="K440" s="22">
        <v>1.3</v>
      </c>
      <c r="L440" s="22">
        <v>5.2</v>
      </c>
      <c r="M440" s="22">
        <v>78.1</v>
      </c>
      <c r="N440" s="22">
        <v>5.0</v>
      </c>
      <c r="O440" s="22">
        <v>11.7</v>
      </c>
      <c r="P440" s="76">
        <v>0.0</v>
      </c>
      <c r="Q440" s="45">
        <v>700.0</v>
      </c>
      <c r="R440" s="22" t="s">
        <v>51</v>
      </c>
      <c r="S440" s="25">
        <v>1.5</v>
      </c>
      <c r="T440" s="22" t="s">
        <v>51</v>
      </c>
      <c r="U440" s="25">
        <v>53.4726993235181</v>
      </c>
      <c r="V440" s="25">
        <v>17.8667930098725</v>
      </c>
      <c r="W440" s="25">
        <v>24.7099701992818</v>
      </c>
      <c r="X440" s="25">
        <v>9.84744474103342</v>
      </c>
      <c r="Y440" s="78">
        <f t="shared" si="430"/>
        <v>0.5428071836</v>
      </c>
      <c r="Z440" s="22" t="s">
        <v>51</v>
      </c>
      <c r="AA440" s="22" t="s">
        <v>51</v>
      </c>
      <c r="AB440" s="22" t="s">
        <v>51</v>
      </c>
      <c r="AC440" s="32">
        <f t="shared" si="431"/>
        <v>11558.40476</v>
      </c>
      <c r="AD440" s="22" t="s">
        <v>51</v>
      </c>
      <c r="AK440" s="33">
        <f t="shared" si="432"/>
        <v>0.04285714286</v>
      </c>
      <c r="AL440" s="33">
        <f t="shared" si="433"/>
        <v>7.85260632</v>
      </c>
      <c r="AM440" s="33">
        <f t="shared" si="434"/>
        <v>7.895463463</v>
      </c>
      <c r="AO440" s="34">
        <f t="shared" si="435"/>
        <v>53.18244567</v>
      </c>
      <c r="AP440" s="34">
        <f t="shared" si="436"/>
        <v>17.76981077</v>
      </c>
      <c r="AQ440" s="34">
        <f t="shared" si="437"/>
        <v>24.57584271</v>
      </c>
      <c r="AR440" s="34">
        <f t="shared" si="438"/>
        <v>9.793992104</v>
      </c>
      <c r="AS440" s="34">
        <f t="shared" si="439"/>
        <v>0.5428071836</v>
      </c>
      <c r="AT440" s="35">
        <f t="shared" si="15"/>
        <v>105.8648984</v>
      </c>
      <c r="AV440" s="32">
        <f t="shared" si="440"/>
        <v>11495.66491</v>
      </c>
    </row>
    <row r="441" ht="14.25" customHeight="1">
      <c r="B441" s="73"/>
      <c r="C441" s="60" t="s">
        <v>46</v>
      </c>
      <c r="D441" s="74"/>
      <c r="E441" s="22" t="s">
        <v>75</v>
      </c>
      <c r="F441" s="74"/>
      <c r="G441" s="22">
        <v>49.4</v>
      </c>
      <c r="H441" s="22">
        <v>5.8</v>
      </c>
      <c r="I441" s="22">
        <v>42.3</v>
      </c>
      <c r="J441" s="22">
        <v>1.2</v>
      </c>
      <c r="K441" s="22">
        <v>1.3</v>
      </c>
      <c r="L441" s="22">
        <v>5.2</v>
      </c>
      <c r="M441" s="22">
        <v>78.1</v>
      </c>
      <c r="N441" s="22">
        <v>5.0</v>
      </c>
      <c r="O441" s="22">
        <v>11.7</v>
      </c>
      <c r="P441" s="76">
        <v>0.0</v>
      </c>
      <c r="Q441" s="45">
        <v>725.0</v>
      </c>
      <c r="R441" s="22" t="s">
        <v>51</v>
      </c>
      <c r="S441" s="25">
        <v>1.5</v>
      </c>
      <c r="T441" s="22" t="s">
        <v>51</v>
      </c>
      <c r="U441" s="25">
        <v>54.8807832538832</v>
      </c>
      <c r="V441" s="25">
        <v>19.4882892057026</v>
      </c>
      <c r="W441" s="25">
        <v>23.337430700844</v>
      </c>
      <c r="X441" s="25">
        <v>8.90289516473637</v>
      </c>
      <c r="Y441" s="78">
        <f t="shared" si="430"/>
        <v>0.5356435014</v>
      </c>
      <c r="Z441" s="22" t="s">
        <v>51</v>
      </c>
      <c r="AA441" s="22" t="s">
        <v>51</v>
      </c>
      <c r="AB441" s="22" t="s">
        <v>51</v>
      </c>
      <c r="AC441" s="32">
        <f t="shared" si="431"/>
        <v>11576.82972</v>
      </c>
      <c r="AD441" s="22" t="s">
        <v>51</v>
      </c>
      <c r="AK441" s="33">
        <f t="shared" si="432"/>
        <v>0.04285714286</v>
      </c>
      <c r="AL441" s="33">
        <f t="shared" si="433"/>
        <v>7.958200043</v>
      </c>
      <c r="AM441" s="33">
        <f t="shared" si="434"/>
        <v>8.001057186</v>
      </c>
      <c r="AO441" s="34">
        <f t="shared" si="435"/>
        <v>54.5868179</v>
      </c>
      <c r="AP441" s="34">
        <f t="shared" si="436"/>
        <v>19.38390145</v>
      </c>
      <c r="AQ441" s="34">
        <f t="shared" si="437"/>
        <v>23.21242527</v>
      </c>
      <c r="AR441" s="34">
        <f t="shared" si="438"/>
        <v>8.855207385</v>
      </c>
      <c r="AS441" s="34">
        <f t="shared" si="439"/>
        <v>0.5356435014</v>
      </c>
      <c r="AT441" s="35">
        <f t="shared" si="15"/>
        <v>106.5739955</v>
      </c>
      <c r="AV441" s="32">
        <f t="shared" si="440"/>
        <v>11514.81918</v>
      </c>
    </row>
    <row r="442" ht="14.25" customHeight="1">
      <c r="B442" s="73"/>
      <c r="C442" s="60" t="s">
        <v>46</v>
      </c>
      <c r="D442" s="74"/>
      <c r="E442" s="22" t="s">
        <v>75</v>
      </c>
      <c r="F442" s="74"/>
      <c r="G442" s="22">
        <v>49.4</v>
      </c>
      <c r="H442" s="22">
        <v>5.8</v>
      </c>
      <c r="I442" s="22">
        <v>42.3</v>
      </c>
      <c r="J442" s="22">
        <v>1.2</v>
      </c>
      <c r="K442" s="22">
        <v>1.3</v>
      </c>
      <c r="L442" s="22">
        <v>5.2</v>
      </c>
      <c r="M442" s="22">
        <v>78.1</v>
      </c>
      <c r="N442" s="22">
        <v>5.0</v>
      </c>
      <c r="O442" s="22">
        <v>11.7</v>
      </c>
      <c r="P442" s="76">
        <v>0.0</v>
      </c>
      <c r="Q442" s="45">
        <v>750.0</v>
      </c>
      <c r="R442" s="22" t="s">
        <v>51</v>
      </c>
      <c r="S442" s="25">
        <v>1.5</v>
      </c>
      <c r="T442" s="22" t="s">
        <v>51</v>
      </c>
      <c r="U442" s="25">
        <v>55.5399576574526</v>
      </c>
      <c r="V442" s="25">
        <v>20.5755992053141</v>
      </c>
      <c r="W442" s="25">
        <v>21.7516246108425</v>
      </c>
      <c r="X442" s="25">
        <v>8.17219487560836</v>
      </c>
      <c r="Y442" s="78">
        <f t="shared" si="430"/>
        <v>0.5229818888</v>
      </c>
      <c r="Z442" s="22" t="s">
        <v>51</v>
      </c>
      <c r="AA442" s="22" t="s">
        <v>51</v>
      </c>
      <c r="AB442" s="22" t="s">
        <v>51</v>
      </c>
      <c r="AC442" s="32">
        <f t="shared" si="431"/>
        <v>11523.54205</v>
      </c>
      <c r="AD442" s="22" t="s">
        <v>51</v>
      </c>
      <c r="AK442" s="33">
        <f t="shared" si="432"/>
        <v>0.04285714286</v>
      </c>
      <c r="AL442" s="33">
        <f t="shared" si="433"/>
        <v>8.151909019</v>
      </c>
      <c r="AM442" s="33">
        <f t="shared" si="434"/>
        <v>8.194766161</v>
      </c>
      <c r="AO442" s="34">
        <f t="shared" si="435"/>
        <v>55.24949374</v>
      </c>
      <c r="AP442" s="34">
        <f t="shared" si="436"/>
        <v>20.46799255</v>
      </c>
      <c r="AQ442" s="34">
        <f t="shared" si="437"/>
        <v>21.63786755</v>
      </c>
      <c r="AR442" s="34">
        <f t="shared" si="438"/>
        <v>8.129455776</v>
      </c>
      <c r="AS442" s="34">
        <f t="shared" si="439"/>
        <v>0.5229818888</v>
      </c>
      <c r="AT442" s="35">
        <f t="shared" si="15"/>
        <v>106.0077915</v>
      </c>
      <c r="AV442" s="32">
        <f t="shared" si="440"/>
        <v>11463.27601</v>
      </c>
    </row>
    <row r="443" ht="14.25" customHeight="1">
      <c r="B443" s="73"/>
      <c r="C443" s="60" t="s">
        <v>46</v>
      </c>
      <c r="D443" s="74"/>
      <c r="E443" s="22" t="s">
        <v>75</v>
      </c>
      <c r="F443" s="74"/>
      <c r="G443" s="22">
        <v>49.4</v>
      </c>
      <c r="H443" s="22">
        <v>5.8</v>
      </c>
      <c r="I443" s="22">
        <v>42.3</v>
      </c>
      <c r="J443" s="22">
        <v>1.2</v>
      </c>
      <c r="K443" s="22">
        <v>1.3</v>
      </c>
      <c r="L443" s="22">
        <v>5.2</v>
      </c>
      <c r="M443" s="22">
        <v>78.1</v>
      </c>
      <c r="N443" s="22">
        <v>5.0</v>
      </c>
      <c r="O443" s="22">
        <v>11.7</v>
      </c>
      <c r="P443" s="76">
        <v>0.0</v>
      </c>
      <c r="Q443" s="45">
        <v>775.0</v>
      </c>
      <c r="R443" s="22" t="s">
        <v>51</v>
      </c>
      <c r="S443" s="25">
        <v>1.5</v>
      </c>
      <c r="T443" s="22" t="s">
        <v>51</v>
      </c>
      <c r="U443" s="25">
        <v>56.4134183698951</v>
      </c>
      <c r="V443" s="25">
        <v>21.9833917878766</v>
      </c>
      <c r="W443" s="25">
        <v>21.0212156695172</v>
      </c>
      <c r="X443" s="25">
        <v>7.01394168604361</v>
      </c>
      <c r="Y443" s="78">
        <f t="shared" si="430"/>
        <v>0.5180277071</v>
      </c>
      <c r="Z443" s="22" t="s">
        <v>51</v>
      </c>
      <c r="AA443" s="22" t="s">
        <v>51</v>
      </c>
      <c r="AB443" s="22" t="s">
        <v>51</v>
      </c>
      <c r="AC443" s="32">
        <f t="shared" si="431"/>
        <v>11380.67972</v>
      </c>
      <c r="AD443" s="22" t="s">
        <v>51</v>
      </c>
      <c r="AK443" s="33">
        <f t="shared" si="432"/>
        <v>0.04285714286</v>
      </c>
      <c r="AL443" s="33">
        <f t="shared" si="433"/>
        <v>8.23028004</v>
      </c>
      <c r="AM443" s="33">
        <f t="shared" si="434"/>
        <v>8.273137183</v>
      </c>
      <c r="AO443" s="34">
        <f t="shared" si="435"/>
        <v>56.12118123</v>
      </c>
      <c r="AP443" s="34">
        <f t="shared" si="436"/>
        <v>21.86951173</v>
      </c>
      <c r="AQ443" s="34">
        <f t="shared" si="437"/>
        <v>20.91231995</v>
      </c>
      <c r="AR443" s="34">
        <f t="shared" si="438"/>
        <v>6.977607525</v>
      </c>
      <c r="AS443" s="34">
        <f t="shared" si="439"/>
        <v>0.5180277071</v>
      </c>
      <c r="AT443" s="35">
        <f t="shared" si="15"/>
        <v>106.3986481</v>
      </c>
      <c r="AV443" s="32">
        <f t="shared" si="440"/>
        <v>11321.72465</v>
      </c>
    </row>
    <row r="444" ht="14.25" customHeight="1">
      <c r="B444" s="73"/>
      <c r="C444" s="60" t="s">
        <v>46</v>
      </c>
      <c r="D444" s="74"/>
      <c r="E444" s="22" t="s">
        <v>75</v>
      </c>
      <c r="F444" s="74"/>
      <c r="G444" s="22">
        <v>49.4</v>
      </c>
      <c r="H444" s="22">
        <v>5.8</v>
      </c>
      <c r="I444" s="22">
        <v>42.3</v>
      </c>
      <c r="J444" s="22">
        <v>1.2</v>
      </c>
      <c r="K444" s="22">
        <v>1.3</v>
      </c>
      <c r="L444" s="22">
        <v>5.2</v>
      </c>
      <c r="M444" s="22">
        <v>78.1</v>
      </c>
      <c r="N444" s="22">
        <v>5.0</v>
      </c>
      <c r="O444" s="22">
        <v>11.7</v>
      </c>
      <c r="P444" s="76">
        <v>0.0</v>
      </c>
      <c r="Q444" s="45">
        <v>800.0</v>
      </c>
      <c r="R444" s="22" t="s">
        <v>51</v>
      </c>
      <c r="S444" s="25">
        <v>1.5</v>
      </c>
      <c r="T444" s="22" t="s">
        <v>51</v>
      </c>
      <c r="U444" s="25">
        <v>57.0723014256619</v>
      </c>
      <c r="V444" s="25">
        <v>23.4982546879248</v>
      </c>
      <c r="W444" s="25">
        <v>19.9694501018329</v>
      </c>
      <c r="X444" s="25">
        <v>6.17631675333107</v>
      </c>
      <c r="Y444" s="78">
        <f t="shared" si="430"/>
        <v>0.5141687766</v>
      </c>
      <c r="Z444" s="22" t="s">
        <v>51</v>
      </c>
      <c r="AA444" s="22" t="s">
        <v>51</v>
      </c>
      <c r="AB444" s="22" t="s">
        <v>51</v>
      </c>
      <c r="AC444" s="32">
        <f t="shared" si="431"/>
        <v>11343.06489</v>
      </c>
      <c r="AD444" s="22" t="s">
        <v>51</v>
      </c>
      <c r="AK444" s="33">
        <f t="shared" si="432"/>
        <v>0.04285714286</v>
      </c>
      <c r="AL444" s="33">
        <f t="shared" si="433"/>
        <v>8.292371445</v>
      </c>
      <c r="AM444" s="33">
        <f t="shared" si="434"/>
        <v>8.335228588</v>
      </c>
      <c r="AO444" s="34">
        <f t="shared" si="435"/>
        <v>56.77885347</v>
      </c>
      <c r="AP444" s="34">
        <f t="shared" si="436"/>
        <v>23.377434</v>
      </c>
      <c r="AQ444" s="34">
        <f t="shared" si="437"/>
        <v>19.86677342</v>
      </c>
      <c r="AR444" s="34">
        <f t="shared" si="438"/>
        <v>6.144560061</v>
      </c>
      <c r="AS444" s="34">
        <f t="shared" si="439"/>
        <v>0.5141687766</v>
      </c>
      <c r="AT444" s="35">
        <f t="shared" si="15"/>
        <v>106.6817897</v>
      </c>
      <c r="AV444" s="32">
        <f t="shared" si="440"/>
        <v>11284.74239</v>
      </c>
    </row>
    <row r="445" ht="14.25" customHeight="1">
      <c r="B445" s="73"/>
      <c r="C445" s="60" t="s">
        <v>46</v>
      </c>
      <c r="D445" s="74"/>
      <c r="E445" s="22" t="s">
        <v>75</v>
      </c>
      <c r="F445" s="74"/>
      <c r="G445" s="22">
        <v>49.4</v>
      </c>
      <c r="H445" s="22">
        <v>5.8</v>
      </c>
      <c r="I445" s="22">
        <v>42.3</v>
      </c>
      <c r="J445" s="22">
        <v>1.2</v>
      </c>
      <c r="K445" s="22">
        <v>1.3</v>
      </c>
      <c r="L445" s="22">
        <v>5.2</v>
      </c>
      <c r="M445" s="22">
        <v>78.1</v>
      </c>
      <c r="N445" s="22">
        <v>5.0</v>
      </c>
      <c r="O445" s="22">
        <v>11.7</v>
      </c>
      <c r="P445" s="76">
        <v>0.0</v>
      </c>
      <c r="Q445" s="22">
        <v>800.0</v>
      </c>
      <c r="R445" s="22" t="s">
        <v>51</v>
      </c>
      <c r="S445" s="25">
        <v>0.5</v>
      </c>
      <c r="T445" s="22" t="s">
        <v>51</v>
      </c>
      <c r="U445" s="25">
        <v>54.25</v>
      </c>
      <c r="V445" s="25">
        <v>27.7445571904165</v>
      </c>
      <c r="W445" s="25">
        <v>14.8941672634678</v>
      </c>
      <c r="X445" s="25">
        <v>3.15644871472595</v>
      </c>
      <c r="Y445" s="78">
        <f t="shared" si="430"/>
        <v>0.474494964</v>
      </c>
      <c r="Z445" s="22" t="s">
        <v>51</v>
      </c>
      <c r="AA445" s="22" t="s">
        <v>51</v>
      </c>
      <c r="AB445" s="22" t="s">
        <v>51</v>
      </c>
      <c r="AC445" s="32">
        <f t="shared" si="431"/>
        <v>10492.80069</v>
      </c>
      <c r="AD445" s="22" t="s">
        <v>51</v>
      </c>
      <c r="AK445" s="33">
        <f t="shared" si="432"/>
        <v>0.04285714286</v>
      </c>
      <c r="AL445" s="33">
        <f t="shared" si="433"/>
        <v>8.989302544</v>
      </c>
      <c r="AM445" s="33">
        <f t="shared" si="434"/>
        <v>9.032159687</v>
      </c>
      <c r="AO445" s="34">
        <f t="shared" si="435"/>
        <v>53.99258648</v>
      </c>
      <c r="AP445" s="34">
        <f t="shared" si="436"/>
        <v>27.61291066</v>
      </c>
      <c r="AQ445" s="34">
        <f t="shared" si="437"/>
        <v>14.82349519</v>
      </c>
      <c r="AR445" s="34">
        <f t="shared" si="438"/>
        <v>3.141471525</v>
      </c>
      <c r="AS445" s="34">
        <f t="shared" si="439"/>
        <v>0.474494964</v>
      </c>
      <c r="AT445" s="35">
        <f t="shared" si="15"/>
        <v>100.0449588</v>
      </c>
      <c r="AV445" s="32">
        <f t="shared" si="440"/>
        <v>10443.01288</v>
      </c>
    </row>
    <row r="446" ht="14.25" customHeight="1">
      <c r="B446" s="73"/>
      <c r="C446" s="60" t="s">
        <v>46</v>
      </c>
      <c r="D446" s="74"/>
      <c r="E446" s="22" t="s">
        <v>75</v>
      </c>
      <c r="F446" s="74"/>
      <c r="G446" s="22">
        <v>49.4</v>
      </c>
      <c r="H446" s="22">
        <v>5.8</v>
      </c>
      <c r="I446" s="22">
        <v>42.3</v>
      </c>
      <c r="J446" s="22">
        <v>1.2</v>
      </c>
      <c r="K446" s="22">
        <v>1.3</v>
      </c>
      <c r="L446" s="22">
        <v>5.2</v>
      </c>
      <c r="M446" s="22">
        <v>78.1</v>
      </c>
      <c r="N446" s="22">
        <v>5.0</v>
      </c>
      <c r="O446" s="22">
        <v>11.7</v>
      </c>
      <c r="P446" s="76">
        <v>0.0</v>
      </c>
      <c r="Q446" s="22">
        <v>800.0</v>
      </c>
      <c r="R446" s="22" t="s">
        <v>51</v>
      </c>
      <c r="S446" s="25">
        <v>0.75</v>
      </c>
      <c r="T446" s="22" t="s">
        <v>51</v>
      </c>
      <c r="U446" s="25">
        <v>54.75</v>
      </c>
      <c r="V446" s="25">
        <v>26.4252297276798</v>
      </c>
      <c r="W446" s="25">
        <v>15.8097596880719</v>
      </c>
      <c r="X446" s="25">
        <v>3.29077637814335</v>
      </c>
      <c r="Y446" s="78">
        <f t="shared" si="430"/>
        <v>0.471716736</v>
      </c>
      <c r="Z446" s="22" t="s">
        <v>51</v>
      </c>
      <c r="AA446" s="22" t="s">
        <v>51</v>
      </c>
      <c r="AB446" s="22" t="s">
        <v>51</v>
      </c>
      <c r="AC446" s="32">
        <f t="shared" si="431"/>
        <v>10428.22676</v>
      </c>
      <c r="AD446" s="22" t="s">
        <v>51</v>
      </c>
      <c r="AK446" s="33">
        <f t="shared" si="432"/>
        <v>0.04285714286</v>
      </c>
      <c r="AL446" s="33">
        <f t="shared" si="433"/>
        <v>9.042498451</v>
      </c>
      <c r="AM446" s="33">
        <f t="shared" si="434"/>
        <v>9.085355594</v>
      </c>
      <c r="AO446" s="34">
        <f t="shared" si="435"/>
        <v>54.49173509</v>
      </c>
      <c r="AP446" s="34">
        <f t="shared" si="436"/>
        <v>26.3005775</v>
      </c>
      <c r="AQ446" s="34">
        <f t="shared" si="437"/>
        <v>15.73518241</v>
      </c>
      <c r="AR446" s="34">
        <f t="shared" si="438"/>
        <v>3.275253235</v>
      </c>
      <c r="AS446" s="34">
        <f t="shared" si="439"/>
        <v>0.471716736</v>
      </c>
      <c r="AT446" s="35">
        <f t="shared" si="15"/>
        <v>100.274465</v>
      </c>
      <c r="AV446" s="32">
        <f t="shared" si="440"/>
        <v>10379.03507</v>
      </c>
    </row>
    <row r="447" ht="14.25" customHeight="1">
      <c r="B447" s="73"/>
      <c r="C447" s="60" t="s">
        <v>46</v>
      </c>
      <c r="D447" s="74"/>
      <c r="E447" s="22" t="s">
        <v>75</v>
      </c>
      <c r="F447" s="74"/>
      <c r="G447" s="22">
        <v>49.4</v>
      </c>
      <c r="H447" s="22">
        <v>5.8</v>
      </c>
      <c r="I447" s="22">
        <v>42.3</v>
      </c>
      <c r="J447" s="22">
        <v>1.2</v>
      </c>
      <c r="K447" s="22">
        <v>1.3</v>
      </c>
      <c r="L447" s="22">
        <v>5.2</v>
      </c>
      <c r="M447" s="22">
        <v>78.1</v>
      </c>
      <c r="N447" s="22">
        <v>5.0</v>
      </c>
      <c r="O447" s="22">
        <v>11.7</v>
      </c>
      <c r="P447" s="76">
        <v>0.0</v>
      </c>
      <c r="Q447" s="22">
        <v>800.0</v>
      </c>
      <c r="R447" s="22" t="s">
        <v>51</v>
      </c>
      <c r="S447" s="25">
        <v>1.0</v>
      </c>
      <c r="T447" s="22" t="s">
        <v>51</v>
      </c>
      <c r="U447" s="25">
        <v>55.375</v>
      </c>
      <c r="V447" s="25">
        <v>24.7231691641984</v>
      </c>
      <c r="W447" s="25">
        <v>16.7255510463913</v>
      </c>
      <c r="X447" s="25">
        <v>3.45579048310662</v>
      </c>
      <c r="Y447" s="78">
        <f t="shared" si="430"/>
        <v>0.4653095333</v>
      </c>
      <c r="Z447" s="22" t="s">
        <v>51</v>
      </c>
      <c r="AA447" s="22" t="s">
        <v>51</v>
      </c>
      <c r="AB447" s="22" t="s">
        <v>51</v>
      </c>
      <c r="AC447" s="32">
        <f t="shared" si="431"/>
        <v>10339.78836</v>
      </c>
      <c r="AD447" s="22" t="s">
        <v>51</v>
      </c>
      <c r="AK447" s="33">
        <f t="shared" si="432"/>
        <v>0.04285714286</v>
      </c>
      <c r="AL447" s="33">
        <f t="shared" si="433"/>
        <v>9.167601658</v>
      </c>
      <c r="AM447" s="33">
        <f t="shared" si="434"/>
        <v>9.2104588</v>
      </c>
      <c r="AO447" s="34">
        <f t="shared" si="435"/>
        <v>55.11733485</v>
      </c>
      <c r="AP447" s="34">
        <f t="shared" si="436"/>
        <v>24.6081299</v>
      </c>
      <c r="AQ447" s="34">
        <f t="shared" si="437"/>
        <v>16.64772546</v>
      </c>
      <c r="AR447" s="34">
        <f t="shared" si="438"/>
        <v>3.439710361</v>
      </c>
      <c r="AS447" s="34">
        <f t="shared" si="439"/>
        <v>0.4653095333</v>
      </c>
      <c r="AT447" s="35">
        <f t="shared" si="15"/>
        <v>100.2782101</v>
      </c>
      <c r="AV447" s="32">
        <f t="shared" si="440"/>
        <v>10291.67634</v>
      </c>
    </row>
    <row r="448" ht="14.25" customHeight="1">
      <c r="B448" s="73"/>
      <c r="C448" s="60" t="s">
        <v>46</v>
      </c>
      <c r="D448" s="74"/>
      <c r="E448" s="22" t="s">
        <v>75</v>
      </c>
      <c r="F448" s="74"/>
      <c r="G448" s="22">
        <v>49.4</v>
      </c>
      <c r="H448" s="22">
        <v>5.8</v>
      </c>
      <c r="I448" s="22">
        <v>42.3</v>
      </c>
      <c r="J448" s="22">
        <v>1.2</v>
      </c>
      <c r="K448" s="22">
        <v>1.3</v>
      </c>
      <c r="L448" s="22">
        <v>5.2</v>
      </c>
      <c r="M448" s="22">
        <v>78.1</v>
      </c>
      <c r="N448" s="22">
        <v>5.0</v>
      </c>
      <c r="O448" s="22">
        <v>11.7</v>
      </c>
      <c r="P448" s="76">
        <v>0.0</v>
      </c>
      <c r="Q448" s="22">
        <v>800.0</v>
      </c>
      <c r="R448" s="22" t="s">
        <v>51</v>
      </c>
      <c r="S448" s="25">
        <v>1.25</v>
      </c>
      <c r="T448" s="22" t="s">
        <v>51</v>
      </c>
      <c r="U448" s="25">
        <v>55.75</v>
      </c>
      <c r="V448" s="25">
        <v>23.3402524409813</v>
      </c>
      <c r="W448" s="25">
        <v>17.5351118007479</v>
      </c>
      <c r="X448" s="25">
        <v>3.64113807967674</v>
      </c>
      <c r="Y448" s="78">
        <f t="shared" si="430"/>
        <v>0.4613074602</v>
      </c>
      <c r="Z448" s="22" t="s">
        <v>51</v>
      </c>
      <c r="AA448" s="22" t="s">
        <v>51</v>
      </c>
      <c r="AB448" s="22" t="s">
        <v>51</v>
      </c>
      <c r="AC448" s="32">
        <f t="shared" si="431"/>
        <v>10271.96727</v>
      </c>
      <c r="AD448" s="22" t="s">
        <v>51</v>
      </c>
      <c r="AK448" s="33">
        <f t="shared" si="432"/>
        <v>0.04285714286</v>
      </c>
      <c r="AL448" s="33">
        <f t="shared" si="433"/>
        <v>9.247506996</v>
      </c>
      <c r="AM448" s="33">
        <f t="shared" si="434"/>
        <v>9.290364139</v>
      </c>
      <c r="AO448" s="34">
        <f t="shared" si="435"/>
        <v>55.49282109</v>
      </c>
      <c r="AP448" s="34">
        <f t="shared" si="436"/>
        <v>23.23258212</v>
      </c>
      <c r="AQ448" s="34">
        <f t="shared" si="437"/>
        <v>17.45422102</v>
      </c>
      <c r="AR448" s="34">
        <f t="shared" si="438"/>
        <v>3.624341238</v>
      </c>
      <c r="AS448" s="34">
        <f t="shared" si="439"/>
        <v>0.4613074602</v>
      </c>
      <c r="AT448" s="35">
        <f t="shared" si="15"/>
        <v>100.2652729</v>
      </c>
      <c r="AV448" s="32">
        <f t="shared" si="440"/>
        <v>10224.58192</v>
      </c>
    </row>
    <row r="449" ht="14.25" customHeight="1">
      <c r="B449" s="73"/>
      <c r="C449" s="60" t="s">
        <v>46</v>
      </c>
      <c r="D449" s="74"/>
      <c r="E449" s="22" t="s">
        <v>75</v>
      </c>
      <c r="F449" s="74"/>
      <c r="G449" s="22">
        <v>49.4</v>
      </c>
      <c r="H449" s="22">
        <v>5.8</v>
      </c>
      <c r="I449" s="22">
        <v>42.3</v>
      </c>
      <c r="J449" s="22">
        <v>1.2</v>
      </c>
      <c r="K449" s="22">
        <v>1.3</v>
      </c>
      <c r="L449" s="22">
        <v>5.2</v>
      </c>
      <c r="M449" s="22">
        <v>78.1</v>
      </c>
      <c r="N449" s="22">
        <v>5.0</v>
      </c>
      <c r="O449" s="22">
        <v>11.7</v>
      </c>
      <c r="P449" s="76">
        <v>0.0</v>
      </c>
      <c r="Q449" s="22">
        <v>800.0</v>
      </c>
      <c r="R449" s="22" t="s">
        <v>51</v>
      </c>
      <c r="S449" s="25">
        <v>1.5</v>
      </c>
      <c r="T449" s="22" t="s">
        <v>51</v>
      </c>
      <c r="U449" s="25">
        <v>56.25</v>
      </c>
      <c r="V449" s="25">
        <v>21.9573357177642</v>
      </c>
      <c r="W449" s="25">
        <v>18.3448714888199</v>
      </c>
      <c r="X449" s="25">
        <v>3.80609632339934</v>
      </c>
      <c r="Y449" s="78">
        <f t="shared" si="430"/>
        <v>0.4570967878</v>
      </c>
      <c r="Z449" s="22" t="s">
        <v>51</v>
      </c>
      <c r="AA449" s="22" t="s">
        <v>51</v>
      </c>
      <c r="AB449" s="22" t="s">
        <v>51</v>
      </c>
      <c r="AC449" s="32">
        <f t="shared" si="431"/>
        <v>10210.33484</v>
      </c>
      <c r="AD449" s="22" t="s">
        <v>51</v>
      </c>
      <c r="AK449" s="33">
        <f t="shared" si="432"/>
        <v>0.04285714286</v>
      </c>
      <c r="AL449" s="33">
        <f t="shared" si="433"/>
        <v>9.333087735</v>
      </c>
      <c r="AM449" s="33">
        <f t="shared" si="434"/>
        <v>9.375944877</v>
      </c>
      <c r="AO449" s="34">
        <f t="shared" si="435"/>
        <v>55.99288306</v>
      </c>
      <c r="AP449" s="34">
        <f t="shared" si="436"/>
        <v>21.85696944</v>
      </c>
      <c r="AQ449" s="34">
        <f t="shared" si="437"/>
        <v>18.26101767</v>
      </c>
      <c r="AR449" s="34">
        <f t="shared" si="438"/>
        <v>3.788698779</v>
      </c>
      <c r="AS449" s="34">
        <f t="shared" si="439"/>
        <v>0.4570967878</v>
      </c>
      <c r="AT449" s="35">
        <f t="shared" si="15"/>
        <v>100.3566657</v>
      </c>
      <c r="AV449" s="32">
        <f t="shared" si="440"/>
        <v>10163.66373</v>
      </c>
    </row>
    <row r="450" ht="14.25" customHeight="1">
      <c r="B450" s="73"/>
      <c r="C450" s="60" t="s">
        <v>46</v>
      </c>
      <c r="D450" s="74"/>
      <c r="E450" s="22" t="s">
        <v>75</v>
      </c>
      <c r="F450" s="74"/>
      <c r="G450" s="22">
        <v>49.4</v>
      </c>
      <c r="H450" s="22">
        <v>5.8</v>
      </c>
      <c r="I450" s="22">
        <v>42.3</v>
      </c>
      <c r="J450" s="22">
        <v>1.2</v>
      </c>
      <c r="K450" s="22">
        <v>1.3</v>
      </c>
      <c r="L450" s="22">
        <v>5.2</v>
      </c>
      <c r="M450" s="22">
        <v>78.1</v>
      </c>
      <c r="N450" s="22">
        <v>5.0</v>
      </c>
      <c r="O450" s="22">
        <v>11.7</v>
      </c>
      <c r="P450" s="76">
        <v>0.0</v>
      </c>
      <c r="Q450" s="22">
        <v>800.0</v>
      </c>
      <c r="R450" s="22" t="s">
        <v>51</v>
      </c>
      <c r="S450" s="25">
        <v>1.75</v>
      </c>
      <c r="T450" s="22" t="s">
        <v>51</v>
      </c>
      <c r="U450" s="25">
        <v>56.375</v>
      </c>
      <c r="V450" s="25">
        <v>20.3826931828161</v>
      </c>
      <c r="W450" s="25">
        <v>19.4719304527731</v>
      </c>
      <c r="X450" s="25">
        <v>4.00168514742712</v>
      </c>
      <c r="Y450" s="78">
        <f t="shared" si="430"/>
        <v>0.4544972212</v>
      </c>
      <c r="Z450" s="22" t="s">
        <v>51</v>
      </c>
      <c r="AA450" s="22" t="s">
        <v>51</v>
      </c>
      <c r="AB450" s="22" t="s">
        <v>51</v>
      </c>
      <c r="AC450" s="32">
        <f t="shared" si="431"/>
        <v>10094.97197</v>
      </c>
      <c r="AD450" s="22" t="s">
        <v>51</v>
      </c>
      <c r="AK450" s="33">
        <f t="shared" si="432"/>
        <v>0.04285714286</v>
      </c>
      <c r="AL450" s="33">
        <f t="shared" si="433"/>
        <v>9.38671489</v>
      </c>
      <c r="AM450" s="33">
        <f t="shared" si="434"/>
        <v>9.429572033</v>
      </c>
      <c r="AO450" s="34">
        <f t="shared" si="435"/>
        <v>56.11877719</v>
      </c>
      <c r="AP450" s="34">
        <f t="shared" si="436"/>
        <v>20.29005441</v>
      </c>
      <c r="AQ450" s="34">
        <f t="shared" si="437"/>
        <v>19.38343107</v>
      </c>
      <c r="AR450" s="34">
        <f t="shared" si="438"/>
        <v>3.9834976</v>
      </c>
      <c r="AS450" s="34">
        <f t="shared" si="439"/>
        <v>0.4544972212</v>
      </c>
      <c r="AT450" s="35">
        <f t="shared" si="15"/>
        <v>100.2302575</v>
      </c>
      <c r="AV450" s="32">
        <f t="shared" si="440"/>
        <v>10049.0906</v>
      </c>
    </row>
    <row r="451" ht="14.25" customHeight="1">
      <c r="B451" s="73"/>
      <c r="C451" s="60" t="s">
        <v>46</v>
      </c>
      <c r="D451" s="74"/>
      <c r="E451" s="22" t="s">
        <v>75</v>
      </c>
      <c r="F451" s="74"/>
      <c r="G451" s="22">
        <v>49.4</v>
      </c>
      <c r="H451" s="22">
        <v>5.8</v>
      </c>
      <c r="I451" s="22">
        <v>42.3</v>
      </c>
      <c r="J451" s="22">
        <v>1.2</v>
      </c>
      <c r="K451" s="22">
        <v>1.3</v>
      </c>
      <c r="L451" s="22">
        <v>5.2</v>
      </c>
      <c r="M451" s="22">
        <v>78.1</v>
      </c>
      <c r="N451" s="22">
        <v>5.0</v>
      </c>
      <c r="O451" s="22">
        <v>11.7</v>
      </c>
      <c r="P451" s="76">
        <v>0.0</v>
      </c>
      <c r="Q451" s="22">
        <v>800.0</v>
      </c>
      <c r="R451" s="22" t="s">
        <v>51</v>
      </c>
      <c r="S451" s="25">
        <v>2.0</v>
      </c>
      <c r="T451" s="22" t="s">
        <v>51</v>
      </c>
      <c r="U451" s="25">
        <v>56.375</v>
      </c>
      <c r="V451" s="25">
        <v>18.5529750832288</v>
      </c>
      <c r="W451" s="25">
        <v>21.1267605633802</v>
      </c>
      <c r="X451" s="25">
        <v>4.19723673062778</v>
      </c>
      <c r="Y451" s="78">
        <f t="shared" si="430"/>
        <v>0.454710391</v>
      </c>
      <c r="Z451" s="22" t="s">
        <v>51</v>
      </c>
      <c r="AA451" s="22" t="s">
        <v>51</v>
      </c>
      <c r="AB451" s="22" t="s">
        <v>51</v>
      </c>
      <c r="AC451" s="32">
        <f t="shared" si="431"/>
        <v>9933.875265</v>
      </c>
      <c r="AD451" s="22" t="s">
        <v>51</v>
      </c>
      <c r="AK451" s="33">
        <f t="shared" si="432"/>
        <v>0.04285714286</v>
      </c>
      <c r="AL451" s="33">
        <f t="shared" si="433"/>
        <v>9.382294273</v>
      </c>
      <c r="AM451" s="33">
        <f t="shared" si="434"/>
        <v>9.425151416</v>
      </c>
      <c r="AO451" s="34">
        <f t="shared" si="435"/>
        <v>56.11865702</v>
      </c>
      <c r="AP451" s="34">
        <f t="shared" si="436"/>
        <v>18.46861278</v>
      </c>
      <c r="AQ451" s="34">
        <f t="shared" si="437"/>
        <v>21.03069499</v>
      </c>
      <c r="AR451" s="34">
        <f t="shared" si="438"/>
        <v>4.178151459</v>
      </c>
      <c r="AS451" s="34">
        <f t="shared" si="439"/>
        <v>0.454710391</v>
      </c>
      <c r="AT451" s="35">
        <f t="shared" si="15"/>
        <v>100.2508266</v>
      </c>
      <c r="AV451" s="32">
        <f t="shared" si="440"/>
        <v>9888.704902</v>
      </c>
    </row>
    <row r="452" ht="14.25" customHeight="1">
      <c r="A452" s="18"/>
      <c r="B452" s="19" t="s">
        <v>79</v>
      </c>
      <c r="C452" s="74" t="s">
        <v>46</v>
      </c>
      <c r="D452" s="57" t="s">
        <v>80</v>
      </c>
      <c r="E452" s="22" t="s">
        <v>75</v>
      </c>
      <c r="F452" s="79" t="s">
        <v>51</v>
      </c>
      <c r="G452" s="27">
        <f t="shared" ref="G452:G460" si="441">50.65*100/(100-O452)</f>
        <v>51.29633381</v>
      </c>
      <c r="H452" s="27">
        <f t="shared" ref="H452:H460" si="442">6.03*100/(100-O452)</f>
        <v>6.106947539</v>
      </c>
      <c r="I452" s="27">
        <f t="shared" ref="I452:I460" si="443">42.06*100/(100-O452)</f>
        <v>42.59671866</v>
      </c>
      <c r="J452" s="22">
        <v>0.0</v>
      </c>
      <c r="K452" s="22">
        <v>0.0</v>
      </c>
      <c r="L452" s="63">
        <f t="shared" ref="L452:L460" si="444">100-SUM(M452,N452,O452)</f>
        <v>20.08</v>
      </c>
      <c r="M452" s="22">
        <v>78.66</v>
      </c>
      <c r="N452" s="64">
        <v>0.0</v>
      </c>
      <c r="O452" s="22">
        <v>1.26</v>
      </c>
      <c r="P452" s="76">
        <v>0.0</v>
      </c>
      <c r="Q452" s="22">
        <v>770.0</v>
      </c>
      <c r="R452" s="20" t="s">
        <v>81</v>
      </c>
      <c r="S452" s="25">
        <v>1.0</v>
      </c>
      <c r="T452" s="22" t="s">
        <v>51</v>
      </c>
      <c r="U452" s="25">
        <v>43.6</v>
      </c>
      <c r="V452" s="25">
        <v>33.2</v>
      </c>
      <c r="W452" s="25">
        <v>11.7</v>
      </c>
      <c r="X452" s="25">
        <v>11.5</v>
      </c>
      <c r="Y452" s="78">
        <f t="shared" si="430"/>
        <v>0</v>
      </c>
      <c r="Z452" s="22">
        <v>1.1</v>
      </c>
      <c r="AA452" s="22" t="s">
        <v>51</v>
      </c>
      <c r="AB452" s="22" t="s">
        <v>51</v>
      </c>
      <c r="AC452" s="25">
        <v>13018.0</v>
      </c>
      <c r="AD452" s="80" t="s">
        <v>51</v>
      </c>
      <c r="AK452" s="33">
        <f t="shared" si="432"/>
        <v>0</v>
      </c>
      <c r="AL452" s="33">
        <f t="shared" si="433"/>
        <v>7.579245539</v>
      </c>
      <c r="AM452" s="33">
        <f t="shared" si="434"/>
        <v>7.579245539</v>
      </c>
      <c r="AO452" s="34">
        <f t="shared" si="435"/>
        <v>43.6</v>
      </c>
      <c r="AP452" s="34">
        <f t="shared" si="436"/>
        <v>33.2</v>
      </c>
      <c r="AQ452" s="34">
        <f t="shared" si="437"/>
        <v>11.7</v>
      </c>
      <c r="AR452" s="34">
        <f t="shared" si="438"/>
        <v>11.5</v>
      </c>
      <c r="AS452" s="34">
        <f t="shared" si="439"/>
        <v>0</v>
      </c>
      <c r="AT452" s="35">
        <f t="shared" si="15"/>
        <v>100</v>
      </c>
      <c r="AV452" s="25">
        <f t="shared" ref="AV452:AV460" si="445">AC452</f>
        <v>13018</v>
      </c>
    </row>
    <row r="453" ht="14.25" customHeight="1">
      <c r="B453" s="36"/>
      <c r="C453" s="74" t="s">
        <v>46</v>
      </c>
      <c r="D453" s="56"/>
      <c r="E453" s="22" t="s">
        <v>75</v>
      </c>
      <c r="F453" s="81"/>
      <c r="G453" s="27">
        <f t="shared" si="441"/>
        <v>51.29633381</v>
      </c>
      <c r="H453" s="27">
        <f t="shared" si="442"/>
        <v>6.106947539</v>
      </c>
      <c r="I453" s="27">
        <f t="shared" si="443"/>
        <v>42.59671866</v>
      </c>
      <c r="J453" s="22">
        <v>0.0</v>
      </c>
      <c r="K453" s="22">
        <v>0.0</v>
      </c>
      <c r="L453" s="63">
        <f t="shared" si="444"/>
        <v>20.08</v>
      </c>
      <c r="M453" s="22">
        <v>78.66</v>
      </c>
      <c r="N453" s="64">
        <v>0.0</v>
      </c>
      <c r="O453" s="22">
        <v>1.26</v>
      </c>
      <c r="P453" s="76">
        <v>0.0</v>
      </c>
      <c r="Q453" s="22">
        <v>770.0</v>
      </c>
      <c r="R453" s="22" t="s">
        <v>82</v>
      </c>
      <c r="S453" s="25">
        <v>1.0</v>
      </c>
      <c r="T453" s="22" t="s">
        <v>51</v>
      </c>
      <c r="U453" s="25">
        <v>55.5</v>
      </c>
      <c r="V453" s="25">
        <v>24.0</v>
      </c>
      <c r="W453" s="25">
        <v>14.1</v>
      </c>
      <c r="X453" s="25">
        <v>6.4</v>
      </c>
      <c r="Y453" s="78">
        <f t="shared" si="430"/>
        <v>0</v>
      </c>
      <c r="Z453" s="22">
        <v>1.9</v>
      </c>
      <c r="AA453" s="22" t="s">
        <v>51</v>
      </c>
      <c r="AB453" s="22" t="s">
        <v>51</v>
      </c>
      <c r="AC453" s="25">
        <v>10935.0</v>
      </c>
      <c r="AD453" s="80" t="s">
        <v>51</v>
      </c>
      <c r="AK453" s="33">
        <f t="shared" si="432"/>
        <v>0</v>
      </c>
      <c r="AL453" s="33">
        <f t="shared" si="433"/>
        <v>9.60605502</v>
      </c>
      <c r="AM453" s="33">
        <f t="shared" si="434"/>
        <v>9.60605502</v>
      </c>
      <c r="AO453" s="34">
        <f t="shared" si="435"/>
        <v>55.5</v>
      </c>
      <c r="AP453" s="34">
        <f t="shared" si="436"/>
        <v>24</v>
      </c>
      <c r="AQ453" s="34">
        <f t="shared" si="437"/>
        <v>14.1</v>
      </c>
      <c r="AR453" s="34">
        <f t="shared" si="438"/>
        <v>6.4</v>
      </c>
      <c r="AS453" s="34">
        <f t="shared" si="439"/>
        <v>0</v>
      </c>
      <c r="AT453" s="35">
        <f t="shared" si="15"/>
        <v>100</v>
      </c>
      <c r="AV453" s="25">
        <f t="shared" si="445"/>
        <v>10935</v>
      </c>
    </row>
    <row r="454" ht="14.25" customHeight="1">
      <c r="B454" s="36"/>
      <c r="C454" s="74" t="s">
        <v>46</v>
      </c>
      <c r="D454" s="56"/>
      <c r="E454" s="22" t="s">
        <v>75</v>
      </c>
      <c r="F454" s="81"/>
      <c r="G454" s="27">
        <f t="shared" si="441"/>
        <v>51.29633381</v>
      </c>
      <c r="H454" s="27">
        <f t="shared" si="442"/>
        <v>6.106947539</v>
      </c>
      <c r="I454" s="27">
        <f t="shared" si="443"/>
        <v>42.59671866</v>
      </c>
      <c r="J454" s="22">
        <v>0.0</v>
      </c>
      <c r="K454" s="22">
        <v>0.0</v>
      </c>
      <c r="L454" s="63">
        <f t="shared" si="444"/>
        <v>20.08</v>
      </c>
      <c r="M454" s="22">
        <v>78.66</v>
      </c>
      <c r="N454" s="64">
        <v>0.0</v>
      </c>
      <c r="O454" s="22">
        <v>1.26</v>
      </c>
      <c r="P454" s="76">
        <v>0.0</v>
      </c>
      <c r="Q454" s="22">
        <v>770.0</v>
      </c>
      <c r="R454" s="22" t="s">
        <v>62</v>
      </c>
      <c r="S454" s="25">
        <v>1.0</v>
      </c>
      <c r="T454" s="22" t="s">
        <v>51</v>
      </c>
      <c r="U454" s="25">
        <v>52.2</v>
      </c>
      <c r="V454" s="25">
        <v>23.0</v>
      </c>
      <c r="W454" s="25">
        <v>16.9</v>
      </c>
      <c r="X454" s="25">
        <v>7.9</v>
      </c>
      <c r="Y454" s="78">
        <f t="shared" si="430"/>
        <v>0</v>
      </c>
      <c r="Z454" s="22">
        <v>1.7</v>
      </c>
      <c r="AA454" s="22" t="s">
        <v>51</v>
      </c>
      <c r="AB454" s="22" t="s">
        <v>51</v>
      </c>
      <c r="AC454" s="25">
        <v>11369.0</v>
      </c>
      <c r="AD454" s="80" t="s">
        <v>51</v>
      </c>
      <c r="AK454" s="33">
        <f t="shared" si="432"/>
        <v>0</v>
      </c>
      <c r="AL454" s="33">
        <f t="shared" si="433"/>
        <v>8.942875489</v>
      </c>
      <c r="AM454" s="33">
        <f t="shared" si="434"/>
        <v>8.942875489</v>
      </c>
      <c r="AO454" s="34">
        <f t="shared" si="435"/>
        <v>52.2</v>
      </c>
      <c r="AP454" s="34">
        <f t="shared" si="436"/>
        <v>23</v>
      </c>
      <c r="AQ454" s="34">
        <f t="shared" si="437"/>
        <v>16.9</v>
      </c>
      <c r="AR454" s="34">
        <f t="shared" si="438"/>
        <v>7.9</v>
      </c>
      <c r="AS454" s="34">
        <f t="shared" si="439"/>
        <v>0</v>
      </c>
      <c r="AT454" s="35">
        <f t="shared" si="15"/>
        <v>100</v>
      </c>
      <c r="AV454" s="25">
        <f t="shared" si="445"/>
        <v>11369</v>
      </c>
    </row>
    <row r="455" ht="14.25" customHeight="1">
      <c r="B455" s="36"/>
      <c r="C455" s="74" t="s">
        <v>46</v>
      </c>
      <c r="D455" s="56"/>
      <c r="E455" s="22" t="s">
        <v>75</v>
      </c>
      <c r="F455" s="81"/>
      <c r="G455" s="27">
        <f t="shared" si="441"/>
        <v>51.29633381</v>
      </c>
      <c r="H455" s="27">
        <f t="shared" si="442"/>
        <v>6.106947539</v>
      </c>
      <c r="I455" s="27">
        <f t="shared" si="443"/>
        <v>42.59671866</v>
      </c>
      <c r="J455" s="22">
        <v>0.0</v>
      </c>
      <c r="K455" s="22">
        <v>0.0</v>
      </c>
      <c r="L455" s="63">
        <f t="shared" si="444"/>
        <v>20.08</v>
      </c>
      <c r="M455" s="22">
        <v>78.66</v>
      </c>
      <c r="N455" s="64">
        <v>0.0</v>
      </c>
      <c r="O455" s="22">
        <v>1.26</v>
      </c>
      <c r="P455" s="76">
        <v>0.0</v>
      </c>
      <c r="Q455" s="22">
        <v>700.0</v>
      </c>
      <c r="R455" s="22" t="s">
        <v>62</v>
      </c>
      <c r="S455" s="25">
        <v>0.5</v>
      </c>
      <c r="T455" s="22" t="s">
        <v>51</v>
      </c>
      <c r="U455" s="25">
        <v>44.92</v>
      </c>
      <c r="V455" s="25">
        <v>20.29</v>
      </c>
      <c r="W455" s="25">
        <v>25.85</v>
      </c>
      <c r="X455" s="25">
        <v>8.43</v>
      </c>
      <c r="Y455" s="78">
        <f t="shared" si="430"/>
        <v>0</v>
      </c>
      <c r="Z455" s="22">
        <v>1.21</v>
      </c>
      <c r="AA455" s="22" t="s">
        <v>51</v>
      </c>
      <c r="AB455" s="22" t="s">
        <v>51</v>
      </c>
      <c r="AC455" s="25">
        <v>11369.0</v>
      </c>
      <c r="AD455" s="80" t="s">
        <v>51</v>
      </c>
      <c r="AK455" s="33">
        <f t="shared" si="432"/>
        <v>0</v>
      </c>
      <c r="AL455" s="33">
        <f t="shared" si="433"/>
        <v>7.83341485</v>
      </c>
      <c r="AM455" s="33">
        <f t="shared" si="434"/>
        <v>7.83341485</v>
      </c>
      <c r="AO455" s="34">
        <f t="shared" si="435"/>
        <v>44.92</v>
      </c>
      <c r="AP455" s="34">
        <f t="shared" si="436"/>
        <v>20.29</v>
      </c>
      <c r="AQ455" s="34">
        <f t="shared" si="437"/>
        <v>25.85</v>
      </c>
      <c r="AR455" s="34">
        <f t="shared" si="438"/>
        <v>8.43</v>
      </c>
      <c r="AS455" s="34">
        <f t="shared" si="439"/>
        <v>0</v>
      </c>
      <c r="AT455" s="35">
        <f t="shared" si="15"/>
        <v>99.49</v>
      </c>
      <c r="AV455" s="25">
        <f t="shared" si="445"/>
        <v>11369</v>
      </c>
    </row>
    <row r="456" ht="14.25" customHeight="1">
      <c r="B456" s="36"/>
      <c r="C456" s="74" t="s">
        <v>46</v>
      </c>
      <c r="D456" s="56"/>
      <c r="E456" s="22" t="s">
        <v>75</v>
      </c>
      <c r="F456" s="81"/>
      <c r="G456" s="27">
        <f t="shared" si="441"/>
        <v>51.29633381</v>
      </c>
      <c r="H456" s="27">
        <f t="shared" si="442"/>
        <v>6.106947539</v>
      </c>
      <c r="I456" s="27">
        <f t="shared" si="443"/>
        <v>42.59671866</v>
      </c>
      <c r="J456" s="22">
        <v>0.0</v>
      </c>
      <c r="K456" s="22">
        <v>0.0</v>
      </c>
      <c r="L456" s="63">
        <f t="shared" si="444"/>
        <v>20.08</v>
      </c>
      <c r="M456" s="22">
        <v>78.66</v>
      </c>
      <c r="N456" s="64">
        <v>0.0</v>
      </c>
      <c r="O456" s="22">
        <v>1.26</v>
      </c>
      <c r="P456" s="76">
        <v>0.0</v>
      </c>
      <c r="Q456" s="22">
        <v>700.0</v>
      </c>
      <c r="R456" s="22" t="s">
        <v>62</v>
      </c>
      <c r="S456" s="25">
        <v>0.7</v>
      </c>
      <c r="T456" s="22" t="s">
        <v>51</v>
      </c>
      <c r="U456" s="25">
        <v>44.92</v>
      </c>
      <c r="V456" s="25">
        <v>20.29</v>
      </c>
      <c r="W456" s="25">
        <v>25.85</v>
      </c>
      <c r="X456" s="25">
        <v>8.43</v>
      </c>
      <c r="Y456" s="78">
        <f t="shared" si="430"/>
        <v>0</v>
      </c>
      <c r="Z456" s="22">
        <v>1.12</v>
      </c>
      <c r="AA456" s="22" t="s">
        <v>51</v>
      </c>
      <c r="AB456" s="22" t="s">
        <v>51</v>
      </c>
      <c r="AC456" s="25">
        <v>11369.0</v>
      </c>
      <c r="AD456" s="80" t="s">
        <v>51</v>
      </c>
      <c r="AK456" s="33">
        <f t="shared" si="432"/>
        <v>0</v>
      </c>
      <c r="AL456" s="33">
        <f t="shared" si="433"/>
        <v>7.83341485</v>
      </c>
      <c r="AM456" s="33">
        <f t="shared" si="434"/>
        <v>7.83341485</v>
      </c>
      <c r="AO456" s="34">
        <f t="shared" si="435"/>
        <v>44.92</v>
      </c>
      <c r="AP456" s="34">
        <f t="shared" si="436"/>
        <v>20.29</v>
      </c>
      <c r="AQ456" s="34">
        <f t="shared" si="437"/>
        <v>25.85</v>
      </c>
      <c r="AR456" s="34">
        <f t="shared" si="438"/>
        <v>8.43</v>
      </c>
      <c r="AS456" s="34">
        <f t="shared" si="439"/>
        <v>0</v>
      </c>
      <c r="AT456" s="35">
        <f t="shared" si="15"/>
        <v>99.49</v>
      </c>
      <c r="AV456" s="25">
        <f t="shared" si="445"/>
        <v>11369</v>
      </c>
    </row>
    <row r="457" ht="14.25" customHeight="1">
      <c r="B457" s="36"/>
      <c r="C457" s="74" t="s">
        <v>46</v>
      </c>
      <c r="D457" s="56"/>
      <c r="E457" s="22" t="s">
        <v>75</v>
      </c>
      <c r="F457" s="81"/>
      <c r="G457" s="27">
        <f t="shared" si="441"/>
        <v>51.29633381</v>
      </c>
      <c r="H457" s="27">
        <f t="shared" si="442"/>
        <v>6.106947539</v>
      </c>
      <c r="I457" s="27">
        <f t="shared" si="443"/>
        <v>42.59671866</v>
      </c>
      <c r="J457" s="22">
        <v>0.0</v>
      </c>
      <c r="K457" s="22">
        <v>0.0</v>
      </c>
      <c r="L457" s="63">
        <f t="shared" si="444"/>
        <v>20.08</v>
      </c>
      <c r="M457" s="22">
        <v>78.66</v>
      </c>
      <c r="N457" s="64">
        <v>0.0</v>
      </c>
      <c r="O457" s="22">
        <v>1.26</v>
      </c>
      <c r="P457" s="76">
        <v>0.0</v>
      </c>
      <c r="Q457" s="22">
        <v>700.0</v>
      </c>
      <c r="R457" s="22" t="s">
        <v>62</v>
      </c>
      <c r="S457" s="25">
        <v>1.0</v>
      </c>
      <c r="T457" s="22" t="s">
        <v>51</v>
      </c>
      <c r="U457" s="25">
        <v>44.92</v>
      </c>
      <c r="V457" s="25">
        <v>20.29</v>
      </c>
      <c r="W457" s="25">
        <v>25.85</v>
      </c>
      <c r="X457" s="25">
        <v>8.43</v>
      </c>
      <c r="Y457" s="78">
        <f t="shared" si="430"/>
        <v>0</v>
      </c>
      <c r="Z457" s="22">
        <v>1.25</v>
      </c>
      <c r="AA457" s="22" t="s">
        <v>51</v>
      </c>
      <c r="AB457" s="22" t="s">
        <v>51</v>
      </c>
      <c r="AC457" s="25">
        <v>11369.0</v>
      </c>
      <c r="AD457" s="80" t="s">
        <v>51</v>
      </c>
      <c r="AK457" s="33">
        <f t="shared" si="432"/>
        <v>0</v>
      </c>
      <c r="AL457" s="33">
        <f t="shared" si="433"/>
        <v>7.83341485</v>
      </c>
      <c r="AM457" s="33">
        <f t="shared" si="434"/>
        <v>7.83341485</v>
      </c>
      <c r="AO457" s="34">
        <f t="shared" si="435"/>
        <v>44.92</v>
      </c>
      <c r="AP457" s="34">
        <f t="shared" si="436"/>
        <v>20.29</v>
      </c>
      <c r="AQ457" s="34">
        <f t="shared" si="437"/>
        <v>25.85</v>
      </c>
      <c r="AR457" s="34">
        <f t="shared" si="438"/>
        <v>8.43</v>
      </c>
      <c r="AS457" s="34">
        <f t="shared" si="439"/>
        <v>0</v>
      </c>
      <c r="AT457" s="35">
        <f t="shared" si="15"/>
        <v>99.49</v>
      </c>
      <c r="AV457" s="25">
        <f t="shared" si="445"/>
        <v>11369</v>
      </c>
    </row>
    <row r="458" ht="14.25" customHeight="1">
      <c r="B458" s="36"/>
      <c r="C458" s="74" t="s">
        <v>46</v>
      </c>
      <c r="D458" s="56"/>
      <c r="E458" s="22" t="s">
        <v>75</v>
      </c>
      <c r="F458" s="81"/>
      <c r="G458" s="27">
        <f t="shared" si="441"/>
        <v>51.29633381</v>
      </c>
      <c r="H458" s="27">
        <f t="shared" si="442"/>
        <v>6.106947539</v>
      </c>
      <c r="I458" s="27">
        <f t="shared" si="443"/>
        <v>42.59671866</v>
      </c>
      <c r="J458" s="22">
        <v>0.0</v>
      </c>
      <c r="K458" s="22">
        <v>0.0</v>
      </c>
      <c r="L458" s="63">
        <f t="shared" si="444"/>
        <v>20.08</v>
      </c>
      <c r="M458" s="22">
        <v>78.66</v>
      </c>
      <c r="N458" s="64">
        <v>0.0</v>
      </c>
      <c r="O458" s="22">
        <v>1.26</v>
      </c>
      <c r="P458" s="76">
        <v>0.0</v>
      </c>
      <c r="Q458" s="22">
        <v>820.0</v>
      </c>
      <c r="R458" s="22" t="s">
        <v>62</v>
      </c>
      <c r="S458" s="25">
        <v>0.5</v>
      </c>
      <c r="T458" s="22" t="s">
        <v>51</v>
      </c>
      <c r="U458" s="22">
        <v>47.5</v>
      </c>
      <c r="V458" s="22">
        <v>31.49</v>
      </c>
      <c r="W458" s="22">
        <v>14.04</v>
      </c>
      <c r="X458" s="22">
        <v>6.38</v>
      </c>
      <c r="Y458" s="78">
        <f t="shared" si="430"/>
        <v>0</v>
      </c>
      <c r="Z458" s="22">
        <v>1.8</v>
      </c>
      <c r="AA458" s="22" t="s">
        <v>51</v>
      </c>
      <c r="AB458" s="22" t="s">
        <v>51</v>
      </c>
      <c r="AC458" s="25">
        <v>11369.0</v>
      </c>
      <c r="AD458" s="80" t="s">
        <v>51</v>
      </c>
      <c r="AK458" s="33">
        <f t="shared" si="432"/>
        <v>0</v>
      </c>
      <c r="AL458" s="33">
        <f t="shared" si="433"/>
        <v>8.234818886</v>
      </c>
      <c r="AM458" s="33">
        <f t="shared" si="434"/>
        <v>8.234818886</v>
      </c>
      <c r="AO458" s="34">
        <f t="shared" si="435"/>
        <v>47.5</v>
      </c>
      <c r="AP458" s="34">
        <f t="shared" si="436"/>
        <v>31.49</v>
      </c>
      <c r="AQ458" s="34">
        <f t="shared" si="437"/>
        <v>14.04</v>
      </c>
      <c r="AR458" s="34">
        <f t="shared" si="438"/>
        <v>6.38</v>
      </c>
      <c r="AS458" s="34">
        <f t="shared" si="439"/>
        <v>0</v>
      </c>
      <c r="AT458" s="35">
        <f t="shared" si="15"/>
        <v>99.41</v>
      </c>
      <c r="AV458" s="25">
        <f t="shared" si="445"/>
        <v>11369</v>
      </c>
    </row>
    <row r="459" ht="14.25" customHeight="1">
      <c r="B459" s="36"/>
      <c r="C459" s="74" t="s">
        <v>46</v>
      </c>
      <c r="D459" s="56"/>
      <c r="E459" s="22" t="s">
        <v>75</v>
      </c>
      <c r="F459" s="81"/>
      <c r="G459" s="27">
        <f t="shared" si="441"/>
        <v>51.29633381</v>
      </c>
      <c r="H459" s="27">
        <f t="shared" si="442"/>
        <v>6.106947539</v>
      </c>
      <c r="I459" s="27">
        <f t="shared" si="443"/>
        <v>42.59671866</v>
      </c>
      <c r="J459" s="22">
        <v>0.0</v>
      </c>
      <c r="K459" s="22">
        <v>0.0</v>
      </c>
      <c r="L459" s="63">
        <f t="shared" si="444"/>
        <v>20.08</v>
      </c>
      <c r="M459" s="22">
        <v>78.66</v>
      </c>
      <c r="N459" s="64">
        <v>0.0</v>
      </c>
      <c r="O459" s="22">
        <v>1.26</v>
      </c>
      <c r="P459" s="76">
        <v>0.0</v>
      </c>
      <c r="Q459" s="22">
        <v>820.0</v>
      </c>
      <c r="R459" s="22" t="s">
        <v>62</v>
      </c>
      <c r="S459" s="25">
        <v>0.7</v>
      </c>
      <c r="T459" s="22" t="s">
        <v>51</v>
      </c>
      <c r="U459" s="22">
        <v>47.8</v>
      </c>
      <c r="V459" s="22">
        <v>26.24</v>
      </c>
      <c r="W459" s="22">
        <v>18.16</v>
      </c>
      <c r="X459" s="22">
        <v>7.5</v>
      </c>
      <c r="Y459" s="78">
        <f t="shared" si="430"/>
        <v>0</v>
      </c>
      <c r="Z459" s="22">
        <v>1.78</v>
      </c>
      <c r="AA459" s="22" t="s">
        <v>51</v>
      </c>
      <c r="AB459" s="22" t="s">
        <v>51</v>
      </c>
      <c r="AC459" s="25">
        <v>11369.0</v>
      </c>
      <c r="AD459" s="80" t="s">
        <v>51</v>
      </c>
      <c r="AK459" s="33">
        <f t="shared" si="432"/>
        <v>0</v>
      </c>
      <c r="AL459" s="33">
        <f t="shared" si="433"/>
        <v>8.236405557</v>
      </c>
      <c r="AM459" s="33">
        <f t="shared" si="434"/>
        <v>8.236405557</v>
      </c>
      <c r="AO459" s="34">
        <f t="shared" si="435"/>
        <v>47.8</v>
      </c>
      <c r="AP459" s="34">
        <f t="shared" si="436"/>
        <v>26.24</v>
      </c>
      <c r="AQ459" s="34">
        <f t="shared" si="437"/>
        <v>18.16</v>
      </c>
      <c r="AR459" s="34">
        <f t="shared" si="438"/>
        <v>7.5</v>
      </c>
      <c r="AS459" s="34">
        <f t="shared" si="439"/>
        <v>0</v>
      </c>
      <c r="AT459" s="35">
        <f t="shared" si="15"/>
        <v>99.7</v>
      </c>
      <c r="AV459" s="25">
        <f t="shared" si="445"/>
        <v>11369</v>
      </c>
    </row>
    <row r="460" ht="14.25" customHeight="1">
      <c r="B460" s="55"/>
      <c r="C460" s="74" t="s">
        <v>46</v>
      </c>
      <c r="D460" s="69"/>
      <c r="E460" s="22" t="s">
        <v>75</v>
      </c>
      <c r="F460" s="82"/>
      <c r="G460" s="27">
        <f t="shared" si="441"/>
        <v>51.29633381</v>
      </c>
      <c r="H460" s="27">
        <f t="shared" si="442"/>
        <v>6.106947539</v>
      </c>
      <c r="I460" s="27">
        <f t="shared" si="443"/>
        <v>42.59671866</v>
      </c>
      <c r="J460" s="22">
        <v>0.0</v>
      </c>
      <c r="K460" s="22">
        <v>0.0</v>
      </c>
      <c r="L460" s="63">
        <f t="shared" si="444"/>
        <v>20.08</v>
      </c>
      <c r="M460" s="22">
        <v>78.66</v>
      </c>
      <c r="N460" s="64">
        <v>0.0</v>
      </c>
      <c r="O460" s="22">
        <v>1.26</v>
      </c>
      <c r="P460" s="76">
        <v>0.0</v>
      </c>
      <c r="Q460" s="22">
        <v>820.0</v>
      </c>
      <c r="R460" s="22" t="s">
        <v>62</v>
      </c>
      <c r="S460" s="25">
        <v>1.0</v>
      </c>
      <c r="T460" s="22" t="s">
        <v>51</v>
      </c>
      <c r="U460" s="22">
        <v>48.8</v>
      </c>
      <c r="V460" s="22">
        <v>24.2</v>
      </c>
      <c r="W460" s="22">
        <v>20.1</v>
      </c>
      <c r="X460" s="22">
        <v>6.65</v>
      </c>
      <c r="Y460" s="78">
        <f t="shared" si="430"/>
        <v>0</v>
      </c>
      <c r="Z460" s="22">
        <v>1.85</v>
      </c>
      <c r="AA460" s="22" t="s">
        <v>51</v>
      </c>
      <c r="AB460" s="22" t="s">
        <v>51</v>
      </c>
      <c r="AC460" s="25">
        <v>11369.0</v>
      </c>
      <c r="AD460" s="80" t="s">
        <v>51</v>
      </c>
      <c r="AK460" s="33">
        <f t="shared" si="432"/>
        <v>0</v>
      </c>
      <c r="AL460" s="33">
        <f t="shared" si="433"/>
        <v>8.38997936</v>
      </c>
      <c r="AM460" s="33">
        <f t="shared" si="434"/>
        <v>8.38997936</v>
      </c>
      <c r="AO460" s="34">
        <f t="shared" si="435"/>
        <v>48.8</v>
      </c>
      <c r="AP460" s="34">
        <f t="shared" si="436"/>
        <v>24.2</v>
      </c>
      <c r="AQ460" s="34">
        <f t="shared" si="437"/>
        <v>20.1</v>
      </c>
      <c r="AR460" s="34">
        <f t="shared" si="438"/>
        <v>6.65</v>
      </c>
      <c r="AS460" s="34">
        <f t="shared" si="439"/>
        <v>0</v>
      </c>
      <c r="AT460" s="35">
        <f t="shared" si="15"/>
        <v>99.75</v>
      </c>
      <c r="AV460" s="25">
        <f t="shared" si="445"/>
        <v>11369</v>
      </c>
    </row>
    <row r="461" ht="14.25" customHeight="1">
      <c r="A461" s="18"/>
      <c r="B461" s="83" t="s">
        <v>83</v>
      </c>
      <c r="C461" s="74" t="s">
        <v>46</v>
      </c>
      <c r="D461" s="74" t="s">
        <v>74</v>
      </c>
      <c r="E461" s="84" t="s">
        <v>75</v>
      </c>
      <c r="F461" s="20" t="s">
        <v>84</v>
      </c>
      <c r="G461" s="27">
        <f>48.11*100/(100-O461)</f>
        <v>50.06243496</v>
      </c>
      <c r="H461" s="27">
        <f>5.78*100/(100-O461)</f>
        <v>6.014568158</v>
      </c>
      <c r="I461" s="27">
        <f>41.89*100/(100-O461)</f>
        <v>43.59001041</v>
      </c>
      <c r="J461" s="27">
        <f>0.22*100/(100-O461)</f>
        <v>0.2289281998</v>
      </c>
      <c r="K461" s="27">
        <f>0.1*100/(100-O461)</f>
        <v>0.1040582726</v>
      </c>
      <c r="L461" s="22">
        <v>12.3</v>
      </c>
      <c r="M461" s="22">
        <v>73.8</v>
      </c>
      <c r="N461" s="22">
        <v>10.0</v>
      </c>
      <c r="O461" s="22">
        <v>3.9</v>
      </c>
      <c r="P461" s="76">
        <v>0.0</v>
      </c>
      <c r="Q461" s="22">
        <v>659.85</v>
      </c>
      <c r="R461" s="22" t="s">
        <v>51</v>
      </c>
      <c r="S461" s="85">
        <v>1.0</v>
      </c>
      <c r="T461" s="22">
        <v>15.5</v>
      </c>
      <c r="U461" s="22">
        <v>13.8</v>
      </c>
      <c r="V461" s="22">
        <v>52.0</v>
      </c>
      <c r="W461" s="22">
        <v>15.6</v>
      </c>
      <c r="X461" s="22">
        <v>18.7</v>
      </c>
      <c r="Y461" s="78">
        <f t="shared" si="430"/>
        <v>0.1688446995</v>
      </c>
      <c r="Z461" s="22">
        <v>0.611</v>
      </c>
      <c r="AA461" s="22" t="s">
        <v>51</v>
      </c>
      <c r="AB461" s="22" t="s">
        <v>51</v>
      </c>
      <c r="AC461" s="32">
        <f t="shared" ref="AC461:AC464" si="446">((U461*0.24182)+(V461*0.283)+(X461*0.80262))*(10000/22.4)</f>
        <v>14759.87054</v>
      </c>
      <c r="AD461" s="80" t="s">
        <v>51</v>
      </c>
      <c r="AK461" s="33">
        <f t="shared" si="432"/>
        <v>0.008176007135</v>
      </c>
      <c r="AL461" s="33">
        <f t="shared" si="433"/>
        <v>4.834147833</v>
      </c>
      <c r="AM461" s="33">
        <f t="shared" si="434"/>
        <v>4.842323841</v>
      </c>
      <c r="AO461" s="34">
        <f t="shared" si="435"/>
        <v>13.77669943</v>
      </c>
      <c r="AP461" s="34">
        <f t="shared" si="436"/>
        <v>51.91220076</v>
      </c>
      <c r="AQ461" s="34">
        <f t="shared" si="437"/>
        <v>15.57366023</v>
      </c>
      <c r="AR461" s="34">
        <f t="shared" si="438"/>
        <v>18.66842604</v>
      </c>
      <c r="AS461" s="34">
        <f t="shared" si="439"/>
        <v>0.1688446995</v>
      </c>
      <c r="AT461" s="35">
        <f t="shared" si="15"/>
        <v>100.0998312</v>
      </c>
      <c r="AV461" s="32">
        <f t="shared" ref="AV461:AV464" si="447">((AO461*0.24182)+(AP461*0.283)+(AR461*0.80262))*(10000/22.4)</f>
        <v>14734.94928</v>
      </c>
    </row>
    <row r="462" ht="14.25" customHeight="1">
      <c r="B462" s="83"/>
      <c r="C462" s="74" t="s">
        <v>46</v>
      </c>
      <c r="D462" s="74"/>
      <c r="E462" s="84" t="s">
        <v>75</v>
      </c>
      <c r="F462" s="20" t="s">
        <v>85</v>
      </c>
      <c r="G462" s="27">
        <f>50.04*100/(100-O462)</f>
        <v>50.49445005</v>
      </c>
      <c r="H462" s="27">
        <f>5.95*100/(100-O462)</f>
        <v>6.004036327</v>
      </c>
      <c r="I462" s="27">
        <f>43*100/(100-O462)</f>
        <v>43.39051463</v>
      </c>
      <c r="J462" s="27">
        <f>0.11*100/(100-O462)</f>
        <v>0.1109989909</v>
      </c>
      <c r="K462" s="27">
        <v>0.0</v>
      </c>
      <c r="L462" s="22">
        <v>14.1</v>
      </c>
      <c r="M462" s="22">
        <v>75.7</v>
      </c>
      <c r="N462" s="22">
        <v>9.3</v>
      </c>
      <c r="O462" s="22">
        <v>0.9</v>
      </c>
      <c r="P462" s="76">
        <v>0.0</v>
      </c>
      <c r="Q462" s="22">
        <v>749.85</v>
      </c>
      <c r="R462" s="22" t="s">
        <v>51</v>
      </c>
      <c r="S462" s="85">
        <v>1.0</v>
      </c>
      <c r="T462" s="22">
        <v>16.4</v>
      </c>
      <c r="U462" s="22">
        <v>43.1</v>
      </c>
      <c r="V462" s="22">
        <v>25.4</v>
      </c>
      <c r="W462" s="22">
        <v>17.8</v>
      </c>
      <c r="X462" s="22">
        <v>13.7</v>
      </c>
      <c r="Y462" s="78">
        <f t="shared" si="430"/>
        <v>0.05357696658</v>
      </c>
      <c r="Z462" s="22">
        <v>0.764</v>
      </c>
      <c r="AA462" s="22" t="s">
        <v>51</v>
      </c>
      <c r="AB462" s="22" t="s">
        <v>51</v>
      </c>
      <c r="AC462" s="32">
        <f t="shared" si="446"/>
        <v>12770.775</v>
      </c>
      <c r="AD462" s="80" t="s">
        <v>51</v>
      </c>
      <c r="AK462" s="33">
        <f t="shared" si="432"/>
        <v>0.003964249676</v>
      </c>
      <c r="AL462" s="33">
        <f t="shared" si="433"/>
        <v>7.395203581</v>
      </c>
      <c r="AM462" s="33">
        <f t="shared" si="434"/>
        <v>7.399167831</v>
      </c>
      <c r="AO462" s="34">
        <f t="shared" si="435"/>
        <v>43.07690833</v>
      </c>
      <c r="AP462" s="34">
        <f t="shared" si="436"/>
        <v>25.38639145</v>
      </c>
      <c r="AQ462" s="34">
        <f t="shared" si="437"/>
        <v>17.7904633</v>
      </c>
      <c r="AR462" s="34">
        <f t="shared" si="438"/>
        <v>13.69265996</v>
      </c>
      <c r="AS462" s="34">
        <f t="shared" si="439"/>
        <v>0.05357696658</v>
      </c>
      <c r="AT462" s="35">
        <f t="shared" si="15"/>
        <v>100</v>
      </c>
      <c r="AV462" s="32">
        <f t="shared" si="447"/>
        <v>12763.93281</v>
      </c>
    </row>
    <row r="463" ht="14.25" customHeight="1">
      <c r="B463" s="83"/>
      <c r="C463" s="74" t="s">
        <v>46</v>
      </c>
      <c r="D463" s="74"/>
      <c r="E463" s="84" t="s">
        <v>75</v>
      </c>
      <c r="F463" s="20" t="s">
        <v>86</v>
      </c>
      <c r="G463" s="27">
        <f>49.6*100/(100-O463)</f>
        <v>50.05045409</v>
      </c>
      <c r="H463" s="27">
        <f>5.9*100/(100-O463)</f>
        <v>5.95358224</v>
      </c>
      <c r="I463" s="27">
        <f>43.3*100/(100-O463)</f>
        <v>43.69323915</v>
      </c>
      <c r="J463" s="27">
        <f>0.2*100/(100-O463)</f>
        <v>0.2018163471</v>
      </c>
      <c r="K463" s="27">
        <f>0.1*100/(100-O463)</f>
        <v>0.1009081736</v>
      </c>
      <c r="L463" s="22">
        <v>11.85</v>
      </c>
      <c r="M463" s="22">
        <v>80.3</v>
      </c>
      <c r="N463" s="22">
        <v>6.95</v>
      </c>
      <c r="O463" s="22">
        <v>0.9</v>
      </c>
      <c r="P463" s="76">
        <v>0.0</v>
      </c>
      <c r="Q463" s="22">
        <v>749.85</v>
      </c>
      <c r="R463" s="22" t="s">
        <v>51</v>
      </c>
      <c r="S463" s="85">
        <v>1.0</v>
      </c>
      <c r="T463" s="22">
        <v>16.2</v>
      </c>
      <c r="U463" s="22">
        <v>23.2</v>
      </c>
      <c r="V463" s="22">
        <v>44.7</v>
      </c>
      <c r="W463" s="22">
        <v>16.6</v>
      </c>
      <c r="X463" s="22">
        <v>15.6</v>
      </c>
      <c r="Y463" s="78">
        <f t="shared" si="430"/>
        <v>0.1327153374</v>
      </c>
      <c r="Z463" s="22">
        <v>0.528</v>
      </c>
      <c r="AA463" s="22" t="s">
        <v>51</v>
      </c>
      <c r="AB463" s="22" t="s">
        <v>51</v>
      </c>
      <c r="AC463" s="32">
        <f t="shared" si="446"/>
        <v>13741.60536</v>
      </c>
      <c r="AD463" s="80" t="s">
        <v>51</v>
      </c>
      <c r="AK463" s="33">
        <f t="shared" si="432"/>
        <v>0.007207726683</v>
      </c>
      <c r="AL463" s="33">
        <f t="shared" si="433"/>
        <v>5.423759654</v>
      </c>
      <c r="AM463" s="33">
        <f t="shared" si="434"/>
        <v>5.430967381</v>
      </c>
      <c r="AO463" s="34">
        <f t="shared" si="435"/>
        <v>23.16921004</v>
      </c>
      <c r="AP463" s="34">
        <f t="shared" si="436"/>
        <v>44.64067624</v>
      </c>
      <c r="AQ463" s="34">
        <f t="shared" si="437"/>
        <v>16.57796925</v>
      </c>
      <c r="AR463" s="34">
        <f t="shared" si="438"/>
        <v>15.57929641</v>
      </c>
      <c r="AS463" s="34">
        <f t="shared" si="439"/>
        <v>0.1327153374</v>
      </c>
      <c r="AT463" s="35">
        <f t="shared" si="15"/>
        <v>100.0998673</v>
      </c>
      <c r="AV463" s="32">
        <f t="shared" si="447"/>
        <v>13723.36814</v>
      </c>
    </row>
    <row r="464" ht="14.25" customHeight="1">
      <c r="B464" s="83"/>
      <c r="C464" s="74" t="s">
        <v>46</v>
      </c>
      <c r="D464" s="74"/>
      <c r="E464" s="84" t="s">
        <v>75</v>
      </c>
      <c r="F464" s="20" t="s">
        <v>87</v>
      </c>
      <c r="G464" s="27">
        <f>46.62*100/(100-O464)</f>
        <v>48.71473354</v>
      </c>
      <c r="H464" s="27">
        <f>5.97*100/(100-O464)</f>
        <v>6.238244514</v>
      </c>
      <c r="I464" s="27">
        <f>41.8*100/(100-O464)</f>
        <v>43.67816092</v>
      </c>
      <c r="J464" s="27">
        <f>1.09*100/(100-O464)</f>
        <v>1.138975967</v>
      </c>
      <c r="K464" s="27">
        <f>0.22*100/(100-O464)</f>
        <v>0.2298850575</v>
      </c>
      <c r="L464" s="22">
        <v>15.5</v>
      </c>
      <c r="M464" s="22">
        <v>72.3</v>
      </c>
      <c r="N464" s="22">
        <v>7.9</v>
      </c>
      <c r="O464" s="22">
        <v>4.3</v>
      </c>
      <c r="P464" s="76">
        <v>0.0</v>
      </c>
      <c r="Q464" s="22">
        <v>749.85</v>
      </c>
      <c r="R464" s="22" t="s">
        <v>51</v>
      </c>
      <c r="S464" s="85">
        <v>1.0</v>
      </c>
      <c r="T464" s="22">
        <v>15.2</v>
      </c>
      <c r="U464" s="22">
        <v>33.7</v>
      </c>
      <c r="V464" s="22">
        <v>33.0</v>
      </c>
      <c r="W464" s="22">
        <v>19.1</v>
      </c>
      <c r="X464" s="22">
        <v>14.2</v>
      </c>
      <c r="Y464" s="78">
        <f t="shared" si="430"/>
        <v>0.6599565106</v>
      </c>
      <c r="Z464" s="22">
        <v>0.552</v>
      </c>
      <c r="AA464" s="22" t="s">
        <v>51</v>
      </c>
      <c r="AB464" s="22" t="s">
        <v>51</v>
      </c>
      <c r="AC464" s="32">
        <f t="shared" si="446"/>
        <v>12895.32946</v>
      </c>
      <c r="AD464" s="80" t="s">
        <v>51</v>
      </c>
      <c r="AK464" s="33">
        <f t="shared" si="432"/>
        <v>0.04067771309</v>
      </c>
      <c r="AL464" s="33">
        <f t="shared" si="433"/>
        <v>6.123018293</v>
      </c>
      <c r="AM464" s="33">
        <f t="shared" si="434"/>
        <v>6.163696006</v>
      </c>
      <c r="AO464" s="34">
        <f t="shared" si="435"/>
        <v>33.47759466</v>
      </c>
      <c r="AP464" s="34">
        <f t="shared" si="436"/>
        <v>32.78221435</v>
      </c>
      <c r="AQ464" s="34">
        <f t="shared" si="437"/>
        <v>18.97394831</v>
      </c>
      <c r="AR464" s="34">
        <f t="shared" si="438"/>
        <v>14.10628618</v>
      </c>
      <c r="AS464" s="34">
        <f t="shared" si="439"/>
        <v>0.6599565106</v>
      </c>
      <c r="AT464" s="35">
        <f t="shared" si="15"/>
        <v>100</v>
      </c>
      <c r="AV464" s="32">
        <f t="shared" si="447"/>
        <v>12810.2259</v>
      </c>
    </row>
    <row r="465" ht="14.25" customHeight="1">
      <c r="A465" s="18"/>
      <c r="B465" s="83" t="s">
        <v>88</v>
      </c>
      <c r="C465" s="20" t="s">
        <v>46</v>
      </c>
      <c r="D465" s="74" t="s">
        <v>89</v>
      </c>
      <c r="E465" s="22" t="s">
        <v>48</v>
      </c>
      <c r="F465" s="86" t="s">
        <v>90</v>
      </c>
      <c r="G465" s="22">
        <v>51.72</v>
      </c>
      <c r="H465" s="22">
        <v>6.0</v>
      </c>
      <c r="I465" s="22">
        <v>41.48</v>
      </c>
      <c r="J465" s="22">
        <v>0.62</v>
      </c>
      <c r="K465" s="40">
        <f t="shared" ref="K465:K476" si="449">100-SUM(G465:J465)</f>
        <v>0.18</v>
      </c>
      <c r="L465" s="22">
        <v>15.2</v>
      </c>
      <c r="M465" s="22">
        <v>70.3</v>
      </c>
      <c r="N465" s="22">
        <v>11.2</v>
      </c>
      <c r="O465" s="22">
        <v>3.3</v>
      </c>
      <c r="P465" s="22">
        <v>0.277</v>
      </c>
      <c r="Q465" s="22">
        <v>502.85</v>
      </c>
      <c r="R465" s="22" t="s">
        <v>81</v>
      </c>
      <c r="S465" s="25">
        <v>0.0</v>
      </c>
      <c r="T465" s="22" t="s">
        <v>51</v>
      </c>
      <c r="U465" s="25">
        <v>19.7872340425532</v>
      </c>
      <c r="V465" s="25">
        <v>10.4680851063829</v>
      </c>
      <c r="W465" s="25">
        <v>19.1489361702127</v>
      </c>
      <c r="X465" s="25">
        <v>2.80851063829788</v>
      </c>
      <c r="Y465" s="25">
        <v>47.2340425531915</v>
      </c>
      <c r="Z465" s="22">
        <v>2.89</v>
      </c>
      <c r="AA465" s="22" t="s">
        <v>51</v>
      </c>
      <c r="AB465" s="22">
        <v>67.1</v>
      </c>
      <c r="AC465" s="22">
        <v>4430.0</v>
      </c>
      <c r="AD465" s="80" t="s">
        <v>51</v>
      </c>
      <c r="AO465" s="34">
        <f t="shared" ref="AO465:AS465" si="448">U465</f>
        <v>19.78723404</v>
      </c>
      <c r="AP465" s="34">
        <f t="shared" si="448"/>
        <v>10.46808511</v>
      </c>
      <c r="AQ465" s="34">
        <f t="shared" si="448"/>
        <v>19.14893617</v>
      </c>
      <c r="AR465" s="34">
        <f t="shared" si="448"/>
        <v>2.808510638</v>
      </c>
      <c r="AS465" s="34">
        <f t="shared" si="448"/>
        <v>47.23404255</v>
      </c>
      <c r="AT465" s="35">
        <f t="shared" si="15"/>
        <v>99.44680851</v>
      </c>
      <c r="AV465" s="25">
        <f t="shared" ref="AV465:AV476" si="451">AC465</f>
        <v>4430</v>
      </c>
    </row>
    <row r="466" ht="14.25" customHeight="1">
      <c r="B466" s="83"/>
      <c r="C466" s="20" t="s">
        <v>46</v>
      </c>
      <c r="D466" s="74"/>
      <c r="E466" s="22" t="s">
        <v>53</v>
      </c>
      <c r="F466" s="86"/>
      <c r="G466" s="22">
        <v>51.72</v>
      </c>
      <c r="H466" s="22">
        <v>6.0</v>
      </c>
      <c r="I466" s="22">
        <v>41.48</v>
      </c>
      <c r="J466" s="22">
        <v>0.62</v>
      </c>
      <c r="K466" s="40">
        <f t="shared" si="449"/>
        <v>0.18</v>
      </c>
      <c r="L466" s="22">
        <v>15.2</v>
      </c>
      <c r="M466" s="22">
        <v>70.3</v>
      </c>
      <c r="N466" s="22">
        <v>11.2</v>
      </c>
      <c r="O466" s="22">
        <v>3.3</v>
      </c>
      <c r="P466" s="22">
        <v>0.277</v>
      </c>
      <c r="Q466" s="22">
        <v>478.85</v>
      </c>
      <c r="R466" s="22" t="s">
        <v>81</v>
      </c>
      <c r="S466" s="25">
        <v>0.62</v>
      </c>
      <c r="T466" s="22" t="s">
        <v>51</v>
      </c>
      <c r="U466" s="25">
        <v>22.4680851063829</v>
      </c>
      <c r="V466" s="25">
        <v>8.5531914893617</v>
      </c>
      <c r="W466" s="25">
        <v>19.2765957446808</v>
      </c>
      <c r="X466" s="25">
        <v>3.19148936170213</v>
      </c>
      <c r="Y466" s="25">
        <v>45.063829787234</v>
      </c>
      <c r="Z466" s="22">
        <v>2.99</v>
      </c>
      <c r="AA466" s="22" t="s">
        <v>51</v>
      </c>
      <c r="AB466" s="22">
        <v>73.1</v>
      </c>
      <c r="AC466" s="22">
        <v>4490.0</v>
      </c>
      <c r="AD466" s="80" t="s">
        <v>51</v>
      </c>
      <c r="AO466" s="34">
        <f t="shared" ref="AO466:AS466" si="450">U466</f>
        <v>22.46808511</v>
      </c>
      <c r="AP466" s="34">
        <f t="shared" si="450"/>
        <v>8.553191489</v>
      </c>
      <c r="AQ466" s="34">
        <f t="shared" si="450"/>
        <v>19.27659574</v>
      </c>
      <c r="AR466" s="34">
        <f t="shared" si="450"/>
        <v>3.191489362</v>
      </c>
      <c r="AS466" s="34">
        <f t="shared" si="450"/>
        <v>45.06382979</v>
      </c>
      <c r="AT466" s="35">
        <f t="shared" si="15"/>
        <v>98.55319149</v>
      </c>
      <c r="AV466" s="25">
        <f t="shared" si="451"/>
        <v>4490</v>
      </c>
    </row>
    <row r="467" ht="14.25" customHeight="1">
      <c r="B467" s="83"/>
      <c r="C467" s="20" t="s">
        <v>46</v>
      </c>
      <c r="D467" s="74"/>
      <c r="E467" s="22" t="s">
        <v>53</v>
      </c>
      <c r="F467" s="86"/>
      <c r="G467" s="22">
        <v>51.72</v>
      </c>
      <c r="H467" s="22">
        <v>6.0</v>
      </c>
      <c r="I467" s="22">
        <v>41.48</v>
      </c>
      <c r="J467" s="22">
        <v>0.62</v>
      </c>
      <c r="K467" s="40">
        <f t="shared" si="449"/>
        <v>0.18</v>
      </c>
      <c r="L467" s="22">
        <v>15.2</v>
      </c>
      <c r="M467" s="22">
        <v>70.3</v>
      </c>
      <c r="N467" s="22">
        <v>11.2</v>
      </c>
      <c r="O467" s="22">
        <v>3.3</v>
      </c>
      <c r="P467" s="22">
        <v>0.277</v>
      </c>
      <c r="Q467" s="22">
        <v>447.85</v>
      </c>
      <c r="R467" s="22" t="s">
        <v>81</v>
      </c>
      <c r="S467" s="25">
        <v>1.16</v>
      </c>
      <c r="T467" s="22" t="s">
        <v>51</v>
      </c>
      <c r="U467" s="25">
        <v>24.3829787234042</v>
      </c>
      <c r="V467" s="25">
        <v>6.51063829787234</v>
      </c>
      <c r="W467" s="25">
        <v>19.9148936170212</v>
      </c>
      <c r="X467" s="25">
        <v>2.93617021276595</v>
      </c>
      <c r="Y467" s="25">
        <v>44.9361702127659</v>
      </c>
      <c r="Z467" s="22">
        <v>3.03</v>
      </c>
      <c r="AA467" s="22" t="s">
        <v>51</v>
      </c>
      <c r="AB467" s="22">
        <v>83.6</v>
      </c>
      <c r="AC467" s="22">
        <v>4470.0</v>
      </c>
      <c r="AD467" s="80" t="s">
        <v>51</v>
      </c>
      <c r="AO467" s="34">
        <f t="shared" ref="AO467:AS467" si="452">U467</f>
        <v>24.38297872</v>
      </c>
      <c r="AP467" s="34">
        <f t="shared" si="452"/>
        <v>6.510638298</v>
      </c>
      <c r="AQ467" s="34">
        <f t="shared" si="452"/>
        <v>19.91489362</v>
      </c>
      <c r="AR467" s="34">
        <f t="shared" si="452"/>
        <v>2.936170213</v>
      </c>
      <c r="AS467" s="34">
        <f t="shared" si="452"/>
        <v>44.93617021</v>
      </c>
      <c r="AT467" s="35">
        <f t="shared" si="15"/>
        <v>98.68085106</v>
      </c>
      <c r="AV467" s="25">
        <f t="shared" si="451"/>
        <v>4470</v>
      </c>
    </row>
    <row r="468" ht="14.25" customHeight="1">
      <c r="B468" s="83"/>
      <c r="C468" s="20" t="s">
        <v>46</v>
      </c>
      <c r="D468" s="74"/>
      <c r="E468" s="22" t="s">
        <v>53</v>
      </c>
      <c r="F468" s="86"/>
      <c r="G468" s="22">
        <v>51.72</v>
      </c>
      <c r="H468" s="22">
        <v>6.0</v>
      </c>
      <c r="I468" s="22">
        <v>41.48</v>
      </c>
      <c r="J468" s="22">
        <v>0.62</v>
      </c>
      <c r="K468" s="40">
        <f t="shared" si="449"/>
        <v>0.18</v>
      </c>
      <c r="L468" s="22">
        <v>15.2</v>
      </c>
      <c r="M468" s="22">
        <v>70.3</v>
      </c>
      <c r="N468" s="22">
        <v>11.2</v>
      </c>
      <c r="O468" s="22">
        <v>3.3</v>
      </c>
      <c r="P468" s="22">
        <v>0.277</v>
      </c>
      <c r="Q468" s="22">
        <v>425.85</v>
      </c>
      <c r="R468" s="22" t="s">
        <v>81</v>
      </c>
      <c r="S468" s="25">
        <v>1.78</v>
      </c>
      <c r="T468" s="22" t="s">
        <v>51</v>
      </c>
      <c r="U468" s="25">
        <v>25.4042553191489</v>
      </c>
      <c r="V468" s="25">
        <v>5.48936170212766</v>
      </c>
      <c r="W468" s="25">
        <v>20.6808510638297</v>
      </c>
      <c r="X468" s="25">
        <v>3.06382978723404</v>
      </c>
      <c r="Y468" s="25">
        <v>43.9148936170212</v>
      </c>
      <c r="Z468" s="22">
        <v>3.11</v>
      </c>
      <c r="AA468" s="22" t="s">
        <v>51</v>
      </c>
      <c r="AB468" s="22">
        <v>88.3</v>
      </c>
      <c r="AC468" s="22">
        <v>4510.0</v>
      </c>
      <c r="AD468" s="80" t="s">
        <v>51</v>
      </c>
      <c r="AO468" s="34">
        <f t="shared" ref="AO468:AS468" si="453">U468</f>
        <v>25.40425532</v>
      </c>
      <c r="AP468" s="34">
        <f t="shared" si="453"/>
        <v>5.489361702</v>
      </c>
      <c r="AQ468" s="34">
        <f t="shared" si="453"/>
        <v>20.68085106</v>
      </c>
      <c r="AR468" s="34">
        <f t="shared" si="453"/>
        <v>3.063829787</v>
      </c>
      <c r="AS468" s="34">
        <f t="shared" si="453"/>
        <v>43.91489362</v>
      </c>
      <c r="AT468" s="35">
        <f t="shared" si="15"/>
        <v>98.55319149</v>
      </c>
      <c r="AV468" s="25">
        <f t="shared" si="451"/>
        <v>4510</v>
      </c>
    </row>
    <row r="469" ht="14.25" customHeight="1">
      <c r="B469" s="83"/>
      <c r="C469" s="20" t="s">
        <v>46</v>
      </c>
      <c r="D469" s="74"/>
      <c r="E469" s="22" t="s">
        <v>53</v>
      </c>
      <c r="F469" s="86"/>
      <c r="G469" s="22">
        <v>51.72</v>
      </c>
      <c r="H469" s="22">
        <v>6.0</v>
      </c>
      <c r="I469" s="22">
        <v>41.48</v>
      </c>
      <c r="J469" s="22">
        <v>0.62</v>
      </c>
      <c r="K469" s="40">
        <f t="shared" si="449"/>
        <v>0.18</v>
      </c>
      <c r="L469" s="22">
        <v>15.2</v>
      </c>
      <c r="M469" s="22">
        <v>70.3</v>
      </c>
      <c r="N469" s="22">
        <v>11.2</v>
      </c>
      <c r="O469" s="22">
        <v>3.3</v>
      </c>
      <c r="P469" s="22">
        <v>0.277</v>
      </c>
      <c r="Q469" s="22">
        <v>387.85</v>
      </c>
      <c r="R469" s="22" t="s">
        <v>81</v>
      </c>
      <c r="S469" s="25">
        <v>2.24</v>
      </c>
      <c r="T469" s="22" t="s">
        <v>51</v>
      </c>
      <c r="U469" s="25">
        <v>27.9574468085106</v>
      </c>
      <c r="V469" s="25">
        <v>4.46808510638298</v>
      </c>
      <c r="W469" s="25">
        <v>21.9574468085106</v>
      </c>
      <c r="X469" s="25">
        <v>2.68085106382979</v>
      </c>
      <c r="Y469" s="25">
        <v>40.9787234042553</v>
      </c>
      <c r="Z469" s="22">
        <v>3.3</v>
      </c>
      <c r="AA469" s="22" t="s">
        <v>51</v>
      </c>
      <c r="AB469" s="22">
        <v>96.6</v>
      </c>
      <c r="AC469" s="22">
        <v>4500.0</v>
      </c>
      <c r="AD469" s="80" t="s">
        <v>51</v>
      </c>
      <c r="AO469" s="34">
        <f t="shared" ref="AO469:AS469" si="454">U469</f>
        <v>27.95744681</v>
      </c>
      <c r="AP469" s="34">
        <f t="shared" si="454"/>
        <v>4.468085106</v>
      </c>
      <c r="AQ469" s="34">
        <f t="shared" si="454"/>
        <v>21.95744681</v>
      </c>
      <c r="AR469" s="34">
        <f t="shared" si="454"/>
        <v>2.680851064</v>
      </c>
      <c r="AS469" s="34">
        <f t="shared" si="454"/>
        <v>40.9787234</v>
      </c>
      <c r="AT469" s="35">
        <f t="shared" si="15"/>
        <v>98.04255319</v>
      </c>
      <c r="AV469" s="25">
        <f t="shared" si="451"/>
        <v>4500</v>
      </c>
    </row>
    <row r="470" ht="14.25" customHeight="1">
      <c r="B470" s="83"/>
      <c r="C470" s="20" t="s">
        <v>46</v>
      </c>
      <c r="D470" s="74"/>
      <c r="E470" s="22" t="s">
        <v>53</v>
      </c>
      <c r="F470" s="86"/>
      <c r="G470" s="22">
        <v>51.72</v>
      </c>
      <c r="H470" s="22">
        <v>6.0</v>
      </c>
      <c r="I470" s="22">
        <v>41.48</v>
      </c>
      <c r="J470" s="22">
        <v>0.62</v>
      </c>
      <c r="K470" s="40">
        <f t="shared" si="449"/>
        <v>0.18</v>
      </c>
      <c r="L470" s="22">
        <v>15.2</v>
      </c>
      <c r="M470" s="22">
        <v>70.3</v>
      </c>
      <c r="N470" s="22">
        <v>11.2</v>
      </c>
      <c r="O470" s="22">
        <v>3.3</v>
      </c>
      <c r="P470" s="22">
        <v>0.277</v>
      </c>
      <c r="Q470" s="22">
        <v>378.85</v>
      </c>
      <c r="R470" s="22" t="s">
        <v>81</v>
      </c>
      <c r="S470" s="25">
        <v>2.53</v>
      </c>
      <c r="T470" s="22" t="s">
        <v>51</v>
      </c>
      <c r="U470" s="25">
        <v>28.4680851063829</v>
      </c>
      <c r="V470" s="25">
        <v>3.70212765957447</v>
      </c>
      <c r="W470" s="25">
        <v>22.595744680851</v>
      </c>
      <c r="X470" s="25">
        <v>2.93617021276595</v>
      </c>
      <c r="Y470" s="25">
        <v>39.7021276595744</v>
      </c>
      <c r="Z470" s="22">
        <v>3.41</v>
      </c>
      <c r="AA470" s="22" t="s">
        <v>51</v>
      </c>
      <c r="AB470" s="22">
        <v>93.3</v>
      </c>
      <c r="AC470" s="22">
        <v>4480.0</v>
      </c>
      <c r="AD470" s="80" t="s">
        <v>51</v>
      </c>
      <c r="AO470" s="34">
        <f t="shared" ref="AO470:AS470" si="455">U470</f>
        <v>28.46808511</v>
      </c>
      <c r="AP470" s="34">
        <f t="shared" si="455"/>
        <v>3.70212766</v>
      </c>
      <c r="AQ470" s="34">
        <f t="shared" si="455"/>
        <v>22.59574468</v>
      </c>
      <c r="AR470" s="34">
        <f t="shared" si="455"/>
        <v>2.936170213</v>
      </c>
      <c r="AS470" s="34">
        <f t="shared" si="455"/>
        <v>39.70212766</v>
      </c>
      <c r="AT470" s="35">
        <f t="shared" si="15"/>
        <v>97.40425532</v>
      </c>
      <c r="AV470" s="25">
        <f t="shared" si="451"/>
        <v>4480</v>
      </c>
    </row>
    <row r="471" ht="14.25" customHeight="1">
      <c r="B471" s="83"/>
      <c r="C471" s="44" t="s">
        <v>46</v>
      </c>
      <c r="D471" s="74"/>
      <c r="E471" s="22" t="s">
        <v>48</v>
      </c>
      <c r="F471" s="86"/>
      <c r="G471" s="22">
        <v>51.72</v>
      </c>
      <c r="H471" s="22">
        <v>6.0</v>
      </c>
      <c r="I471" s="22">
        <v>41.48</v>
      </c>
      <c r="J471" s="22">
        <v>0.62</v>
      </c>
      <c r="K471" s="40">
        <f t="shared" si="449"/>
        <v>0.18</v>
      </c>
      <c r="L471" s="22">
        <v>15.2</v>
      </c>
      <c r="M471" s="22">
        <v>70.3</v>
      </c>
      <c r="N471" s="22">
        <v>11.2</v>
      </c>
      <c r="O471" s="22">
        <v>3.3</v>
      </c>
      <c r="P471" s="22">
        <v>0.424</v>
      </c>
      <c r="Q471" s="22">
        <v>747.85</v>
      </c>
      <c r="R471" s="22" t="s">
        <v>81</v>
      </c>
      <c r="S471" s="25">
        <v>0.0</v>
      </c>
      <c r="T471" s="22" t="s">
        <v>51</v>
      </c>
      <c r="U471" s="25">
        <v>10.595744680851</v>
      </c>
      <c r="V471" s="25">
        <v>9.06382978723404</v>
      </c>
      <c r="W471" s="25">
        <v>20.6808510638297</v>
      </c>
      <c r="X471" s="25">
        <v>2.5531914893617</v>
      </c>
      <c r="Y471" s="25">
        <v>59.2340425531915</v>
      </c>
      <c r="Z471" s="22">
        <v>3.49</v>
      </c>
      <c r="AA471" s="22" t="s">
        <v>51</v>
      </c>
      <c r="AB471" s="22">
        <v>69.3</v>
      </c>
      <c r="AC471" s="22">
        <v>3150.0</v>
      </c>
      <c r="AD471" s="80" t="s">
        <v>51</v>
      </c>
      <c r="AO471" s="34">
        <f t="shared" ref="AO471:AS471" si="456">U471</f>
        <v>10.59574468</v>
      </c>
      <c r="AP471" s="34">
        <f t="shared" si="456"/>
        <v>9.063829787</v>
      </c>
      <c r="AQ471" s="34">
        <f t="shared" si="456"/>
        <v>20.68085106</v>
      </c>
      <c r="AR471" s="34">
        <f t="shared" si="456"/>
        <v>2.553191489</v>
      </c>
      <c r="AS471" s="34">
        <f t="shared" si="456"/>
        <v>59.23404255</v>
      </c>
      <c r="AT471" s="35">
        <f t="shared" si="15"/>
        <v>102.1276596</v>
      </c>
      <c r="AV471" s="25">
        <f t="shared" si="451"/>
        <v>3150</v>
      </c>
    </row>
    <row r="472" ht="14.25" customHeight="1">
      <c r="B472" s="83"/>
      <c r="C472" s="20" t="s">
        <v>46</v>
      </c>
      <c r="D472" s="74"/>
      <c r="E472" s="22" t="s">
        <v>53</v>
      </c>
      <c r="F472" s="86"/>
      <c r="G472" s="22">
        <v>51.72</v>
      </c>
      <c r="H472" s="22">
        <v>6.0</v>
      </c>
      <c r="I472" s="22">
        <v>41.48</v>
      </c>
      <c r="J472" s="22">
        <v>0.62</v>
      </c>
      <c r="K472" s="40">
        <f t="shared" si="449"/>
        <v>0.18</v>
      </c>
      <c r="L472" s="22">
        <v>15.2</v>
      </c>
      <c r="M472" s="22">
        <v>70.3</v>
      </c>
      <c r="N472" s="22">
        <v>11.2</v>
      </c>
      <c r="O472" s="22">
        <v>3.3</v>
      </c>
      <c r="P472" s="22">
        <v>0.424</v>
      </c>
      <c r="Q472" s="22">
        <v>713.85</v>
      </c>
      <c r="R472" s="22" t="s">
        <v>81</v>
      </c>
      <c r="S472" s="25">
        <v>0.62</v>
      </c>
      <c r="T472" s="22" t="s">
        <v>51</v>
      </c>
      <c r="U472" s="25">
        <v>12.7659574468085</v>
      </c>
      <c r="V472" s="25">
        <v>7.91489361702129</v>
      </c>
      <c r="W472" s="25">
        <v>21.3191489361702</v>
      </c>
      <c r="X472" s="25">
        <v>2.42553191489362</v>
      </c>
      <c r="Y472" s="25">
        <v>58.2127659574468</v>
      </c>
      <c r="Z472" s="22">
        <v>3.59</v>
      </c>
      <c r="AA472" s="22" t="s">
        <v>51</v>
      </c>
      <c r="AB472" s="22">
        <v>72.2</v>
      </c>
      <c r="AC472" s="22">
        <v>3240.0</v>
      </c>
      <c r="AD472" s="80" t="s">
        <v>51</v>
      </c>
      <c r="AO472" s="34">
        <f t="shared" ref="AO472:AS472" si="457">U472</f>
        <v>12.76595745</v>
      </c>
      <c r="AP472" s="34">
        <f t="shared" si="457"/>
        <v>7.914893617</v>
      </c>
      <c r="AQ472" s="34">
        <f t="shared" si="457"/>
        <v>21.31914894</v>
      </c>
      <c r="AR472" s="34">
        <f t="shared" si="457"/>
        <v>2.425531915</v>
      </c>
      <c r="AS472" s="34">
        <f t="shared" si="457"/>
        <v>58.21276596</v>
      </c>
      <c r="AT472" s="35">
        <f t="shared" si="15"/>
        <v>102.6382979</v>
      </c>
      <c r="AV472" s="25">
        <f t="shared" si="451"/>
        <v>3240</v>
      </c>
    </row>
    <row r="473" ht="14.25" customHeight="1">
      <c r="B473" s="83"/>
      <c r="C473" s="20" t="s">
        <v>46</v>
      </c>
      <c r="D473" s="74"/>
      <c r="E473" s="22" t="s">
        <v>53</v>
      </c>
      <c r="F473" s="86"/>
      <c r="G473" s="22">
        <v>51.72</v>
      </c>
      <c r="H473" s="22">
        <v>6.0</v>
      </c>
      <c r="I473" s="22">
        <v>41.48</v>
      </c>
      <c r="J473" s="22">
        <v>0.62</v>
      </c>
      <c r="K473" s="40">
        <f t="shared" si="449"/>
        <v>0.18</v>
      </c>
      <c r="L473" s="22">
        <v>15.2</v>
      </c>
      <c r="M473" s="22">
        <v>70.3</v>
      </c>
      <c r="N473" s="22">
        <v>11.2</v>
      </c>
      <c r="O473" s="22">
        <v>3.3</v>
      </c>
      <c r="P473" s="22">
        <v>0.424</v>
      </c>
      <c r="Q473" s="22">
        <v>670.85</v>
      </c>
      <c r="R473" s="22" t="s">
        <v>81</v>
      </c>
      <c r="S473" s="25">
        <v>1.16</v>
      </c>
      <c r="T473" s="22" t="s">
        <v>51</v>
      </c>
      <c r="U473" s="25">
        <v>15.5744680851063</v>
      </c>
      <c r="V473" s="25">
        <v>6.51063829787234</v>
      </c>
      <c r="W473" s="25">
        <v>21.7021276595744</v>
      </c>
      <c r="X473" s="25">
        <v>2.17021276595745</v>
      </c>
      <c r="Y473" s="25">
        <v>56.2978723404255</v>
      </c>
      <c r="Z473" s="22">
        <v>3.71</v>
      </c>
      <c r="AA473" s="22" t="s">
        <v>51</v>
      </c>
      <c r="AB473" s="22">
        <v>75.7</v>
      </c>
      <c r="AC473" s="22">
        <v>3240.0</v>
      </c>
      <c r="AD473" s="80" t="s">
        <v>51</v>
      </c>
      <c r="AO473" s="34">
        <f t="shared" ref="AO473:AS473" si="458">U473</f>
        <v>15.57446809</v>
      </c>
      <c r="AP473" s="34">
        <f t="shared" si="458"/>
        <v>6.510638298</v>
      </c>
      <c r="AQ473" s="34">
        <f t="shared" si="458"/>
        <v>21.70212766</v>
      </c>
      <c r="AR473" s="34">
        <f t="shared" si="458"/>
        <v>2.170212766</v>
      </c>
      <c r="AS473" s="34">
        <f t="shared" si="458"/>
        <v>56.29787234</v>
      </c>
      <c r="AT473" s="35">
        <f t="shared" si="15"/>
        <v>102.2553191</v>
      </c>
      <c r="AV473" s="25">
        <f t="shared" si="451"/>
        <v>3240</v>
      </c>
    </row>
    <row r="474" ht="14.25" customHeight="1">
      <c r="B474" s="83"/>
      <c r="C474" s="20" t="s">
        <v>46</v>
      </c>
      <c r="D474" s="74"/>
      <c r="E474" s="22" t="s">
        <v>53</v>
      </c>
      <c r="F474" s="86"/>
      <c r="G474" s="22">
        <v>51.72</v>
      </c>
      <c r="H474" s="22">
        <v>6.0</v>
      </c>
      <c r="I474" s="22">
        <v>41.48</v>
      </c>
      <c r="J474" s="22">
        <v>0.62</v>
      </c>
      <c r="K474" s="40">
        <f t="shared" si="449"/>
        <v>0.18</v>
      </c>
      <c r="L474" s="22">
        <v>15.2</v>
      </c>
      <c r="M474" s="22">
        <v>70.3</v>
      </c>
      <c r="N474" s="22">
        <v>11.2</v>
      </c>
      <c r="O474" s="22">
        <v>3.3</v>
      </c>
      <c r="P474" s="22">
        <v>0.424</v>
      </c>
      <c r="Q474" s="22">
        <v>565.85</v>
      </c>
      <c r="R474" s="22" t="s">
        <v>81</v>
      </c>
      <c r="S474" s="25">
        <v>1.78</v>
      </c>
      <c r="T474" s="22" t="s">
        <v>51</v>
      </c>
      <c r="U474" s="25">
        <v>16.3404255319149</v>
      </c>
      <c r="V474" s="25">
        <v>6.12765957446808</v>
      </c>
      <c r="W474" s="25">
        <v>22.7234042553191</v>
      </c>
      <c r="X474" s="25">
        <v>1.91489361702127</v>
      </c>
      <c r="Y474" s="25">
        <v>55.531914893617</v>
      </c>
      <c r="Z474" s="22">
        <v>3.78</v>
      </c>
      <c r="AA474" s="22" t="s">
        <v>51</v>
      </c>
      <c r="AB474" s="22">
        <v>80.4</v>
      </c>
      <c r="AC474" s="22">
        <v>3170.0</v>
      </c>
      <c r="AD474" s="80" t="s">
        <v>51</v>
      </c>
      <c r="AO474" s="34">
        <f t="shared" ref="AO474:AS474" si="459">U474</f>
        <v>16.34042553</v>
      </c>
      <c r="AP474" s="34">
        <f t="shared" si="459"/>
        <v>6.127659574</v>
      </c>
      <c r="AQ474" s="34">
        <f t="shared" si="459"/>
        <v>22.72340426</v>
      </c>
      <c r="AR474" s="34">
        <f t="shared" si="459"/>
        <v>1.914893617</v>
      </c>
      <c r="AS474" s="34">
        <f t="shared" si="459"/>
        <v>55.53191489</v>
      </c>
      <c r="AT474" s="35">
        <f t="shared" si="15"/>
        <v>102.6382979</v>
      </c>
      <c r="AV474" s="25">
        <f t="shared" si="451"/>
        <v>3170</v>
      </c>
    </row>
    <row r="475" ht="14.25" customHeight="1">
      <c r="B475" s="83"/>
      <c r="C475" s="20" t="s">
        <v>46</v>
      </c>
      <c r="D475" s="74"/>
      <c r="E475" s="22" t="s">
        <v>53</v>
      </c>
      <c r="F475" s="86"/>
      <c r="G475" s="22">
        <v>51.72</v>
      </c>
      <c r="H475" s="22">
        <v>6.0</v>
      </c>
      <c r="I475" s="22">
        <v>41.48</v>
      </c>
      <c r="J475" s="22">
        <v>0.62</v>
      </c>
      <c r="K475" s="40">
        <f t="shared" si="449"/>
        <v>0.18</v>
      </c>
      <c r="L475" s="22">
        <v>15.2</v>
      </c>
      <c r="M475" s="22">
        <v>70.3</v>
      </c>
      <c r="N475" s="22">
        <v>11.2</v>
      </c>
      <c r="O475" s="22">
        <v>3.3</v>
      </c>
      <c r="P475" s="22">
        <v>0.424</v>
      </c>
      <c r="Q475" s="22">
        <v>424.85</v>
      </c>
      <c r="R475" s="22" t="s">
        <v>81</v>
      </c>
      <c r="S475" s="25">
        <v>2.24</v>
      </c>
      <c r="T475" s="22" t="s">
        <v>51</v>
      </c>
      <c r="U475" s="25">
        <v>19.0212765957446</v>
      </c>
      <c r="V475" s="25">
        <v>6.0</v>
      </c>
      <c r="W475" s="25">
        <v>24.2553191489361</v>
      </c>
      <c r="X475" s="25">
        <v>1.65957446808511</v>
      </c>
      <c r="Y475" s="25">
        <v>51.8297872340425</v>
      </c>
      <c r="Z475" s="22">
        <v>3.99</v>
      </c>
      <c r="AA475" s="22" t="s">
        <v>51</v>
      </c>
      <c r="AB475" s="22">
        <v>88.2</v>
      </c>
      <c r="AC475" s="22">
        <v>3350.0</v>
      </c>
      <c r="AD475" s="80" t="s">
        <v>51</v>
      </c>
      <c r="AO475" s="34">
        <f t="shared" ref="AO475:AS475" si="460">U475</f>
        <v>19.0212766</v>
      </c>
      <c r="AP475" s="34">
        <f t="shared" si="460"/>
        <v>6</v>
      </c>
      <c r="AQ475" s="34">
        <f t="shared" si="460"/>
        <v>24.25531915</v>
      </c>
      <c r="AR475" s="34">
        <f t="shared" si="460"/>
        <v>1.659574468</v>
      </c>
      <c r="AS475" s="34">
        <f t="shared" si="460"/>
        <v>51.82978723</v>
      </c>
      <c r="AT475" s="35">
        <f t="shared" si="15"/>
        <v>102.7659574</v>
      </c>
      <c r="AV475" s="25">
        <f t="shared" si="451"/>
        <v>3350</v>
      </c>
    </row>
    <row r="476" ht="14.25" customHeight="1">
      <c r="B476" s="83"/>
      <c r="C476" s="20" t="s">
        <v>46</v>
      </c>
      <c r="D476" s="74"/>
      <c r="E476" s="22" t="s">
        <v>53</v>
      </c>
      <c r="F476" s="86"/>
      <c r="G476" s="22">
        <v>51.72</v>
      </c>
      <c r="H476" s="22">
        <v>6.0</v>
      </c>
      <c r="I476" s="22">
        <v>41.48</v>
      </c>
      <c r="J476" s="22">
        <v>0.62</v>
      </c>
      <c r="K476" s="40">
        <f t="shared" si="449"/>
        <v>0.18</v>
      </c>
      <c r="L476" s="22">
        <v>15.2</v>
      </c>
      <c r="M476" s="22">
        <v>70.3</v>
      </c>
      <c r="N476" s="22">
        <v>11.2</v>
      </c>
      <c r="O476" s="22">
        <v>3.3</v>
      </c>
      <c r="P476" s="22">
        <v>0.424</v>
      </c>
      <c r="Q476" s="22">
        <v>352.85</v>
      </c>
      <c r="R476" s="22" t="s">
        <v>81</v>
      </c>
      <c r="S476" s="25">
        <v>2.53</v>
      </c>
      <c r="T476" s="22" t="s">
        <v>51</v>
      </c>
      <c r="U476" s="25">
        <v>21.8297872340425</v>
      </c>
      <c r="V476" s="25">
        <v>5.74468085106383</v>
      </c>
      <c r="W476" s="25">
        <v>26.2978723404255</v>
      </c>
      <c r="X476" s="25">
        <v>1.53191489361702</v>
      </c>
      <c r="Y476" s="25">
        <v>48.5106382978723</v>
      </c>
      <c r="Z476" s="22">
        <v>4.03</v>
      </c>
      <c r="AA476" s="22" t="s">
        <v>51</v>
      </c>
      <c r="AB476" s="22">
        <v>90.1</v>
      </c>
      <c r="AC476" s="22">
        <v>3460.0</v>
      </c>
      <c r="AD476" s="80" t="s">
        <v>51</v>
      </c>
      <c r="AO476" s="34">
        <f t="shared" ref="AO476:AS476" si="461">U476</f>
        <v>21.82978723</v>
      </c>
      <c r="AP476" s="34">
        <f t="shared" si="461"/>
        <v>5.744680851</v>
      </c>
      <c r="AQ476" s="34">
        <f t="shared" si="461"/>
        <v>26.29787234</v>
      </c>
      <c r="AR476" s="34">
        <f t="shared" si="461"/>
        <v>1.531914894</v>
      </c>
      <c r="AS476" s="34">
        <f t="shared" si="461"/>
        <v>48.5106383</v>
      </c>
      <c r="AT476" s="35">
        <f t="shared" si="15"/>
        <v>103.9148936</v>
      </c>
      <c r="AV476" s="25">
        <f t="shared" si="451"/>
        <v>3460</v>
      </c>
    </row>
    <row r="477" ht="14.25" customHeight="1">
      <c r="B477" s="74" t="s">
        <v>91</v>
      </c>
      <c r="C477" s="20" t="s">
        <v>46</v>
      </c>
      <c r="D477" s="74" t="s">
        <v>92</v>
      </c>
      <c r="E477" s="22" t="s">
        <v>48</v>
      </c>
      <c r="F477" s="74" t="s">
        <v>93</v>
      </c>
      <c r="G477" s="22">
        <v>44.44</v>
      </c>
      <c r="H477" s="22">
        <v>6.17</v>
      </c>
      <c r="I477" s="22">
        <v>49.38</v>
      </c>
      <c r="J477" s="22">
        <f t="shared" ref="J477:J483" si="463">100-SUM(G477:I477)</f>
        <v>0.01</v>
      </c>
      <c r="K477" s="22">
        <v>0.0</v>
      </c>
      <c r="L477" s="22">
        <v>0.0</v>
      </c>
      <c r="M477" s="22">
        <v>93.96</v>
      </c>
      <c r="N477" s="22">
        <v>5.97</v>
      </c>
      <c r="O477" s="22">
        <v>0.08</v>
      </c>
      <c r="P477" s="22">
        <v>0.2</v>
      </c>
      <c r="Q477" s="22">
        <v>799.85</v>
      </c>
      <c r="R477" s="20" t="s">
        <v>94</v>
      </c>
      <c r="S477" s="25">
        <v>0.0</v>
      </c>
      <c r="T477" s="22" t="s">
        <v>51</v>
      </c>
      <c r="U477" s="22">
        <v>18.29</v>
      </c>
      <c r="V477" s="22">
        <v>14.97</v>
      </c>
      <c r="W477" s="22">
        <v>24.35</v>
      </c>
      <c r="X477" s="22">
        <v>3.03</v>
      </c>
      <c r="Y477" s="22">
        <v>38.0</v>
      </c>
      <c r="Z477" s="22" t="s">
        <v>51</v>
      </c>
      <c r="AA477" s="22" t="s">
        <v>51</v>
      </c>
      <c r="AB477" s="22" t="s">
        <v>51</v>
      </c>
      <c r="AC477" s="32">
        <f t="shared" ref="AC477:AC488" si="464">((U477*0.24182)+(V477*0.283)+(X477*0.80262))*(10000/22.4)</f>
        <v>4951.489464</v>
      </c>
      <c r="AD477" s="80" t="s">
        <v>51</v>
      </c>
      <c r="AO477" s="34">
        <f t="shared" ref="AO477:AS477" si="462">U477</f>
        <v>18.29</v>
      </c>
      <c r="AP477" s="34">
        <f t="shared" si="462"/>
        <v>14.97</v>
      </c>
      <c r="AQ477" s="34">
        <f t="shared" si="462"/>
        <v>24.35</v>
      </c>
      <c r="AR477" s="34">
        <f t="shared" si="462"/>
        <v>3.03</v>
      </c>
      <c r="AS477" s="34">
        <f t="shared" si="462"/>
        <v>38</v>
      </c>
      <c r="AT477" s="35">
        <f t="shared" si="15"/>
        <v>98.64</v>
      </c>
      <c r="AV477" s="32">
        <f t="shared" ref="AV477:AV488" si="466">((AO477*0.24182)+(AP477*0.283)+(AR477*0.80262))*(10000/22.4)</f>
        <v>4951.489464</v>
      </c>
    </row>
    <row r="478" ht="14.25" customHeight="1">
      <c r="B478" s="74"/>
      <c r="C478" s="20" t="s">
        <v>46</v>
      </c>
      <c r="D478" s="74"/>
      <c r="E478" s="22" t="s">
        <v>48</v>
      </c>
      <c r="F478" s="74"/>
      <c r="G478" s="22">
        <v>44.44</v>
      </c>
      <c r="H478" s="22">
        <v>6.17</v>
      </c>
      <c r="I478" s="22">
        <v>49.38</v>
      </c>
      <c r="J478" s="22">
        <f t="shared" si="463"/>
        <v>0.01</v>
      </c>
      <c r="K478" s="22">
        <v>0.0</v>
      </c>
      <c r="L478" s="22">
        <v>0.0</v>
      </c>
      <c r="M478" s="22">
        <v>93.96</v>
      </c>
      <c r="N478" s="22">
        <v>5.97</v>
      </c>
      <c r="O478" s="22">
        <v>0.08</v>
      </c>
      <c r="P478" s="22">
        <v>0.27</v>
      </c>
      <c r="Q478" s="22">
        <v>799.85</v>
      </c>
      <c r="R478" s="20" t="s">
        <v>94</v>
      </c>
      <c r="S478" s="25">
        <v>0.0</v>
      </c>
      <c r="T478" s="22" t="s">
        <v>51</v>
      </c>
      <c r="U478" s="22">
        <v>15.26</v>
      </c>
      <c r="V478" s="22">
        <v>12.23</v>
      </c>
      <c r="W478" s="22">
        <v>25.82</v>
      </c>
      <c r="X478" s="22">
        <v>2.79</v>
      </c>
      <c r="Y478" s="22">
        <v>42.87</v>
      </c>
      <c r="Z478" s="22" t="s">
        <v>51</v>
      </c>
      <c r="AA478" s="22" t="s">
        <v>51</v>
      </c>
      <c r="AB478" s="22" t="s">
        <v>51</v>
      </c>
      <c r="AC478" s="32">
        <f t="shared" si="464"/>
        <v>4192.220089</v>
      </c>
      <c r="AD478" s="80" t="s">
        <v>51</v>
      </c>
      <c r="AO478" s="34">
        <f t="shared" ref="AO478:AS478" si="465">U478</f>
        <v>15.26</v>
      </c>
      <c r="AP478" s="34">
        <f t="shared" si="465"/>
        <v>12.23</v>
      </c>
      <c r="AQ478" s="34">
        <f t="shared" si="465"/>
        <v>25.82</v>
      </c>
      <c r="AR478" s="34">
        <f t="shared" si="465"/>
        <v>2.79</v>
      </c>
      <c r="AS478" s="34">
        <f t="shared" si="465"/>
        <v>42.87</v>
      </c>
      <c r="AT478" s="35">
        <f t="shared" si="15"/>
        <v>98.97</v>
      </c>
      <c r="AV478" s="32">
        <f t="shared" si="466"/>
        <v>4192.220089</v>
      </c>
    </row>
    <row r="479" ht="14.25" customHeight="1">
      <c r="B479" s="74"/>
      <c r="C479" s="20" t="s">
        <v>46</v>
      </c>
      <c r="D479" s="74"/>
      <c r="E479" s="22" t="s">
        <v>48</v>
      </c>
      <c r="F479" s="74"/>
      <c r="G479" s="22">
        <v>44.44</v>
      </c>
      <c r="H479" s="22">
        <v>6.17</v>
      </c>
      <c r="I479" s="22">
        <v>49.38</v>
      </c>
      <c r="J479" s="22">
        <f t="shared" si="463"/>
        <v>0.01</v>
      </c>
      <c r="K479" s="22">
        <v>0.0</v>
      </c>
      <c r="L479" s="22">
        <v>0.0</v>
      </c>
      <c r="M479" s="22">
        <v>93.96</v>
      </c>
      <c r="N479" s="22">
        <v>5.97</v>
      </c>
      <c r="O479" s="22">
        <v>0.08</v>
      </c>
      <c r="P479" s="22">
        <v>0.34</v>
      </c>
      <c r="Q479" s="22">
        <v>799.85</v>
      </c>
      <c r="R479" s="20" t="s">
        <v>94</v>
      </c>
      <c r="S479" s="25">
        <v>0.0</v>
      </c>
      <c r="T479" s="22" t="s">
        <v>51</v>
      </c>
      <c r="U479" s="22">
        <v>13.05</v>
      </c>
      <c r="V479" s="22">
        <v>9.9</v>
      </c>
      <c r="W479" s="22">
        <v>24.46</v>
      </c>
      <c r="X479" s="22">
        <v>1.63</v>
      </c>
      <c r="Y479" s="22">
        <v>46.72</v>
      </c>
      <c r="Z479" s="22" t="s">
        <v>51</v>
      </c>
      <c r="AA479" s="22" t="s">
        <v>51</v>
      </c>
      <c r="AB479" s="22" t="s">
        <v>51</v>
      </c>
      <c r="AC479" s="32">
        <f t="shared" si="464"/>
        <v>3243.625714</v>
      </c>
      <c r="AD479" s="80" t="s">
        <v>51</v>
      </c>
      <c r="AO479" s="34">
        <f t="shared" ref="AO479:AS479" si="467">U479</f>
        <v>13.05</v>
      </c>
      <c r="AP479" s="34">
        <f t="shared" si="467"/>
        <v>9.9</v>
      </c>
      <c r="AQ479" s="34">
        <f t="shared" si="467"/>
        <v>24.46</v>
      </c>
      <c r="AR479" s="34">
        <f t="shared" si="467"/>
        <v>1.63</v>
      </c>
      <c r="AS479" s="34">
        <f t="shared" si="467"/>
        <v>46.72</v>
      </c>
      <c r="AT479" s="35">
        <f t="shared" si="15"/>
        <v>95.76</v>
      </c>
      <c r="AV479" s="32">
        <f t="shared" si="466"/>
        <v>3243.625714</v>
      </c>
    </row>
    <row r="480" ht="14.25" customHeight="1">
      <c r="B480" s="74"/>
      <c r="C480" s="20" t="s">
        <v>46</v>
      </c>
      <c r="D480" s="74"/>
      <c r="E480" s="22" t="s">
        <v>53</v>
      </c>
      <c r="F480" s="74"/>
      <c r="G480" s="22">
        <v>44.44</v>
      </c>
      <c r="H480" s="22">
        <v>6.17</v>
      </c>
      <c r="I480" s="22">
        <v>49.38</v>
      </c>
      <c r="J480" s="22">
        <f t="shared" si="463"/>
        <v>0.01</v>
      </c>
      <c r="K480" s="22">
        <v>0.0</v>
      </c>
      <c r="L480" s="22">
        <v>0.0</v>
      </c>
      <c r="M480" s="22">
        <v>93.96</v>
      </c>
      <c r="N480" s="22">
        <v>5.97</v>
      </c>
      <c r="O480" s="22">
        <v>0.08</v>
      </c>
      <c r="P480" s="22">
        <v>0.27</v>
      </c>
      <c r="Q480" s="22">
        <v>799.85</v>
      </c>
      <c r="R480" s="20" t="s">
        <v>94</v>
      </c>
      <c r="S480" s="25">
        <v>0.5</v>
      </c>
      <c r="T480" s="22" t="s">
        <v>51</v>
      </c>
      <c r="U480" s="22">
        <v>16.19</v>
      </c>
      <c r="V480" s="22">
        <v>8.5</v>
      </c>
      <c r="W480" s="22">
        <v>27.14</v>
      </c>
      <c r="X480" s="22">
        <v>2.56</v>
      </c>
      <c r="Y480" s="22">
        <v>43.45</v>
      </c>
      <c r="Z480" s="22" t="s">
        <v>51</v>
      </c>
      <c r="AA480" s="22" t="s">
        <v>51</v>
      </c>
      <c r="AB480" s="22" t="s">
        <v>51</v>
      </c>
      <c r="AC480" s="32">
        <f t="shared" si="464"/>
        <v>3738.961161</v>
      </c>
      <c r="AD480" s="80" t="s">
        <v>51</v>
      </c>
      <c r="AO480" s="34">
        <f t="shared" ref="AO480:AS480" si="468">U480</f>
        <v>16.19</v>
      </c>
      <c r="AP480" s="34">
        <f t="shared" si="468"/>
        <v>8.5</v>
      </c>
      <c r="AQ480" s="34">
        <f t="shared" si="468"/>
        <v>27.14</v>
      </c>
      <c r="AR480" s="34">
        <f t="shared" si="468"/>
        <v>2.56</v>
      </c>
      <c r="AS480" s="34">
        <f t="shared" si="468"/>
        <v>43.45</v>
      </c>
      <c r="AT480" s="35">
        <f t="shared" si="15"/>
        <v>97.84</v>
      </c>
      <c r="AV480" s="32">
        <f t="shared" si="466"/>
        <v>3738.961161</v>
      </c>
    </row>
    <row r="481" ht="14.25" customHeight="1">
      <c r="B481" s="74"/>
      <c r="C481" s="20" t="s">
        <v>46</v>
      </c>
      <c r="D481" s="74"/>
      <c r="E481" s="22" t="s">
        <v>53</v>
      </c>
      <c r="F481" s="74"/>
      <c r="G481" s="22">
        <v>44.44</v>
      </c>
      <c r="H481" s="22">
        <v>6.17</v>
      </c>
      <c r="I481" s="22">
        <v>49.38</v>
      </c>
      <c r="J481" s="22">
        <f t="shared" si="463"/>
        <v>0.01</v>
      </c>
      <c r="K481" s="22">
        <v>0.0</v>
      </c>
      <c r="L481" s="22">
        <v>0.0</v>
      </c>
      <c r="M481" s="22">
        <v>93.96</v>
      </c>
      <c r="N481" s="22">
        <v>5.97</v>
      </c>
      <c r="O481" s="22">
        <v>0.08</v>
      </c>
      <c r="P481" s="22">
        <v>0.27</v>
      </c>
      <c r="Q481" s="22">
        <v>799.85</v>
      </c>
      <c r="R481" s="20" t="s">
        <v>94</v>
      </c>
      <c r="S481" s="25">
        <v>1.0</v>
      </c>
      <c r="T481" s="22" t="s">
        <v>51</v>
      </c>
      <c r="U481" s="22">
        <v>19.57</v>
      </c>
      <c r="V481" s="22">
        <v>9.09</v>
      </c>
      <c r="W481" s="22">
        <v>26.33</v>
      </c>
      <c r="X481" s="22">
        <v>2.69</v>
      </c>
      <c r="Y481" s="22">
        <v>44.27</v>
      </c>
      <c r="Z481" s="22" t="s">
        <v>51</v>
      </c>
      <c r="AA481" s="22" t="s">
        <v>51</v>
      </c>
      <c r="AB481" s="22" t="s">
        <v>51</v>
      </c>
      <c r="AC481" s="32">
        <f t="shared" si="464"/>
        <v>4224.971071</v>
      </c>
      <c r="AD481" s="80" t="s">
        <v>51</v>
      </c>
      <c r="AO481" s="34">
        <f t="shared" ref="AO481:AS481" si="469">U481</f>
        <v>19.57</v>
      </c>
      <c r="AP481" s="34">
        <f t="shared" si="469"/>
        <v>9.09</v>
      </c>
      <c r="AQ481" s="34">
        <f t="shared" si="469"/>
        <v>26.33</v>
      </c>
      <c r="AR481" s="34">
        <f t="shared" si="469"/>
        <v>2.69</v>
      </c>
      <c r="AS481" s="34">
        <f t="shared" si="469"/>
        <v>44.27</v>
      </c>
      <c r="AT481" s="35">
        <f t="shared" si="15"/>
        <v>101.95</v>
      </c>
      <c r="AV481" s="32">
        <f t="shared" si="466"/>
        <v>4224.971071</v>
      </c>
    </row>
    <row r="482" ht="14.25" customHeight="1">
      <c r="B482" s="74"/>
      <c r="C482" s="20" t="s">
        <v>46</v>
      </c>
      <c r="D482" s="74"/>
      <c r="E482" s="22" t="s">
        <v>48</v>
      </c>
      <c r="F482" s="74"/>
      <c r="G482" s="22">
        <v>44.44</v>
      </c>
      <c r="H482" s="22">
        <v>6.17</v>
      </c>
      <c r="I482" s="22">
        <v>49.38</v>
      </c>
      <c r="J482" s="22">
        <f t="shared" si="463"/>
        <v>0.01</v>
      </c>
      <c r="K482" s="22">
        <v>0.0</v>
      </c>
      <c r="L482" s="22">
        <v>0.0</v>
      </c>
      <c r="M482" s="22">
        <v>93.96</v>
      </c>
      <c r="N482" s="22">
        <v>5.97</v>
      </c>
      <c r="O482" s="22">
        <v>0.08</v>
      </c>
      <c r="P482" s="22">
        <v>0.2</v>
      </c>
      <c r="Q482" s="22">
        <v>899.85</v>
      </c>
      <c r="R482" s="20" t="s">
        <v>94</v>
      </c>
      <c r="S482" s="25">
        <v>0.0</v>
      </c>
      <c r="T482" s="22" t="s">
        <v>51</v>
      </c>
      <c r="U482" s="22">
        <v>22.37</v>
      </c>
      <c r="V482" s="22">
        <v>18.87</v>
      </c>
      <c r="W482" s="22">
        <v>21.08</v>
      </c>
      <c r="X482" s="22">
        <v>3.96</v>
      </c>
      <c r="Y482" s="22">
        <v>37.28</v>
      </c>
      <c r="Z482" s="22" t="s">
        <v>51</v>
      </c>
      <c r="AA482" s="22" t="s">
        <v>51</v>
      </c>
      <c r="AB482" s="22" t="s">
        <v>51</v>
      </c>
      <c r="AC482" s="32">
        <f t="shared" si="464"/>
        <v>6217.901161</v>
      </c>
      <c r="AD482" s="80" t="s">
        <v>51</v>
      </c>
      <c r="AO482" s="34">
        <f t="shared" ref="AO482:AS482" si="470">U482</f>
        <v>22.37</v>
      </c>
      <c r="AP482" s="34">
        <f t="shared" si="470"/>
        <v>18.87</v>
      </c>
      <c r="AQ482" s="34">
        <f t="shared" si="470"/>
        <v>21.08</v>
      </c>
      <c r="AR482" s="34">
        <f t="shared" si="470"/>
        <v>3.96</v>
      </c>
      <c r="AS482" s="34">
        <f t="shared" si="470"/>
        <v>37.28</v>
      </c>
      <c r="AT482" s="35">
        <f t="shared" si="15"/>
        <v>103.56</v>
      </c>
      <c r="AV482" s="32">
        <f t="shared" si="466"/>
        <v>6217.901161</v>
      </c>
    </row>
    <row r="483" ht="14.25" customHeight="1">
      <c r="B483" s="74"/>
      <c r="C483" s="20" t="s">
        <v>46</v>
      </c>
      <c r="D483" s="74"/>
      <c r="E483" s="22" t="s">
        <v>48</v>
      </c>
      <c r="F483" s="74"/>
      <c r="G483" s="22">
        <v>44.44</v>
      </c>
      <c r="H483" s="22">
        <v>6.17</v>
      </c>
      <c r="I483" s="22">
        <v>49.38</v>
      </c>
      <c r="J483" s="22">
        <f t="shared" si="463"/>
        <v>0.01</v>
      </c>
      <c r="K483" s="22">
        <v>0.0</v>
      </c>
      <c r="L483" s="22">
        <v>0.0</v>
      </c>
      <c r="M483" s="22">
        <v>93.96</v>
      </c>
      <c r="N483" s="22">
        <v>5.97</v>
      </c>
      <c r="O483" s="22">
        <v>0.08</v>
      </c>
      <c r="P483" s="22">
        <v>0.2</v>
      </c>
      <c r="Q483" s="22">
        <v>999.85</v>
      </c>
      <c r="R483" s="20" t="s">
        <v>94</v>
      </c>
      <c r="S483" s="25">
        <v>0.0</v>
      </c>
      <c r="T483" s="22" t="s">
        <v>51</v>
      </c>
      <c r="U483" s="22">
        <v>31.45</v>
      </c>
      <c r="V483" s="22">
        <v>21.08</v>
      </c>
      <c r="W483" s="22">
        <v>10.95</v>
      </c>
      <c r="X483" s="22">
        <v>1.86</v>
      </c>
      <c r="Y483" s="22">
        <v>35.88</v>
      </c>
      <c r="Z483" s="22" t="s">
        <v>51</v>
      </c>
      <c r="AA483" s="22" t="s">
        <v>51</v>
      </c>
      <c r="AB483" s="22" t="s">
        <v>51</v>
      </c>
      <c r="AC483" s="32">
        <f t="shared" si="464"/>
        <v>6724.889375</v>
      </c>
      <c r="AD483" s="80" t="s">
        <v>51</v>
      </c>
      <c r="AO483" s="34">
        <f t="shared" ref="AO483:AS483" si="471">U483</f>
        <v>31.45</v>
      </c>
      <c r="AP483" s="34">
        <f t="shared" si="471"/>
        <v>21.08</v>
      </c>
      <c r="AQ483" s="34">
        <f t="shared" si="471"/>
        <v>10.95</v>
      </c>
      <c r="AR483" s="34">
        <f t="shared" si="471"/>
        <v>1.86</v>
      </c>
      <c r="AS483" s="34">
        <f t="shared" si="471"/>
        <v>35.88</v>
      </c>
      <c r="AT483" s="35">
        <f t="shared" si="15"/>
        <v>101.22</v>
      </c>
      <c r="AV483" s="32">
        <f t="shared" si="466"/>
        <v>6724.889375</v>
      </c>
    </row>
    <row r="484" ht="14.25" customHeight="1">
      <c r="B484" s="74" t="s">
        <v>95</v>
      </c>
      <c r="C484" s="20" t="s">
        <v>46</v>
      </c>
      <c r="D484" s="74" t="s">
        <v>96</v>
      </c>
      <c r="E484" s="22" t="s">
        <v>53</v>
      </c>
      <c r="F484" s="74" t="s">
        <v>97</v>
      </c>
      <c r="G484" s="87">
        <v>52.061</v>
      </c>
      <c r="H484" s="87">
        <v>5.752</v>
      </c>
      <c r="I484" s="87">
        <f t="shared" ref="I484:I488" si="473">100-SUM(G484,H484,J484,K484)</f>
        <v>39.995</v>
      </c>
      <c r="J484" s="87">
        <v>2.048</v>
      </c>
      <c r="K484" s="87">
        <v>0.144</v>
      </c>
      <c r="L484" s="63">
        <f t="shared" ref="L484:L488" si="474">100-SUM(M484,N484,O484)</f>
        <v>76.68</v>
      </c>
      <c r="M484" s="22">
        <v>7.77</v>
      </c>
      <c r="N484" s="22">
        <v>7.61</v>
      </c>
      <c r="O484" s="22">
        <v>7.94</v>
      </c>
      <c r="P484" s="22">
        <v>0.45</v>
      </c>
      <c r="Q484" s="22">
        <v>749.85</v>
      </c>
      <c r="R484" s="20" t="s">
        <v>51</v>
      </c>
      <c r="S484" s="22">
        <v>1.29</v>
      </c>
      <c r="T484" s="22" t="s">
        <v>51</v>
      </c>
      <c r="U484" s="22">
        <v>3.4</v>
      </c>
      <c r="V484" s="22">
        <v>16.33</v>
      </c>
      <c r="W484" s="22">
        <v>13.49</v>
      </c>
      <c r="X484" s="22">
        <v>2.41</v>
      </c>
      <c r="Y484" s="22">
        <v>61.9</v>
      </c>
      <c r="Z484" s="22" t="s">
        <v>51</v>
      </c>
      <c r="AA484" s="22" t="s">
        <v>51</v>
      </c>
      <c r="AB484" s="22" t="s">
        <v>51</v>
      </c>
      <c r="AC484" s="32">
        <f t="shared" si="464"/>
        <v>3293.701875</v>
      </c>
      <c r="AD484" s="80" t="s">
        <v>51</v>
      </c>
      <c r="AO484" s="34">
        <f t="shared" ref="AO484:AS484" si="472">U484</f>
        <v>3.4</v>
      </c>
      <c r="AP484" s="34">
        <f t="shared" si="472"/>
        <v>16.33</v>
      </c>
      <c r="AQ484" s="34">
        <f t="shared" si="472"/>
        <v>13.49</v>
      </c>
      <c r="AR484" s="34">
        <f t="shared" si="472"/>
        <v>2.41</v>
      </c>
      <c r="AS484" s="34">
        <f t="shared" si="472"/>
        <v>61.9</v>
      </c>
      <c r="AT484" s="35">
        <f t="shared" si="15"/>
        <v>97.53</v>
      </c>
      <c r="AV484" s="32">
        <f t="shared" si="466"/>
        <v>3293.701875</v>
      </c>
    </row>
    <row r="485" ht="14.25" customHeight="1">
      <c r="B485" s="74"/>
      <c r="C485" s="20" t="s">
        <v>46</v>
      </c>
      <c r="D485" s="74"/>
      <c r="E485" s="22" t="s">
        <v>53</v>
      </c>
      <c r="F485" s="74"/>
      <c r="G485" s="87">
        <v>52.061</v>
      </c>
      <c r="H485" s="87">
        <v>5.752</v>
      </c>
      <c r="I485" s="87">
        <f t="shared" si="473"/>
        <v>39.995</v>
      </c>
      <c r="J485" s="87">
        <v>2.048</v>
      </c>
      <c r="K485" s="87">
        <v>0.144</v>
      </c>
      <c r="L485" s="63">
        <f t="shared" si="474"/>
        <v>76.68</v>
      </c>
      <c r="M485" s="22">
        <v>7.77</v>
      </c>
      <c r="N485" s="22">
        <v>7.61</v>
      </c>
      <c r="O485" s="22">
        <v>7.94</v>
      </c>
      <c r="P485" s="22">
        <v>0.45</v>
      </c>
      <c r="Q485" s="22">
        <v>849.85</v>
      </c>
      <c r="R485" s="20" t="s">
        <v>51</v>
      </c>
      <c r="S485" s="22">
        <v>1.29</v>
      </c>
      <c r="T485" s="22" t="s">
        <v>51</v>
      </c>
      <c r="U485" s="22">
        <v>6.29</v>
      </c>
      <c r="V485" s="22">
        <v>16.51</v>
      </c>
      <c r="W485" s="22">
        <v>14.23</v>
      </c>
      <c r="X485" s="22">
        <v>3.73</v>
      </c>
      <c r="Y485" s="22">
        <v>59.1</v>
      </c>
      <c r="Z485" s="22" t="s">
        <v>51</v>
      </c>
      <c r="AA485" s="22" t="s">
        <v>51</v>
      </c>
      <c r="AB485" s="22" t="s">
        <v>51</v>
      </c>
      <c r="AC485" s="32">
        <f t="shared" si="464"/>
        <v>4101.406429</v>
      </c>
      <c r="AD485" s="80" t="s">
        <v>51</v>
      </c>
      <c r="AO485" s="34">
        <f t="shared" ref="AO485:AS485" si="475">U485</f>
        <v>6.29</v>
      </c>
      <c r="AP485" s="34">
        <f t="shared" si="475"/>
        <v>16.51</v>
      </c>
      <c r="AQ485" s="34">
        <f t="shared" si="475"/>
        <v>14.23</v>
      </c>
      <c r="AR485" s="34">
        <f t="shared" si="475"/>
        <v>3.73</v>
      </c>
      <c r="AS485" s="34">
        <f t="shared" si="475"/>
        <v>59.1</v>
      </c>
      <c r="AT485" s="35">
        <f t="shared" si="15"/>
        <v>99.86</v>
      </c>
      <c r="AV485" s="32">
        <f t="shared" si="466"/>
        <v>4101.406429</v>
      </c>
    </row>
    <row r="486" ht="14.25" customHeight="1">
      <c r="B486" s="74"/>
      <c r="C486" s="20" t="s">
        <v>46</v>
      </c>
      <c r="D486" s="74"/>
      <c r="E486" s="22" t="s">
        <v>53</v>
      </c>
      <c r="F486" s="74"/>
      <c r="G486" s="87">
        <v>52.061</v>
      </c>
      <c r="H486" s="87">
        <v>5.752</v>
      </c>
      <c r="I486" s="87">
        <f t="shared" si="473"/>
        <v>39.995</v>
      </c>
      <c r="J486" s="87">
        <v>2.048</v>
      </c>
      <c r="K486" s="87">
        <v>0.144</v>
      </c>
      <c r="L486" s="63">
        <f t="shared" si="474"/>
        <v>76.68</v>
      </c>
      <c r="M486" s="22">
        <v>7.77</v>
      </c>
      <c r="N486" s="22">
        <v>7.61</v>
      </c>
      <c r="O486" s="22">
        <v>7.94</v>
      </c>
      <c r="P486" s="22">
        <v>0.45</v>
      </c>
      <c r="Q486" s="22">
        <v>949.85</v>
      </c>
      <c r="R486" s="20" t="s">
        <v>51</v>
      </c>
      <c r="S486" s="22">
        <v>1.29</v>
      </c>
      <c r="T486" s="22" t="s">
        <v>51</v>
      </c>
      <c r="U486" s="22">
        <v>10.15</v>
      </c>
      <c r="V486" s="22">
        <v>19.24</v>
      </c>
      <c r="W486" s="22">
        <v>16.97</v>
      </c>
      <c r="X486" s="22">
        <v>4.76</v>
      </c>
      <c r="Y486" s="22">
        <v>64.67</v>
      </c>
      <c r="Z486" s="22" t="s">
        <v>51</v>
      </c>
      <c r="AA486" s="22" t="s">
        <v>51</v>
      </c>
      <c r="AB486" s="22" t="s">
        <v>51</v>
      </c>
      <c r="AC486" s="32">
        <f t="shared" si="464"/>
        <v>5232.082232</v>
      </c>
      <c r="AD486" s="80" t="s">
        <v>51</v>
      </c>
      <c r="AO486" s="34">
        <f t="shared" ref="AO486:AS486" si="476">U486</f>
        <v>10.15</v>
      </c>
      <c r="AP486" s="34">
        <f t="shared" si="476"/>
        <v>19.24</v>
      </c>
      <c r="AQ486" s="34">
        <f t="shared" si="476"/>
        <v>16.97</v>
      </c>
      <c r="AR486" s="34">
        <f t="shared" si="476"/>
        <v>4.76</v>
      </c>
      <c r="AS486" s="34">
        <f t="shared" si="476"/>
        <v>64.67</v>
      </c>
      <c r="AT486" s="35">
        <f t="shared" si="15"/>
        <v>115.79</v>
      </c>
      <c r="AV486" s="32">
        <f t="shared" si="466"/>
        <v>5232.082232</v>
      </c>
    </row>
    <row r="487" ht="14.25" customHeight="1">
      <c r="B487" s="74"/>
      <c r="C487" s="20" t="s">
        <v>46</v>
      </c>
      <c r="D487" s="74"/>
      <c r="E487" s="22" t="s">
        <v>53</v>
      </c>
      <c r="F487" s="74"/>
      <c r="G487" s="87">
        <v>52.061</v>
      </c>
      <c r="H487" s="87">
        <v>5.752</v>
      </c>
      <c r="I487" s="87">
        <f t="shared" si="473"/>
        <v>39.995</v>
      </c>
      <c r="J487" s="87">
        <v>2.048</v>
      </c>
      <c r="K487" s="87">
        <v>0.144</v>
      </c>
      <c r="L487" s="63">
        <f t="shared" si="474"/>
        <v>76.68</v>
      </c>
      <c r="M487" s="22">
        <v>7.77</v>
      </c>
      <c r="N487" s="22">
        <v>7.61</v>
      </c>
      <c r="O487" s="22">
        <v>7.94</v>
      </c>
      <c r="P487" s="22">
        <v>0.45</v>
      </c>
      <c r="Q487" s="22">
        <v>1049.85</v>
      </c>
      <c r="R487" s="20" t="s">
        <v>51</v>
      </c>
      <c r="S487" s="22">
        <v>1.29</v>
      </c>
      <c r="T487" s="22" t="s">
        <v>51</v>
      </c>
      <c r="U487" s="22">
        <v>11.18</v>
      </c>
      <c r="V487" s="22">
        <v>16.15</v>
      </c>
      <c r="W487" s="22">
        <v>10.33</v>
      </c>
      <c r="X487" s="22">
        <v>3.94</v>
      </c>
      <c r="Y487" s="22">
        <v>53.35</v>
      </c>
      <c r="Z487" s="22" t="s">
        <v>51</v>
      </c>
      <c r="AA487" s="22" t="s">
        <v>51</v>
      </c>
      <c r="AB487" s="22" t="s">
        <v>51</v>
      </c>
      <c r="AC487" s="32">
        <f t="shared" si="464"/>
        <v>4659.071607</v>
      </c>
      <c r="AD487" s="80" t="s">
        <v>51</v>
      </c>
      <c r="AO487" s="34">
        <f t="shared" ref="AO487:AS487" si="477">U487</f>
        <v>11.18</v>
      </c>
      <c r="AP487" s="34">
        <f t="shared" si="477"/>
        <v>16.15</v>
      </c>
      <c r="AQ487" s="34">
        <f t="shared" si="477"/>
        <v>10.33</v>
      </c>
      <c r="AR487" s="34">
        <f t="shared" si="477"/>
        <v>3.94</v>
      </c>
      <c r="AS487" s="34">
        <f t="shared" si="477"/>
        <v>53.35</v>
      </c>
      <c r="AT487" s="35">
        <f t="shared" si="15"/>
        <v>94.95</v>
      </c>
      <c r="AV487" s="32">
        <f t="shared" si="466"/>
        <v>4659.071607</v>
      </c>
    </row>
    <row r="488" ht="14.25" customHeight="1">
      <c r="B488" s="74"/>
      <c r="C488" s="20" t="s">
        <v>46</v>
      </c>
      <c r="D488" s="74"/>
      <c r="E488" s="22" t="s">
        <v>53</v>
      </c>
      <c r="F488" s="74"/>
      <c r="G488" s="87">
        <v>52.061</v>
      </c>
      <c r="H488" s="87">
        <v>5.752</v>
      </c>
      <c r="I488" s="87">
        <f t="shared" si="473"/>
        <v>39.995</v>
      </c>
      <c r="J488" s="87">
        <v>2.048</v>
      </c>
      <c r="K488" s="87">
        <v>0.144</v>
      </c>
      <c r="L488" s="63">
        <f t="shared" si="474"/>
        <v>76.68</v>
      </c>
      <c r="M488" s="22">
        <v>7.77</v>
      </c>
      <c r="N488" s="22">
        <v>7.61</v>
      </c>
      <c r="O488" s="22">
        <v>7.94</v>
      </c>
      <c r="P488" s="22">
        <v>0.45</v>
      </c>
      <c r="Q488" s="22">
        <v>1149.85</v>
      </c>
      <c r="R488" s="20" t="s">
        <v>51</v>
      </c>
      <c r="S488" s="22">
        <v>1.29</v>
      </c>
      <c r="T488" s="22" t="s">
        <v>51</v>
      </c>
      <c r="U488" s="22">
        <v>16.75</v>
      </c>
      <c r="V488" s="22">
        <v>17.6</v>
      </c>
      <c r="W488" s="22">
        <v>15.48</v>
      </c>
      <c r="X488" s="22">
        <v>4.83</v>
      </c>
      <c r="Y488" s="22">
        <v>46.15</v>
      </c>
      <c r="Z488" s="22" t="s">
        <v>51</v>
      </c>
      <c r="AA488" s="22" t="s">
        <v>51</v>
      </c>
      <c r="AB488" s="22" t="s">
        <v>51</v>
      </c>
      <c r="AC488" s="32">
        <f t="shared" si="464"/>
        <v>5762.473036</v>
      </c>
      <c r="AD488" s="80" t="s">
        <v>51</v>
      </c>
      <c r="AO488" s="34">
        <f t="shared" ref="AO488:AS488" si="478">U488</f>
        <v>16.75</v>
      </c>
      <c r="AP488" s="34">
        <f t="shared" si="478"/>
        <v>17.6</v>
      </c>
      <c r="AQ488" s="34">
        <f t="shared" si="478"/>
        <v>15.48</v>
      </c>
      <c r="AR488" s="34">
        <f t="shared" si="478"/>
        <v>4.83</v>
      </c>
      <c r="AS488" s="34">
        <f t="shared" si="478"/>
        <v>46.15</v>
      </c>
      <c r="AT488" s="35">
        <f t="shared" si="15"/>
        <v>100.81</v>
      </c>
      <c r="AV488" s="32">
        <f t="shared" si="466"/>
        <v>5762.473036</v>
      </c>
    </row>
    <row r="489" ht="12.0" customHeight="1">
      <c r="A489" s="18"/>
      <c r="B489" s="73" t="s">
        <v>98</v>
      </c>
      <c r="C489" s="44" t="s">
        <v>46</v>
      </c>
      <c r="D489" s="74" t="s">
        <v>99</v>
      </c>
      <c r="E489" s="22" t="s">
        <v>75</v>
      </c>
      <c r="F489" s="74" t="s">
        <v>100</v>
      </c>
      <c r="G489" s="22">
        <v>48.78</v>
      </c>
      <c r="H489" s="22">
        <v>5.7</v>
      </c>
      <c r="I489" s="22">
        <v>44.3</v>
      </c>
      <c r="J489" s="22">
        <v>1.01</v>
      </c>
      <c r="K489" s="22">
        <v>0.21</v>
      </c>
      <c r="L489" s="88">
        <f t="shared" ref="L489:L493" si="479">14.25*(100-N489)/100</f>
        <v>12.86775</v>
      </c>
      <c r="M489" s="88">
        <f t="shared" ref="M489:M493" si="480">80.81*(100-N489)/100</f>
        <v>72.97143</v>
      </c>
      <c r="N489" s="25">
        <v>9.7</v>
      </c>
      <c r="O489" s="88">
        <f t="shared" ref="O489:O493" si="481">4.94*(100-N489)/100</f>
        <v>4.46082</v>
      </c>
      <c r="P489" s="76">
        <v>0.0</v>
      </c>
      <c r="Q489" s="89">
        <v>692.0</v>
      </c>
      <c r="R489" s="20" t="s">
        <v>51</v>
      </c>
      <c r="S489" s="90">
        <v>0.5</v>
      </c>
      <c r="T489" s="22" t="s">
        <v>51</v>
      </c>
      <c r="U489" s="22">
        <v>35.75</v>
      </c>
      <c r="V489" s="22">
        <v>25.55</v>
      </c>
      <c r="W489" s="22">
        <v>20.39</v>
      </c>
      <c r="X489" s="22">
        <v>18.31</v>
      </c>
      <c r="Y489" s="78">
        <f t="shared" ref="Y489:Y549" si="482">(AK489/AM489)*100</f>
        <v>0.5669005802</v>
      </c>
      <c r="Z489" s="22" t="s">
        <v>51</v>
      </c>
      <c r="AA489" s="22">
        <v>75.66</v>
      </c>
      <c r="AB489" s="22">
        <v>39.45</v>
      </c>
      <c r="AC489" s="25">
        <v>13640.0</v>
      </c>
      <c r="AD489" s="80" t="s">
        <v>51</v>
      </c>
      <c r="AK489" s="33">
        <f t="shared" ref="AK489:AK549" si="483">0.79*((P489*(((G489/12)+(H489/4))-((I489/16)/2)))/0.21)+(J489/14)/2</f>
        <v>0.03607142857</v>
      </c>
      <c r="AL489" s="33">
        <f t="shared" ref="AL489:AL549" si="484">(100*G489)/(12*(V489+W489+X489))</f>
        <v>6.326848249</v>
      </c>
      <c r="AM489" s="33">
        <f t="shared" ref="AM489:AM549" si="485">AL489+AK489</f>
        <v>6.362919678</v>
      </c>
      <c r="AO489" s="34">
        <f t="shared" ref="AO489:AO549" si="486">((AL489*(U489/100))/AM489)*100</f>
        <v>35.54733304</v>
      </c>
      <c r="AP489" s="34">
        <f t="shared" ref="AP489:AP549" si="487">((AL489*(V489/100))/AM489)*100</f>
        <v>25.4051569</v>
      </c>
      <c r="AQ489" s="34">
        <f t="shared" ref="AQ489:AQ549" si="488">((AL489*(W489/100))/AM489)*100</f>
        <v>20.27440897</v>
      </c>
      <c r="AR489" s="34">
        <f t="shared" ref="AR489:AR549" si="489">((AL489*(X489/100))/AM489)*100</f>
        <v>18.2062005</v>
      </c>
      <c r="AS489" s="34">
        <f t="shared" ref="AS489:AS549" si="490">Y489</f>
        <v>0.5669005802</v>
      </c>
      <c r="AT489" s="35">
        <f t="shared" si="15"/>
        <v>100</v>
      </c>
      <c r="AV489" s="25">
        <f t="shared" ref="AV489:AV499" si="491">AC489</f>
        <v>13640</v>
      </c>
    </row>
    <row r="490" ht="14.25" customHeight="1">
      <c r="B490" s="73"/>
      <c r="C490" s="44" t="s">
        <v>46</v>
      </c>
      <c r="D490" s="74"/>
      <c r="E490" s="22" t="s">
        <v>75</v>
      </c>
      <c r="F490" s="74"/>
      <c r="G490" s="22">
        <v>48.78</v>
      </c>
      <c r="H490" s="22">
        <v>5.7</v>
      </c>
      <c r="I490" s="22">
        <v>44.3</v>
      </c>
      <c r="J490" s="22">
        <v>1.01</v>
      </c>
      <c r="K490" s="22">
        <v>0.21</v>
      </c>
      <c r="L490" s="88">
        <f t="shared" si="479"/>
        <v>12.86775</v>
      </c>
      <c r="M490" s="88">
        <f t="shared" si="480"/>
        <v>72.97143</v>
      </c>
      <c r="N490" s="25">
        <v>9.7</v>
      </c>
      <c r="O490" s="88">
        <f t="shared" si="481"/>
        <v>4.46082</v>
      </c>
      <c r="P490" s="76">
        <v>0.0</v>
      </c>
      <c r="Q490" s="89">
        <v>692.0</v>
      </c>
      <c r="R490" s="20" t="s">
        <v>51</v>
      </c>
      <c r="S490" s="25">
        <v>1.0</v>
      </c>
      <c r="T490" s="22" t="s">
        <v>51</v>
      </c>
      <c r="U490" s="22">
        <v>62.56</v>
      </c>
      <c r="V490" s="22">
        <v>10.59</v>
      </c>
      <c r="W490" s="22">
        <v>12.06</v>
      </c>
      <c r="X490" s="22">
        <v>14.77</v>
      </c>
      <c r="Y490" s="78">
        <f t="shared" si="482"/>
        <v>0.3309534247</v>
      </c>
      <c r="Z490" s="22" t="s">
        <v>51</v>
      </c>
      <c r="AA490" s="22">
        <v>74.24</v>
      </c>
      <c r="AB490" s="22">
        <v>49.23</v>
      </c>
      <c r="AC490" s="25">
        <v>13380.0</v>
      </c>
      <c r="AD490" s="80" t="s">
        <v>51</v>
      </c>
      <c r="AK490" s="33">
        <f t="shared" si="483"/>
        <v>0.03607142857</v>
      </c>
      <c r="AL490" s="33">
        <f t="shared" si="484"/>
        <v>10.86317477</v>
      </c>
      <c r="AM490" s="33">
        <f t="shared" si="485"/>
        <v>10.8992462</v>
      </c>
      <c r="AO490" s="34">
        <f t="shared" si="486"/>
        <v>62.35295554</v>
      </c>
      <c r="AP490" s="34">
        <f t="shared" si="487"/>
        <v>10.55495203</v>
      </c>
      <c r="AQ490" s="34">
        <f t="shared" si="488"/>
        <v>12.02008702</v>
      </c>
      <c r="AR490" s="34">
        <f t="shared" si="489"/>
        <v>14.72111818</v>
      </c>
      <c r="AS490" s="34">
        <f t="shared" si="490"/>
        <v>0.3309534247</v>
      </c>
      <c r="AT490" s="35">
        <f t="shared" si="15"/>
        <v>99.98006619</v>
      </c>
      <c r="AV490" s="25">
        <f t="shared" si="491"/>
        <v>13380</v>
      </c>
    </row>
    <row r="491" ht="14.25" customHeight="1">
      <c r="B491" s="73"/>
      <c r="C491" s="44" t="s">
        <v>46</v>
      </c>
      <c r="D491" s="74"/>
      <c r="E491" s="22" t="s">
        <v>75</v>
      </c>
      <c r="F491" s="74"/>
      <c r="G491" s="22">
        <v>48.78</v>
      </c>
      <c r="H491" s="22">
        <v>5.7</v>
      </c>
      <c r="I491" s="22">
        <v>44.3</v>
      </c>
      <c r="J491" s="22">
        <v>1.01</v>
      </c>
      <c r="K491" s="22">
        <v>0.21</v>
      </c>
      <c r="L491" s="88">
        <f t="shared" si="479"/>
        <v>12.86775</v>
      </c>
      <c r="M491" s="88">
        <f t="shared" si="480"/>
        <v>72.97143</v>
      </c>
      <c r="N491" s="25">
        <v>9.7</v>
      </c>
      <c r="O491" s="88">
        <f t="shared" si="481"/>
        <v>4.46082</v>
      </c>
      <c r="P491" s="76">
        <v>0.0</v>
      </c>
      <c r="Q491" s="89">
        <v>692.0</v>
      </c>
      <c r="R491" s="20" t="s">
        <v>51</v>
      </c>
      <c r="S491" s="25">
        <v>1.5</v>
      </c>
      <c r="T491" s="22" t="s">
        <v>51</v>
      </c>
      <c r="U491" s="22">
        <v>79.77</v>
      </c>
      <c r="V491" s="22">
        <v>5.93</v>
      </c>
      <c r="W491" s="22">
        <v>5.48</v>
      </c>
      <c r="X491" s="22">
        <v>8.81</v>
      </c>
      <c r="Y491" s="78">
        <f t="shared" si="482"/>
        <v>0.1791040504</v>
      </c>
      <c r="Z491" s="22" t="s">
        <v>51</v>
      </c>
      <c r="AA491" s="22">
        <v>69.29</v>
      </c>
      <c r="AB491" s="22">
        <v>41.06</v>
      </c>
      <c r="AC491" s="25">
        <v>12500.0</v>
      </c>
      <c r="AD491" s="80" t="s">
        <v>51</v>
      </c>
      <c r="AK491" s="33">
        <f t="shared" si="483"/>
        <v>0.03607142857</v>
      </c>
      <c r="AL491" s="33">
        <f t="shared" si="484"/>
        <v>20.10385757</v>
      </c>
      <c r="AM491" s="33">
        <f t="shared" si="485"/>
        <v>20.139929</v>
      </c>
      <c r="AO491" s="34">
        <f t="shared" si="486"/>
        <v>79.6271287</v>
      </c>
      <c r="AP491" s="34">
        <f t="shared" si="487"/>
        <v>5.91937913</v>
      </c>
      <c r="AQ491" s="34">
        <f t="shared" si="488"/>
        <v>5.470185098</v>
      </c>
      <c r="AR491" s="34">
        <f t="shared" si="489"/>
        <v>8.794220933</v>
      </c>
      <c r="AS491" s="34">
        <f t="shared" si="490"/>
        <v>0.1791040504</v>
      </c>
      <c r="AT491" s="35">
        <f t="shared" si="15"/>
        <v>99.99001791</v>
      </c>
      <c r="AV491" s="25">
        <f t="shared" si="491"/>
        <v>12500</v>
      </c>
    </row>
    <row r="492" ht="14.25" customHeight="1">
      <c r="B492" s="73"/>
      <c r="C492" s="44" t="s">
        <v>46</v>
      </c>
      <c r="D492" s="74"/>
      <c r="E492" s="22" t="s">
        <v>75</v>
      </c>
      <c r="F492" s="74"/>
      <c r="G492" s="22">
        <v>48.78</v>
      </c>
      <c r="H492" s="22">
        <v>5.7</v>
      </c>
      <c r="I492" s="22">
        <v>44.3</v>
      </c>
      <c r="J492" s="22">
        <v>1.01</v>
      </c>
      <c r="K492" s="22">
        <v>0.21</v>
      </c>
      <c r="L492" s="88">
        <f t="shared" si="479"/>
        <v>12.86775</v>
      </c>
      <c r="M492" s="88">
        <f t="shared" si="480"/>
        <v>72.97143</v>
      </c>
      <c r="N492" s="25">
        <v>9.7</v>
      </c>
      <c r="O492" s="88">
        <f t="shared" si="481"/>
        <v>4.46082</v>
      </c>
      <c r="P492" s="76">
        <v>0.0</v>
      </c>
      <c r="Q492" s="89">
        <v>650.0</v>
      </c>
      <c r="R492" s="20" t="s">
        <v>51</v>
      </c>
      <c r="S492" s="25">
        <v>1.5</v>
      </c>
      <c r="T492" s="22" t="s">
        <v>51</v>
      </c>
      <c r="U492" s="22">
        <v>66.67</v>
      </c>
      <c r="V492" s="22">
        <v>13.11</v>
      </c>
      <c r="W492" s="22">
        <v>7.83</v>
      </c>
      <c r="X492" s="22">
        <v>14.98</v>
      </c>
      <c r="Y492" s="78">
        <f t="shared" si="482"/>
        <v>0.3177291373</v>
      </c>
      <c r="Z492" s="22" t="s">
        <v>51</v>
      </c>
      <c r="AA492" s="22">
        <v>73.12</v>
      </c>
      <c r="AB492" s="22">
        <v>38.61</v>
      </c>
      <c r="AC492" s="25">
        <v>12880.0</v>
      </c>
      <c r="AD492" s="22" t="s">
        <v>51</v>
      </c>
      <c r="AK492" s="33">
        <f t="shared" si="483"/>
        <v>0.03607142857</v>
      </c>
      <c r="AL492" s="33">
        <f t="shared" si="484"/>
        <v>11.31681514</v>
      </c>
      <c r="AM492" s="33">
        <f t="shared" si="485"/>
        <v>11.35288657</v>
      </c>
      <c r="AO492" s="34">
        <f t="shared" si="486"/>
        <v>66.45816998</v>
      </c>
      <c r="AP492" s="34">
        <f t="shared" si="487"/>
        <v>13.06834571</v>
      </c>
      <c r="AQ492" s="34">
        <f t="shared" si="488"/>
        <v>7.805121809</v>
      </c>
      <c r="AR492" s="34">
        <f t="shared" si="489"/>
        <v>14.93240418</v>
      </c>
      <c r="AS492" s="34">
        <f t="shared" si="490"/>
        <v>0.3177291373</v>
      </c>
      <c r="AT492" s="35">
        <f t="shared" si="15"/>
        <v>102.5817708</v>
      </c>
      <c r="AV492" s="25">
        <f t="shared" si="491"/>
        <v>12880</v>
      </c>
    </row>
    <row r="493" ht="14.25" customHeight="1">
      <c r="B493" s="73"/>
      <c r="C493" s="44" t="s">
        <v>46</v>
      </c>
      <c r="D493" s="74"/>
      <c r="E493" s="22" t="s">
        <v>75</v>
      </c>
      <c r="F493" s="74"/>
      <c r="G493" s="22">
        <v>48.78</v>
      </c>
      <c r="H493" s="22">
        <v>5.7</v>
      </c>
      <c r="I493" s="22">
        <v>44.3</v>
      </c>
      <c r="J493" s="22">
        <v>1.01</v>
      </c>
      <c r="K493" s="22">
        <v>0.21</v>
      </c>
      <c r="L493" s="88">
        <f t="shared" si="479"/>
        <v>12.86775</v>
      </c>
      <c r="M493" s="88">
        <f t="shared" si="480"/>
        <v>72.97143</v>
      </c>
      <c r="N493" s="25">
        <v>9.7</v>
      </c>
      <c r="O493" s="88">
        <f t="shared" si="481"/>
        <v>4.46082</v>
      </c>
      <c r="P493" s="76">
        <v>0.0</v>
      </c>
      <c r="Q493" s="89">
        <v>750.0</v>
      </c>
      <c r="R493" s="20" t="s">
        <v>51</v>
      </c>
      <c r="S493" s="25">
        <v>1.5</v>
      </c>
      <c r="T493" s="22" t="s">
        <v>51</v>
      </c>
      <c r="U493" s="22">
        <v>71.31</v>
      </c>
      <c r="V493" s="22">
        <v>10.35</v>
      </c>
      <c r="W493" s="22">
        <v>8.39</v>
      </c>
      <c r="X493" s="22">
        <v>10.94</v>
      </c>
      <c r="Y493" s="78">
        <f t="shared" si="482"/>
        <v>0.2626784169</v>
      </c>
      <c r="Z493" s="22" t="s">
        <v>51</v>
      </c>
      <c r="AA493" s="22">
        <v>70.84</v>
      </c>
      <c r="AB493" s="22">
        <v>46.92</v>
      </c>
      <c r="AC493" s="25">
        <v>12790.0</v>
      </c>
      <c r="AD493" s="22" t="s">
        <v>51</v>
      </c>
      <c r="AK493" s="33">
        <f t="shared" si="483"/>
        <v>0.03607142857</v>
      </c>
      <c r="AL493" s="33">
        <f t="shared" si="484"/>
        <v>13.69609164</v>
      </c>
      <c r="AM493" s="33">
        <f t="shared" si="485"/>
        <v>13.73216307</v>
      </c>
      <c r="AO493" s="34">
        <f t="shared" si="486"/>
        <v>71.12268402</v>
      </c>
      <c r="AP493" s="34">
        <f t="shared" si="487"/>
        <v>10.32281278</v>
      </c>
      <c r="AQ493" s="34">
        <f t="shared" si="488"/>
        <v>8.367961281</v>
      </c>
      <c r="AR493" s="34">
        <f t="shared" si="489"/>
        <v>10.91126298</v>
      </c>
      <c r="AS493" s="34">
        <f t="shared" si="490"/>
        <v>0.2626784169</v>
      </c>
      <c r="AT493" s="35">
        <f t="shared" si="15"/>
        <v>100.9873995</v>
      </c>
      <c r="AV493" s="25">
        <f t="shared" si="491"/>
        <v>12790</v>
      </c>
    </row>
    <row r="494" ht="14.25" customHeight="1">
      <c r="A494" s="18"/>
      <c r="B494" s="83" t="s">
        <v>101</v>
      </c>
      <c r="C494" s="91" t="s">
        <v>46</v>
      </c>
      <c r="D494" s="57" t="s">
        <v>74</v>
      </c>
      <c r="E494" s="84" t="s">
        <v>75</v>
      </c>
      <c r="F494" s="57" t="s">
        <v>102</v>
      </c>
      <c r="G494" s="22">
        <v>49.74</v>
      </c>
      <c r="H494" s="22">
        <v>5.68</v>
      </c>
      <c r="I494" s="22">
        <v>43.36</v>
      </c>
      <c r="J494" s="22">
        <v>1.02</v>
      </c>
      <c r="K494" s="22">
        <v>0.2</v>
      </c>
      <c r="L494" s="88">
        <f t="shared" ref="L494:L499" si="492">14.77*(100-N494)/100</f>
        <v>13.350603</v>
      </c>
      <c r="M494" s="88">
        <f t="shared" ref="M494:M499" si="493">80.92*(100-N494)/100</f>
        <v>73.143588</v>
      </c>
      <c r="N494" s="22">
        <v>9.61</v>
      </c>
      <c r="O494" s="88">
        <f t="shared" ref="O494:O499" si="494">4.31*(100-N494)/100</f>
        <v>3.895809</v>
      </c>
      <c r="P494" s="76">
        <v>0.0</v>
      </c>
      <c r="Q494" s="89">
        <v>675.0</v>
      </c>
      <c r="R494" s="20" t="s">
        <v>51</v>
      </c>
      <c r="S494" s="25">
        <v>2.0</v>
      </c>
      <c r="T494" s="22" t="s">
        <v>51</v>
      </c>
      <c r="U494" s="22">
        <v>65.52</v>
      </c>
      <c r="V494" s="22">
        <v>14.37</v>
      </c>
      <c r="W494" s="22">
        <v>11.52</v>
      </c>
      <c r="X494" s="22">
        <v>11.61</v>
      </c>
      <c r="Y494" s="78">
        <f t="shared" si="482"/>
        <v>0.3284883097</v>
      </c>
      <c r="Z494" s="22">
        <v>0.63</v>
      </c>
      <c r="AA494" s="22" t="s">
        <v>51</v>
      </c>
      <c r="AB494" s="22">
        <v>23.12</v>
      </c>
      <c r="AC494" s="25">
        <v>12720.0</v>
      </c>
      <c r="AD494" s="22" t="s">
        <v>51</v>
      </c>
      <c r="AK494" s="33">
        <f t="shared" si="483"/>
        <v>0.03642857143</v>
      </c>
      <c r="AL494" s="33">
        <f t="shared" si="484"/>
        <v>11.05333333</v>
      </c>
      <c r="AM494" s="33">
        <f t="shared" si="485"/>
        <v>11.0897619</v>
      </c>
      <c r="AO494" s="34">
        <f t="shared" si="486"/>
        <v>65.30477446</v>
      </c>
      <c r="AP494" s="34">
        <f t="shared" si="487"/>
        <v>14.32279623</v>
      </c>
      <c r="AQ494" s="34">
        <f t="shared" si="488"/>
        <v>11.48215815</v>
      </c>
      <c r="AR494" s="34">
        <f t="shared" si="489"/>
        <v>11.57186251</v>
      </c>
      <c r="AS494" s="34">
        <f t="shared" si="490"/>
        <v>0.3284883097</v>
      </c>
      <c r="AT494" s="35">
        <f t="shared" si="15"/>
        <v>103.0100797</v>
      </c>
      <c r="AV494" s="25">
        <f t="shared" si="491"/>
        <v>12720</v>
      </c>
    </row>
    <row r="495" ht="14.25" customHeight="1">
      <c r="B495" s="83"/>
      <c r="C495" s="91" t="s">
        <v>46</v>
      </c>
      <c r="D495" s="56"/>
      <c r="E495" s="84" t="s">
        <v>75</v>
      </c>
      <c r="F495" s="56"/>
      <c r="G495" s="22">
        <v>49.74</v>
      </c>
      <c r="H495" s="22">
        <v>5.68</v>
      </c>
      <c r="I495" s="22">
        <v>43.36</v>
      </c>
      <c r="J495" s="22">
        <v>1.02</v>
      </c>
      <c r="K495" s="22">
        <v>0.2</v>
      </c>
      <c r="L495" s="88">
        <f t="shared" si="492"/>
        <v>13.350603</v>
      </c>
      <c r="M495" s="88">
        <f t="shared" si="493"/>
        <v>73.143588</v>
      </c>
      <c r="N495" s="22">
        <v>9.61</v>
      </c>
      <c r="O495" s="88">
        <f t="shared" si="494"/>
        <v>3.895809</v>
      </c>
      <c r="P495" s="76">
        <v>0.0</v>
      </c>
      <c r="Q495" s="89">
        <v>675.0</v>
      </c>
      <c r="R495" s="20" t="s">
        <v>51</v>
      </c>
      <c r="S495" s="25">
        <v>2.0</v>
      </c>
      <c r="T495" s="22" t="s">
        <v>51</v>
      </c>
      <c r="U495" s="22">
        <v>82.11</v>
      </c>
      <c r="V495" s="22">
        <v>6.45</v>
      </c>
      <c r="W495" s="22">
        <v>0.0</v>
      </c>
      <c r="X495" s="22">
        <v>11.43</v>
      </c>
      <c r="Y495" s="78">
        <f t="shared" si="482"/>
        <v>0.1568928701</v>
      </c>
      <c r="Z495" s="22">
        <v>1.19</v>
      </c>
      <c r="AA495" s="22" t="s">
        <v>51</v>
      </c>
      <c r="AB495" s="22">
        <v>20.96</v>
      </c>
      <c r="AC495" s="25">
        <v>13780.0</v>
      </c>
      <c r="AD495" s="22" t="s">
        <v>51</v>
      </c>
      <c r="AK495" s="33">
        <f t="shared" si="483"/>
        <v>0.03642857143</v>
      </c>
      <c r="AL495" s="33">
        <f t="shared" si="484"/>
        <v>23.18232662</v>
      </c>
      <c r="AM495" s="33">
        <f t="shared" si="485"/>
        <v>23.21875519</v>
      </c>
      <c r="AO495" s="34">
        <f t="shared" si="486"/>
        <v>81.98117526</v>
      </c>
      <c r="AP495" s="34">
        <f t="shared" si="487"/>
        <v>6.43988041</v>
      </c>
      <c r="AQ495" s="34">
        <f t="shared" si="488"/>
        <v>0</v>
      </c>
      <c r="AR495" s="34">
        <f t="shared" si="489"/>
        <v>11.41206714</v>
      </c>
      <c r="AS495" s="34">
        <f t="shared" si="490"/>
        <v>0.1568928701</v>
      </c>
      <c r="AT495" s="35">
        <f t="shared" si="15"/>
        <v>99.99001569</v>
      </c>
      <c r="AV495" s="25">
        <f t="shared" si="491"/>
        <v>13780</v>
      </c>
    </row>
    <row r="496" ht="14.25" customHeight="1">
      <c r="B496" s="83"/>
      <c r="C496" s="91" t="s">
        <v>46</v>
      </c>
      <c r="D496" s="56"/>
      <c r="E496" s="84" t="s">
        <v>75</v>
      </c>
      <c r="F496" s="56"/>
      <c r="G496" s="22">
        <v>49.74</v>
      </c>
      <c r="H496" s="22">
        <v>5.68</v>
      </c>
      <c r="I496" s="22">
        <v>43.36</v>
      </c>
      <c r="J496" s="22">
        <v>1.02</v>
      </c>
      <c r="K496" s="22">
        <v>0.2</v>
      </c>
      <c r="L496" s="88">
        <f t="shared" si="492"/>
        <v>13.350603</v>
      </c>
      <c r="M496" s="88">
        <f t="shared" si="493"/>
        <v>73.143588</v>
      </c>
      <c r="N496" s="22">
        <v>9.61</v>
      </c>
      <c r="O496" s="88">
        <f t="shared" si="494"/>
        <v>3.895809</v>
      </c>
      <c r="P496" s="76">
        <v>0.0</v>
      </c>
      <c r="Q496" s="89">
        <v>675.0</v>
      </c>
      <c r="R496" s="20" t="s">
        <v>51</v>
      </c>
      <c r="S496" s="25">
        <v>2.0</v>
      </c>
      <c r="T496" s="22" t="s">
        <v>51</v>
      </c>
      <c r="U496" s="22">
        <v>84.62</v>
      </c>
      <c r="V496" s="22">
        <v>4.27</v>
      </c>
      <c r="W496" s="22">
        <v>1.15</v>
      </c>
      <c r="X496" s="22">
        <v>9.95</v>
      </c>
      <c r="Y496" s="78">
        <f t="shared" si="482"/>
        <v>0.1348979107</v>
      </c>
      <c r="Z496" s="22">
        <v>1.3</v>
      </c>
      <c r="AA496" s="22" t="s">
        <v>51</v>
      </c>
      <c r="AB496" s="22">
        <v>20.61</v>
      </c>
      <c r="AC496" s="25">
        <v>13340.0</v>
      </c>
      <c r="AD496" s="22" t="s">
        <v>51</v>
      </c>
      <c r="AK496" s="33">
        <f t="shared" si="483"/>
        <v>0.03642857143</v>
      </c>
      <c r="AL496" s="33">
        <f t="shared" si="484"/>
        <v>26.96811971</v>
      </c>
      <c r="AM496" s="33">
        <f t="shared" si="485"/>
        <v>27.00454829</v>
      </c>
      <c r="AO496" s="34">
        <f t="shared" si="486"/>
        <v>84.50584939</v>
      </c>
      <c r="AP496" s="34">
        <f t="shared" si="487"/>
        <v>4.264239859</v>
      </c>
      <c r="AQ496" s="34">
        <f t="shared" si="488"/>
        <v>1.148448674</v>
      </c>
      <c r="AR496" s="34">
        <f t="shared" si="489"/>
        <v>9.936577658</v>
      </c>
      <c r="AS496" s="34">
        <f t="shared" si="490"/>
        <v>0.1348979107</v>
      </c>
      <c r="AT496" s="35">
        <f t="shared" si="15"/>
        <v>99.99001349</v>
      </c>
      <c r="AV496" s="25">
        <f t="shared" si="491"/>
        <v>13340</v>
      </c>
    </row>
    <row r="497" ht="14.25" customHeight="1">
      <c r="B497" s="83"/>
      <c r="C497" s="91" t="s">
        <v>46</v>
      </c>
      <c r="D497" s="56"/>
      <c r="E497" s="84" t="s">
        <v>75</v>
      </c>
      <c r="F497" s="56"/>
      <c r="G497" s="22">
        <v>49.74</v>
      </c>
      <c r="H497" s="22">
        <v>5.68</v>
      </c>
      <c r="I497" s="22">
        <v>43.36</v>
      </c>
      <c r="J497" s="22">
        <v>1.02</v>
      </c>
      <c r="K497" s="22">
        <v>0.2</v>
      </c>
      <c r="L497" s="88">
        <f t="shared" si="492"/>
        <v>13.350603</v>
      </c>
      <c r="M497" s="88">
        <f t="shared" si="493"/>
        <v>73.143588</v>
      </c>
      <c r="N497" s="22">
        <v>9.61</v>
      </c>
      <c r="O497" s="88">
        <f t="shared" si="494"/>
        <v>3.895809</v>
      </c>
      <c r="P497" s="76">
        <v>0.0</v>
      </c>
      <c r="Q497" s="89">
        <v>675.0</v>
      </c>
      <c r="R497" s="20" t="s">
        <v>51</v>
      </c>
      <c r="S497" s="25">
        <v>2.0</v>
      </c>
      <c r="T497" s="22" t="s">
        <v>51</v>
      </c>
      <c r="U497" s="22">
        <v>67.24</v>
      </c>
      <c r="V497" s="22">
        <v>8.45</v>
      </c>
      <c r="W497" s="22">
        <v>14.83</v>
      </c>
      <c r="X497" s="22">
        <v>13.22</v>
      </c>
      <c r="Y497" s="78">
        <f t="shared" si="482"/>
        <v>0.3197566311</v>
      </c>
      <c r="Z497" s="22">
        <v>0.76</v>
      </c>
      <c r="AA497" s="22" t="s">
        <v>51</v>
      </c>
      <c r="AB497" s="22">
        <v>24.67</v>
      </c>
      <c r="AC497" s="25">
        <v>13640.0</v>
      </c>
      <c r="AD497" s="22" t="s">
        <v>51</v>
      </c>
      <c r="AK497" s="33">
        <f t="shared" si="483"/>
        <v>0.03642857143</v>
      </c>
      <c r="AL497" s="33">
        <f t="shared" si="484"/>
        <v>11.35616438</v>
      </c>
      <c r="AM497" s="33">
        <f t="shared" si="485"/>
        <v>11.39259295</v>
      </c>
      <c r="AO497" s="34">
        <f t="shared" si="486"/>
        <v>67.02499564</v>
      </c>
      <c r="AP497" s="34">
        <f t="shared" si="487"/>
        <v>8.422980565</v>
      </c>
      <c r="AQ497" s="34">
        <f t="shared" si="488"/>
        <v>14.78258009</v>
      </c>
      <c r="AR497" s="34">
        <f t="shared" si="489"/>
        <v>13.17772817</v>
      </c>
      <c r="AS497" s="34">
        <f t="shared" si="490"/>
        <v>0.3197566311</v>
      </c>
      <c r="AT497" s="35">
        <f t="shared" si="15"/>
        <v>103.7280411</v>
      </c>
      <c r="AV497" s="25">
        <f t="shared" si="491"/>
        <v>13640</v>
      </c>
    </row>
    <row r="498" ht="14.25" customHeight="1">
      <c r="B498" s="83"/>
      <c r="C498" s="91" t="s">
        <v>46</v>
      </c>
      <c r="D498" s="56"/>
      <c r="E498" s="84" t="s">
        <v>75</v>
      </c>
      <c r="F498" s="56"/>
      <c r="G498" s="22">
        <v>49.74</v>
      </c>
      <c r="H498" s="22">
        <v>5.68</v>
      </c>
      <c r="I498" s="22">
        <v>43.36</v>
      </c>
      <c r="J498" s="22">
        <v>1.02</v>
      </c>
      <c r="K498" s="22">
        <v>0.2</v>
      </c>
      <c r="L498" s="88">
        <f t="shared" si="492"/>
        <v>13.350603</v>
      </c>
      <c r="M498" s="88">
        <f t="shared" si="493"/>
        <v>73.143588</v>
      </c>
      <c r="N498" s="22">
        <v>9.61</v>
      </c>
      <c r="O498" s="88">
        <f t="shared" si="494"/>
        <v>3.895809</v>
      </c>
      <c r="P498" s="76">
        <v>0.0</v>
      </c>
      <c r="Q498" s="89">
        <v>675.0</v>
      </c>
      <c r="R498" s="20" t="s">
        <v>51</v>
      </c>
      <c r="S498" s="25">
        <v>2.0</v>
      </c>
      <c r="T498" s="22" t="s">
        <v>51</v>
      </c>
      <c r="U498" s="22">
        <v>57.77</v>
      </c>
      <c r="V498" s="22">
        <v>15.93</v>
      </c>
      <c r="W498" s="22">
        <v>2.19</v>
      </c>
      <c r="X498" s="22">
        <v>24.1</v>
      </c>
      <c r="Y498" s="78">
        <f t="shared" si="482"/>
        <v>0.3696811909</v>
      </c>
      <c r="Z498" s="22">
        <v>1.01</v>
      </c>
      <c r="AA498" s="22" t="s">
        <v>51</v>
      </c>
      <c r="AB498" s="22">
        <v>41.95</v>
      </c>
      <c r="AC498" s="25">
        <v>17020.0</v>
      </c>
      <c r="AD498" s="22" t="s">
        <v>51</v>
      </c>
      <c r="AK498" s="33">
        <f t="shared" si="483"/>
        <v>0.03642857143</v>
      </c>
      <c r="AL498" s="33">
        <f t="shared" si="484"/>
        <v>9.81762198</v>
      </c>
      <c r="AM498" s="33">
        <f t="shared" si="485"/>
        <v>9.854050552</v>
      </c>
      <c r="AO498" s="34">
        <f t="shared" si="486"/>
        <v>57.55643518</v>
      </c>
      <c r="AP498" s="34">
        <f t="shared" si="487"/>
        <v>15.87110979</v>
      </c>
      <c r="AQ498" s="34">
        <f t="shared" si="488"/>
        <v>2.181903982</v>
      </c>
      <c r="AR498" s="34">
        <f t="shared" si="489"/>
        <v>24.01090683</v>
      </c>
      <c r="AS498" s="34">
        <f t="shared" si="490"/>
        <v>0.3696811909</v>
      </c>
      <c r="AT498" s="35">
        <f t="shared" si="15"/>
        <v>99.99003697</v>
      </c>
      <c r="AV498" s="25">
        <f t="shared" si="491"/>
        <v>17020</v>
      </c>
    </row>
    <row r="499" ht="14.25" customHeight="1">
      <c r="B499" s="83"/>
      <c r="C499" s="91" t="s">
        <v>46</v>
      </c>
      <c r="D499" s="69"/>
      <c r="E499" s="84" t="s">
        <v>75</v>
      </c>
      <c r="F499" s="69"/>
      <c r="G499" s="22">
        <v>49.74</v>
      </c>
      <c r="H499" s="22">
        <v>5.68</v>
      </c>
      <c r="I499" s="22">
        <v>43.36</v>
      </c>
      <c r="J499" s="22">
        <v>1.02</v>
      </c>
      <c r="K499" s="22">
        <v>0.2</v>
      </c>
      <c r="L499" s="88">
        <f t="shared" si="492"/>
        <v>13.350603</v>
      </c>
      <c r="M499" s="88">
        <f t="shared" si="493"/>
        <v>73.143588</v>
      </c>
      <c r="N499" s="22">
        <v>9.61</v>
      </c>
      <c r="O499" s="88">
        <f t="shared" si="494"/>
        <v>3.895809</v>
      </c>
      <c r="P499" s="76">
        <v>0.0</v>
      </c>
      <c r="Q499" s="89">
        <v>675.0</v>
      </c>
      <c r="R499" s="20" t="s">
        <v>51</v>
      </c>
      <c r="S499" s="90">
        <v>2.0</v>
      </c>
      <c r="T499" s="22" t="s">
        <v>51</v>
      </c>
      <c r="U499" s="22">
        <v>82.42</v>
      </c>
      <c r="V499" s="22">
        <v>12.37</v>
      </c>
      <c r="W499" s="22">
        <v>3.91</v>
      </c>
      <c r="X499" s="22">
        <v>1.33</v>
      </c>
      <c r="Y499" s="78">
        <f t="shared" si="482"/>
        <v>0.1545273435</v>
      </c>
      <c r="Z499" s="22">
        <v>1.2</v>
      </c>
      <c r="AA499" s="22" t="s">
        <v>51</v>
      </c>
      <c r="AB499" s="22">
        <v>20.76</v>
      </c>
      <c r="AC499" s="25">
        <v>10920.0</v>
      </c>
      <c r="AD499" s="22" t="s">
        <v>51</v>
      </c>
      <c r="AK499" s="33">
        <f t="shared" si="483"/>
        <v>0.03642857143</v>
      </c>
      <c r="AL499" s="33">
        <f t="shared" si="484"/>
        <v>23.53776263</v>
      </c>
      <c r="AM499" s="33">
        <f t="shared" si="485"/>
        <v>23.57419121</v>
      </c>
      <c r="AO499" s="34">
        <f t="shared" si="486"/>
        <v>82.29263856</v>
      </c>
      <c r="AP499" s="34">
        <f t="shared" si="487"/>
        <v>12.35088497</v>
      </c>
      <c r="AQ499" s="34">
        <f t="shared" si="488"/>
        <v>3.903957981</v>
      </c>
      <c r="AR499" s="34">
        <f t="shared" si="489"/>
        <v>1.327944786</v>
      </c>
      <c r="AS499" s="34">
        <f t="shared" si="490"/>
        <v>0.1545273435</v>
      </c>
      <c r="AT499" s="35">
        <f t="shared" si="15"/>
        <v>100.0299536</v>
      </c>
      <c r="AV499" s="25">
        <f t="shared" si="491"/>
        <v>10920</v>
      </c>
    </row>
    <row r="500" ht="14.25" customHeight="1">
      <c r="A500" s="18"/>
      <c r="B500" s="73" t="s">
        <v>103</v>
      </c>
      <c r="C500" s="20" t="s">
        <v>46</v>
      </c>
      <c r="D500" s="74" t="s">
        <v>104</v>
      </c>
      <c r="E500" s="22" t="s">
        <v>75</v>
      </c>
      <c r="F500" s="74" t="s">
        <v>57</v>
      </c>
      <c r="G500" s="87">
        <v>50.9</v>
      </c>
      <c r="H500" s="87">
        <v>3.76</v>
      </c>
      <c r="I500" s="87">
        <v>45.03</v>
      </c>
      <c r="J500" s="87">
        <v>0.266</v>
      </c>
      <c r="K500" s="87">
        <v>0.047</v>
      </c>
      <c r="L500" s="89">
        <v>16.3</v>
      </c>
      <c r="M500" s="89">
        <v>68.41</v>
      </c>
      <c r="N500" s="22">
        <v>14.85</v>
      </c>
      <c r="O500" s="89">
        <v>0.45</v>
      </c>
      <c r="P500" s="76">
        <v>0.0</v>
      </c>
      <c r="Q500" s="89">
        <v>489.0</v>
      </c>
      <c r="R500" s="20" t="s">
        <v>51</v>
      </c>
      <c r="S500" s="25">
        <v>1.7</v>
      </c>
      <c r="T500" s="22" t="s">
        <v>51</v>
      </c>
      <c r="U500" s="22">
        <v>45.72</v>
      </c>
      <c r="V500" s="22">
        <v>28.33</v>
      </c>
      <c r="W500" s="22">
        <v>1.89</v>
      </c>
      <c r="X500" s="22">
        <v>16.21</v>
      </c>
      <c r="Y500" s="78">
        <f t="shared" si="482"/>
        <v>0.1038805811</v>
      </c>
      <c r="Z500" s="22" t="s">
        <v>51</v>
      </c>
      <c r="AA500" s="22" t="s">
        <v>51</v>
      </c>
      <c r="AB500" s="22" t="s">
        <v>51</v>
      </c>
      <c r="AC500" s="32">
        <f t="shared" ref="AC500:AC504" si="495">((U500*0.24182)+(V500*0.283)+(X500*0.80262))*(10000/22.4)</f>
        <v>14323.15652</v>
      </c>
      <c r="AD500" s="22" t="s">
        <v>51</v>
      </c>
      <c r="AK500" s="33">
        <f t="shared" si="483"/>
        <v>0.0095</v>
      </c>
      <c r="AL500" s="33">
        <f t="shared" si="484"/>
        <v>9.13561634</v>
      </c>
      <c r="AM500" s="33">
        <f t="shared" si="485"/>
        <v>9.14511634</v>
      </c>
      <c r="AO500" s="34">
        <f t="shared" si="486"/>
        <v>45.6725058</v>
      </c>
      <c r="AP500" s="34">
        <f t="shared" si="487"/>
        <v>28.30057063</v>
      </c>
      <c r="AQ500" s="34">
        <f t="shared" si="488"/>
        <v>1.888036657</v>
      </c>
      <c r="AR500" s="34">
        <f t="shared" si="489"/>
        <v>16.19316096</v>
      </c>
      <c r="AS500" s="34">
        <f t="shared" si="490"/>
        <v>0.1038805811</v>
      </c>
      <c r="AT500" s="35">
        <f t="shared" si="15"/>
        <v>92.15815463</v>
      </c>
      <c r="AV500" s="32">
        <f t="shared" ref="AV500:AV504" si="496">((AO500*0.24182)+(AP500*0.283)+(AR500*0.80262))*(10000/22.4)</f>
        <v>14308.27754</v>
      </c>
    </row>
    <row r="501" ht="14.25" customHeight="1">
      <c r="B501" s="73"/>
      <c r="C501" s="20" t="s">
        <v>46</v>
      </c>
      <c r="D501" s="74"/>
      <c r="E501" s="22" t="s">
        <v>75</v>
      </c>
      <c r="F501" s="74"/>
      <c r="G501" s="22">
        <v>50.9</v>
      </c>
      <c r="H501" s="22">
        <v>3.76</v>
      </c>
      <c r="I501" s="22">
        <v>45.03</v>
      </c>
      <c r="J501" s="22">
        <v>0.266</v>
      </c>
      <c r="K501" s="22">
        <v>0.047</v>
      </c>
      <c r="L501" s="89">
        <v>16.3</v>
      </c>
      <c r="M501" s="89">
        <v>68.41</v>
      </c>
      <c r="N501" s="22">
        <v>14.85</v>
      </c>
      <c r="O501" s="89">
        <v>0.45</v>
      </c>
      <c r="P501" s="76">
        <v>0.0</v>
      </c>
      <c r="Q501" s="89">
        <v>570.0</v>
      </c>
      <c r="R501" s="20" t="s">
        <v>51</v>
      </c>
      <c r="S501" s="25">
        <v>1.7</v>
      </c>
      <c r="T501" s="22" t="s">
        <v>51</v>
      </c>
      <c r="U501" s="22">
        <v>47.18</v>
      </c>
      <c r="V501" s="22">
        <v>19.86</v>
      </c>
      <c r="W501" s="22">
        <v>3.36</v>
      </c>
      <c r="X501" s="22">
        <v>19.57</v>
      </c>
      <c r="Y501" s="78">
        <f t="shared" si="482"/>
        <v>0.09574439157</v>
      </c>
      <c r="Z501" s="22" t="s">
        <v>51</v>
      </c>
      <c r="AA501" s="22" t="s">
        <v>51</v>
      </c>
      <c r="AB501" s="22" t="s">
        <v>51</v>
      </c>
      <c r="AC501" s="32">
        <f t="shared" si="495"/>
        <v>14614.60759</v>
      </c>
      <c r="AD501" s="22" t="s">
        <v>51</v>
      </c>
      <c r="AK501" s="33">
        <f t="shared" si="483"/>
        <v>0.0095</v>
      </c>
      <c r="AL501" s="33">
        <f t="shared" si="484"/>
        <v>9.912752201</v>
      </c>
      <c r="AM501" s="33">
        <f t="shared" si="485"/>
        <v>9.922252201</v>
      </c>
      <c r="AO501" s="34">
        <f t="shared" si="486"/>
        <v>47.1348278</v>
      </c>
      <c r="AP501" s="34">
        <f t="shared" si="487"/>
        <v>19.84098516</v>
      </c>
      <c r="AQ501" s="34">
        <f t="shared" si="488"/>
        <v>3.356782988</v>
      </c>
      <c r="AR501" s="34">
        <f t="shared" si="489"/>
        <v>19.55126282</v>
      </c>
      <c r="AS501" s="34">
        <f t="shared" si="490"/>
        <v>0.09574439157</v>
      </c>
      <c r="AT501" s="35">
        <f t="shared" si="15"/>
        <v>89.97960316</v>
      </c>
      <c r="AV501" s="32">
        <f t="shared" si="496"/>
        <v>14600.61492</v>
      </c>
    </row>
    <row r="502" ht="14.25" customHeight="1">
      <c r="B502" s="73"/>
      <c r="C502" s="20" t="s">
        <v>46</v>
      </c>
      <c r="D502" s="74"/>
      <c r="E502" s="22" t="s">
        <v>75</v>
      </c>
      <c r="F502" s="74"/>
      <c r="G502" s="22">
        <v>50.9</v>
      </c>
      <c r="H502" s="22">
        <v>3.76</v>
      </c>
      <c r="I502" s="22">
        <v>45.03</v>
      </c>
      <c r="J502" s="22">
        <v>0.266</v>
      </c>
      <c r="K502" s="22">
        <v>0.047</v>
      </c>
      <c r="L502" s="89">
        <v>16.3</v>
      </c>
      <c r="M502" s="89">
        <v>68.41</v>
      </c>
      <c r="N502" s="22">
        <v>14.85</v>
      </c>
      <c r="O502" s="89">
        <v>0.45</v>
      </c>
      <c r="P502" s="76">
        <v>0.0</v>
      </c>
      <c r="Q502" s="89">
        <v>630.0</v>
      </c>
      <c r="R502" s="20" t="s">
        <v>51</v>
      </c>
      <c r="S502" s="25">
        <v>1.7</v>
      </c>
      <c r="T502" s="22" t="s">
        <v>51</v>
      </c>
      <c r="U502" s="22">
        <v>49.37</v>
      </c>
      <c r="V502" s="22">
        <v>16.07</v>
      </c>
      <c r="W502" s="22">
        <v>6.86</v>
      </c>
      <c r="X502" s="22">
        <v>18.55</v>
      </c>
      <c r="Y502" s="78">
        <f t="shared" si="482"/>
        <v>0.09281593309</v>
      </c>
      <c r="Z502" s="22" t="s">
        <v>51</v>
      </c>
      <c r="AA502" s="22" t="s">
        <v>51</v>
      </c>
      <c r="AB502" s="22" t="s">
        <v>51</v>
      </c>
      <c r="AC502" s="32">
        <f t="shared" si="495"/>
        <v>14006.72518</v>
      </c>
      <c r="AD502" s="22" t="s">
        <v>51</v>
      </c>
      <c r="AK502" s="33">
        <f t="shared" si="483"/>
        <v>0.0095</v>
      </c>
      <c r="AL502" s="33">
        <f t="shared" si="484"/>
        <v>10.22581164</v>
      </c>
      <c r="AM502" s="33">
        <f t="shared" si="485"/>
        <v>10.23531164</v>
      </c>
      <c r="AO502" s="34">
        <f t="shared" si="486"/>
        <v>49.32417677</v>
      </c>
      <c r="AP502" s="34">
        <f t="shared" si="487"/>
        <v>16.05508448</v>
      </c>
      <c r="AQ502" s="34">
        <f t="shared" si="488"/>
        <v>6.853632827</v>
      </c>
      <c r="AR502" s="34">
        <f t="shared" si="489"/>
        <v>18.53278264</v>
      </c>
      <c r="AS502" s="34">
        <f t="shared" si="490"/>
        <v>0.09281593309</v>
      </c>
      <c r="AT502" s="35">
        <f t="shared" si="15"/>
        <v>90.85849266</v>
      </c>
      <c r="AV502" s="32">
        <f t="shared" si="496"/>
        <v>13993.72471</v>
      </c>
    </row>
    <row r="503" ht="14.25" customHeight="1">
      <c r="B503" s="73"/>
      <c r="C503" s="20" t="s">
        <v>46</v>
      </c>
      <c r="D503" s="74"/>
      <c r="E503" s="22" t="s">
        <v>75</v>
      </c>
      <c r="F503" s="74"/>
      <c r="G503" s="22">
        <v>50.9</v>
      </c>
      <c r="H503" s="22">
        <v>3.76</v>
      </c>
      <c r="I503" s="22">
        <v>45.03</v>
      </c>
      <c r="J503" s="22">
        <v>0.266</v>
      </c>
      <c r="K503" s="22">
        <v>0.047</v>
      </c>
      <c r="L503" s="89">
        <v>16.3</v>
      </c>
      <c r="M503" s="89">
        <v>68.41</v>
      </c>
      <c r="N503" s="22">
        <v>14.85</v>
      </c>
      <c r="O503" s="89">
        <v>0.45</v>
      </c>
      <c r="P503" s="76">
        <v>0.0</v>
      </c>
      <c r="Q503" s="89">
        <v>684.0</v>
      </c>
      <c r="R503" s="20" t="s">
        <v>51</v>
      </c>
      <c r="S503" s="25">
        <v>1.7</v>
      </c>
      <c r="T503" s="22" t="s">
        <v>51</v>
      </c>
      <c r="U503" s="22">
        <v>56.67</v>
      </c>
      <c r="V503" s="22">
        <v>13.44</v>
      </c>
      <c r="W503" s="22">
        <v>7.45</v>
      </c>
      <c r="X503" s="22">
        <v>15.77</v>
      </c>
      <c r="Y503" s="78">
        <f t="shared" si="482"/>
        <v>0.08203951614</v>
      </c>
      <c r="Z503" s="22" t="s">
        <v>51</v>
      </c>
      <c r="AA503" s="22" t="s">
        <v>51</v>
      </c>
      <c r="AB503" s="22" t="s">
        <v>51</v>
      </c>
      <c r="AC503" s="32">
        <f t="shared" si="495"/>
        <v>13466.41821</v>
      </c>
      <c r="AD503" s="22" t="s">
        <v>51</v>
      </c>
      <c r="AK503" s="33">
        <f t="shared" si="483"/>
        <v>0.0095</v>
      </c>
      <c r="AL503" s="33">
        <f t="shared" si="484"/>
        <v>11.57028551</v>
      </c>
      <c r="AM503" s="33">
        <f t="shared" si="485"/>
        <v>11.57978551</v>
      </c>
      <c r="AO503" s="34">
        <f t="shared" si="486"/>
        <v>56.62350821</v>
      </c>
      <c r="AP503" s="34">
        <f t="shared" si="487"/>
        <v>13.42897389</v>
      </c>
      <c r="AQ503" s="34">
        <f t="shared" si="488"/>
        <v>7.443888056</v>
      </c>
      <c r="AR503" s="34">
        <f t="shared" si="489"/>
        <v>15.75706237</v>
      </c>
      <c r="AS503" s="34">
        <f t="shared" si="490"/>
        <v>0.08203951614</v>
      </c>
      <c r="AT503" s="35">
        <f t="shared" si="15"/>
        <v>93.33547204</v>
      </c>
      <c r="AV503" s="32">
        <f t="shared" si="496"/>
        <v>13455.37043</v>
      </c>
    </row>
    <row r="504" ht="14.25" customHeight="1">
      <c r="B504" s="73"/>
      <c r="C504" s="20" t="s">
        <v>46</v>
      </c>
      <c r="D504" s="74"/>
      <c r="E504" s="22" t="s">
        <v>75</v>
      </c>
      <c r="F504" s="74"/>
      <c r="G504" s="22">
        <v>50.9</v>
      </c>
      <c r="H504" s="22">
        <v>3.76</v>
      </c>
      <c r="I504" s="22">
        <v>45.03</v>
      </c>
      <c r="J504" s="22">
        <v>0.266</v>
      </c>
      <c r="K504" s="22">
        <v>0.047</v>
      </c>
      <c r="L504" s="89">
        <v>16.3</v>
      </c>
      <c r="M504" s="89">
        <v>68.41</v>
      </c>
      <c r="N504" s="22">
        <v>14.85</v>
      </c>
      <c r="O504" s="89">
        <v>0.45</v>
      </c>
      <c r="P504" s="76">
        <v>0.0</v>
      </c>
      <c r="Q504" s="89">
        <v>740.0</v>
      </c>
      <c r="R504" s="20" t="s">
        <v>51</v>
      </c>
      <c r="S504" s="25">
        <v>1.7</v>
      </c>
      <c r="T504" s="22" t="s">
        <v>51</v>
      </c>
      <c r="U504" s="22">
        <v>57.99</v>
      </c>
      <c r="V504" s="22">
        <v>13.58</v>
      </c>
      <c r="W504" s="22">
        <v>14.6</v>
      </c>
      <c r="X504" s="22">
        <v>9.93</v>
      </c>
      <c r="Y504" s="78">
        <f t="shared" si="482"/>
        <v>0.08528162879</v>
      </c>
      <c r="Z504" s="22" t="s">
        <v>51</v>
      </c>
      <c r="AA504" s="22" t="s">
        <v>51</v>
      </c>
      <c r="AB504" s="22" t="s">
        <v>51</v>
      </c>
      <c r="AC504" s="32">
        <f t="shared" si="495"/>
        <v>11534.06179</v>
      </c>
      <c r="AD504" s="22" t="s">
        <v>51</v>
      </c>
      <c r="AK504" s="33">
        <f t="shared" si="483"/>
        <v>0.0095</v>
      </c>
      <c r="AL504" s="33">
        <f t="shared" si="484"/>
        <v>11.1300621</v>
      </c>
      <c r="AM504" s="33">
        <f t="shared" si="485"/>
        <v>11.1395621</v>
      </c>
      <c r="AO504" s="34">
        <f t="shared" si="486"/>
        <v>57.94054518</v>
      </c>
      <c r="AP504" s="34">
        <f t="shared" si="487"/>
        <v>13.56841875</v>
      </c>
      <c r="AQ504" s="34">
        <f t="shared" si="488"/>
        <v>14.58754888</v>
      </c>
      <c r="AR504" s="34">
        <f t="shared" si="489"/>
        <v>9.921531534</v>
      </c>
      <c r="AS504" s="34">
        <f t="shared" si="490"/>
        <v>0.08528162879</v>
      </c>
      <c r="AT504" s="35">
        <f t="shared" si="15"/>
        <v>96.10332598</v>
      </c>
      <c r="AV504" s="32">
        <f t="shared" si="496"/>
        <v>11524.22535</v>
      </c>
    </row>
    <row r="505" ht="14.25" customHeight="1">
      <c r="A505" s="18"/>
      <c r="B505" s="83" t="s">
        <v>105</v>
      </c>
      <c r="C505" s="50" t="s">
        <v>46</v>
      </c>
      <c r="D505" s="57" t="s">
        <v>106</v>
      </c>
      <c r="E505" s="22" t="s">
        <v>75</v>
      </c>
      <c r="F505" s="75" t="s">
        <v>107</v>
      </c>
      <c r="G505" s="27">
        <f>53.78*100/(100-O505)</f>
        <v>54.9953983</v>
      </c>
      <c r="H505" s="27">
        <f>7.2*100/(100-O505)</f>
        <v>7.362716024</v>
      </c>
      <c r="I505" s="27">
        <f>36.3*100/(100-O505)</f>
        <v>37.12035996</v>
      </c>
      <c r="J505" s="27">
        <v>0.0</v>
      </c>
      <c r="K505" s="27">
        <f>0.51*100/(100-O505)</f>
        <v>0.5215257184</v>
      </c>
      <c r="L505" s="40">
        <v>18.32</v>
      </c>
      <c r="M505" s="22">
        <v>73.74</v>
      </c>
      <c r="N505" s="22">
        <v>5.73</v>
      </c>
      <c r="O505" s="22">
        <v>2.21</v>
      </c>
      <c r="P505" s="76">
        <v>0.0</v>
      </c>
      <c r="Q505" s="89">
        <v>800.0</v>
      </c>
      <c r="R505" s="20" t="s">
        <v>51</v>
      </c>
      <c r="S505" s="25">
        <v>1.33</v>
      </c>
      <c r="T505" s="22" t="s">
        <v>51</v>
      </c>
      <c r="U505" s="22">
        <v>36.5</v>
      </c>
      <c r="V505" s="22">
        <v>25.8</v>
      </c>
      <c r="W505" s="22">
        <v>24.5</v>
      </c>
      <c r="X505" s="22">
        <v>10.2</v>
      </c>
      <c r="Y505" s="78">
        <f t="shared" si="482"/>
        <v>0</v>
      </c>
      <c r="Z505" s="22">
        <v>1.21</v>
      </c>
      <c r="AA505" s="22" t="s">
        <v>51</v>
      </c>
      <c r="AB505" s="22" t="s">
        <v>51</v>
      </c>
      <c r="AC505" s="25">
        <v>12370.0</v>
      </c>
      <c r="AD505" s="22" t="s">
        <v>51</v>
      </c>
      <c r="AK505" s="33">
        <f t="shared" si="483"/>
        <v>0</v>
      </c>
      <c r="AL505" s="33">
        <f t="shared" si="484"/>
        <v>7.575123733</v>
      </c>
      <c r="AM505" s="33">
        <f t="shared" si="485"/>
        <v>7.575123733</v>
      </c>
      <c r="AO505" s="34">
        <f t="shared" si="486"/>
        <v>36.5</v>
      </c>
      <c r="AP505" s="34">
        <f t="shared" si="487"/>
        <v>25.8</v>
      </c>
      <c r="AQ505" s="34">
        <f t="shared" si="488"/>
        <v>24.5</v>
      </c>
      <c r="AR505" s="34">
        <f t="shared" si="489"/>
        <v>10.2</v>
      </c>
      <c r="AS505" s="34">
        <f t="shared" si="490"/>
        <v>0</v>
      </c>
      <c r="AT505" s="35">
        <f t="shared" si="15"/>
        <v>97</v>
      </c>
      <c r="AV505" s="25">
        <f t="shared" ref="AV505:AV560" si="497">AC505</f>
        <v>12370</v>
      </c>
    </row>
    <row r="506" ht="14.25" customHeight="1">
      <c r="B506" s="83"/>
      <c r="C506" s="50" t="s">
        <v>46</v>
      </c>
      <c r="D506" s="56"/>
      <c r="E506" s="22" t="s">
        <v>75</v>
      </c>
      <c r="F506" s="75" t="s">
        <v>108</v>
      </c>
      <c r="G506" s="27">
        <f>50.27*100/(100-O506)</f>
        <v>53.10024295</v>
      </c>
      <c r="H506" s="27">
        <f>7.07*100/(100-O506)</f>
        <v>7.4680469</v>
      </c>
      <c r="I506" s="27">
        <f>36.28*100/(100-O506)</f>
        <v>38.32259427</v>
      </c>
      <c r="J506" s="27">
        <f>0.42*100/(100-O506)</f>
        <v>0.4436463505</v>
      </c>
      <c r="K506" s="27">
        <f>0.63*100/(100-O506)</f>
        <v>0.6654695257</v>
      </c>
      <c r="L506" s="92">
        <v>12.12</v>
      </c>
      <c r="M506" s="89">
        <v>75.99</v>
      </c>
      <c r="N506" s="22">
        <v>6.56</v>
      </c>
      <c r="O506" s="89">
        <v>5.33</v>
      </c>
      <c r="P506" s="76">
        <v>0.0</v>
      </c>
      <c r="Q506" s="89">
        <v>800.0</v>
      </c>
      <c r="R506" s="20" t="s">
        <v>51</v>
      </c>
      <c r="S506" s="25">
        <v>1.33</v>
      </c>
      <c r="T506" s="22" t="s">
        <v>51</v>
      </c>
      <c r="U506" s="22">
        <v>36.5</v>
      </c>
      <c r="V506" s="22">
        <v>25.8</v>
      </c>
      <c r="W506" s="22">
        <v>24.5</v>
      </c>
      <c r="X506" s="22">
        <v>10.2</v>
      </c>
      <c r="Y506" s="78">
        <f t="shared" si="482"/>
        <v>0.2161619249</v>
      </c>
      <c r="Z506" s="22">
        <v>1.21</v>
      </c>
      <c r="AA506" s="22" t="s">
        <v>51</v>
      </c>
      <c r="AB506" s="22" t="s">
        <v>51</v>
      </c>
      <c r="AC506" s="25">
        <v>12370.0</v>
      </c>
      <c r="AD506" s="22" t="s">
        <v>51</v>
      </c>
      <c r="AK506" s="33">
        <f t="shared" si="483"/>
        <v>0.01584451252</v>
      </c>
      <c r="AL506" s="33">
        <f t="shared" si="484"/>
        <v>7.314083051</v>
      </c>
      <c r="AM506" s="33">
        <f t="shared" si="485"/>
        <v>7.329927563</v>
      </c>
      <c r="AO506" s="34">
        <f t="shared" si="486"/>
        <v>36.4211009</v>
      </c>
      <c r="AP506" s="34">
        <f t="shared" si="487"/>
        <v>25.74423022</v>
      </c>
      <c r="AQ506" s="34">
        <f t="shared" si="488"/>
        <v>24.44704033</v>
      </c>
      <c r="AR506" s="34">
        <f t="shared" si="489"/>
        <v>10.17795148</v>
      </c>
      <c r="AS506" s="34">
        <f t="shared" si="490"/>
        <v>0.2161619249</v>
      </c>
      <c r="AT506" s="35">
        <f t="shared" si="15"/>
        <v>97.00648486</v>
      </c>
      <c r="AV506" s="25">
        <f t="shared" si="497"/>
        <v>12370</v>
      </c>
    </row>
    <row r="507" ht="14.25" customHeight="1">
      <c r="B507" s="83"/>
      <c r="C507" s="50" t="s">
        <v>46</v>
      </c>
      <c r="D507" s="56"/>
      <c r="E507" s="22" t="s">
        <v>75</v>
      </c>
      <c r="F507" s="75" t="s">
        <v>109</v>
      </c>
      <c r="G507" s="27">
        <f>48.79*100/(100-O507)</f>
        <v>50.30934213</v>
      </c>
      <c r="H507" s="27">
        <f>7.33*100/(100-O507)</f>
        <v>7.558259435</v>
      </c>
      <c r="I507" s="27">
        <f>40.18*100/(100-O507)</f>
        <v>41.43122293</v>
      </c>
      <c r="J507" s="27">
        <v>0.0</v>
      </c>
      <c r="K507" s="27">
        <f>0.68*100/(100-O507)</f>
        <v>0.7011755001</v>
      </c>
      <c r="L507" s="92">
        <v>8.56</v>
      </c>
      <c r="M507" s="89">
        <v>79.67</v>
      </c>
      <c r="N507" s="22">
        <v>8.75</v>
      </c>
      <c r="O507" s="89">
        <v>3.02</v>
      </c>
      <c r="P507" s="76">
        <v>0.0</v>
      </c>
      <c r="Q507" s="89">
        <v>800.0</v>
      </c>
      <c r="R507" s="20" t="s">
        <v>51</v>
      </c>
      <c r="S507" s="25">
        <v>1.33</v>
      </c>
      <c r="T507" s="22" t="s">
        <v>51</v>
      </c>
      <c r="U507" s="22">
        <v>36.5</v>
      </c>
      <c r="V507" s="22">
        <v>25.8</v>
      </c>
      <c r="W507" s="22">
        <v>24.5</v>
      </c>
      <c r="X507" s="22">
        <v>10.2</v>
      </c>
      <c r="Y507" s="78">
        <f t="shared" si="482"/>
        <v>0</v>
      </c>
      <c r="Z507" s="22">
        <v>1.21</v>
      </c>
      <c r="AA507" s="22" t="s">
        <v>51</v>
      </c>
      <c r="AB507" s="22" t="s">
        <v>51</v>
      </c>
      <c r="AC507" s="25">
        <v>12370.0</v>
      </c>
      <c r="AD507" s="22" t="s">
        <v>51</v>
      </c>
      <c r="AK507" s="33">
        <f t="shared" si="483"/>
        <v>0</v>
      </c>
      <c r="AL507" s="33">
        <f t="shared" si="484"/>
        <v>6.929661451</v>
      </c>
      <c r="AM507" s="33">
        <f t="shared" si="485"/>
        <v>6.929661451</v>
      </c>
      <c r="AO507" s="34">
        <f t="shared" si="486"/>
        <v>36.5</v>
      </c>
      <c r="AP507" s="34">
        <f t="shared" si="487"/>
        <v>25.8</v>
      </c>
      <c r="AQ507" s="34">
        <f t="shared" si="488"/>
        <v>24.5</v>
      </c>
      <c r="AR507" s="34">
        <f t="shared" si="489"/>
        <v>10.2</v>
      </c>
      <c r="AS507" s="34">
        <f t="shared" si="490"/>
        <v>0</v>
      </c>
      <c r="AT507" s="35">
        <f t="shared" si="15"/>
        <v>97</v>
      </c>
      <c r="AV507" s="25">
        <f t="shared" si="497"/>
        <v>12370</v>
      </c>
    </row>
    <row r="508" ht="14.25" customHeight="1">
      <c r="B508" s="83"/>
      <c r="C508" s="50" t="s">
        <v>46</v>
      </c>
      <c r="D508" s="56"/>
      <c r="E508" s="22" t="s">
        <v>75</v>
      </c>
      <c r="F508" s="75" t="s">
        <v>107</v>
      </c>
      <c r="G508" s="27">
        <f>53.78*100/(100-O508)</f>
        <v>54.9953983</v>
      </c>
      <c r="H508" s="27">
        <f>7.2*100/(100-O508)</f>
        <v>7.362716024</v>
      </c>
      <c r="I508" s="27">
        <f>36.3*100/(100-O508)</f>
        <v>37.12035996</v>
      </c>
      <c r="J508" s="27">
        <v>0.0</v>
      </c>
      <c r="K508" s="27">
        <f>0.51*100/(100-O508)</f>
        <v>0.5215257184</v>
      </c>
      <c r="L508" s="40">
        <v>18.32</v>
      </c>
      <c r="M508" s="22">
        <v>73.74</v>
      </c>
      <c r="N508" s="22">
        <v>5.73</v>
      </c>
      <c r="O508" s="22">
        <v>2.21</v>
      </c>
      <c r="P508" s="76">
        <v>0.0</v>
      </c>
      <c r="Q508" s="89">
        <v>800.0</v>
      </c>
      <c r="R508" s="20" t="s">
        <v>110</v>
      </c>
      <c r="S508" s="25">
        <v>1.33</v>
      </c>
      <c r="T508" s="22" t="s">
        <v>51</v>
      </c>
      <c r="U508" s="22">
        <v>40.6</v>
      </c>
      <c r="V508" s="22">
        <v>12.7</v>
      </c>
      <c r="W508" s="22">
        <v>26.6</v>
      </c>
      <c r="X508" s="22">
        <v>14.9</v>
      </c>
      <c r="Y508" s="78">
        <f t="shared" si="482"/>
        <v>0</v>
      </c>
      <c r="Z508" s="22">
        <v>1.45</v>
      </c>
      <c r="AA508" s="22" t="s">
        <v>51</v>
      </c>
      <c r="AB508" s="22" t="s">
        <v>51</v>
      </c>
      <c r="AC508" s="25">
        <v>12720.0</v>
      </c>
      <c r="AD508" s="22" t="s">
        <v>51</v>
      </c>
      <c r="AK508" s="33">
        <f t="shared" si="483"/>
        <v>0</v>
      </c>
      <c r="AL508" s="33">
        <f t="shared" si="484"/>
        <v>8.455627045</v>
      </c>
      <c r="AM508" s="33">
        <f t="shared" si="485"/>
        <v>8.455627045</v>
      </c>
      <c r="AO508" s="34">
        <f t="shared" si="486"/>
        <v>40.6</v>
      </c>
      <c r="AP508" s="34">
        <f t="shared" si="487"/>
        <v>12.7</v>
      </c>
      <c r="AQ508" s="34">
        <f t="shared" si="488"/>
        <v>26.6</v>
      </c>
      <c r="AR508" s="34">
        <f t="shared" si="489"/>
        <v>14.9</v>
      </c>
      <c r="AS508" s="34">
        <f t="shared" si="490"/>
        <v>0</v>
      </c>
      <c r="AT508" s="35">
        <f t="shared" si="15"/>
        <v>94.8</v>
      </c>
      <c r="AV508" s="25">
        <f t="shared" si="497"/>
        <v>12720</v>
      </c>
    </row>
    <row r="509" ht="14.25" customHeight="1">
      <c r="B509" s="83"/>
      <c r="C509" s="50" t="s">
        <v>46</v>
      </c>
      <c r="D509" s="56"/>
      <c r="E509" s="22" t="s">
        <v>75</v>
      </c>
      <c r="F509" s="75" t="s">
        <v>108</v>
      </c>
      <c r="G509" s="27">
        <f>50.27*100/(100-O509)</f>
        <v>53.10024295</v>
      </c>
      <c r="H509" s="27">
        <f>7.07*100/(100-O509)</f>
        <v>7.4680469</v>
      </c>
      <c r="I509" s="27">
        <f>36.28*100/(100-O509)</f>
        <v>38.32259427</v>
      </c>
      <c r="J509" s="27">
        <f>0.42*100/(100-O509)</f>
        <v>0.4436463505</v>
      </c>
      <c r="K509" s="27">
        <f>0.63*100/(100-O509)</f>
        <v>0.6654695257</v>
      </c>
      <c r="L509" s="92">
        <v>12.12</v>
      </c>
      <c r="M509" s="89">
        <v>75.99</v>
      </c>
      <c r="N509" s="22">
        <v>6.56</v>
      </c>
      <c r="O509" s="89">
        <v>5.33</v>
      </c>
      <c r="P509" s="76">
        <v>0.0</v>
      </c>
      <c r="Q509" s="89">
        <v>800.0</v>
      </c>
      <c r="R509" s="20"/>
      <c r="S509" s="25">
        <v>1.33</v>
      </c>
      <c r="T509" s="22" t="s">
        <v>51</v>
      </c>
      <c r="U509" s="22">
        <v>40.6</v>
      </c>
      <c r="V509" s="22">
        <v>12.7</v>
      </c>
      <c r="W509" s="22">
        <v>26.6</v>
      </c>
      <c r="X509" s="22">
        <v>14.9</v>
      </c>
      <c r="Y509" s="78">
        <f t="shared" si="482"/>
        <v>0.1936961012</v>
      </c>
      <c r="Z509" s="22">
        <v>1.45</v>
      </c>
      <c r="AA509" s="22" t="s">
        <v>51</v>
      </c>
      <c r="AB509" s="22" t="s">
        <v>51</v>
      </c>
      <c r="AC509" s="25">
        <v>12720.0</v>
      </c>
      <c r="AD509" s="22" t="s">
        <v>51</v>
      </c>
      <c r="AK509" s="33">
        <f t="shared" si="483"/>
        <v>0.01584451252</v>
      </c>
      <c r="AL509" s="33">
        <f t="shared" si="484"/>
        <v>8.164243996</v>
      </c>
      <c r="AM509" s="33">
        <f t="shared" si="485"/>
        <v>8.180088508</v>
      </c>
      <c r="AO509" s="34">
        <f t="shared" si="486"/>
        <v>40.52135938</v>
      </c>
      <c r="AP509" s="34">
        <f t="shared" si="487"/>
        <v>12.6754006</v>
      </c>
      <c r="AQ509" s="34">
        <f t="shared" si="488"/>
        <v>26.54847684</v>
      </c>
      <c r="AR509" s="34">
        <f t="shared" si="489"/>
        <v>14.87113928</v>
      </c>
      <c r="AS509" s="34">
        <f t="shared" si="490"/>
        <v>0.1936961012</v>
      </c>
      <c r="AT509" s="35">
        <f t="shared" si="15"/>
        <v>94.8100722</v>
      </c>
      <c r="AV509" s="25">
        <f t="shared" si="497"/>
        <v>12720</v>
      </c>
    </row>
    <row r="510" ht="14.25" customHeight="1">
      <c r="B510" s="83"/>
      <c r="C510" s="50" t="s">
        <v>46</v>
      </c>
      <c r="D510" s="56"/>
      <c r="E510" s="22" t="s">
        <v>75</v>
      </c>
      <c r="F510" s="75" t="s">
        <v>109</v>
      </c>
      <c r="G510" s="27">
        <f>48.79*100/(100-O510)</f>
        <v>50.30934213</v>
      </c>
      <c r="H510" s="27">
        <f>7.33*100/(100-O510)</f>
        <v>7.558259435</v>
      </c>
      <c r="I510" s="27">
        <f>40.18*100/(100-O510)</f>
        <v>41.43122293</v>
      </c>
      <c r="J510" s="27">
        <v>0.0</v>
      </c>
      <c r="K510" s="27">
        <f>0.68*100/(100-O510)</f>
        <v>0.7011755001</v>
      </c>
      <c r="L510" s="92">
        <v>8.56</v>
      </c>
      <c r="M510" s="89">
        <v>79.67</v>
      </c>
      <c r="N510" s="22">
        <v>8.75</v>
      </c>
      <c r="O510" s="89">
        <v>3.02</v>
      </c>
      <c r="P510" s="76">
        <v>0.0</v>
      </c>
      <c r="Q510" s="89">
        <v>800.0</v>
      </c>
      <c r="R510" s="20"/>
      <c r="S510" s="25">
        <v>1.33</v>
      </c>
      <c r="T510" s="22" t="s">
        <v>51</v>
      </c>
      <c r="U510" s="22">
        <v>40.6</v>
      </c>
      <c r="V510" s="22">
        <v>12.7</v>
      </c>
      <c r="W510" s="22">
        <v>26.6</v>
      </c>
      <c r="X510" s="22">
        <v>14.9</v>
      </c>
      <c r="Y510" s="78">
        <f t="shared" si="482"/>
        <v>0</v>
      </c>
      <c r="Z510" s="22">
        <v>1.45</v>
      </c>
      <c r="AA510" s="22" t="s">
        <v>51</v>
      </c>
      <c r="AB510" s="22" t="s">
        <v>51</v>
      </c>
      <c r="AC510" s="25">
        <v>12720.0</v>
      </c>
      <c r="AD510" s="22" t="s">
        <v>51</v>
      </c>
      <c r="AK510" s="33">
        <f t="shared" si="483"/>
        <v>0</v>
      </c>
      <c r="AL510" s="33">
        <f t="shared" si="484"/>
        <v>7.735138704</v>
      </c>
      <c r="AM510" s="33">
        <f t="shared" si="485"/>
        <v>7.735138704</v>
      </c>
      <c r="AO510" s="34">
        <f t="shared" si="486"/>
        <v>40.6</v>
      </c>
      <c r="AP510" s="34">
        <f t="shared" si="487"/>
        <v>12.7</v>
      </c>
      <c r="AQ510" s="34">
        <f t="shared" si="488"/>
        <v>26.6</v>
      </c>
      <c r="AR510" s="34">
        <f t="shared" si="489"/>
        <v>14.9</v>
      </c>
      <c r="AS510" s="34">
        <f t="shared" si="490"/>
        <v>0</v>
      </c>
      <c r="AT510" s="35">
        <f t="shared" si="15"/>
        <v>94.8</v>
      </c>
      <c r="AV510" s="25">
        <f t="shared" si="497"/>
        <v>12720</v>
      </c>
    </row>
    <row r="511" ht="14.25" customHeight="1">
      <c r="B511" s="83"/>
      <c r="C511" s="50" t="s">
        <v>46</v>
      </c>
      <c r="D511" s="56"/>
      <c r="E511" s="22" t="s">
        <v>75</v>
      </c>
      <c r="F511" s="75" t="s">
        <v>107</v>
      </c>
      <c r="G511" s="27">
        <f>53.78*100/(100-O511)</f>
        <v>54.9953983</v>
      </c>
      <c r="H511" s="27">
        <f>7.2*100/(100-O511)</f>
        <v>7.362716024</v>
      </c>
      <c r="I511" s="27">
        <f>36.3*100/(100-O511)</f>
        <v>37.12035996</v>
      </c>
      <c r="J511" s="27">
        <v>0.0</v>
      </c>
      <c r="K511" s="27">
        <f>0.51*100/(100-O511)</f>
        <v>0.5215257184</v>
      </c>
      <c r="L511" s="40">
        <v>18.32</v>
      </c>
      <c r="M511" s="22">
        <v>73.74</v>
      </c>
      <c r="N511" s="22">
        <v>5.73</v>
      </c>
      <c r="O511" s="22">
        <v>2.21</v>
      </c>
      <c r="P511" s="76">
        <v>0.0</v>
      </c>
      <c r="Q511" s="89">
        <v>800.0</v>
      </c>
      <c r="R511" s="20" t="s">
        <v>111</v>
      </c>
      <c r="S511" s="25">
        <v>1.33</v>
      </c>
      <c r="T511" s="22" t="s">
        <v>51</v>
      </c>
      <c r="U511" s="22">
        <v>53.6</v>
      </c>
      <c r="V511" s="22">
        <v>20.5</v>
      </c>
      <c r="W511" s="22">
        <v>20.9</v>
      </c>
      <c r="X511" s="22">
        <v>4.4</v>
      </c>
      <c r="Y511" s="78">
        <f t="shared" si="482"/>
        <v>0</v>
      </c>
      <c r="Z511" s="22">
        <v>2.11</v>
      </c>
      <c r="AA511" s="22" t="s">
        <v>51</v>
      </c>
      <c r="AB511" s="22" t="s">
        <v>51</v>
      </c>
      <c r="AC511" s="25">
        <v>10200.0</v>
      </c>
      <c r="AD511" s="22" t="s">
        <v>51</v>
      </c>
      <c r="AK511" s="33">
        <f t="shared" si="483"/>
        <v>0</v>
      </c>
      <c r="AL511" s="33">
        <f t="shared" si="484"/>
        <v>10.00644074</v>
      </c>
      <c r="AM511" s="33">
        <f t="shared" si="485"/>
        <v>10.00644074</v>
      </c>
      <c r="AO511" s="34">
        <f t="shared" si="486"/>
        <v>53.6</v>
      </c>
      <c r="AP511" s="34">
        <f t="shared" si="487"/>
        <v>20.5</v>
      </c>
      <c r="AQ511" s="34">
        <f t="shared" si="488"/>
        <v>20.9</v>
      </c>
      <c r="AR511" s="34">
        <f t="shared" si="489"/>
        <v>4.4</v>
      </c>
      <c r="AS511" s="34">
        <f t="shared" si="490"/>
        <v>0</v>
      </c>
      <c r="AT511" s="35">
        <f t="shared" si="15"/>
        <v>99.4</v>
      </c>
      <c r="AV511" s="25">
        <f t="shared" si="497"/>
        <v>10200</v>
      </c>
    </row>
    <row r="512" ht="14.25" customHeight="1">
      <c r="B512" s="83"/>
      <c r="C512" s="50" t="s">
        <v>46</v>
      </c>
      <c r="D512" s="56"/>
      <c r="E512" s="22" t="s">
        <v>75</v>
      </c>
      <c r="F512" s="75" t="s">
        <v>108</v>
      </c>
      <c r="G512" s="27">
        <f>50.27*100/(100-O512)</f>
        <v>53.10024295</v>
      </c>
      <c r="H512" s="27">
        <f>7.07*100/(100-O512)</f>
        <v>7.4680469</v>
      </c>
      <c r="I512" s="27">
        <f>36.28*100/(100-O512)</f>
        <v>38.32259427</v>
      </c>
      <c r="J512" s="27">
        <f>0.42*100/(100-O512)</f>
        <v>0.4436463505</v>
      </c>
      <c r="K512" s="27">
        <f>0.63*100/(100-O512)</f>
        <v>0.6654695257</v>
      </c>
      <c r="L512" s="92">
        <v>12.12</v>
      </c>
      <c r="M512" s="89">
        <v>75.99</v>
      </c>
      <c r="N512" s="22">
        <v>6.56</v>
      </c>
      <c r="O512" s="89">
        <v>5.33</v>
      </c>
      <c r="P512" s="76">
        <v>0.0</v>
      </c>
      <c r="Q512" s="89">
        <v>800.0</v>
      </c>
      <c r="R512" s="20"/>
      <c r="S512" s="25">
        <v>1.33</v>
      </c>
      <c r="T512" s="22" t="s">
        <v>51</v>
      </c>
      <c r="U512" s="22">
        <v>53.6</v>
      </c>
      <c r="V512" s="22">
        <v>20.5</v>
      </c>
      <c r="W512" s="22">
        <v>20.9</v>
      </c>
      <c r="X512" s="22">
        <v>4.4</v>
      </c>
      <c r="Y512" s="78">
        <f t="shared" si="482"/>
        <v>0.1637259287</v>
      </c>
      <c r="Z512" s="22">
        <v>2.11</v>
      </c>
      <c r="AA512" s="22" t="s">
        <v>51</v>
      </c>
      <c r="AB512" s="22" t="s">
        <v>51</v>
      </c>
      <c r="AC512" s="25">
        <v>10200.0</v>
      </c>
      <c r="AD512" s="22" t="s">
        <v>51</v>
      </c>
      <c r="AK512" s="33">
        <f t="shared" si="483"/>
        <v>0.01584451252</v>
      </c>
      <c r="AL512" s="33">
        <f t="shared" si="484"/>
        <v>9.661616257</v>
      </c>
      <c r="AM512" s="33">
        <f t="shared" si="485"/>
        <v>9.67746077</v>
      </c>
      <c r="AO512" s="34">
        <f t="shared" si="486"/>
        <v>53.5122429</v>
      </c>
      <c r="AP512" s="34">
        <f t="shared" si="487"/>
        <v>20.46643618</v>
      </c>
      <c r="AQ512" s="34">
        <f t="shared" si="488"/>
        <v>20.86578128</v>
      </c>
      <c r="AR512" s="34">
        <f t="shared" si="489"/>
        <v>4.392796059</v>
      </c>
      <c r="AS512" s="34">
        <f t="shared" si="490"/>
        <v>0.1637259287</v>
      </c>
      <c r="AT512" s="35">
        <f t="shared" si="15"/>
        <v>99.40098236</v>
      </c>
      <c r="AV512" s="25">
        <f t="shared" si="497"/>
        <v>10200</v>
      </c>
    </row>
    <row r="513" ht="14.25" customHeight="1">
      <c r="B513" s="83"/>
      <c r="C513" s="50" t="s">
        <v>46</v>
      </c>
      <c r="D513" s="56"/>
      <c r="E513" s="22" t="s">
        <v>75</v>
      </c>
      <c r="F513" s="75" t="s">
        <v>109</v>
      </c>
      <c r="G513" s="27">
        <f>48.79*100/(100-O513)</f>
        <v>50.30934213</v>
      </c>
      <c r="H513" s="27">
        <f>7.33*100/(100-O513)</f>
        <v>7.558259435</v>
      </c>
      <c r="I513" s="27">
        <f>40.18*100/(100-O513)</f>
        <v>41.43122293</v>
      </c>
      <c r="J513" s="27">
        <v>0.0</v>
      </c>
      <c r="K513" s="27">
        <f>0.68*100/(100-O513)</f>
        <v>0.7011755001</v>
      </c>
      <c r="L513" s="92">
        <v>8.56</v>
      </c>
      <c r="M513" s="89">
        <v>79.67</v>
      </c>
      <c r="N513" s="22">
        <v>8.75</v>
      </c>
      <c r="O513" s="89">
        <v>3.02</v>
      </c>
      <c r="P513" s="76">
        <v>0.0</v>
      </c>
      <c r="Q513" s="89">
        <v>800.0</v>
      </c>
      <c r="R513" s="20"/>
      <c r="S513" s="25">
        <v>1.33</v>
      </c>
      <c r="T513" s="22" t="s">
        <v>51</v>
      </c>
      <c r="U513" s="22">
        <v>53.6</v>
      </c>
      <c r="V513" s="22">
        <v>20.5</v>
      </c>
      <c r="W513" s="22">
        <v>20.9</v>
      </c>
      <c r="X513" s="22">
        <v>4.4</v>
      </c>
      <c r="Y513" s="78">
        <f t="shared" si="482"/>
        <v>0</v>
      </c>
      <c r="Z513" s="22">
        <v>2.11</v>
      </c>
      <c r="AA513" s="22" t="s">
        <v>51</v>
      </c>
      <c r="AB513" s="22" t="s">
        <v>51</v>
      </c>
      <c r="AC513" s="25">
        <v>10200.0</v>
      </c>
      <c r="AD513" s="22" t="s">
        <v>51</v>
      </c>
      <c r="AK513" s="33">
        <f t="shared" si="483"/>
        <v>0</v>
      </c>
      <c r="AL513" s="33">
        <f t="shared" si="484"/>
        <v>9.153810432</v>
      </c>
      <c r="AM513" s="33">
        <f t="shared" si="485"/>
        <v>9.153810432</v>
      </c>
      <c r="AO513" s="34">
        <f t="shared" si="486"/>
        <v>53.6</v>
      </c>
      <c r="AP513" s="34">
        <f t="shared" si="487"/>
        <v>20.5</v>
      </c>
      <c r="AQ513" s="34">
        <f t="shared" si="488"/>
        <v>20.9</v>
      </c>
      <c r="AR513" s="34">
        <f t="shared" si="489"/>
        <v>4.4</v>
      </c>
      <c r="AS513" s="34">
        <f t="shared" si="490"/>
        <v>0</v>
      </c>
      <c r="AT513" s="35">
        <f t="shared" si="15"/>
        <v>99.4</v>
      </c>
      <c r="AV513" s="25">
        <f t="shared" si="497"/>
        <v>10200</v>
      </c>
    </row>
    <row r="514" ht="14.25" customHeight="1">
      <c r="B514" s="83"/>
      <c r="C514" s="50" t="s">
        <v>46</v>
      </c>
      <c r="D514" s="56"/>
      <c r="E514" s="22" t="s">
        <v>75</v>
      </c>
      <c r="F514" s="75" t="s">
        <v>107</v>
      </c>
      <c r="G514" s="27">
        <f>53.78*100/(100-O514)</f>
        <v>54.9953983</v>
      </c>
      <c r="H514" s="27">
        <f>7.2*100/(100-O514)</f>
        <v>7.362716024</v>
      </c>
      <c r="I514" s="27">
        <f>36.3*100/(100-O514)</f>
        <v>37.12035996</v>
      </c>
      <c r="J514" s="27">
        <v>0.0</v>
      </c>
      <c r="K514" s="27">
        <f>0.51*100/(100-O514)</f>
        <v>0.5215257184</v>
      </c>
      <c r="L514" s="40">
        <v>18.32</v>
      </c>
      <c r="M514" s="22">
        <v>73.74</v>
      </c>
      <c r="N514" s="22">
        <v>5.73</v>
      </c>
      <c r="O514" s="22">
        <v>2.21</v>
      </c>
      <c r="P514" s="76">
        <v>0.0</v>
      </c>
      <c r="Q514" s="89">
        <v>800.0</v>
      </c>
      <c r="R514" s="20" t="s">
        <v>51</v>
      </c>
      <c r="S514" s="25">
        <v>1.33</v>
      </c>
      <c r="T514" s="22" t="s">
        <v>51</v>
      </c>
      <c r="U514" s="22">
        <v>48.23</v>
      </c>
      <c r="V514" s="22">
        <v>24.79</v>
      </c>
      <c r="W514" s="22">
        <v>19.64</v>
      </c>
      <c r="X514" s="22">
        <v>6.8</v>
      </c>
      <c r="Y514" s="78">
        <f t="shared" si="482"/>
        <v>0</v>
      </c>
      <c r="Z514" s="22">
        <v>1.79</v>
      </c>
      <c r="AA514" s="22" t="s">
        <v>51</v>
      </c>
      <c r="AB514" s="22" t="s">
        <v>51</v>
      </c>
      <c r="AC514" s="25">
        <v>11260.0</v>
      </c>
      <c r="AD514" s="22" t="s">
        <v>51</v>
      </c>
      <c r="AK514" s="33">
        <f t="shared" si="483"/>
        <v>0</v>
      </c>
      <c r="AL514" s="33">
        <f t="shared" si="484"/>
        <v>8.945832244</v>
      </c>
      <c r="AM514" s="33">
        <f t="shared" si="485"/>
        <v>8.945832244</v>
      </c>
      <c r="AO514" s="34">
        <f t="shared" si="486"/>
        <v>48.23</v>
      </c>
      <c r="AP514" s="34">
        <f t="shared" si="487"/>
        <v>24.79</v>
      </c>
      <c r="AQ514" s="34">
        <f t="shared" si="488"/>
        <v>19.64</v>
      </c>
      <c r="AR514" s="34">
        <f t="shared" si="489"/>
        <v>6.8</v>
      </c>
      <c r="AS514" s="34">
        <f t="shared" si="490"/>
        <v>0</v>
      </c>
      <c r="AT514" s="35">
        <f t="shared" si="15"/>
        <v>99.46</v>
      </c>
      <c r="AV514" s="25">
        <f t="shared" si="497"/>
        <v>11260</v>
      </c>
    </row>
    <row r="515" ht="14.25" customHeight="1">
      <c r="B515" s="83"/>
      <c r="C515" s="50" t="s">
        <v>46</v>
      </c>
      <c r="D515" s="56"/>
      <c r="E515" s="22" t="s">
        <v>75</v>
      </c>
      <c r="F515" s="75" t="s">
        <v>108</v>
      </c>
      <c r="G515" s="27">
        <f>50.27*100/(100-O515)</f>
        <v>53.10024295</v>
      </c>
      <c r="H515" s="27">
        <f>7.07*100/(100-O515)</f>
        <v>7.4680469</v>
      </c>
      <c r="I515" s="27">
        <f>36.28*100/(100-O515)</f>
        <v>38.32259427</v>
      </c>
      <c r="J515" s="27">
        <f>0.42*100/(100-O515)</f>
        <v>0.4436463505</v>
      </c>
      <c r="K515" s="27">
        <f>0.63*100/(100-O515)</f>
        <v>0.6654695257</v>
      </c>
      <c r="L515" s="92">
        <v>12.12</v>
      </c>
      <c r="M515" s="89">
        <v>75.99</v>
      </c>
      <c r="N515" s="22">
        <v>6.56</v>
      </c>
      <c r="O515" s="89">
        <v>5.33</v>
      </c>
      <c r="P515" s="76">
        <v>0.0</v>
      </c>
      <c r="Q515" s="89">
        <v>800.0</v>
      </c>
      <c r="R515" s="20" t="s">
        <v>51</v>
      </c>
      <c r="S515" s="25">
        <v>1.33</v>
      </c>
      <c r="T515" s="22" t="s">
        <v>51</v>
      </c>
      <c r="U515" s="22">
        <v>48.23</v>
      </c>
      <c r="V515" s="22">
        <v>24.79</v>
      </c>
      <c r="W515" s="22">
        <v>19.64</v>
      </c>
      <c r="X515" s="22">
        <v>6.8</v>
      </c>
      <c r="Y515" s="78">
        <f t="shared" si="482"/>
        <v>0.183101561</v>
      </c>
      <c r="Z515" s="22">
        <v>1.79</v>
      </c>
      <c r="AA515" s="22" t="s">
        <v>51</v>
      </c>
      <c r="AB515" s="22" t="s">
        <v>51</v>
      </c>
      <c r="AC515" s="25">
        <v>11260.0</v>
      </c>
      <c r="AD515" s="22" t="s">
        <v>51</v>
      </c>
      <c r="AK515" s="33">
        <f t="shared" si="483"/>
        <v>0.01584451252</v>
      </c>
      <c r="AL515" s="33">
        <f t="shared" si="484"/>
        <v>8.637556599</v>
      </c>
      <c r="AM515" s="33">
        <f t="shared" si="485"/>
        <v>8.653401112</v>
      </c>
      <c r="AO515" s="34">
        <f t="shared" si="486"/>
        <v>48.14169012</v>
      </c>
      <c r="AP515" s="34">
        <f t="shared" si="487"/>
        <v>24.74460912</v>
      </c>
      <c r="AQ515" s="34">
        <f t="shared" si="488"/>
        <v>19.60403885</v>
      </c>
      <c r="AR515" s="34">
        <f t="shared" si="489"/>
        <v>6.787549094</v>
      </c>
      <c r="AS515" s="34">
        <f t="shared" si="490"/>
        <v>0.183101561</v>
      </c>
      <c r="AT515" s="35">
        <f t="shared" si="15"/>
        <v>99.46098875</v>
      </c>
      <c r="AV515" s="25">
        <f t="shared" si="497"/>
        <v>11260</v>
      </c>
    </row>
    <row r="516" ht="14.25" customHeight="1">
      <c r="B516" s="83"/>
      <c r="C516" s="50" t="s">
        <v>46</v>
      </c>
      <c r="D516" s="56"/>
      <c r="E516" s="22" t="s">
        <v>75</v>
      </c>
      <c r="F516" s="75" t="s">
        <v>109</v>
      </c>
      <c r="G516" s="27">
        <f>48.79*100/(100-O516)</f>
        <v>50.30934213</v>
      </c>
      <c r="H516" s="27">
        <f>7.33*100/(100-O516)</f>
        <v>7.558259435</v>
      </c>
      <c r="I516" s="27">
        <f>40.18*100/(100-O516)</f>
        <v>41.43122293</v>
      </c>
      <c r="J516" s="27">
        <v>0.0</v>
      </c>
      <c r="K516" s="27">
        <f>0.68*100/(100-O516)</f>
        <v>0.7011755001</v>
      </c>
      <c r="L516" s="92">
        <v>8.56</v>
      </c>
      <c r="M516" s="89">
        <v>79.67</v>
      </c>
      <c r="N516" s="22">
        <v>8.75</v>
      </c>
      <c r="O516" s="89">
        <v>3.02</v>
      </c>
      <c r="P516" s="76">
        <v>0.0</v>
      </c>
      <c r="Q516" s="89">
        <v>800.0</v>
      </c>
      <c r="R516" s="20" t="s">
        <v>51</v>
      </c>
      <c r="S516" s="25">
        <v>1.33</v>
      </c>
      <c r="T516" s="22" t="s">
        <v>51</v>
      </c>
      <c r="U516" s="22">
        <v>48.23</v>
      </c>
      <c r="V516" s="22">
        <v>24.79</v>
      </c>
      <c r="W516" s="22">
        <v>19.64</v>
      </c>
      <c r="X516" s="22">
        <v>6.8</v>
      </c>
      <c r="Y516" s="78">
        <f t="shared" si="482"/>
        <v>0</v>
      </c>
      <c r="Z516" s="22">
        <v>1.79</v>
      </c>
      <c r="AA516" s="22" t="s">
        <v>51</v>
      </c>
      <c r="AB516" s="22" t="s">
        <v>51</v>
      </c>
      <c r="AC516" s="25">
        <v>11260.0</v>
      </c>
      <c r="AD516" s="22" t="s">
        <v>51</v>
      </c>
      <c r="AK516" s="33">
        <f t="shared" si="483"/>
        <v>0</v>
      </c>
      <c r="AL516" s="33">
        <f t="shared" si="484"/>
        <v>8.183574425</v>
      </c>
      <c r="AM516" s="33">
        <f t="shared" si="485"/>
        <v>8.183574425</v>
      </c>
      <c r="AO516" s="34">
        <f t="shared" si="486"/>
        <v>48.23</v>
      </c>
      <c r="AP516" s="34">
        <f t="shared" si="487"/>
        <v>24.79</v>
      </c>
      <c r="AQ516" s="34">
        <f t="shared" si="488"/>
        <v>19.64</v>
      </c>
      <c r="AR516" s="34">
        <f t="shared" si="489"/>
        <v>6.8</v>
      </c>
      <c r="AS516" s="34">
        <f t="shared" si="490"/>
        <v>0</v>
      </c>
      <c r="AT516" s="35">
        <f t="shared" si="15"/>
        <v>99.46</v>
      </c>
      <c r="AV516" s="25">
        <f t="shared" si="497"/>
        <v>11260</v>
      </c>
    </row>
    <row r="517" ht="14.25" customHeight="1">
      <c r="B517" s="83"/>
      <c r="C517" s="50" t="s">
        <v>46</v>
      </c>
      <c r="D517" s="56"/>
      <c r="E517" s="22" t="s">
        <v>75</v>
      </c>
      <c r="F517" s="75" t="s">
        <v>107</v>
      </c>
      <c r="G517" s="27">
        <f>53.78*100/(100-O517)</f>
        <v>54.9953983</v>
      </c>
      <c r="H517" s="27">
        <f>7.2*100/(100-O517)</f>
        <v>7.362716024</v>
      </c>
      <c r="I517" s="27">
        <f>36.3*100/(100-O517)</f>
        <v>37.12035996</v>
      </c>
      <c r="J517" s="27">
        <v>0.0</v>
      </c>
      <c r="K517" s="27">
        <f>0.51*100/(100-O517)</f>
        <v>0.5215257184</v>
      </c>
      <c r="L517" s="40">
        <v>18.32</v>
      </c>
      <c r="M517" s="22">
        <v>73.74</v>
      </c>
      <c r="N517" s="22">
        <v>5.73</v>
      </c>
      <c r="O517" s="22">
        <v>2.21</v>
      </c>
      <c r="P517" s="76">
        <v>0.0</v>
      </c>
      <c r="Q517" s="89">
        <v>800.0</v>
      </c>
      <c r="R517" s="20" t="s">
        <v>51</v>
      </c>
      <c r="S517" s="25">
        <v>1.33</v>
      </c>
      <c r="T517" s="22" t="s">
        <v>51</v>
      </c>
      <c r="U517" s="22">
        <v>53.54</v>
      </c>
      <c r="V517" s="22">
        <v>20.77</v>
      </c>
      <c r="W517" s="22">
        <v>21.06</v>
      </c>
      <c r="X517" s="22">
        <v>4.53</v>
      </c>
      <c r="Y517" s="78">
        <f t="shared" si="482"/>
        <v>0</v>
      </c>
      <c r="Z517" s="22">
        <v>2.11</v>
      </c>
      <c r="AA517" s="22" t="s">
        <v>51</v>
      </c>
      <c r="AB517" s="22" t="s">
        <v>51</v>
      </c>
      <c r="AC517" s="25">
        <v>10200.0</v>
      </c>
      <c r="AD517" s="22" t="s">
        <v>51</v>
      </c>
      <c r="AK517" s="33">
        <f t="shared" si="483"/>
        <v>0</v>
      </c>
      <c r="AL517" s="33">
        <f t="shared" si="484"/>
        <v>9.885569151</v>
      </c>
      <c r="AM517" s="33">
        <f t="shared" si="485"/>
        <v>9.885569151</v>
      </c>
      <c r="AO517" s="34">
        <f t="shared" si="486"/>
        <v>53.54</v>
      </c>
      <c r="AP517" s="34">
        <f t="shared" si="487"/>
        <v>20.77</v>
      </c>
      <c r="AQ517" s="34">
        <f t="shared" si="488"/>
        <v>21.06</v>
      </c>
      <c r="AR517" s="34">
        <f t="shared" si="489"/>
        <v>4.53</v>
      </c>
      <c r="AS517" s="34">
        <f t="shared" si="490"/>
        <v>0</v>
      </c>
      <c r="AT517" s="35">
        <f t="shared" si="15"/>
        <v>99.9</v>
      </c>
      <c r="AV517" s="25">
        <f t="shared" si="497"/>
        <v>10200</v>
      </c>
    </row>
    <row r="518" ht="14.25" customHeight="1">
      <c r="B518" s="83"/>
      <c r="C518" s="50" t="s">
        <v>46</v>
      </c>
      <c r="D518" s="56"/>
      <c r="E518" s="22" t="s">
        <v>75</v>
      </c>
      <c r="F518" s="75" t="s">
        <v>108</v>
      </c>
      <c r="G518" s="27">
        <f>50.27*100/(100-O518)</f>
        <v>53.10024295</v>
      </c>
      <c r="H518" s="27">
        <f>7.07*100/(100-O518)</f>
        <v>7.4680469</v>
      </c>
      <c r="I518" s="27">
        <f>36.28*100/(100-O518)</f>
        <v>38.32259427</v>
      </c>
      <c r="J518" s="27">
        <f>0.42*100/(100-O518)</f>
        <v>0.4436463505</v>
      </c>
      <c r="K518" s="27">
        <f>0.63*100/(100-O518)</f>
        <v>0.6654695257</v>
      </c>
      <c r="L518" s="92">
        <v>12.12</v>
      </c>
      <c r="M518" s="89">
        <v>75.99</v>
      </c>
      <c r="N518" s="22">
        <v>6.56</v>
      </c>
      <c r="O518" s="89">
        <v>5.33</v>
      </c>
      <c r="P518" s="76">
        <v>0.0</v>
      </c>
      <c r="Q518" s="89">
        <v>800.0</v>
      </c>
      <c r="R518" s="20" t="s">
        <v>51</v>
      </c>
      <c r="S518" s="25">
        <v>1.33</v>
      </c>
      <c r="T518" s="22" t="s">
        <v>51</v>
      </c>
      <c r="U518" s="22">
        <v>53.54</v>
      </c>
      <c r="V518" s="22">
        <v>20.77</v>
      </c>
      <c r="W518" s="22">
        <v>21.06</v>
      </c>
      <c r="X518" s="22">
        <v>4.53</v>
      </c>
      <c r="Y518" s="78">
        <f t="shared" si="482"/>
        <v>0.1657245001</v>
      </c>
      <c r="Z518" s="22">
        <v>2.11</v>
      </c>
      <c r="AA518" s="22" t="s">
        <v>51</v>
      </c>
      <c r="AB518" s="22" t="s">
        <v>51</v>
      </c>
      <c r="AC518" s="25">
        <v>10200.0</v>
      </c>
      <c r="AD518" s="22" t="s">
        <v>51</v>
      </c>
      <c r="AK518" s="33">
        <f t="shared" si="483"/>
        <v>0.01584451252</v>
      </c>
      <c r="AL518" s="33">
        <f t="shared" si="484"/>
        <v>9.544909935</v>
      </c>
      <c r="AM518" s="33">
        <f t="shared" si="485"/>
        <v>9.560754447</v>
      </c>
      <c r="AO518" s="34">
        <f t="shared" si="486"/>
        <v>53.4512711</v>
      </c>
      <c r="AP518" s="34">
        <f t="shared" si="487"/>
        <v>20.73557902</v>
      </c>
      <c r="AQ518" s="34">
        <f t="shared" si="488"/>
        <v>21.02509842</v>
      </c>
      <c r="AR518" s="34">
        <f t="shared" si="489"/>
        <v>4.52249268</v>
      </c>
      <c r="AS518" s="34">
        <f t="shared" si="490"/>
        <v>0.1657245001</v>
      </c>
      <c r="AT518" s="35">
        <f t="shared" si="15"/>
        <v>99.90016572</v>
      </c>
      <c r="AV518" s="25">
        <f t="shared" si="497"/>
        <v>10200</v>
      </c>
    </row>
    <row r="519" ht="14.25" customHeight="1">
      <c r="B519" s="83"/>
      <c r="C519" s="50" t="s">
        <v>46</v>
      </c>
      <c r="D519" s="56"/>
      <c r="E519" s="22" t="s">
        <v>75</v>
      </c>
      <c r="F519" s="75" t="s">
        <v>109</v>
      </c>
      <c r="G519" s="27">
        <f>48.79*100/(100-O519)</f>
        <v>50.30934213</v>
      </c>
      <c r="H519" s="27">
        <f>7.33*100/(100-O519)</f>
        <v>7.558259435</v>
      </c>
      <c r="I519" s="27">
        <f>40.18*100/(100-O519)</f>
        <v>41.43122293</v>
      </c>
      <c r="J519" s="27">
        <v>0.0</v>
      </c>
      <c r="K519" s="27">
        <f>0.68*100/(100-O519)</f>
        <v>0.7011755001</v>
      </c>
      <c r="L519" s="92">
        <v>8.56</v>
      </c>
      <c r="M519" s="89">
        <v>79.67</v>
      </c>
      <c r="N519" s="22">
        <v>8.75</v>
      </c>
      <c r="O519" s="89">
        <v>3.02</v>
      </c>
      <c r="P519" s="76">
        <v>0.0</v>
      </c>
      <c r="Q519" s="89">
        <v>800.0</v>
      </c>
      <c r="R519" s="20" t="s">
        <v>51</v>
      </c>
      <c r="S519" s="25">
        <v>1.33</v>
      </c>
      <c r="T519" s="22" t="s">
        <v>51</v>
      </c>
      <c r="U519" s="22">
        <v>53.54</v>
      </c>
      <c r="V519" s="22">
        <v>20.77</v>
      </c>
      <c r="W519" s="22">
        <v>21.06</v>
      </c>
      <c r="X519" s="22">
        <v>4.53</v>
      </c>
      <c r="Y519" s="78">
        <f t="shared" si="482"/>
        <v>0</v>
      </c>
      <c r="Z519" s="22">
        <v>2.11</v>
      </c>
      <c r="AA519" s="22" t="s">
        <v>51</v>
      </c>
      <c r="AB519" s="22" t="s">
        <v>51</v>
      </c>
      <c r="AC519" s="25">
        <v>10200.0</v>
      </c>
      <c r="AD519" s="22" t="s">
        <v>51</v>
      </c>
      <c r="AK519" s="33">
        <f t="shared" si="483"/>
        <v>0</v>
      </c>
      <c r="AL519" s="33">
        <f t="shared" si="484"/>
        <v>9.043238088</v>
      </c>
      <c r="AM519" s="33">
        <f t="shared" si="485"/>
        <v>9.043238088</v>
      </c>
      <c r="AO519" s="34">
        <f t="shared" si="486"/>
        <v>53.54</v>
      </c>
      <c r="AP519" s="34">
        <f t="shared" si="487"/>
        <v>20.77</v>
      </c>
      <c r="AQ519" s="34">
        <f t="shared" si="488"/>
        <v>21.06</v>
      </c>
      <c r="AR519" s="34">
        <f t="shared" si="489"/>
        <v>4.53</v>
      </c>
      <c r="AS519" s="34">
        <f t="shared" si="490"/>
        <v>0</v>
      </c>
      <c r="AT519" s="35">
        <f t="shared" si="15"/>
        <v>99.9</v>
      </c>
      <c r="AV519" s="25">
        <f t="shared" si="497"/>
        <v>10200</v>
      </c>
    </row>
    <row r="520" ht="14.25" customHeight="1">
      <c r="B520" s="83"/>
      <c r="C520" s="50" t="s">
        <v>46</v>
      </c>
      <c r="D520" s="56"/>
      <c r="E520" s="22" t="s">
        <v>75</v>
      </c>
      <c r="F520" s="75" t="s">
        <v>107</v>
      </c>
      <c r="G520" s="27">
        <f>53.78*100/(100-O520)</f>
        <v>54.9953983</v>
      </c>
      <c r="H520" s="27">
        <f>7.2*100/(100-O520)</f>
        <v>7.362716024</v>
      </c>
      <c r="I520" s="27">
        <f>36.3*100/(100-O520)</f>
        <v>37.12035996</v>
      </c>
      <c r="J520" s="27">
        <v>0.0</v>
      </c>
      <c r="K520" s="27">
        <f>0.51*100/(100-O520)</f>
        <v>0.5215257184</v>
      </c>
      <c r="L520" s="40">
        <v>18.32</v>
      </c>
      <c r="M520" s="22">
        <v>73.74</v>
      </c>
      <c r="N520" s="22">
        <v>5.73</v>
      </c>
      <c r="O520" s="22">
        <v>2.21</v>
      </c>
      <c r="P520" s="76">
        <v>0.0</v>
      </c>
      <c r="Q520" s="89">
        <v>800.0</v>
      </c>
      <c r="R520" s="20" t="s">
        <v>51</v>
      </c>
      <c r="S520" s="25">
        <v>1.33</v>
      </c>
      <c r="T520" s="22" t="s">
        <v>51</v>
      </c>
      <c r="U520" s="22">
        <v>56.9</v>
      </c>
      <c r="V520" s="22">
        <v>17.34</v>
      </c>
      <c r="W520" s="22">
        <v>22.5</v>
      </c>
      <c r="X520" s="22">
        <v>2.85</v>
      </c>
      <c r="Y520" s="78">
        <f t="shared" si="482"/>
        <v>0</v>
      </c>
      <c r="Z520" s="22">
        <v>2.32</v>
      </c>
      <c r="AA520" s="22" t="s">
        <v>51</v>
      </c>
      <c r="AB520" s="22" t="s">
        <v>51</v>
      </c>
      <c r="AC520" s="25">
        <v>9400.0</v>
      </c>
      <c r="AD520" s="22" t="s">
        <v>51</v>
      </c>
      <c r="AK520" s="33">
        <f t="shared" si="483"/>
        <v>0</v>
      </c>
      <c r="AL520" s="33">
        <f t="shared" si="484"/>
        <v>10.7354178</v>
      </c>
      <c r="AM520" s="33">
        <f t="shared" si="485"/>
        <v>10.7354178</v>
      </c>
      <c r="AO520" s="34">
        <f t="shared" si="486"/>
        <v>56.9</v>
      </c>
      <c r="AP520" s="34">
        <f t="shared" si="487"/>
        <v>17.34</v>
      </c>
      <c r="AQ520" s="34">
        <f t="shared" si="488"/>
        <v>22.5</v>
      </c>
      <c r="AR520" s="34">
        <f t="shared" si="489"/>
        <v>2.85</v>
      </c>
      <c r="AS520" s="34">
        <f t="shared" si="490"/>
        <v>0</v>
      </c>
      <c r="AT520" s="35">
        <f t="shared" si="15"/>
        <v>99.59</v>
      </c>
      <c r="AV520" s="25">
        <f t="shared" si="497"/>
        <v>9400</v>
      </c>
    </row>
    <row r="521" ht="14.25" customHeight="1">
      <c r="B521" s="83"/>
      <c r="C521" s="50" t="s">
        <v>46</v>
      </c>
      <c r="D521" s="56"/>
      <c r="E521" s="22" t="s">
        <v>75</v>
      </c>
      <c r="F521" s="75" t="s">
        <v>108</v>
      </c>
      <c r="G521" s="27">
        <f>50.27*100/(100-O521)</f>
        <v>53.10024295</v>
      </c>
      <c r="H521" s="27">
        <f>7.07*100/(100-O521)</f>
        <v>7.4680469</v>
      </c>
      <c r="I521" s="27">
        <f>36.28*100/(100-O521)</f>
        <v>38.32259427</v>
      </c>
      <c r="J521" s="27">
        <f>0.42*100/(100-O521)</f>
        <v>0.4436463505</v>
      </c>
      <c r="K521" s="27">
        <f>0.63*100/(100-O521)</f>
        <v>0.6654695257</v>
      </c>
      <c r="L521" s="92">
        <v>12.12</v>
      </c>
      <c r="M521" s="89">
        <v>75.99</v>
      </c>
      <c r="N521" s="22">
        <v>6.56</v>
      </c>
      <c r="O521" s="89">
        <v>5.33</v>
      </c>
      <c r="P521" s="76">
        <v>0.0</v>
      </c>
      <c r="Q521" s="89">
        <v>800.0</v>
      </c>
      <c r="R521" s="20" t="s">
        <v>51</v>
      </c>
      <c r="S521" s="25">
        <v>1.33</v>
      </c>
      <c r="T521" s="22" t="s">
        <v>51</v>
      </c>
      <c r="U521" s="22">
        <v>56.9</v>
      </c>
      <c r="V521" s="22">
        <v>17.34</v>
      </c>
      <c r="W521" s="22">
        <v>22.5</v>
      </c>
      <c r="X521" s="22">
        <v>2.85</v>
      </c>
      <c r="Y521" s="78">
        <f t="shared" si="482"/>
        <v>0.152625263</v>
      </c>
      <c r="Z521" s="22">
        <v>2.32</v>
      </c>
      <c r="AA521" s="22" t="s">
        <v>51</v>
      </c>
      <c r="AB521" s="22" t="s">
        <v>51</v>
      </c>
      <c r="AC521" s="25">
        <v>9400.0</v>
      </c>
      <c r="AD521" s="22" t="s">
        <v>51</v>
      </c>
      <c r="AK521" s="33">
        <f t="shared" si="483"/>
        <v>0.01584451252</v>
      </c>
      <c r="AL521" s="33">
        <f t="shared" si="484"/>
        <v>10.36547258</v>
      </c>
      <c r="AM521" s="33">
        <f t="shared" si="485"/>
        <v>10.3813171</v>
      </c>
      <c r="AO521" s="34">
        <f t="shared" si="486"/>
        <v>56.81315623</v>
      </c>
      <c r="AP521" s="34">
        <f t="shared" si="487"/>
        <v>17.31353478</v>
      </c>
      <c r="AQ521" s="34">
        <f t="shared" si="488"/>
        <v>22.46565932</v>
      </c>
      <c r="AR521" s="34">
        <f t="shared" si="489"/>
        <v>2.84565018</v>
      </c>
      <c r="AS521" s="34">
        <f t="shared" si="490"/>
        <v>0.152625263</v>
      </c>
      <c r="AT521" s="35">
        <f t="shared" si="15"/>
        <v>99.59062576</v>
      </c>
      <c r="AV521" s="25">
        <f t="shared" si="497"/>
        <v>9400</v>
      </c>
    </row>
    <row r="522" ht="14.25" customHeight="1">
      <c r="B522" s="83"/>
      <c r="C522" s="50" t="s">
        <v>46</v>
      </c>
      <c r="D522" s="56"/>
      <c r="E522" s="22" t="s">
        <v>75</v>
      </c>
      <c r="F522" s="75" t="s">
        <v>109</v>
      </c>
      <c r="G522" s="27">
        <f>48.79*100/(100-O522)</f>
        <v>50.30934213</v>
      </c>
      <c r="H522" s="27">
        <f>7.33*100/(100-O522)</f>
        <v>7.558259435</v>
      </c>
      <c r="I522" s="27">
        <f>40.18*100/(100-O522)</f>
        <v>41.43122293</v>
      </c>
      <c r="J522" s="27">
        <v>0.0</v>
      </c>
      <c r="K522" s="27">
        <f>0.68*100/(100-O522)</f>
        <v>0.7011755001</v>
      </c>
      <c r="L522" s="92">
        <v>8.56</v>
      </c>
      <c r="M522" s="89">
        <v>79.67</v>
      </c>
      <c r="N522" s="22">
        <v>8.75</v>
      </c>
      <c r="O522" s="89">
        <v>3.02</v>
      </c>
      <c r="P522" s="76">
        <v>0.0</v>
      </c>
      <c r="Q522" s="89">
        <v>800.0</v>
      </c>
      <c r="R522" s="20" t="s">
        <v>51</v>
      </c>
      <c r="S522" s="25">
        <v>1.33</v>
      </c>
      <c r="T522" s="22" t="s">
        <v>51</v>
      </c>
      <c r="U522" s="22">
        <v>56.9</v>
      </c>
      <c r="V522" s="22">
        <v>17.34</v>
      </c>
      <c r="W522" s="22">
        <v>22.5</v>
      </c>
      <c r="X522" s="22">
        <v>2.85</v>
      </c>
      <c r="Y522" s="78">
        <f t="shared" si="482"/>
        <v>0</v>
      </c>
      <c r="Z522" s="22">
        <v>2.32</v>
      </c>
      <c r="AA522" s="22" t="s">
        <v>51</v>
      </c>
      <c r="AB522" s="22" t="s">
        <v>51</v>
      </c>
      <c r="AC522" s="25">
        <v>9400.0</v>
      </c>
      <c r="AD522" s="22" t="s">
        <v>51</v>
      </c>
      <c r="AK522" s="33">
        <f t="shared" si="483"/>
        <v>0</v>
      </c>
      <c r="AL522" s="33">
        <f t="shared" si="484"/>
        <v>9.820672705</v>
      </c>
      <c r="AM522" s="33">
        <f t="shared" si="485"/>
        <v>9.820672705</v>
      </c>
      <c r="AO522" s="34">
        <f t="shared" si="486"/>
        <v>56.9</v>
      </c>
      <c r="AP522" s="34">
        <f t="shared" si="487"/>
        <v>17.34</v>
      </c>
      <c r="AQ522" s="34">
        <f t="shared" si="488"/>
        <v>22.5</v>
      </c>
      <c r="AR522" s="34">
        <f t="shared" si="489"/>
        <v>2.85</v>
      </c>
      <c r="AS522" s="34">
        <f t="shared" si="490"/>
        <v>0</v>
      </c>
      <c r="AT522" s="35">
        <f t="shared" si="15"/>
        <v>99.59</v>
      </c>
      <c r="AV522" s="25">
        <f t="shared" si="497"/>
        <v>9400</v>
      </c>
    </row>
    <row r="523" ht="14.25" customHeight="1">
      <c r="B523" s="83"/>
      <c r="C523" s="50" t="s">
        <v>46</v>
      </c>
      <c r="D523" s="56"/>
      <c r="E523" s="22" t="s">
        <v>75</v>
      </c>
      <c r="F523" s="75" t="s">
        <v>107</v>
      </c>
      <c r="G523" s="27">
        <f>53.78*100/(100-O523)</f>
        <v>54.9953983</v>
      </c>
      <c r="H523" s="27">
        <f>7.2*100/(100-O523)</f>
        <v>7.362716024</v>
      </c>
      <c r="I523" s="27">
        <f>36.3*100/(100-O523)</f>
        <v>37.12035996</v>
      </c>
      <c r="J523" s="27">
        <v>0.0</v>
      </c>
      <c r="K523" s="27">
        <f>0.51*100/(100-O523)</f>
        <v>0.5215257184</v>
      </c>
      <c r="L523" s="40">
        <v>18.32</v>
      </c>
      <c r="M523" s="22">
        <v>73.74</v>
      </c>
      <c r="N523" s="22">
        <v>5.73</v>
      </c>
      <c r="O523" s="22">
        <v>2.21</v>
      </c>
      <c r="P523" s="76">
        <v>0.0</v>
      </c>
      <c r="Q523" s="89">
        <v>800.0</v>
      </c>
      <c r="R523" s="20" t="s">
        <v>51</v>
      </c>
      <c r="S523" s="25">
        <v>1.33</v>
      </c>
      <c r="T523" s="22" t="s">
        <v>51</v>
      </c>
      <c r="U523" s="22">
        <v>59.6</v>
      </c>
      <c r="V523" s="22">
        <v>14.87</v>
      </c>
      <c r="W523" s="22">
        <v>23.04</v>
      </c>
      <c r="X523" s="22">
        <v>2.23</v>
      </c>
      <c r="Y523" s="78">
        <f t="shared" si="482"/>
        <v>0</v>
      </c>
      <c r="Z523" s="22">
        <v>2.48</v>
      </c>
      <c r="AA523" s="22" t="s">
        <v>51</v>
      </c>
      <c r="AB523" s="22" t="s">
        <v>51</v>
      </c>
      <c r="AC523" s="93">
        <v>9130.0</v>
      </c>
      <c r="AD523" s="22" t="s">
        <v>51</v>
      </c>
      <c r="AK523" s="33">
        <f t="shared" si="483"/>
        <v>0</v>
      </c>
      <c r="AL523" s="33">
        <f t="shared" si="484"/>
        <v>11.4174137</v>
      </c>
      <c r="AM523" s="33">
        <f t="shared" si="485"/>
        <v>11.4174137</v>
      </c>
      <c r="AO523" s="34">
        <f t="shared" si="486"/>
        <v>59.6</v>
      </c>
      <c r="AP523" s="34">
        <f t="shared" si="487"/>
        <v>14.87</v>
      </c>
      <c r="AQ523" s="34">
        <f t="shared" si="488"/>
        <v>23.04</v>
      </c>
      <c r="AR523" s="34">
        <f t="shared" si="489"/>
        <v>2.23</v>
      </c>
      <c r="AS523" s="34">
        <f t="shared" si="490"/>
        <v>0</v>
      </c>
      <c r="AT523" s="35">
        <f t="shared" si="15"/>
        <v>99.74</v>
      </c>
      <c r="AV523" s="25">
        <f t="shared" si="497"/>
        <v>9130</v>
      </c>
    </row>
    <row r="524" ht="14.25" customHeight="1">
      <c r="B524" s="83"/>
      <c r="C524" s="50" t="s">
        <v>46</v>
      </c>
      <c r="D524" s="56"/>
      <c r="E524" s="22" t="s">
        <v>75</v>
      </c>
      <c r="F524" s="75" t="s">
        <v>108</v>
      </c>
      <c r="G524" s="27">
        <f>50.27*100/(100-O524)</f>
        <v>53.10024295</v>
      </c>
      <c r="H524" s="27">
        <f>7.07*100/(100-O524)</f>
        <v>7.4680469</v>
      </c>
      <c r="I524" s="27">
        <f>36.28*100/(100-O524)</f>
        <v>38.32259427</v>
      </c>
      <c r="J524" s="27">
        <f>0.42*100/(100-O524)</f>
        <v>0.4436463505</v>
      </c>
      <c r="K524" s="27">
        <f>0.63*100/(100-O524)</f>
        <v>0.6654695257</v>
      </c>
      <c r="L524" s="92">
        <v>12.12</v>
      </c>
      <c r="M524" s="89">
        <v>75.99</v>
      </c>
      <c r="N524" s="22">
        <v>6.56</v>
      </c>
      <c r="O524" s="89">
        <v>5.33</v>
      </c>
      <c r="P524" s="76">
        <v>0.0</v>
      </c>
      <c r="Q524" s="89">
        <v>800.0</v>
      </c>
      <c r="R524" s="20" t="s">
        <v>51</v>
      </c>
      <c r="S524" s="25">
        <v>1.33</v>
      </c>
      <c r="T524" s="22" t="s">
        <v>51</v>
      </c>
      <c r="U524" s="22">
        <v>59.6</v>
      </c>
      <c r="V524" s="22">
        <v>14.87</v>
      </c>
      <c r="W524" s="22">
        <v>23.04</v>
      </c>
      <c r="X524" s="22">
        <v>2.23</v>
      </c>
      <c r="Y524" s="78">
        <f t="shared" si="482"/>
        <v>0.143521589</v>
      </c>
      <c r="Z524" s="22">
        <v>2.48</v>
      </c>
      <c r="AA524" s="22" t="s">
        <v>51</v>
      </c>
      <c r="AB524" s="22" t="s">
        <v>51</v>
      </c>
      <c r="AC524" s="93">
        <v>9130.0</v>
      </c>
      <c r="AD524" s="22" t="s">
        <v>51</v>
      </c>
      <c r="AK524" s="33">
        <f t="shared" si="483"/>
        <v>0.01584451252</v>
      </c>
      <c r="AL524" s="33">
        <f t="shared" si="484"/>
        <v>11.02396673</v>
      </c>
      <c r="AM524" s="33">
        <f t="shared" si="485"/>
        <v>11.03981124</v>
      </c>
      <c r="AO524" s="34">
        <f t="shared" si="486"/>
        <v>59.51446113</v>
      </c>
      <c r="AP524" s="34">
        <f t="shared" si="487"/>
        <v>14.84865834</v>
      </c>
      <c r="AQ524" s="34">
        <f t="shared" si="488"/>
        <v>23.00693263</v>
      </c>
      <c r="AR524" s="34">
        <f t="shared" si="489"/>
        <v>2.226799469</v>
      </c>
      <c r="AS524" s="34">
        <f t="shared" si="490"/>
        <v>0.143521589</v>
      </c>
      <c r="AT524" s="35">
        <f t="shared" si="15"/>
        <v>99.74037316</v>
      </c>
      <c r="AV524" s="25">
        <f t="shared" si="497"/>
        <v>9130</v>
      </c>
    </row>
    <row r="525" ht="14.25" customHeight="1">
      <c r="B525" s="83"/>
      <c r="C525" s="50" t="s">
        <v>46</v>
      </c>
      <c r="D525" s="56"/>
      <c r="E525" s="22" t="s">
        <v>75</v>
      </c>
      <c r="F525" s="75" t="s">
        <v>109</v>
      </c>
      <c r="G525" s="27">
        <f>48.79*100/(100-O525)</f>
        <v>50.30934213</v>
      </c>
      <c r="H525" s="27">
        <f>7.33*100/(100-O525)</f>
        <v>7.558259435</v>
      </c>
      <c r="I525" s="27">
        <f>40.18*100/(100-O525)</f>
        <v>41.43122293</v>
      </c>
      <c r="J525" s="27">
        <v>0.0</v>
      </c>
      <c r="K525" s="27">
        <f>0.68*100/(100-O525)</f>
        <v>0.7011755001</v>
      </c>
      <c r="L525" s="92">
        <v>8.56</v>
      </c>
      <c r="M525" s="89">
        <v>79.67</v>
      </c>
      <c r="N525" s="22">
        <v>8.75</v>
      </c>
      <c r="O525" s="89">
        <v>3.02</v>
      </c>
      <c r="P525" s="76">
        <v>0.0</v>
      </c>
      <c r="Q525" s="89">
        <v>800.0</v>
      </c>
      <c r="R525" s="20" t="s">
        <v>51</v>
      </c>
      <c r="S525" s="25">
        <v>1.33</v>
      </c>
      <c r="T525" s="22" t="s">
        <v>51</v>
      </c>
      <c r="U525" s="22">
        <v>59.6</v>
      </c>
      <c r="V525" s="22">
        <v>14.87</v>
      </c>
      <c r="W525" s="22">
        <v>23.04</v>
      </c>
      <c r="X525" s="22">
        <v>2.23</v>
      </c>
      <c r="Y525" s="78">
        <f t="shared" si="482"/>
        <v>0</v>
      </c>
      <c r="Z525" s="22">
        <v>2.48</v>
      </c>
      <c r="AA525" s="22" t="s">
        <v>51</v>
      </c>
      <c r="AB525" s="22" t="s">
        <v>51</v>
      </c>
      <c r="AC525" s="93">
        <v>9130.0</v>
      </c>
      <c r="AD525" s="22" t="s">
        <v>51</v>
      </c>
      <c r="AK525" s="33">
        <f t="shared" si="483"/>
        <v>0</v>
      </c>
      <c r="AL525" s="33">
        <f t="shared" si="484"/>
        <v>10.44455699</v>
      </c>
      <c r="AM525" s="33">
        <f t="shared" si="485"/>
        <v>10.44455699</v>
      </c>
      <c r="AO525" s="34">
        <f t="shared" si="486"/>
        <v>59.6</v>
      </c>
      <c r="AP525" s="34">
        <f t="shared" si="487"/>
        <v>14.87</v>
      </c>
      <c r="AQ525" s="34">
        <f t="shared" si="488"/>
        <v>23.04</v>
      </c>
      <c r="AR525" s="34">
        <f t="shared" si="489"/>
        <v>2.23</v>
      </c>
      <c r="AS525" s="34">
        <f t="shared" si="490"/>
        <v>0</v>
      </c>
      <c r="AT525" s="35">
        <f t="shared" si="15"/>
        <v>99.74</v>
      </c>
      <c r="AV525" s="25">
        <f t="shared" si="497"/>
        <v>9130</v>
      </c>
    </row>
    <row r="526" ht="14.25" customHeight="1">
      <c r="B526" s="83"/>
      <c r="C526" s="50" t="s">
        <v>46</v>
      </c>
      <c r="D526" s="56"/>
      <c r="E526" s="22" t="s">
        <v>75</v>
      </c>
      <c r="F526" s="75" t="s">
        <v>107</v>
      </c>
      <c r="G526" s="27">
        <f>53.78*100/(100-O526)</f>
        <v>54.9953983</v>
      </c>
      <c r="H526" s="27">
        <f>7.2*100/(100-O526)</f>
        <v>7.362716024</v>
      </c>
      <c r="I526" s="27">
        <f>36.3*100/(100-O526)</f>
        <v>37.12035996</v>
      </c>
      <c r="J526" s="27">
        <v>0.0</v>
      </c>
      <c r="K526" s="27">
        <f>0.51*100/(100-O526)</f>
        <v>0.5215257184</v>
      </c>
      <c r="L526" s="40">
        <v>18.32</v>
      </c>
      <c r="M526" s="22">
        <v>73.74</v>
      </c>
      <c r="N526" s="22">
        <v>5.73</v>
      </c>
      <c r="O526" s="22">
        <v>2.21</v>
      </c>
      <c r="P526" s="76">
        <v>0.0</v>
      </c>
      <c r="Q526" s="89">
        <v>800.0</v>
      </c>
      <c r="R526" s="20" t="s">
        <v>51</v>
      </c>
      <c r="S526" s="25">
        <v>0.67</v>
      </c>
      <c r="T526" s="22" t="s">
        <v>51</v>
      </c>
      <c r="U526" s="22">
        <v>52.58</v>
      </c>
      <c r="V526" s="22">
        <v>22.84</v>
      </c>
      <c r="W526" s="22">
        <v>19.83</v>
      </c>
      <c r="X526" s="22">
        <v>4.2</v>
      </c>
      <c r="Y526" s="78">
        <f t="shared" si="482"/>
        <v>0</v>
      </c>
      <c r="Z526" s="22">
        <v>2.06</v>
      </c>
      <c r="AA526" s="22" t="s">
        <v>51</v>
      </c>
      <c r="AB526" s="22" t="s">
        <v>51</v>
      </c>
      <c r="AC526" s="25">
        <v>10390.0</v>
      </c>
      <c r="AD526" s="22" t="s">
        <v>51</v>
      </c>
      <c r="AK526" s="33">
        <f t="shared" si="483"/>
        <v>0</v>
      </c>
      <c r="AL526" s="33">
        <f t="shared" si="484"/>
        <v>9.778002685</v>
      </c>
      <c r="AM526" s="33">
        <f t="shared" si="485"/>
        <v>9.778002685</v>
      </c>
      <c r="AO526" s="34">
        <f t="shared" si="486"/>
        <v>52.58</v>
      </c>
      <c r="AP526" s="34">
        <f t="shared" si="487"/>
        <v>22.84</v>
      </c>
      <c r="AQ526" s="34">
        <f t="shared" si="488"/>
        <v>19.83</v>
      </c>
      <c r="AR526" s="34">
        <f t="shared" si="489"/>
        <v>4.2</v>
      </c>
      <c r="AS526" s="34">
        <f t="shared" si="490"/>
        <v>0</v>
      </c>
      <c r="AT526" s="35">
        <f t="shared" si="15"/>
        <v>99.45</v>
      </c>
      <c r="AV526" s="25">
        <f t="shared" si="497"/>
        <v>10390</v>
      </c>
    </row>
    <row r="527" ht="14.25" customHeight="1">
      <c r="B527" s="83"/>
      <c r="C527" s="50" t="s">
        <v>46</v>
      </c>
      <c r="D527" s="56"/>
      <c r="E527" s="22" t="s">
        <v>75</v>
      </c>
      <c r="F527" s="75" t="s">
        <v>108</v>
      </c>
      <c r="G527" s="27">
        <f>50.27*100/(100-O527)</f>
        <v>53.10024295</v>
      </c>
      <c r="H527" s="27">
        <f>7.07*100/(100-O527)</f>
        <v>7.4680469</v>
      </c>
      <c r="I527" s="27">
        <f>36.28*100/(100-O527)</f>
        <v>38.32259427</v>
      </c>
      <c r="J527" s="27">
        <f>0.42*100/(100-O527)</f>
        <v>0.4436463505</v>
      </c>
      <c r="K527" s="27">
        <f>0.63*100/(100-O527)</f>
        <v>0.6654695257</v>
      </c>
      <c r="L527" s="92">
        <v>12.12</v>
      </c>
      <c r="M527" s="89">
        <v>75.99</v>
      </c>
      <c r="N527" s="22">
        <v>6.56</v>
      </c>
      <c r="O527" s="89">
        <v>5.33</v>
      </c>
      <c r="P527" s="76">
        <v>0.0</v>
      </c>
      <c r="Q527" s="89">
        <v>800.0</v>
      </c>
      <c r="R527" s="20" t="s">
        <v>51</v>
      </c>
      <c r="S527" s="25">
        <v>0.67</v>
      </c>
      <c r="T527" s="22" t="s">
        <v>51</v>
      </c>
      <c r="U527" s="22">
        <v>52.58</v>
      </c>
      <c r="V527" s="22">
        <v>22.84</v>
      </c>
      <c r="W527" s="22">
        <v>19.83</v>
      </c>
      <c r="X527" s="22">
        <v>4.2</v>
      </c>
      <c r="Y527" s="78">
        <f t="shared" si="482"/>
        <v>0.1675445581</v>
      </c>
      <c r="Z527" s="22">
        <v>2.06</v>
      </c>
      <c r="AA527" s="22" t="s">
        <v>51</v>
      </c>
      <c r="AB527" s="22" t="s">
        <v>51</v>
      </c>
      <c r="AC527" s="25">
        <v>10390.0</v>
      </c>
      <c r="AD527" s="22" t="s">
        <v>51</v>
      </c>
      <c r="AK527" s="33">
        <f t="shared" si="483"/>
        <v>0.01584451252</v>
      </c>
      <c r="AL527" s="33">
        <f t="shared" si="484"/>
        <v>9.441050236</v>
      </c>
      <c r="AM527" s="33">
        <f t="shared" si="485"/>
        <v>9.456894749</v>
      </c>
      <c r="AO527" s="34">
        <f t="shared" si="486"/>
        <v>52.49190507</v>
      </c>
      <c r="AP527" s="34">
        <f t="shared" si="487"/>
        <v>22.80173282</v>
      </c>
      <c r="AQ527" s="34">
        <f t="shared" si="488"/>
        <v>19.79677591</v>
      </c>
      <c r="AR527" s="34">
        <f t="shared" si="489"/>
        <v>4.192963129</v>
      </c>
      <c r="AS527" s="34">
        <f t="shared" si="490"/>
        <v>0.1675445581</v>
      </c>
      <c r="AT527" s="35">
        <f t="shared" si="15"/>
        <v>99.4509215</v>
      </c>
      <c r="AV527" s="25">
        <f t="shared" si="497"/>
        <v>10390</v>
      </c>
    </row>
    <row r="528" ht="14.25" customHeight="1">
      <c r="B528" s="83"/>
      <c r="C528" s="50" t="s">
        <v>46</v>
      </c>
      <c r="D528" s="56"/>
      <c r="E528" s="22" t="s">
        <v>75</v>
      </c>
      <c r="F528" s="75" t="s">
        <v>109</v>
      </c>
      <c r="G528" s="27">
        <f>48.79*100/(100-O528)</f>
        <v>50.30934213</v>
      </c>
      <c r="H528" s="27">
        <f>7.33*100/(100-O528)</f>
        <v>7.558259435</v>
      </c>
      <c r="I528" s="27">
        <f>40.18*100/(100-O528)</f>
        <v>41.43122293</v>
      </c>
      <c r="J528" s="27">
        <v>0.0</v>
      </c>
      <c r="K528" s="27">
        <f>0.68*100/(100-O528)</f>
        <v>0.7011755001</v>
      </c>
      <c r="L528" s="92">
        <v>8.56</v>
      </c>
      <c r="M528" s="89">
        <v>79.67</v>
      </c>
      <c r="N528" s="22">
        <v>8.75</v>
      </c>
      <c r="O528" s="89">
        <v>3.02</v>
      </c>
      <c r="P528" s="76">
        <v>0.0</v>
      </c>
      <c r="Q528" s="89">
        <v>800.0</v>
      </c>
      <c r="R528" s="20" t="s">
        <v>51</v>
      </c>
      <c r="S528" s="25">
        <v>0.67</v>
      </c>
      <c r="T528" s="22" t="s">
        <v>51</v>
      </c>
      <c r="U528" s="22">
        <v>52.58</v>
      </c>
      <c r="V528" s="22">
        <v>22.84</v>
      </c>
      <c r="W528" s="22">
        <v>19.83</v>
      </c>
      <c r="X528" s="22">
        <v>4.2</v>
      </c>
      <c r="Y528" s="78">
        <f t="shared" si="482"/>
        <v>0</v>
      </c>
      <c r="Z528" s="22">
        <v>2.06</v>
      </c>
      <c r="AA528" s="22" t="s">
        <v>51</v>
      </c>
      <c r="AB528" s="22" t="s">
        <v>51</v>
      </c>
      <c r="AC528" s="25">
        <v>10390.0</v>
      </c>
      <c r="AD528" s="22" t="s">
        <v>51</v>
      </c>
      <c r="AK528" s="33">
        <f t="shared" si="483"/>
        <v>0</v>
      </c>
      <c r="AL528" s="33">
        <f t="shared" si="484"/>
        <v>8.944837162</v>
      </c>
      <c r="AM528" s="33">
        <f t="shared" si="485"/>
        <v>8.944837162</v>
      </c>
      <c r="AO528" s="34">
        <f t="shared" si="486"/>
        <v>52.58</v>
      </c>
      <c r="AP528" s="34">
        <f t="shared" si="487"/>
        <v>22.84</v>
      </c>
      <c r="AQ528" s="34">
        <f t="shared" si="488"/>
        <v>19.83</v>
      </c>
      <c r="AR528" s="34">
        <f t="shared" si="489"/>
        <v>4.2</v>
      </c>
      <c r="AS528" s="34">
        <f t="shared" si="490"/>
        <v>0</v>
      </c>
      <c r="AT528" s="35">
        <f t="shared" si="15"/>
        <v>99.45</v>
      </c>
      <c r="AV528" s="25">
        <f t="shared" si="497"/>
        <v>10390</v>
      </c>
    </row>
    <row r="529" ht="14.25" customHeight="1">
      <c r="B529" s="83"/>
      <c r="C529" s="50" t="s">
        <v>46</v>
      </c>
      <c r="D529" s="56"/>
      <c r="E529" s="22" t="s">
        <v>75</v>
      </c>
      <c r="F529" s="75" t="s">
        <v>107</v>
      </c>
      <c r="G529" s="27">
        <f>53.78*100/(100-O529)</f>
        <v>54.9953983</v>
      </c>
      <c r="H529" s="27">
        <f>7.2*100/(100-O529)</f>
        <v>7.362716024</v>
      </c>
      <c r="I529" s="27">
        <f>36.3*100/(100-O529)</f>
        <v>37.12035996</v>
      </c>
      <c r="J529" s="27">
        <v>0.0</v>
      </c>
      <c r="K529" s="27">
        <f>0.51*100/(100-O529)</f>
        <v>0.5215257184</v>
      </c>
      <c r="L529" s="40">
        <v>18.32</v>
      </c>
      <c r="M529" s="22">
        <v>73.74</v>
      </c>
      <c r="N529" s="22">
        <v>5.73</v>
      </c>
      <c r="O529" s="22">
        <v>2.21</v>
      </c>
      <c r="P529" s="76">
        <v>0.0</v>
      </c>
      <c r="Q529" s="89">
        <v>800.0</v>
      </c>
      <c r="R529" s="20" t="s">
        <v>51</v>
      </c>
      <c r="S529" s="25">
        <v>1.33</v>
      </c>
      <c r="T529" s="22" t="s">
        <v>51</v>
      </c>
      <c r="U529" s="22">
        <v>59.8</v>
      </c>
      <c r="V529" s="22">
        <v>15.03</v>
      </c>
      <c r="W529" s="22">
        <v>23.14</v>
      </c>
      <c r="X529" s="22">
        <v>2.4</v>
      </c>
      <c r="Y529" s="78">
        <f t="shared" si="482"/>
        <v>0</v>
      </c>
      <c r="Z529" s="22">
        <v>2.48</v>
      </c>
      <c r="AA529" s="22" t="s">
        <v>51</v>
      </c>
      <c r="AB529" s="22" t="s">
        <v>51</v>
      </c>
      <c r="AC529" s="25">
        <v>9130.0</v>
      </c>
      <c r="AD529" s="22" t="s">
        <v>51</v>
      </c>
      <c r="AK529" s="33">
        <f t="shared" si="483"/>
        <v>0</v>
      </c>
      <c r="AL529" s="33">
        <f t="shared" si="484"/>
        <v>11.29640093</v>
      </c>
      <c r="AM529" s="33">
        <f t="shared" si="485"/>
        <v>11.29640093</v>
      </c>
      <c r="AO529" s="34">
        <f t="shared" si="486"/>
        <v>59.8</v>
      </c>
      <c r="AP529" s="34">
        <f t="shared" si="487"/>
        <v>15.03</v>
      </c>
      <c r="AQ529" s="34">
        <f t="shared" si="488"/>
        <v>23.14</v>
      </c>
      <c r="AR529" s="34">
        <f t="shared" si="489"/>
        <v>2.4</v>
      </c>
      <c r="AS529" s="34">
        <f t="shared" si="490"/>
        <v>0</v>
      </c>
      <c r="AT529" s="35">
        <f t="shared" si="15"/>
        <v>100.37</v>
      </c>
      <c r="AV529" s="25">
        <f t="shared" si="497"/>
        <v>9130</v>
      </c>
    </row>
    <row r="530" ht="14.25" customHeight="1">
      <c r="B530" s="83"/>
      <c r="C530" s="50" t="s">
        <v>46</v>
      </c>
      <c r="D530" s="56"/>
      <c r="E530" s="22" t="s">
        <v>75</v>
      </c>
      <c r="F530" s="75" t="s">
        <v>108</v>
      </c>
      <c r="G530" s="27">
        <f>50.27*100/(100-O530)</f>
        <v>53.10024295</v>
      </c>
      <c r="H530" s="27">
        <f>7.07*100/(100-O530)</f>
        <v>7.4680469</v>
      </c>
      <c r="I530" s="27">
        <f>36.28*100/(100-O530)</f>
        <v>38.32259427</v>
      </c>
      <c r="J530" s="27">
        <f>0.42*100/(100-O530)</f>
        <v>0.4436463505</v>
      </c>
      <c r="K530" s="27">
        <f>0.63*100/(100-O530)</f>
        <v>0.6654695257</v>
      </c>
      <c r="L530" s="92">
        <v>12.12</v>
      </c>
      <c r="M530" s="89">
        <v>75.99</v>
      </c>
      <c r="N530" s="22">
        <v>6.56</v>
      </c>
      <c r="O530" s="89">
        <v>5.33</v>
      </c>
      <c r="P530" s="76">
        <v>0.0</v>
      </c>
      <c r="Q530" s="89">
        <v>800.0</v>
      </c>
      <c r="R530" s="20" t="s">
        <v>51</v>
      </c>
      <c r="S530" s="25">
        <v>1.33</v>
      </c>
      <c r="T530" s="22" t="s">
        <v>51</v>
      </c>
      <c r="U530" s="22">
        <v>59.8</v>
      </c>
      <c r="V530" s="22">
        <v>15.03</v>
      </c>
      <c r="W530" s="22">
        <v>23.14</v>
      </c>
      <c r="X530" s="22">
        <v>2.4</v>
      </c>
      <c r="Y530" s="78">
        <f t="shared" si="482"/>
        <v>0.1450568347</v>
      </c>
      <c r="Z530" s="22">
        <v>2.48</v>
      </c>
      <c r="AA530" s="22" t="s">
        <v>51</v>
      </c>
      <c r="AB530" s="22" t="s">
        <v>51</v>
      </c>
      <c r="AC530" s="25">
        <v>9130.0</v>
      </c>
      <c r="AD530" s="22" t="s">
        <v>51</v>
      </c>
      <c r="AK530" s="33">
        <f t="shared" si="483"/>
        <v>0.01584451252</v>
      </c>
      <c r="AL530" s="33">
        <f t="shared" si="484"/>
        <v>10.9071241</v>
      </c>
      <c r="AM530" s="33">
        <f t="shared" si="485"/>
        <v>10.92296861</v>
      </c>
      <c r="AO530" s="34">
        <f t="shared" si="486"/>
        <v>59.71325601</v>
      </c>
      <c r="AP530" s="34">
        <f t="shared" si="487"/>
        <v>15.00819796</v>
      </c>
      <c r="AQ530" s="34">
        <f t="shared" si="488"/>
        <v>23.10643385</v>
      </c>
      <c r="AR530" s="34">
        <f t="shared" si="489"/>
        <v>2.396518636</v>
      </c>
      <c r="AS530" s="34">
        <f t="shared" si="490"/>
        <v>0.1450568347</v>
      </c>
      <c r="AT530" s="35">
        <f t="shared" si="15"/>
        <v>100.3694633</v>
      </c>
      <c r="AV530" s="25">
        <f t="shared" si="497"/>
        <v>9130</v>
      </c>
    </row>
    <row r="531" ht="14.25" customHeight="1">
      <c r="B531" s="83"/>
      <c r="C531" s="50" t="s">
        <v>46</v>
      </c>
      <c r="D531" s="56"/>
      <c r="E531" s="22" t="s">
        <v>75</v>
      </c>
      <c r="F531" s="75" t="s">
        <v>109</v>
      </c>
      <c r="G531" s="27">
        <f>48.79*100/(100-O531)</f>
        <v>50.30934213</v>
      </c>
      <c r="H531" s="27">
        <f>7.33*100/(100-O531)</f>
        <v>7.558259435</v>
      </c>
      <c r="I531" s="27">
        <f>40.18*100/(100-O531)</f>
        <v>41.43122293</v>
      </c>
      <c r="J531" s="27">
        <v>0.0</v>
      </c>
      <c r="K531" s="27">
        <f>0.68*100/(100-O531)</f>
        <v>0.7011755001</v>
      </c>
      <c r="L531" s="92">
        <v>8.56</v>
      </c>
      <c r="M531" s="89">
        <v>79.67</v>
      </c>
      <c r="N531" s="22">
        <v>8.75</v>
      </c>
      <c r="O531" s="89">
        <v>3.02</v>
      </c>
      <c r="P531" s="76">
        <v>0.0</v>
      </c>
      <c r="Q531" s="89">
        <v>800.0</v>
      </c>
      <c r="R531" s="20" t="s">
        <v>51</v>
      </c>
      <c r="S531" s="25">
        <v>1.33</v>
      </c>
      <c r="T531" s="22" t="s">
        <v>51</v>
      </c>
      <c r="U531" s="22">
        <v>59.8</v>
      </c>
      <c r="V531" s="22">
        <v>15.03</v>
      </c>
      <c r="W531" s="22">
        <v>23.14</v>
      </c>
      <c r="X531" s="22">
        <v>2.4</v>
      </c>
      <c r="Y531" s="78">
        <f t="shared" si="482"/>
        <v>0</v>
      </c>
      <c r="Z531" s="22">
        <v>2.48</v>
      </c>
      <c r="AA531" s="22" t="s">
        <v>51</v>
      </c>
      <c r="AB531" s="22" t="s">
        <v>51</v>
      </c>
      <c r="AC531" s="25">
        <v>9130.0</v>
      </c>
      <c r="AD531" s="22" t="s">
        <v>51</v>
      </c>
      <c r="AK531" s="33">
        <f t="shared" si="483"/>
        <v>0</v>
      </c>
      <c r="AL531" s="33">
        <f t="shared" si="484"/>
        <v>10.3338555</v>
      </c>
      <c r="AM531" s="33">
        <f t="shared" si="485"/>
        <v>10.3338555</v>
      </c>
      <c r="AO531" s="34">
        <f t="shared" si="486"/>
        <v>59.8</v>
      </c>
      <c r="AP531" s="34">
        <f t="shared" si="487"/>
        <v>15.03</v>
      </c>
      <c r="AQ531" s="34">
        <f t="shared" si="488"/>
        <v>23.14</v>
      </c>
      <c r="AR531" s="34">
        <f t="shared" si="489"/>
        <v>2.4</v>
      </c>
      <c r="AS531" s="34">
        <f t="shared" si="490"/>
        <v>0</v>
      </c>
      <c r="AT531" s="35">
        <f t="shared" si="15"/>
        <v>100.37</v>
      </c>
      <c r="AV531" s="25">
        <f t="shared" si="497"/>
        <v>9130</v>
      </c>
    </row>
    <row r="532" ht="14.25" customHeight="1">
      <c r="B532" s="83"/>
      <c r="C532" s="50" t="s">
        <v>46</v>
      </c>
      <c r="D532" s="56"/>
      <c r="E532" s="22" t="s">
        <v>75</v>
      </c>
      <c r="F532" s="75" t="s">
        <v>107</v>
      </c>
      <c r="G532" s="27">
        <f>53.78*100/(100-O532)</f>
        <v>54.9953983</v>
      </c>
      <c r="H532" s="27">
        <f>7.2*100/(100-O532)</f>
        <v>7.362716024</v>
      </c>
      <c r="I532" s="27">
        <f>36.3*100/(100-O532)</f>
        <v>37.12035996</v>
      </c>
      <c r="J532" s="27">
        <v>0.0</v>
      </c>
      <c r="K532" s="27">
        <f>0.51*100/(100-O532)</f>
        <v>0.5215257184</v>
      </c>
      <c r="L532" s="40">
        <v>18.32</v>
      </c>
      <c r="M532" s="22">
        <v>73.74</v>
      </c>
      <c r="N532" s="22">
        <v>5.73</v>
      </c>
      <c r="O532" s="22">
        <v>2.21</v>
      </c>
      <c r="P532" s="76">
        <v>0.0</v>
      </c>
      <c r="Q532" s="89">
        <v>800.0</v>
      </c>
      <c r="R532" s="20" t="s">
        <v>51</v>
      </c>
      <c r="S532" s="25">
        <v>2.0</v>
      </c>
      <c r="T532" s="22" t="s">
        <v>51</v>
      </c>
      <c r="U532" s="22">
        <v>57.29</v>
      </c>
      <c r="V532" s="22">
        <v>13.82</v>
      </c>
      <c r="W532" s="22">
        <v>25.64</v>
      </c>
      <c r="X532" s="22">
        <v>2.1</v>
      </c>
      <c r="Y532" s="78">
        <f t="shared" si="482"/>
        <v>0</v>
      </c>
      <c r="Z532" s="22">
        <v>2.39</v>
      </c>
      <c r="AA532" s="22" t="s">
        <v>51</v>
      </c>
      <c r="AB532" s="22" t="s">
        <v>51</v>
      </c>
      <c r="AC532" s="25">
        <v>8730.0</v>
      </c>
      <c r="AD532" s="22" t="s">
        <v>51</v>
      </c>
      <c r="AK532" s="33">
        <f t="shared" si="483"/>
        <v>0</v>
      </c>
      <c r="AL532" s="33">
        <f t="shared" si="484"/>
        <v>11.02730957</v>
      </c>
      <c r="AM532" s="33">
        <f t="shared" si="485"/>
        <v>11.02730957</v>
      </c>
      <c r="AO532" s="34">
        <f t="shared" si="486"/>
        <v>57.29</v>
      </c>
      <c r="AP532" s="34">
        <f t="shared" si="487"/>
        <v>13.82</v>
      </c>
      <c r="AQ532" s="34">
        <f t="shared" si="488"/>
        <v>25.64</v>
      </c>
      <c r="AR532" s="34">
        <f t="shared" si="489"/>
        <v>2.1</v>
      </c>
      <c r="AS532" s="34">
        <f t="shared" si="490"/>
        <v>0</v>
      </c>
      <c r="AT532" s="35">
        <f t="shared" si="15"/>
        <v>98.85</v>
      </c>
      <c r="AV532" s="25">
        <f t="shared" si="497"/>
        <v>8730</v>
      </c>
    </row>
    <row r="533" ht="14.25" customHeight="1">
      <c r="B533" s="83"/>
      <c r="C533" s="50" t="s">
        <v>46</v>
      </c>
      <c r="D533" s="56"/>
      <c r="E533" s="22" t="s">
        <v>75</v>
      </c>
      <c r="F533" s="75" t="s">
        <v>108</v>
      </c>
      <c r="G533" s="27">
        <f>50.27*100/(100-O533)</f>
        <v>53.10024295</v>
      </c>
      <c r="H533" s="27">
        <f>7.07*100/(100-O533)</f>
        <v>7.4680469</v>
      </c>
      <c r="I533" s="27">
        <f>36.28*100/(100-O533)</f>
        <v>38.32259427</v>
      </c>
      <c r="J533" s="27">
        <f>0.42*100/(100-O533)</f>
        <v>0.4436463505</v>
      </c>
      <c r="K533" s="27">
        <f>0.63*100/(100-O533)</f>
        <v>0.6654695257</v>
      </c>
      <c r="L533" s="92">
        <v>12.12</v>
      </c>
      <c r="M533" s="89">
        <v>75.99</v>
      </c>
      <c r="N533" s="22">
        <v>6.56</v>
      </c>
      <c r="O533" s="89">
        <v>5.33</v>
      </c>
      <c r="P533" s="76">
        <v>0.0</v>
      </c>
      <c r="Q533" s="89">
        <v>800.0</v>
      </c>
      <c r="R533" s="20" t="s">
        <v>51</v>
      </c>
      <c r="S533" s="25">
        <v>2.0</v>
      </c>
      <c r="T533" s="22" t="s">
        <v>51</v>
      </c>
      <c r="U533" s="22">
        <v>57.29</v>
      </c>
      <c r="V533" s="22">
        <v>13.82</v>
      </c>
      <c r="W533" s="22">
        <v>25.64</v>
      </c>
      <c r="X533" s="22">
        <v>2.1</v>
      </c>
      <c r="Y533" s="78">
        <f t="shared" si="482"/>
        <v>0.1485912907</v>
      </c>
      <c r="Z533" s="22">
        <v>2.39</v>
      </c>
      <c r="AA533" s="22" t="s">
        <v>51</v>
      </c>
      <c r="AB533" s="22" t="s">
        <v>51</v>
      </c>
      <c r="AC533" s="25">
        <v>8730.0</v>
      </c>
      <c r="AD533" s="22" t="s">
        <v>51</v>
      </c>
      <c r="AK533" s="33">
        <f t="shared" si="483"/>
        <v>0.01584451252</v>
      </c>
      <c r="AL533" s="33">
        <f t="shared" si="484"/>
        <v>10.64730569</v>
      </c>
      <c r="AM533" s="33">
        <f t="shared" si="485"/>
        <v>10.6631502</v>
      </c>
      <c r="AO533" s="34">
        <f t="shared" si="486"/>
        <v>57.20487205</v>
      </c>
      <c r="AP533" s="34">
        <f t="shared" si="487"/>
        <v>13.79946468</v>
      </c>
      <c r="AQ533" s="34">
        <f t="shared" si="488"/>
        <v>25.60190119</v>
      </c>
      <c r="AR533" s="34">
        <f t="shared" si="489"/>
        <v>2.096879583</v>
      </c>
      <c r="AS533" s="34">
        <f t="shared" si="490"/>
        <v>0.1485912907</v>
      </c>
      <c r="AT533" s="35">
        <f t="shared" si="15"/>
        <v>98.8517088</v>
      </c>
      <c r="AV533" s="25">
        <f t="shared" si="497"/>
        <v>8730</v>
      </c>
    </row>
    <row r="534" ht="14.25" customHeight="1">
      <c r="B534" s="83"/>
      <c r="C534" s="50" t="s">
        <v>46</v>
      </c>
      <c r="D534" s="56"/>
      <c r="E534" s="22" t="s">
        <v>75</v>
      </c>
      <c r="F534" s="75" t="s">
        <v>109</v>
      </c>
      <c r="G534" s="27">
        <f>48.79*100/(100-O534)</f>
        <v>50.30934213</v>
      </c>
      <c r="H534" s="27">
        <f>7.33*100/(100-O534)</f>
        <v>7.558259435</v>
      </c>
      <c r="I534" s="27">
        <f>40.18*100/(100-O534)</f>
        <v>41.43122293</v>
      </c>
      <c r="J534" s="27">
        <v>0.0</v>
      </c>
      <c r="K534" s="27">
        <f>0.68*100/(100-O534)</f>
        <v>0.7011755001</v>
      </c>
      <c r="L534" s="92">
        <v>8.56</v>
      </c>
      <c r="M534" s="89">
        <v>79.67</v>
      </c>
      <c r="N534" s="22">
        <v>8.75</v>
      </c>
      <c r="O534" s="89">
        <v>3.02</v>
      </c>
      <c r="P534" s="76">
        <v>0.0</v>
      </c>
      <c r="Q534" s="89">
        <v>800.0</v>
      </c>
      <c r="R534" s="20" t="s">
        <v>51</v>
      </c>
      <c r="S534" s="25">
        <v>2.0</v>
      </c>
      <c r="T534" s="22" t="s">
        <v>51</v>
      </c>
      <c r="U534" s="22">
        <v>57.29</v>
      </c>
      <c r="V534" s="22">
        <v>13.82</v>
      </c>
      <c r="W534" s="22">
        <v>25.64</v>
      </c>
      <c r="X534" s="22">
        <v>2.1</v>
      </c>
      <c r="Y534" s="78">
        <f t="shared" si="482"/>
        <v>0</v>
      </c>
      <c r="Z534" s="22">
        <v>2.39</v>
      </c>
      <c r="AA534" s="22" t="s">
        <v>51</v>
      </c>
      <c r="AB534" s="22" t="s">
        <v>51</v>
      </c>
      <c r="AC534" s="25">
        <v>8730.0</v>
      </c>
      <c r="AD534" s="22" t="s">
        <v>51</v>
      </c>
      <c r="AK534" s="33">
        <f t="shared" si="483"/>
        <v>0</v>
      </c>
      <c r="AL534" s="33">
        <f t="shared" si="484"/>
        <v>10.08769292</v>
      </c>
      <c r="AM534" s="33">
        <f t="shared" si="485"/>
        <v>10.08769292</v>
      </c>
      <c r="AO534" s="34">
        <f t="shared" si="486"/>
        <v>57.29</v>
      </c>
      <c r="AP534" s="34">
        <f t="shared" si="487"/>
        <v>13.82</v>
      </c>
      <c r="AQ534" s="34">
        <f t="shared" si="488"/>
        <v>25.64</v>
      </c>
      <c r="AR534" s="34">
        <f t="shared" si="489"/>
        <v>2.1</v>
      </c>
      <c r="AS534" s="34">
        <f t="shared" si="490"/>
        <v>0</v>
      </c>
      <c r="AT534" s="35">
        <f t="shared" si="15"/>
        <v>98.85</v>
      </c>
      <c r="AV534" s="25">
        <f t="shared" si="497"/>
        <v>8730</v>
      </c>
    </row>
    <row r="535" ht="14.25" customHeight="1">
      <c r="B535" s="83"/>
      <c r="C535" s="50" t="s">
        <v>46</v>
      </c>
      <c r="D535" s="56"/>
      <c r="E535" s="22" t="s">
        <v>75</v>
      </c>
      <c r="F535" s="75" t="s">
        <v>107</v>
      </c>
      <c r="G535" s="27">
        <f>53.78*100/(100-O535)</f>
        <v>54.9953983</v>
      </c>
      <c r="H535" s="27">
        <f>7.2*100/(100-O535)</f>
        <v>7.362716024</v>
      </c>
      <c r="I535" s="27">
        <f>36.3*100/(100-O535)</f>
        <v>37.12035996</v>
      </c>
      <c r="J535" s="27">
        <v>0.0</v>
      </c>
      <c r="K535" s="27">
        <f>0.51*100/(100-O535)</f>
        <v>0.5215257184</v>
      </c>
      <c r="L535" s="40">
        <v>18.32</v>
      </c>
      <c r="M535" s="22">
        <v>73.74</v>
      </c>
      <c r="N535" s="22">
        <v>5.73</v>
      </c>
      <c r="O535" s="22">
        <v>2.21</v>
      </c>
      <c r="P535" s="76">
        <v>0.0</v>
      </c>
      <c r="Q535" s="89">
        <v>800.0</v>
      </c>
      <c r="R535" s="20" t="s">
        <v>51</v>
      </c>
      <c r="S535" s="25">
        <v>2.67</v>
      </c>
      <c r="T535" s="22" t="s">
        <v>51</v>
      </c>
      <c r="U535" s="22">
        <v>56.69</v>
      </c>
      <c r="V535" s="22">
        <v>13.62</v>
      </c>
      <c r="W535" s="22">
        <v>26.85</v>
      </c>
      <c r="X535" s="22">
        <v>2.6</v>
      </c>
      <c r="Y535" s="78">
        <f t="shared" si="482"/>
        <v>0</v>
      </c>
      <c r="Z535" s="22">
        <v>2.28</v>
      </c>
      <c r="AA535" s="22" t="s">
        <v>51</v>
      </c>
      <c r="AB535" s="22" t="s">
        <v>51</v>
      </c>
      <c r="AC535" s="25">
        <v>8850.0</v>
      </c>
      <c r="AD535" s="22" t="s">
        <v>51</v>
      </c>
      <c r="AK535" s="33">
        <f t="shared" si="483"/>
        <v>0</v>
      </c>
      <c r="AL535" s="33">
        <f t="shared" si="484"/>
        <v>10.64070086</v>
      </c>
      <c r="AM535" s="33">
        <f t="shared" si="485"/>
        <v>10.64070086</v>
      </c>
      <c r="AO535" s="34">
        <f t="shared" si="486"/>
        <v>56.69</v>
      </c>
      <c r="AP535" s="34">
        <f t="shared" si="487"/>
        <v>13.62</v>
      </c>
      <c r="AQ535" s="34">
        <f t="shared" si="488"/>
        <v>26.85</v>
      </c>
      <c r="AR535" s="34">
        <f t="shared" si="489"/>
        <v>2.6</v>
      </c>
      <c r="AS535" s="34">
        <f t="shared" si="490"/>
        <v>0</v>
      </c>
      <c r="AT535" s="35">
        <f t="shared" si="15"/>
        <v>99.76</v>
      </c>
      <c r="AV535" s="25">
        <f t="shared" si="497"/>
        <v>8850</v>
      </c>
    </row>
    <row r="536" ht="14.25" customHeight="1">
      <c r="B536" s="83"/>
      <c r="C536" s="50" t="s">
        <v>46</v>
      </c>
      <c r="D536" s="56"/>
      <c r="E536" s="22" t="s">
        <v>75</v>
      </c>
      <c r="F536" s="75" t="s">
        <v>108</v>
      </c>
      <c r="G536" s="27">
        <f>50.27*100/(100-O536)</f>
        <v>53.10024295</v>
      </c>
      <c r="H536" s="27">
        <f>7.07*100/(100-O536)</f>
        <v>7.4680469</v>
      </c>
      <c r="I536" s="27">
        <f>36.28*100/(100-O536)</f>
        <v>38.32259427</v>
      </c>
      <c r="J536" s="27">
        <f>0.42*100/(100-O536)</f>
        <v>0.4436463505</v>
      </c>
      <c r="K536" s="27">
        <f>0.63*100/(100-O536)</f>
        <v>0.6654695257</v>
      </c>
      <c r="L536" s="92">
        <v>12.12</v>
      </c>
      <c r="M536" s="89">
        <v>75.99</v>
      </c>
      <c r="N536" s="22">
        <v>6.56</v>
      </c>
      <c r="O536" s="89">
        <v>5.33</v>
      </c>
      <c r="P536" s="76">
        <v>0.0</v>
      </c>
      <c r="Q536" s="89">
        <v>800.0</v>
      </c>
      <c r="R536" s="20" t="s">
        <v>51</v>
      </c>
      <c r="S536" s="25">
        <v>2.67</v>
      </c>
      <c r="T536" s="22" t="s">
        <v>51</v>
      </c>
      <c r="U536" s="22">
        <v>56.69</v>
      </c>
      <c r="V536" s="22">
        <v>13.62</v>
      </c>
      <c r="W536" s="22">
        <v>26.85</v>
      </c>
      <c r="X536" s="22">
        <v>2.6</v>
      </c>
      <c r="Y536" s="78">
        <f t="shared" si="482"/>
        <v>0.1539817468</v>
      </c>
      <c r="Z536" s="22">
        <v>2.28</v>
      </c>
      <c r="AA536" s="22" t="s">
        <v>51</v>
      </c>
      <c r="AB536" s="22" t="s">
        <v>51</v>
      </c>
      <c r="AC536" s="25">
        <v>8850.0</v>
      </c>
      <c r="AD536" s="22" t="s">
        <v>51</v>
      </c>
      <c r="AK536" s="33">
        <f t="shared" si="483"/>
        <v>0.01584451252</v>
      </c>
      <c r="AL536" s="33">
        <f t="shared" si="484"/>
        <v>10.27401961</v>
      </c>
      <c r="AM536" s="33">
        <f t="shared" si="485"/>
        <v>10.28986412</v>
      </c>
      <c r="AO536" s="34">
        <f t="shared" si="486"/>
        <v>56.60270775</v>
      </c>
      <c r="AP536" s="34">
        <f t="shared" si="487"/>
        <v>13.59902769</v>
      </c>
      <c r="AQ536" s="34">
        <f t="shared" si="488"/>
        <v>26.8086559</v>
      </c>
      <c r="AR536" s="34">
        <f t="shared" si="489"/>
        <v>2.595996475</v>
      </c>
      <c r="AS536" s="34">
        <f t="shared" si="490"/>
        <v>0.1539817468</v>
      </c>
      <c r="AT536" s="35">
        <f t="shared" si="15"/>
        <v>99.76036956</v>
      </c>
      <c r="AV536" s="25">
        <f t="shared" si="497"/>
        <v>8850</v>
      </c>
    </row>
    <row r="537" ht="14.25" customHeight="1">
      <c r="B537" s="83"/>
      <c r="C537" s="50" t="s">
        <v>46</v>
      </c>
      <c r="D537" s="56"/>
      <c r="E537" s="22" t="s">
        <v>75</v>
      </c>
      <c r="F537" s="75" t="s">
        <v>109</v>
      </c>
      <c r="G537" s="27">
        <f>48.79*100/(100-O537)</f>
        <v>50.30934213</v>
      </c>
      <c r="H537" s="27">
        <f>7.33*100/(100-O537)</f>
        <v>7.558259435</v>
      </c>
      <c r="I537" s="27">
        <f>40.18*100/(100-O537)</f>
        <v>41.43122293</v>
      </c>
      <c r="J537" s="27">
        <v>0.0</v>
      </c>
      <c r="K537" s="27">
        <f>0.68*100/(100-O537)</f>
        <v>0.7011755001</v>
      </c>
      <c r="L537" s="92">
        <v>8.56</v>
      </c>
      <c r="M537" s="89">
        <v>79.67</v>
      </c>
      <c r="N537" s="22">
        <v>8.75</v>
      </c>
      <c r="O537" s="89">
        <v>3.02</v>
      </c>
      <c r="P537" s="76">
        <v>0.0</v>
      </c>
      <c r="Q537" s="89">
        <v>800.0</v>
      </c>
      <c r="R537" s="20" t="s">
        <v>51</v>
      </c>
      <c r="S537" s="25">
        <v>2.67</v>
      </c>
      <c r="T537" s="22" t="s">
        <v>51</v>
      </c>
      <c r="U537" s="22">
        <v>56.69</v>
      </c>
      <c r="V537" s="22">
        <v>13.62</v>
      </c>
      <c r="W537" s="22">
        <v>26.85</v>
      </c>
      <c r="X537" s="22">
        <v>2.6</v>
      </c>
      <c r="Y537" s="78">
        <f t="shared" si="482"/>
        <v>0</v>
      </c>
      <c r="Z537" s="22">
        <v>2.28</v>
      </c>
      <c r="AA537" s="22" t="s">
        <v>51</v>
      </c>
      <c r="AB537" s="22" t="s">
        <v>51</v>
      </c>
      <c r="AC537" s="25">
        <v>8850.0</v>
      </c>
      <c r="AD537" s="22" t="s">
        <v>51</v>
      </c>
      <c r="AK537" s="33">
        <f t="shared" si="483"/>
        <v>0</v>
      </c>
      <c r="AL537" s="33">
        <f t="shared" si="484"/>
        <v>9.734026417</v>
      </c>
      <c r="AM537" s="33">
        <f t="shared" si="485"/>
        <v>9.734026417</v>
      </c>
      <c r="AO537" s="34">
        <f t="shared" si="486"/>
        <v>56.69</v>
      </c>
      <c r="AP537" s="34">
        <f t="shared" si="487"/>
        <v>13.62</v>
      </c>
      <c r="AQ537" s="34">
        <f t="shared" si="488"/>
        <v>26.85</v>
      </c>
      <c r="AR537" s="34">
        <f t="shared" si="489"/>
        <v>2.6</v>
      </c>
      <c r="AS537" s="34">
        <f t="shared" si="490"/>
        <v>0</v>
      </c>
      <c r="AT537" s="35">
        <f t="shared" si="15"/>
        <v>99.76</v>
      </c>
      <c r="AV537" s="25">
        <f t="shared" si="497"/>
        <v>8850</v>
      </c>
    </row>
    <row r="538" ht="14.25" customHeight="1">
      <c r="B538" s="83"/>
      <c r="C538" s="50" t="s">
        <v>46</v>
      </c>
      <c r="D538" s="56"/>
      <c r="E538" s="22" t="s">
        <v>75</v>
      </c>
      <c r="F538" s="75" t="s">
        <v>107</v>
      </c>
      <c r="G538" s="27">
        <f>53.78*100/(100-O538)</f>
        <v>54.9953983</v>
      </c>
      <c r="H538" s="27">
        <f>7.2*100/(100-O538)</f>
        <v>7.362716024</v>
      </c>
      <c r="I538" s="27">
        <f>36.3*100/(100-O538)</f>
        <v>37.12035996</v>
      </c>
      <c r="J538" s="27">
        <v>0.0</v>
      </c>
      <c r="K538" s="27">
        <f>0.51*100/(100-O538)</f>
        <v>0.5215257184</v>
      </c>
      <c r="L538" s="40">
        <v>18.32</v>
      </c>
      <c r="M538" s="22">
        <v>73.74</v>
      </c>
      <c r="N538" s="22">
        <v>5.73</v>
      </c>
      <c r="O538" s="22">
        <v>2.21</v>
      </c>
      <c r="P538" s="76">
        <v>0.0</v>
      </c>
      <c r="Q538" s="89">
        <v>800.0</v>
      </c>
      <c r="R538" s="20" t="s">
        <v>51</v>
      </c>
      <c r="S538" s="25">
        <v>1.33</v>
      </c>
      <c r="T538" s="22" t="s">
        <v>51</v>
      </c>
      <c r="U538" s="22">
        <v>54.69</v>
      </c>
      <c r="V538" s="22">
        <v>17.8</v>
      </c>
      <c r="W538" s="22">
        <v>20.0</v>
      </c>
      <c r="X538" s="22">
        <v>5.24</v>
      </c>
      <c r="Y538" s="78">
        <f t="shared" si="482"/>
        <v>0</v>
      </c>
      <c r="Z538" s="22">
        <v>2.16</v>
      </c>
      <c r="AA538" s="22" t="s">
        <v>51</v>
      </c>
      <c r="AB538" s="22" t="s">
        <v>51</v>
      </c>
      <c r="AC538" s="25">
        <v>10280.0</v>
      </c>
      <c r="AD538" s="22" t="s">
        <v>51</v>
      </c>
      <c r="AK538" s="33">
        <f t="shared" si="483"/>
        <v>0</v>
      </c>
      <c r="AL538" s="33">
        <f t="shared" si="484"/>
        <v>10.6481177</v>
      </c>
      <c r="AM538" s="33">
        <f t="shared" si="485"/>
        <v>10.6481177</v>
      </c>
      <c r="AO538" s="34">
        <f t="shared" si="486"/>
        <v>54.69</v>
      </c>
      <c r="AP538" s="34">
        <f t="shared" si="487"/>
        <v>17.8</v>
      </c>
      <c r="AQ538" s="34">
        <f t="shared" si="488"/>
        <v>20</v>
      </c>
      <c r="AR538" s="34">
        <f t="shared" si="489"/>
        <v>5.24</v>
      </c>
      <c r="AS538" s="34">
        <f t="shared" si="490"/>
        <v>0</v>
      </c>
      <c r="AT538" s="35">
        <f t="shared" si="15"/>
        <v>97.73</v>
      </c>
      <c r="AV538" s="25">
        <f t="shared" si="497"/>
        <v>10280</v>
      </c>
    </row>
    <row r="539" ht="14.25" customHeight="1">
      <c r="B539" s="83"/>
      <c r="C539" s="50" t="s">
        <v>46</v>
      </c>
      <c r="D539" s="56"/>
      <c r="E539" s="22" t="s">
        <v>75</v>
      </c>
      <c r="F539" s="75" t="s">
        <v>108</v>
      </c>
      <c r="G539" s="27">
        <f>50.27*100/(100-O539)</f>
        <v>53.10024295</v>
      </c>
      <c r="H539" s="27">
        <f>7.07*100/(100-O539)</f>
        <v>7.4680469</v>
      </c>
      <c r="I539" s="27">
        <f>36.28*100/(100-O539)</f>
        <v>38.32259427</v>
      </c>
      <c r="J539" s="27">
        <f>0.42*100/(100-O539)</f>
        <v>0.4436463505</v>
      </c>
      <c r="K539" s="27">
        <f>0.63*100/(100-O539)</f>
        <v>0.6654695257</v>
      </c>
      <c r="L539" s="92">
        <v>12.12</v>
      </c>
      <c r="M539" s="89">
        <v>75.99</v>
      </c>
      <c r="N539" s="22">
        <v>6.56</v>
      </c>
      <c r="O539" s="89">
        <v>5.33</v>
      </c>
      <c r="P539" s="76">
        <v>0.0</v>
      </c>
      <c r="Q539" s="89">
        <v>800.0</v>
      </c>
      <c r="R539" s="20" t="s">
        <v>51</v>
      </c>
      <c r="S539" s="25">
        <v>1.33</v>
      </c>
      <c r="T539" s="22" t="s">
        <v>51</v>
      </c>
      <c r="U539" s="22">
        <v>54.69</v>
      </c>
      <c r="V539" s="22">
        <v>17.8</v>
      </c>
      <c r="W539" s="22">
        <v>20.0</v>
      </c>
      <c r="X539" s="22">
        <v>5.24</v>
      </c>
      <c r="Y539" s="78">
        <f t="shared" si="482"/>
        <v>0.1538746573</v>
      </c>
      <c r="Z539" s="22">
        <v>2.16</v>
      </c>
      <c r="AA539" s="22" t="s">
        <v>51</v>
      </c>
      <c r="AB539" s="22" t="s">
        <v>51</v>
      </c>
      <c r="AC539" s="25">
        <v>10280.0</v>
      </c>
      <c r="AD539" s="22" t="s">
        <v>51</v>
      </c>
      <c r="AK539" s="33">
        <f t="shared" si="483"/>
        <v>0.01584451252</v>
      </c>
      <c r="AL539" s="33">
        <f t="shared" si="484"/>
        <v>10.28118087</v>
      </c>
      <c r="AM539" s="33">
        <f t="shared" si="485"/>
        <v>10.29702538</v>
      </c>
      <c r="AO539" s="34">
        <f t="shared" si="486"/>
        <v>54.60584595</v>
      </c>
      <c r="AP539" s="34">
        <f t="shared" si="487"/>
        <v>17.77261031</v>
      </c>
      <c r="AQ539" s="34">
        <f t="shared" si="488"/>
        <v>19.96922507</v>
      </c>
      <c r="AR539" s="34">
        <f t="shared" si="489"/>
        <v>5.231936968</v>
      </c>
      <c r="AS539" s="34">
        <f t="shared" si="490"/>
        <v>0.1538746573</v>
      </c>
      <c r="AT539" s="35">
        <f t="shared" si="15"/>
        <v>97.73349295</v>
      </c>
      <c r="AV539" s="25">
        <f t="shared" si="497"/>
        <v>10280</v>
      </c>
    </row>
    <row r="540" ht="14.25" customHeight="1">
      <c r="B540" s="83"/>
      <c r="C540" s="50" t="s">
        <v>46</v>
      </c>
      <c r="D540" s="56"/>
      <c r="E540" s="22" t="s">
        <v>75</v>
      </c>
      <c r="F540" s="75" t="s">
        <v>109</v>
      </c>
      <c r="G540" s="27">
        <f>48.79*100/(100-O540)</f>
        <v>50.30934213</v>
      </c>
      <c r="H540" s="27">
        <f>7.33*100/(100-O540)</f>
        <v>7.558259435</v>
      </c>
      <c r="I540" s="27">
        <f>40.18*100/(100-O540)</f>
        <v>41.43122293</v>
      </c>
      <c r="J540" s="27">
        <v>0.0</v>
      </c>
      <c r="K540" s="27">
        <f>0.68*100/(100-O540)</f>
        <v>0.7011755001</v>
      </c>
      <c r="L540" s="92">
        <v>8.56</v>
      </c>
      <c r="M540" s="89">
        <v>79.67</v>
      </c>
      <c r="N540" s="22">
        <v>8.75</v>
      </c>
      <c r="O540" s="89">
        <v>3.02</v>
      </c>
      <c r="P540" s="76">
        <v>0.0</v>
      </c>
      <c r="Q540" s="89">
        <v>800.0</v>
      </c>
      <c r="R540" s="20" t="s">
        <v>51</v>
      </c>
      <c r="S540" s="25">
        <v>1.33</v>
      </c>
      <c r="T540" s="22" t="s">
        <v>51</v>
      </c>
      <c r="U540" s="22">
        <v>54.69</v>
      </c>
      <c r="V540" s="22">
        <v>17.8</v>
      </c>
      <c r="W540" s="22">
        <v>20.0</v>
      </c>
      <c r="X540" s="22">
        <v>5.24</v>
      </c>
      <c r="Y540" s="78">
        <f t="shared" si="482"/>
        <v>0</v>
      </c>
      <c r="Z540" s="22">
        <v>2.16</v>
      </c>
      <c r="AA540" s="22" t="s">
        <v>51</v>
      </c>
      <c r="AB540" s="22" t="s">
        <v>51</v>
      </c>
      <c r="AC540" s="25">
        <v>10280.0</v>
      </c>
      <c r="AD540" s="22" t="s">
        <v>51</v>
      </c>
      <c r="AK540" s="33">
        <f t="shared" si="483"/>
        <v>0</v>
      </c>
      <c r="AL540" s="33">
        <f t="shared" si="484"/>
        <v>9.740811286</v>
      </c>
      <c r="AM540" s="33">
        <f t="shared" si="485"/>
        <v>9.740811286</v>
      </c>
      <c r="AO540" s="34">
        <f t="shared" si="486"/>
        <v>54.69</v>
      </c>
      <c r="AP540" s="34">
        <f t="shared" si="487"/>
        <v>17.8</v>
      </c>
      <c r="AQ540" s="34">
        <f t="shared" si="488"/>
        <v>20</v>
      </c>
      <c r="AR540" s="34">
        <f t="shared" si="489"/>
        <v>5.24</v>
      </c>
      <c r="AS540" s="34">
        <f t="shared" si="490"/>
        <v>0</v>
      </c>
      <c r="AT540" s="35">
        <f t="shared" si="15"/>
        <v>97.73</v>
      </c>
      <c r="AV540" s="25">
        <f t="shared" si="497"/>
        <v>10280</v>
      </c>
    </row>
    <row r="541" ht="14.25" customHeight="1">
      <c r="B541" s="83"/>
      <c r="C541" s="50" t="s">
        <v>46</v>
      </c>
      <c r="D541" s="56"/>
      <c r="E541" s="22" t="s">
        <v>75</v>
      </c>
      <c r="F541" s="75" t="s">
        <v>107</v>
      </c>
      <c r="G541" s="27">
        <f>53.78*100/(100-O541)</f>
        <v>54.9953983</v>
      </c>
      <c r="H541" s="27">
        <f>7.2*100/(100-O541)</f>
        <v>7.362716024</v>
      </c>
      <c r="I541" s="27">
        <f>36.3*100/(100-O541)</f>
        <v>37.12035996</v>
      </c>
      <c r="J541" s="27">
        <v>0.0</v>
      </c>
      <c r="K541" s="27">
        <f>0.51*100/(100-O541)</f>
        <v>0.5215257184</v>
      </c>
      <c r="L541" s="40">
        <v>18.32</v>
      </c>
      <c r="M541" s="22">
        <v>73.74</v>
      </c>
      <c r="N541" s="22">
        <v>5.73</v>
      </c>
      <c r="O541" s="22">
        <v>2.21</v>
      </c>
      <c r="P541" s="76">
        <v>0.0</v>
      </c>
      <c r="Q541" s="89">
        <v>800.0</v>
      </c>
      <c r="R541" s="20" t="s">
        <v>51</v>
      </c>
      <c r="S541" s="25">
        <v>1.33</v>
      </c>
      <c r="T541" s="22" t="s">
        <v>51</v>
      </c>
      <c r="U541" s="22">
        <v>56.33</v>
      </c>
      <c r="V541" s="22">
        <v>17.23</v>
      </c>
      <c r="W541" s="22">
        <v>21.56</v>
      </c>
      <c r="X541" s="22">
        <v>3.57</v>
      </c>
      <c r="Y541" s="78">
        <f t="shared" si="482"/>
        <v>0</v>
      </c>
      <c r="Z541" s="22">
        <v>2.28</v>
      </c>
      <c r="AA541" s="22" t="s">
        <v>51</v>
      </c>
      <c r="AB541" s="22" t="s">
        <v>51</v>
      </c>
      <c r="AC541" s="25">
        <v>9600.0</v>
      </c>
      <c r="AD541" s="22" t="s">
        <v>51</v>
      </c>
      <c r="AK541" s="33">
        <f t="shared" si="483"/>
        <v>0</v>
      </c>
      <c r="AL541" s="33">
        <f t="shared" si="484"/>
        <v>10.81905066</v>
      </c>
      <c r="AM541" s="33">
        <f t="shared" si="485"/>
        <v>10.81905066</v>
      </c>
      <c r="AO541" s="34">
        <f t="shared" si="486"/>
        <v>56.33</v>
      </c>
      <c r="AP541" s="34">
        <f t="shared" si="487"/>
        <v>17.23</v>
      </c>
      <c r="AQ541" s="34">
        <f t="shared" si="488"/>
        <v>21.56</v>
      </c>
      <c r="AR541" s="34">
        <f t="shared" si="489"/>
        <v>3.57</v>
      </c>
      <c r="AS541" s="34">
        <f t="shared" si="490"/>
        <v>0</v>
      </c>
      <c r="AT541" s="35">
        <f t="shared" si="15"/>
        <v>98.69</v>
      </c>
      <c r="AV541" s="25">
        <f t="shared" si="497"/>
        <v>9600</v>
      </c>
    </row>
    <row r="542" ht="14.25" customHeight="1">
      <c r="B542" s="83"/>
      <c r="C542" s="50" t="s">
        <v>46</v>
      </c>
      <c r="D542" s="56"/>
      <c r="E542" s="22" t="s">
        <v>75</v>
      </c>
      <c r="F542" s="75" t="s">
        <v>108</v>
      </c>
      <c r="G542" s="27">
        <f>50.27*100/(100-O542)</f>
        <v>53.10024295</v>
      </c>
      <c r="H542" s="27">
        <f>7.07*100/(100-O542)</f>
        <v>7.4680469</v>
      </c>
      <c r="I542" s="27">
        <f>36.28*100/(100-O542)</f>
        <v>38.32259427</v>
      </c>
      <c r="J542" s="27">
        <f>0.42*100/(100-O542)</f>
        <v>0.4436463505</v>
      </c>
      <c r="K542" s="27">
        <f>0.63*100/(100-O542)</f>
        <v>0.6654695257</v>
      </c>
      <c r="L542" s="92">
        <v>12.12</v>
      </c>
      <c r="M542" s="89">
        <v>75.99</v>
      </c>
      <c r="N542" s="22">
        <v>6.56</v>
      </c>
      <c r="O542" s="89">
        <v>5.33</v>
      </c>
      <c r="P542" s="76">
        <v>0.0</v>
      </c>
      <c r="Q542" s="89">
        <v>800.0</v>
      </c>
      <c r="R542" s="20" t="s">
        <v>51</v>
      </c>
      <c r="S542" s="25">
        <v>1.33</v>
      </c>
      <c r="T542" s="22" t="s">
        <v>51</v>
      </c>
      <c r="U542" s="22">
        <v>56.33</v>
      </c>
      <c r="V542" s="22">
        <v>17.23</v>
      </c>
      <c r="W542" s="22">
        <v>21.56</v>
      </c>
      <c r="X542" s="22">
        <v>3.57</v>
      </c>
      <c r="Y542" s="78">
        <f t="shared" si="482"/>
        <v>0.151447234</v>
      </c>
      <c r="Z542" s="22">
        <v>2.28</v>
      </c>
      <c r="AA542" s="22" t="s">
        <v>51</v>
      </c>
      <c r="AB542" s="22" t="s">
        <v>51</v>
      </c>
      <c r="AC542" s="25">
        <v>9600.0</v>
      </c>
      <c r="AD542" s="22" t="s">
        <v>51</v>
      </c>
      <c r="AK542" s="33">
        <f t="shared" si="483"/>
        <v>0.01584451252</v>
      </c>
      <c r="AL542" s="33">
        <f t="shared" si="484"/>
        <v>10.44622343</v>
      </c>
      <c r="AM542" s="33">
        <f t="shared" si="485"/>
        <v>10.46206794</v>
      </c>
      <c r="AO542" s="34">
        <f t="shared" si="486"/>
        <v>56.24468977</v>
      </c>
      <c r="AP542" s="34">
        <f t="shared" si="487"/>
        <v>17.20390564</v>
      </c>
      <c r="AQ542" s="34">
        <f t="shared" si="488"/>
        <v>21.52734798</v>
      </c>
      <c r="AR542" s="34">
        <f t="shared" si="489"/>
        <v>3.564593334</v>
      </c>
      <c r="AS542" s="34">
        <f t="shared" si="490"/>
        <v>0.151447234</v>
      </c>
      <c r="AT542" s="35">
        <f t="shared" si="15"/>
        <v>98.69198396</v>
      </c>
      <c r="AV542" s="25">
        <f t="shared" si="497"/>
        <v>9600</v>
      </c>
    </row>
    <row r="543" ht="14.25" customHeight="1">
      <c r="B543" s="83"/>
      <c r="C543" s="50" t="s">
        <v>46</v>
      </c>
      <c r="D543" s="56"/>
      <c r="E543" s="22" t="s">
        <v>75</v>
      </c>
      <c r="F543" s="75" t="s">
        <v>109</v>
      </c>
      <c r="G543" s="27">
        <f>48.79*100/(100-O543)</f>
        <v>50.30934213</v>
      </c>
      <c r="H543" s="27">
        <f>7.33*100/(100-O543)</f>
        <v>7.558259435</v>
      </c>
      <c r="I543" s="27">
        <f>40.18*100/(100-O543)</f>
        <v>41.43122293</v>
      </c>
      <c r="J543" s="27">
        <v>0.0</v>
      </c>
      <c r="K543" s="27">
        <f>0.68*100/(100-O543)</f>
        <v>0.7011755001</v>
      </c>
      <c r="L543" s="92">
        <v>8.56</v>
      </c>
      <c r="M543" s="89">
        <v>79.67</v>
      </c>
      <c r="N543" s="22">
        <v>8.75</v>
      </c>
      <c r="O543" s="89">
        <v>3.02</v>
      </c>
      <c r="P543" s="76">
        <v>0.0</v>
      </c>
      <c r="Q543" s="89">
        <v>800.0</v>
      </c>
      <c r="R543" s="20" t="s">
        <v>51</v>
      </c>
      <c r="S543" s="25">
        <v>1.33</v>
      </c>
      <c r="T543" s="22" t="s">
        <v>51</v>
      </c>
      <c r="U543" s="22">
        <v>56.33</v>
      </c>
      <c r="V543" s="22">
        <v>17.23</v>
      </c>
      <c r="W543" s="22">
        <v>21.56</v>
      </c>
      <c r="X543" s="22">
        <v>3.57</v>
      </c>
      <c r="Y543" s="78">
        <f t="shared" si="482"/>
        <v>0</v>
      </c>
      <c r="Z543" s="22">
        <v>2.28</v>
      </c>
      <c r="AA543" s="22" t="s">
        <v>51</v>
      </c>
      <c r="AB543" s="22" t="s">
        <v>51</v>
      </c>
      <c r="AC543" s="25">
        <v>9600.0</v>
      </c>
      <c r="AD543" s="22" t="s">
        <v>51</v>
      </c>
      <c r="AK543" s="33">
        <f t="shared" si="483"/>
        <v>0</v>
      </c>
      <c r="AL543" s="33">
        <f t="shared" si="484"/>
        <v>9.897179362</v>
      </c>
      <c r="AM543" s="33">
        <f t="shared" si="485"/>
        <v>9.897179362</v>
      </c>
      <c r="AO543" s="34">
        <f t="shared" si="486"/>
        <v>56.33</v>
      </c>
      <c r="AP543" s="34">
        <f t="shared" si="487"/>
        <v>17.23</v>
      </c>
      <c r="AQ543" s="34">
        <f t="shared" si="488"/>
        <v>21.56</v>
      </c>
      <c r="AR543" s="34">
        <f t="shared" si="489"/>
        <v>3.57</v>
      </c>
      <c r="AS543" s="34">
        <f t="shared" si="490"/>
        <v>0</v>
      </c>
      <c r="AT543" s="35">
        <f t="shared" si="15"/>
        <v>98.69</v>
      </c>
      <c r="AV543" s="25">
        <f t="shared" si="497"/>
        <v>9600</v>
      </c>
    </row>
    <row r="544" ht="14.25" customHeight="1">
      <c r="B544" s="83"/>
      <c r="C544" s="50" t="s">
        <v>46</v>
      </c>
      <c r="D544" s="56"/>
      <c r="E544" s="22" t="s">
        <v>75</v>
      </c>
      <c r="F544" s="75" t="s">
        <v>107</v>
      </c>
      <c r="G544" s="27">
        <f>53.78*100/(100-O544)</f>
        <v>54.9953983</v>
      </c>
      <c r="H544" s="27">
        <f>7.2*100/(100-O544)</f>
        <v>7.362716024</v>
      </c>
      <c r="I544" s="27">
        <f>36.3*100/(100-O544)</f>
        <v>37.12035996</v>
      </c>
      <c r="J544" s="27">
        <v>0.0</v>
      </c>
      <c r="K544" s="27">
        <f>0.51*100/(100-O544)</f>
        <v>0.5215257184</v>
      </c>
      <c r="L544" s="40">
        <v>18.32</v>
      </c>
      <c r="M544" s="22">
        <v>73.74</v>
      </c>
      <c r="N544" s="22">
        <v>5.73</v>
      </c>
      <c r="O544" s="22">
        <v>2.21</v>
      </c>
      <c r="P544" s="76">
        <v>0.0</v>
      </c>
      <c r="Q544" s="89">
        <v>800.0</v>
      </c>
      <c r="R544" s="20" t="s">
        <v>51</v>
      </c>
      <c r="S544" s="25">
        <v>1.33</v>
      </c>
      <c r="T544" s="22" t="s">
        <v>51</v>
      </c>
      <c r="U544" s="22">
        <v>57.47</v>
      </c>
      <c r="V544" s="22">
        <v>16.36</v>
      </c>
      <c r="W544" s="22">
        <v>22.59</v>
      </c>
      <c r="X544" s="22">
        <v>2.79</v>
      </c>
      <c r="Y544" s="78">
        <f t="shared" si="482"/>
        <v>0</v>
      </c>
      <c r="Z544" s="22">
        <v>2.37</v>
      </c>
      <c r="AA544" s="22" t="s">
        <v>51</v>
      </c>
      <c r="AB544" s="22" t="s">
        <v>51</v>
      </c>
      <c r="AC544" s="25">
        <v>9290.0</v>
      </c>
      <c r="AD544" s="22" t="s">
        <v>51</v>
      </c>
      <c r="AK544" s="33">
        <f t="shared" si="483"/>
        <v>0</v>
      </c>
      <c r="AL544" s="33">
        <f t="shared" si="484"/>
        <v>10.97975529</v>
      </c>
      <c r="AM544" s="33">
        <f t="shared" si="485"/>
        <v>10.97975529</v>
      </c>
      <c r="AO544" s="34">
        <f t="shared" si="486"/>
        <v>57.47</v>
      </c>
      <c r="AP544" s="34">
        <f t="shared" si="487"/>
        <v>16.36</v>
      </c>
      <c r="AQ544" s="34">
        <f t="shared" si="488"/>
        <v>22.59</v>
      </c>
      <c r="AR544" s="34">
        <f t="shared" si="489"/>
        <v>2.79</v>
      </c>
      <c r="AS544" s="34">
        <f t="shared" si="490"/>
        <v>0</v>
      </c>
      <c r="AT544" s="35">
        <f t="shared" si="15"/>
        <v>99.21</v>
      </c>
      <c r="AV544" s="25">
        <f t="shared" si="497"/>
        <v>9290</v>
      </c>
    </row>
    <row r="545" ht="14.25" customHeight="1">
      <c r="B545" s="83"/>
      <c r="C545" s="50" t="s">
        <v>46</v>
      </c>
      <c r="D545" s="56"/>
      <c r="E545" s="22" t="s">
        <v>75</v>
      </c>
      <c r="F545" s="75" t="s">
        <v>108</v>
      </c>
      <c r="G545" s="27">
        <f>50.27*100/(100-O545)</f>
        <v>53.10024295</v>
      </c>
      <c r="H545" s="27">
        <f>7.07*100/(100-O545)</f>
        <v>7.4680469</v>
      </c>
      <c r="I545" s="27">
        <f>36.28*100/(100-O545)</f>
        <v>38.32259427</v>
      </c>
      <c r="J545" s="27">
        <f>0.42*100/(100-O545)</f>
        <v>0.4436463505</v>
      </c>
      <c r="K545" s="27">
        <f>0.63*100/(100-O545)</f>
        <v>0.6654695257</v>
      </c>
      <c r="L545" s="92">
        <v>12.12</v>
      </c>
      <c r="M545" s="89">
        <v>75.99</v>
      </c>
      <c r="N545" s="22">
        <v>6.56</v>
      </c>
      <c r="O545" s="89">
        <v>5.33</v>
      </c>
      <c r="P545" s="76">
        <v>0.0</v>
      </c>
      <c r="Q545" s="89">
        <v>800.0</v>
      </c>
      <c r="R545" s="20" t="s">
        <v>51</v>
      </c>
      <c r="S545" s="25">
        <v>1.33</v>
      </c>
      <c r="T545" s="22" t="s">
        <v>51</v>
      </c>
      <c r="U545" s="22">
        <v>57.47</v>
      </c>
      <c r="V545" s="22">
        <v>16.36</v>
      </c>
      <c r="W545" s="22">
        <v>22.59</v>
      </c>
      <c r="X545" s="22">
        <v>2.79</v>
      </c>
      <c r="Y545" s="78">
        <f t="shared" si="482"/>
        <v>0.1492338922</v>
      </c>
      <c r="Z545" s="22">
        <v>2.37</v>
      </c>
      <c r="AA545" s="22" t="s">
        <v>51</v>
      </c>
      <c r="AB545" s="22" t="s">
        <v>51</v>
      </c>
      <c r="AC545" s="25">
        <v>9290.0</v>
      </c>
      <c r="AD545" s="22" t="s">
        <v>51</v>
      </c>
      <c r="AK545" s="33">
        <f t="shared" si="483"/>
        <v>0.01584451252</v>
      </c>
      <c r="AL545" s="33">
        <f t="shared" si="484"/>
        <v>10.60139014</v>
      </c>
      <c r="AM545" s="33">
        <f t="shared" si="485"/>
        <v>10.61723466</v>
      </c>
      <c r="AO545" s="34">
        <f t="shared" si="486"/>
        <v>57.38423528</v>
      </c>
      <c r="AP545" s="34">
        <f t="shared" si="487"/>
        <v>16.33558534</v>
      </c>
      <c r="AQ545" s="34">
        <f t="shared" si="488"/>
        <v>22.55628806</v>
      </c>
      <c r="AR545" s="34">
        <f t="shared" si="489"/>
        <v>2.785836374</v>
      </c>
      <c r="AS545" s="34">
        <f t="shared" si="490"/>
        <v>0.1492338922</v>
      </c>
      <c r="AT545" s="35">
        <f t="shared" si="15"/>
        <v>99.21117895</v>
      </c>
      <c r="AV545" s="25">
        <f t="shared" si="497"/>
        <v>9290</v>
      </c>
    </row>
    <row r="546" ht="14.25" customHeight="1">
      <c r="B546" s="83"/>
      <c r="C546" s="50" t="s">
        <v>46</v>
      </c>
      <c r="D546" s="56"/>
      <c r="E546" s="22" t="s">
        <v>75</v>
      </c>
      <c r="F546" s="75" t="s">
        <v>109</v>
      </c>
      <c r="G546" s="27">
        <f>48.79*100/(100-O546)</f>
        <v>50.30934213</v>
      </c>
      <c r="H546" s="27">
        <f>7.33*100/(100-O546)</f>
        <v>7.558259435</v>
      </c>
      <c r="I546" s="27">
        <f>40.18*100/(100-O546)</f>
        <v>41.43122293</v>
      </c>
      <c r="J546" s="27">
        <v>0.0</v>
      </c>
      <c r="K546" s="27">
        <f>0.68*100/(100-O546)</f>
        <v>0.7011755001</v>
      </c>
      <c r="L546" s="92">
        <v>8.56</v>
      </c>
      <c r="M546" s="89">
        <v>79.67</v>
      </c>
      <c r="N546" s="22">
        <v>8.75</v>
      </c>
      <c r="O546" s="89">
        <v>3.02</v>
      </c>
      <c r="P546" s="76">
        <v>0.0</v>
      </c>
      <c r="Q546" s="89">
        <v>800.0</v>
      </c>
      <c r="R546" s="20" t="s">
        <v>51</v>
      </c>
      <c r="S546" s="25">
        <v>1.33</v>
      </c>
      <c r="T546" s="22" t="s">
        <v>51</v>
      </c>
      <c r="U546" s="22">
        <v>57.47</v>
      </c>
      <c r="V546" s="22">
        <v>16.36</v>
      </c>
      <c r="W546" s="22">
        <v>22.59</v>
      </c>
      <c r="X546" s="22">
        <v>2.79</v>
      </c>
      <c r="Y546" s="78">
        <f t="shared" si="482"/>
        <v>0</v>
      </c>
      <c r="Z546" s="22">
        <v>2.37</v>
      </c>
      <c r="AA546" s="22" t="s">
        <v>51</v>
      </c>
      <c r="AB546" s="22" t="s">
        <v>51</v>
      </c>
      <c r="AC546" s="25">
        <v>9290.0</v>
      </c>
      <c r="AD546" s="22" t="s">
        <v>51</v>
      </c>
      <c r="AK546" s="33">
        <f t="shared" si="483"/>
        <v>0</v>
      </c>
      <c r="AL546" s="33">
        <f t="shared" si="484"/>
        <v>10.04419065</v>
      </c>
      <c r="AM546" s="33">
        <f t="shared" si="485"/>
        <v>10.04419065</v>
      </c>
      <c r="AO546" s="34">
        <f t="shared" si="486"/>
        <v>57.47</v>
      </c>
      <c r="AP546" s="34">
        <f t="shared" si="487"/>
        <v>16.36</v>
      </c>
      <c r="AQ546" s="34">
        <f t="shared" si="488"/>
        <v>22.59</v>
      </c>
      <c r="AR546" s="34">
        <f t="shared" si="489"/>
        <v>2.79</v>
      </c>
      <c r="AS546" s="34">
        <f t="shared" si="490"/>
        <v>0</v>
      </c>
      <c r="AT546" s="35">
        <f t="shared" si="15"/>
        <v>99.21</v>
      </c>
      <c r="AV546" s="25">
        <f t="shared" si="497"/>
        <v>9290</v>
      </c>
    </row>
    <row r="547" ht="14.25" customHeight="1">
      <c r="B547" s="83"/>
      <c r="C547" s="50" t="s">
        <v>46</v>
      </c>
      <c r="D547" s="56"/>
      <c r="E547" s="22" t="s">
        <v>75</v>
      </c>
      <c r="F547" s="75" t="s">
        <v>107</v>
      </c>
      <c r="G547" s="27">
        <f>53.78*100/(100-O547)</f>
        <v>54.9953983</v>
      </c>
      <c r="H547" s="27">
        <f>7.2*100/(100-O547)</f>
        <v>7.362716024</v>
      </c>
      <c r="I547" s="27">
        <f>36.3*100/(100-O547)</f>
        <v>37.12035996</v>
      </c>
      <c r="J547" s="27">
        <v>0.0</v>
      </c>
      <c r="K547" s="27">
        <f>0.51*100/(100-O547)</f>
        <v>0.5215257184</v>
      </c>
      <c r="L547" s="40">
        <v>18.32</v>
      </c>
      <c r="M547" s="22">
        <v>73.74</v>
      </c>
      <c r="N547" s="22">
        <v>5.73</v>
      </c>
      <c r="O547" s="22">
        <v>2.21</v>
      </c>
      <c r="P547" s="76">
        <v>0.0</v>
      </c>
      <c r="Q547" s="89">
        <v>800.0</v>
      </c>
      <c r="R547" s="20" t="s">
        <v>51</v>
      </c>
      <c r="S547" s="25">
        <v>1.33</v>
      </c>
      <c r="T547" s="22" t="s">
        <v>51</v>
      </c>
      <c r="U547" s="22">
        <v>58.3</v>
      </c>
      <c r="V547" s="22">
        <v>15.39</v>
      </c>
      <c r="W547" s="22">
        <v>23.33</v>
      </c>
      <c r="X547" s="22">
        <v>2.33</v>
      </c>
      <c r="Y547" s="78">
        <f t="shared" si="482"/>
        <v>0</v>
      </c>
      <c r="Z547" s="22">
        <v>2.41</v>
      </c>
      <c r="AA547" s="22" t="s">
        <v>51</v>
      </c>
      <c r="AB547" s="22" t="s">
        <v>51</v>
      </c>
      <c r="AC547" s="25">
        <v>8990.0</v>
      </c>
      <c r="AD547" s="22" t="s">
        <v>51</v>
      </c>
      <c r="AK547" s="33">
        <f t="shared" si="483"/>
        <v>0</v>
      </c>
      <c r="AL547" s="33">
        <f t="shared" si="484"/>
        <v>11.16431147</v>
      </c>
      <c r="AM547" s="33">
        <f t="shared" si="485"/>
        <v>11.16431147</v>
      </c>
      <c r="AO547" s="34">
        <f t="shared" si="486"/>
        <v>58.3</v>
      </c>
      <c r="AP547" s="34">
        <f t="shared" si="487"/>
        <v>15.39</v>
      </c>
      <c r="AQ547" s="34">
        <f t="shared" si="488"/>
        <v>23.33</v>
      </c>
      <c r="AR547" s="34">
        <f t="shared" si="489"/>
        <v>2.33</v>
      </c>
      <c r="AS547" s="34">
        <f t="shared" si="490"/>
        <v>0</v>
      </c>
      <c r="AT547" s="35">
        <f t="shared" si="15"/>
        <v>99.35</v>
      </c>
      <c r="AV547" s="25">
        <f t="shared" si="497"/>
        <v>8990</v>
      </c>
    </row>
    <row r="548" ht="14.25" customHeight="1">
      <c r="B548" s="83"/>
      <c r="C548" s="50" t="s">
        <v>46</v>
      </c>
      <c r="D548" s="56"/>
      <c r="E548" s="22" t="s">
        <v>75</v>
      </c>
      <c r="F548" s="75" t="s">
        <v>108</v>
      </c>
      <c r="G548" s="27">
        <f>50.27*100/(100-O548)</f>
        <v>53.10024295</v>
      </c>
      <c r="H548" s="27">
        <f>7.07*100/(100-O548)</f>
        <v>7.4680469</v>
      </c>
      <c r="I548" s="27">
        <f>36.28*100/(100-O548)</f>
        <v>38.32259427</v>
      </c>
      <c r="J548" s="27">
        <f>0.42*100/(100-O548)</f>
        <v>0.4436463505</v>
      </c>
      <c r="K548" s="27">
        <f>0.63*100/(100-O548)</f>
        <v>0.6654695257</v>
      </c>
      <c r="L548" s="92">
        <v>12.12</v>
      </c>
      <c r="M548" s="89">
        <v>75.99</v>
      </c>
      <c r="N548" s="22">
        <v>6.56</v>
      </c>
      <c r="O548" s="89">
        <v>5.33</v>
      </c>
      <c r="P548" s="76">
        <v>0.0</v>
      </c>
      <c r="Q548" s="89">
        <v>800.0</v>
      </c>
      <c r="R548" s="20" t="s">
        <v>51</v>
      </c>
      <c r="S548" s="25">
        <v>1.33</v>
      </c>
      <c r="T548" s="22" t="s">
        <v>51</v>
      </c>
      <c r="U548" s="22">
        <v>58.3</v>
      </c>
      <c r="V548" s="22">
        <v>15.39</v>
      </c>
      <c r="W548" s="22">
        <v>23.33</v>
      </c>
      <c r="X548" s="22">
        <v>2.33</v>
      </c>
      <c r="Y548" s="78">
        <f t="shared" si="482"/>
        <v>0.1467705416</v>
      </c>
      <c r="Z548" s="22">
        <v>2.41</v>
      </c>
      <c r="AA548" s="22" t="s">
        <v>51</v>
      </c>
      <c r="AB548" s="22" t="s">
        <v>51</v>
      </c>
      <c r="AC548" s="25">
        <v>8990.0</v>
      </c>
      <c r="AD548" s="22" t="s">
        <v>51</v>
      </c>
      <c r="AK548" s="33">
        <f t="shared" si="483"/>
        <v>0.01584451252</v>
      </c>
      <c r="AL548" s="33">
        <f t="shared" si="484"/>
        <v>10.77958647</v>
      </c>
      <c r="AM548" s="33">
        <f t="shared" si="485"/>
        <v>10.79543098</v>
      </c>
      <c r="AO548" s="34">
        <f t="shared" si="486"/>
        <v>58.21443277</v>
      </c>
      <c r="AP548" s="34">
        <f t="shared" si="487"/>
        <v>15.36741201</v>
      </c>
      <c r="AQ548" s="34">
        <f t="shared" si="488"/>
        <v>23.29575843</v>
      </c>
      <c r="AR548" s="34">
        <f t="shared" si="489"/>
        <v>2.326580246</v>
      </c>
      <c r="AS548" s="34">
        <f t="shared" si="490"/>
        <v>0.1467705416</v>
      </c>
      <c r="AT548" s="35">
        <f t="shared" si="15"/>
        <v>99.35095401</v>
      </c>
      <c r="AV548" s="25">
        <f t="shared" si="497"/>
        <v>8990</v>
      </c>
    </row>
    <row r="549" ht="14.25" customHeight="1">
      <c r="B549" s="83"/>
      <c r="C549" s="50" t="s">
        <v>46</v>
      </c>
      <c r="D549" s="69"/>
      <c r="E549" s="22" t="s">
        <v>75</v>
      </c>
      <c r="F549" s="75" t="s">
        <v>109</v>
      </c>
      <c r="G549" s="27">
        <f>48.79*100/(100-O549)</f>
        <v>50.30934213</v>
      </c>
      <c r="H549" s="27">
        <f>7.33*100/(100-O549)</f>
        <v>7.558259435</v>
      </c>
      <c r="I549" s="27">
        <f>40.18*100/(100-O549)</f>
        <v>41.43122293</v>
      </c>
      <c r="J549" s="27">
        <v>0.0</v>
      </c>
      <c r="K549" s="27">
        <f>0.68*100/(100-O549)</f>
        <v>0.7011755001</v>
      </c>
      <c r="L549" s="92">
        <v>8.56</v>
      </c>
      <c r="M549" s="89">
        <v>79.67</v>
      </c>
      <c r="N549" s="22">
        <v>8.75</v>
      </c>
      <c r="O549" s="89">
        <v>3.02</v>
      </c>
      <c r="P549" s="76">
        <v>0.0</v>
      </c>
      <c r="Q549" s="89">
        <v>800.0</v>
      </c>
      <c r="R549" s="20" t="s">
        <v>51</v>
      </c>
      <c r="S549" s="25">
        <v>1.33</v>
      </c>
      <c r="T549" s="22" t="s">
        <v>51</v>
      </c>
      <c r="U549" s="22">
        <v>58.3</v>
      </c>
      <c r="V549" s="22">
        <v>15.39</v>
      </c>
      <c r="W549" s="22">
        <v>23.33</v>
      </c>
      <c r="X549" s="22">
        <v>2.33</v>
      </c>
      <c r="Y549" s="78">
        <f t="shared" si="482"/>
        <v>0</v>
      </c>
      <c r="Z549" s="22">
        <v>2.41</v>
      </c>
      <c r="AA549" s="22" t="s">
        <v>51</v>
      </c>
      <c r="AB549" s="22" t="s">
        <v>51</v>
      </c>
      <c r="AC549" s="25">
        <v>8990.0</v>
      </c>
      <c r="AD549" s="22" t="s">
        <v>51</v>
      </c>
      <c r="AK549" s="33">
        <f t="shared" si="483"/>
        <v>0</v>
      </c>
      <c r="AL549" s="33">
        <f t="shared" si="484"/>
        <v>10.21302114</v>
      </c>
      <c r="AM549" s="33">
        <f t="shared" si="485"/>
        <v>10.21302114</v>
      </c>
      <c r="AO549" s="34">
        <f t="shared" si="486"/>
        <v>58.3</v>
      </c>
      <c r="AP549" s="34">
        <f t="shared" si="487"/>
        <v>15.39</v>
      </c>
      <c r="AQ549" s="34">
        <f t="shared" si="488"/>
        <v>23.33</v>
      </c>
      <c r="AR549" s="34">
        <f t="shared" si="489"/>
        <v>2.33</v>
      </c>
      <c r="AS549" s="34">
        <f t="shared" si="490"/>
        <v>0</v>
      </c>
      <c r="AT549" s="35">
        <f t="shared" si="15"/>
        <v>99.35</v>
      </c>
      <c r="AV549" s="25">
        <f t="shared" si="497"/>
        <v>8990</v>
      </c>
    </row>
    <row r="550" ht="14.25" customHeight="1">
      <c r="A550" s="18"/>
      <c r="B550" s="83" t="s">
        <v>112</v>
      </c>
      <c r="C550" s="94" t="s">
        <v>46</v>
      </c>
      <c r="D550" s="75" t="s">
        <v>113</v>
      </c>
      <c r="E550" s="22" t="s">
        <v>48</v>
      </c>
      <c r="F550" s="79" t="s">
        <v>114</v>
      </c>
      <c r="G550" s="22">
        <v>44.44</v>
      </c>
      <c r="H550" s="22">
        <v>6.17</v>
      </c>
      <c r="I550" s="22">
        <v>49.38</v>
      </c>
      <c r="J550" s="22">
        <v>0.01</v>
      </c>
      <c r="K550" s="22">
        <v>0.0</v>
      </c>
      <c r="L550" s="22">
        <v>0.0</v>
      </c>
      <c r="M550" s="22">
        <v>94.13</v>
      </c>
      <c r="N550" s="22">
        <v>5.8</v>
      </c>
      <c r="O550" s="22">
        <v>0.08</v>
      </c>
      <c r="P550" s="22">
        <v>0.2</v>
      </c>
      <c r="Q550" s="89">
        <v>600.0</v>
      </c>
      <c r="R550" s="20" t="s">
        <v>51</v>
      </c>
      <c r="S550" s="25">
        <v>0.0</v>
      </c>
      <c r="T550" s="22" t="s">
        <v>51</v>
      </c>
      <c r="U550" s="22">
        <v>5.95</v>
      </c>
      <c r="V550" s="22">
        <v>13.57</v>
      </c>
      <c r="W550" s="22">
        <v>21.64</v>
      </c>
      <c r="X550" s="22">
        <v>1.87</v>
      </c>
      <c r="Y550" s="22">
        <v>59.97</v>
      </c>
      <c r="Z550" s="22" t="s">
        <v>51</v>
      </c>
      <c r="AA550" s="22" t="s">
        <v>51</v>
      </c>
      <c r="AB550" s="22" t="s">
        <v>51</v>
      </c>
      <c r="AC550" s="25">
        <v>7020.0</v>
      </c>
      <c r="AD550" s="22" t="s">
        <v>51</v>
      </c>
      <c r="AO550" s="34">
        <f t="shared" ref="AO550:AS550" si="498">U550</f>
        <v>5.95</v>
      </c>
      <c r="AP550" s="34">
        <f t="shared" si="498"/>
        <v>13.57</v>
      </c>
      <c r="AQ550" s="34">
        <f t="shared" si="498"/>
        <v>21.64</v>
      </c>
      <c r="AR550" s="34">
        <f t="shared" si="498"/>
        <v>1.87</v>
      </c>
      <c r="AS550" s="34">
        <f t="shared" si="498"/>
        <v>59.97</v>
      </c>
      <c r="AT550" s="35">
        <f t="shared" si="15"/>
        <v>103</v>
      </c>
      <c r="AV550" s="25">
        <f t="shared" si="497"/>
        <v>7020</v>
      </c>
    </row>
    <row r="551" ht="14.25" customHeight="1">
      <c r="B551" s="83"/>
      <c r="C551" s="94" t="s">
        <v>46</v>
      </c>
      <c r="D551" s="75"/>
      <c r="E551" s="22" t="s">
        <v>48</v>
      </c>
      <c r="F551" s="81"/>
      <c r="G551" s="22">
        <v>44.44</v>
      </c>
      <c r="H551" s="22">
        <v>6.17</v>
      </c>
      <c r="I551" s="22">
        <v>49.38</v>
      </c>
      <c r="J551" s="22">
        <v>0.01</v>
      </c>
      <c r="K551" s="22">
        <v>0.0</v>
      </c>
      <c r="L551" s="22">
        <v>0.0</v>
      </c>
      <c r="M551" s="22">
        <v>94.13</v>
      </c>
      <c r="N551" s="22">
        <v>5.8</v>
      </c>
      <c r="O551" s="22">
        <v>0.08</v>
      </c>
      <c r="P551" s="22">
        <v>0.2</v>
      </c>
      <c r="Q551" s="89">
        <v>700.0</v>
      </c>
      <c r="R551" s="20" t="s">
        <v>51</v>
      </c>
      <c r="S551" s="25">
        <v>0.0</v>
      </c>
      <c r="T551" s="22" t="s">
        <v>51</v>
      </c>
      <c r="U551" s="22">
        <v>8.74</v>
      </c>
      <c r="V551" s="22">
        <v>14.58</v>
      </c>
      <c r="W551" s="22">
        <v>24.18</v>
      </c>
      <c r="X551" s="22">
        <v>4.15</v>
      </c>
      <c r="Y551" s="22">
        <v>48.35</v>
      </c>
      <c r="Z551" s="22" t="s">
        <v>51</v>
      </c>
      <c r="AA551" s="22" t="s">
        <v>51</v>
      </c>
      <c r="AB551" s="22" t="s">
        <v>51</v>
      </c>
      <c r="AC551" s="25">
        <v>8270.0</v>
      </c>
      <c r="AD551" s="22" t="s">
        <v>51</v>
      </c>
      <c r="AO551" s="34">
        <f t="shared" ref="AO551:AS551" si="499">U551</f>
        <v>8.74</v>
      </c>
      <c r="AP551" s="34">
        <f t="shared" si="499"/>
        <v>14.58</v>
      </c>
      <c r="AQ551" s="34">
        <f t="shared" si="499"/>
        <v>24.18</v>
      </c>
      <c r="AR551" s="34">
        <f t="shared" si="499"/>
        <v>4.15</v>
      </c>
      <c r="AS551" s="34">
        <f t="shared" si="499"/>
        <v>48.35</v>
      </c>
      <c r="AT551" s="35">
        <f t="shared" si="15"/>
        <v>100</v>
      </c>
      <c r="AV551" s="25">
        <f t="shared" si="497"/>
        <v>8270</v>
      </c>
    </row>
    <row r="552" ht="14.25" customHeight="1">
      <c r="B552" s="83"/>
      <c r="C552" s="94" t="s">
        <v>46</v>
      </c>
      <c r="D552" s="75"/>
      <c r="E552" s="22" t="s">
        <v>48</v>
      </c>
      <c r="F552" s="81"/>
      <c r="G552" s="22">
        <v>44.44</v>
      </c>
      <c r="H552" s="22">
        <v>6.17</v>
      </c>
      <c r="I552" s="22">
        <v>49.38</v>
      </c>
      <c r="J552" s="22">
        <v>0.01</v>
      </c>
      <c r="K552" s="22">
        <v>0.0</v>
      </c>
      <c r="L552" s="22">
        <v>0.0</v>
      </c>
      <c r="M552" s="22">
        <v>94.13</v>
      </c>
      <c r="N552" s="22">
        <v>5.8</v>
      </c>
      <c r="O552" s="22">
        <v>0.08</v>
      </c>
      <c r="P552" s="22">
        <v>0.2</v>
      </c>
      <c r="Q552" s="89">
        <v>800.0</v>
      </c>
      <c r="R552" s="20" t="s">
        <v>51</v>
      </c>
      <c r="S552" s="25">
        <v>0.0</v>
      </c>
      <c r="T552" s="22" t="s">
        <v>51</v>
      </c>
      <c r="U552" s="22">
        <v>16.08</v>
      </c>
      <c r="V552" s="22">
        <v>12.13</v>
      </c>
      <c r="W552" s="22">
        <v>25.12</v>
      </c>
      <c r="X552" s="22">
        <v>4.21</v>
      </c>
      <c r="Y552" s="22">
        <v>42.47</v>
      </c>
      <c r="Z552" s="22" t="s">
        <v>51</v>
      </c>
      <c r="AA552" s="22" t="s">
        <v>51</v>
      </c>
      <c r="AB552" s="22" t="s">
        <v>51</v>
      </c>
      <c r="AC552" s="25">
        <v>8300.0</v>
      </c>
      <c r="AD552" s="22" t="s">
        <v>51</v>
      </c>
      <c r="AO552" s="34">
        <f t="shared" ref="AO552:AS552" si="500">U552</f>
        <v>16.08</v>
      </c>
      <c r="AP552" s="34">
        <f t="shared" si="500"/>
        <v>12.13</v>
      </c>
      <c r="AQ552" s="34">
        <f t="shared" si="500"/>
        <v>25.12</v>
      </c>
      <c r="AR552" s="34">
        <f t="shared" si="500"/>
        <v>4.21</v>
      </c>
      <c r="AS552" s="34">
        <f t="shared" si="500"/>
        <v>42.47</v>
      </c>
      <c r="AT552" s="35">
        <f t="shared" si="15"/>
        <v>100.01</v>
      </c>
      <c r="AV552" s="25">
        <f t="shared" si="497"/>
        <v>8300</v>
      </c>
    </row>
    <row r="553" ht="14.25" customHeight="1">
      <c r="B553" s="83"/>
      <c r="C553" s="94" t="s">
        <v>46</v>
      </c>
      <c r="D553" s="75"/>
      <c r="E553" s="22" t="s">
        <v>48</v>
      </c>
      <c r="F553" s="81"/>
      <c r="G553" s="22">
        <v>44.44</v>
      </c>
      <c r="H553" s="22">
        <v>6.17</v>
      </c>
      <c r="I553" s="22">
        <v>49.38</v>
      </c>
      <c r="J553" s="22">
        <v>0.01</v>
      </c>
      <c r="K553" s="22">
        <v>0.0</v>
      </c>
      <c r="L553" s="22">
        <v>0.0</v>
      </c>
      <c r="M553" s="22">
        <v>94.13</v>
      </c>
      <c r="N553" s="22">
        <v>5.8</v>
      </c>
      <c r="O553" s="22">
        <v>0.08</v>
      </c>
      <c r="P553" s="22">
        <v>0.2</v>
      </c>
      <c r="Q553" s="89">
        <v>900.0</v>
      </c>
      <c r="R553" s="20" t="s">
        <v>51</v>
      </c>
      <c r="S553" s="25">
        <v>0.0</v>
      </c>
      <c r="T553" s="22" t="s">
        <v>51</v>
      </c>
      <c r="U553" s="22">
        <v>24.73</v>
      </c>
      <c r="V553" s="22">
        <v>16.92</v>
      </c>
      <c r="W553" s="22">
        <v>19.22</v>
      </c>
      <c r="X553" s="22">
        <v>4.84</v>
      </c>
      <c r="Y553" s="22">
        <v>34.3</v>
      </c>
      <c r="Z553" s="22" t="s">
        <v>51</v>
      </c>
      <c r="AA553" s="22" t="s">
        <v>51</v>
      </c>
      <c r="AB553" s="22" t="s">
        <v>51</v>
      </c>
      <c r="AC553" s="25">
        <v>9950.0</v>
      </c>
      <c r="AD553" s="22" t="s">
        <v>51</v>
      </c>
      <c r="AO553" s="34">
        <f t="shared" ref="AO553:AS553" si="501">U553</f>
        <v>24.73</v>
      </c>
      <c r="AP553" s="34">
        <f t="shared" si="501"/>
        <v>16.92</v>
      </c>
      <c r="AQ553" s="34">
        <f t="shared" si="501"/>
        <v>19.22</v>
      </c>
      <c r="AR553" s="34">
        <f t="shared" si="501"/>
        <v>4.84</v>
      </c>
      <c r="AS553" s="34">
        <f t="shared" si="501"/>
        <v>34.3</v>
      </c>
      <c r="AT553" s="35">
        <f t="shared" si="15"/>
        <v>100.01</v>
      </c>
      <c r="AV553" s="25">
        <f t="shared" si="497"/>
        <v>9950</v>
      </c>
    </row>
    <row r="554" ht="14.25" customHeight="1">
      <c r="B554" s="83"/>
      <c r="C554" s="95" t="s">
        <v>46</v>
      </c>
      <c r="D554" s="75"/>
      <c r="E554" s="22" t="s">
        <v>48</v>
      </c>
      <c r="F554" s="81"/>
      <c r="G554" s="22">
        <v>44.44</v>
      </c>
      <c r="H554" s="22">
        <v>6.17</v>
      </c>
      <c r="I554" s="22">
        <v>49.38</v>
      </c>
      <c r="J554" s="22">
        <v>0.01</v>
      </c>
      <c r="K554" s="22">
        <v>0.0</v>
      </c>
      <c r="L554" s="22">
        <v>0.0</v>
      </c>
      <c r="M554" s="22">
        <v>94.13</v>
      </c>
      <c r="N554" s="22">
        <v>5.8</v>
      </c>
      <c r="O554" s="22">
        <v>0.08</v>
      </c>
      <c r="P554" s="22">
        <v>0.2</v>
      </c>
      <c r="Q554" s="89">
        <v>1000.0</v>
      </c>
      <c r="R554" s="20" t="s">
        <v>51</v>
      </c>
      <c r="S554" s="25">
        <v>0.0</v>
      </c>
      <c r="T554" s="22" t="s">
        <v>51</v>
      </c>
      <c r="U554" s="22">
        <v>29.54</v>
      </c>
      <c r="V554" s="22">
        <v>23.6</v>
      </c>
      <c r="W554" s="22">
        <v>10.9</v>
      </c>
      <c r="X554" s="22">
        <v>2.67</v>
      </c>
      <c r="Y554" s="22">
        <v>33.28</v>
      </c>
      <c r="Z554" s="22" t="s">
        <v>51</v>
      </c>
      <c r="AA554" s="22" t="s">
        <v>51</v>
      </c>
      <c r="AB554" s="22" t="s">
        <v>51</v>
      </c>
      <c r="AC554" s="25">
        <v>10670.0</v>
      </c>
      <c r="AD554" s="22" t="s">
        <v>51</v>
      </c>
      <c r="AO554" s="34">
        <f t="shared" ref="AO554:AS554" si="502">U554</f>
        <v>29.54</v>
      </c>
      <c r="AP554" s="34">
        <f t="shared" si="502"/>
        <v>23.6</v>
      </c>
      <c r="AQ554" s="34">
        <f t="shared" si="502"/>
        <v>10.9</v>
      </c>
      <c r="AR554" s="34">
        <f t="shared" si="502"/>
        <v>2.67</v>
      </c>
      <c r="AS554" s="34">
        <f t="shared" si="502"/>
        <v>33.28</v>
      </c>
      <c r="AT554" s="35">
        <f t="shared" si="15"/>
        <v>99.99</v>
      </c>
      <c r="AV554" s="25">
        <f t="shared" si="497"/>
        <v>10670</v>
      </c>
    </row>
    <row r="555" ht="14.25" customHeight="1">
      <c r="B555" s="83"/>
      <c r="C555" s="94" t="s">
        <v>46</v>
      </c>
      <c r="D555" s="75"/>
      <c r="E555" s="22" t="s">
        <v>48</v>
      </c>
      <c r="F555" s="81"/>
      <c r="G555" s="22">
        <v>44.44</v>
      </c>
      <c r="H555" s="22">
        <v>6.17</v>
      </c>
      <c r="I555" s="22">
        <v>49.38</v>
      </c>
      <c r="J555" s="22">
        <v>0.01</v>
      </c>
      <c r="K555" s="22">
        <v>0.0</v>
      </c>
      <c r="L555" s="22">
        <v>0.0</v>
      </c>
      <c r="M555" s="22">
        <v>94.13</v>
      </c>
      <c r="N555" s="22">
        <v>5.8</v>
      </c>
      <c r="O555" s="22">
        <v>0.08</v>
      </c>
      <c r="P555" s="22">
        <v>0.2</v>
      </c>
      <c r="Q555" s="89">
        <v>800.0</v>
      </c>
      <c r="R555" s="20" t="s">
        <v>51</v>
      </c>
      <c r="S555" s="25">
        <v>0.0</v>
      </c>
      <c r="T555" s="22" t="s">
        <v>51</v>
      </c>
      <c r="U555" s="22">
        <v>16.08</v>
      </c>
      <c r="V555" s="22">
        <v>12.13</v>
      </c>
      <c r="W555" s="22">
        <v>25.12</v>
      </c>
      <c r="X555" s="22">
        <v>4.21</v>
      </c>
      <c r="Y555" s="22">
        <v>42.47</v>
      </c>
      <c r="Z555" s="22" t="s">
        <v>51</v>
      </c>
      <c r="AA555" s="22" t="s">
        <v>51</v>
      </c>
      <c r="AB555" s="22" t="s">
        <v>51</v>
      </c>
      <c r="AC555" s="25">
        <v>8300.0</v>
      </c>
      <c r="AD555" s="22" t="s">
        <v>51</v>
      </c>
      <c r="AO555" s="34">
        <f t="shared" ref="AO555:AS555" si="503">U555</f>
        <v>16.08</v>
      </c>
      <c r="AP555" s="34">
        <f t="shared" si="503"/>
        <v>12.13</v>
      </c>
      <c r="AQ555" s="34">
        <f t="shared" si="503"/>
        <v>25.12</v>
      </c>
      <c r="AR555" s="34">
        <f t="shared" si="503"/>
        <v>4.21</v>
      </c>
      <c r="AS555" s="34">
        <f t="shared" si="503"/>
        <v>42.47</v>
      </c>
      <c r="AT555" s="35">
        <f t="shared" si="15"/>
        <v>100.01</v>
      </c>
      <c r="AV555" s="25">
        <f t="shared" si="497"/>
        <v>8300</v>
      </c>
    </row>
    <row r="556" ht="14.25" customHeight="1">
      <c r="B556" s="83"/>
      <c r="C556" s="94" t="s">
        <v>46</v>
      </c>
      <c r="D556" s="75"/>
      <c r="E556" s="22" t="s">
        <v>48</v>
      </c>
      <c r="F556" s="81"/>
      <c r="G556" s="22">
        <v>44.44</v>
      </c>
      <c r="H556" s="22">
        <v>6.17</v>
      </c>
      <c r="I556" s="22">
        <v>49.38</v>
      </c>
      <c r="J556" s="22">
        <v>0.01</v>
      </c>
      <c r="K556" s="22">
        <v>0.0</v>
      </c>
      <c r="L556" s="22">
        <v>0.0</v>
      </c>
      <c r="M556" s="22">
        <v>94.13</v>
      </c>
      <c r="N556" s="22">
        <v>5.8</v>
      </c>
      <c r="O556" s="22">
        <v>0.08</v>
      </c>
      <c r="P556" s="22">
        <v>0.27</v>
      </c>
      <c r="Q556" s="89">
        <v>800.0</v>
      </c>
      <c r="R556" s="20" t="s">
        <v>51</v>
      </c>
      <c r="S556" s="25">
        <v>0.0</v>
      </c>
      <c r="T556" s="22" t="s">
        <v>51</v>
      </c>
      <c r="U556" s="22">
        <v>13.5</v>
      </c>
      <c r="V556" s="22">
        <v>11.21</v>
      </c>
      <c r="W556" s="22">
        <v>26.3</v>
      </c>
      <c r="X556" s="22">
        <v>3.58</v>
      </c>
      <c r="Y556" s="22">
        <v>45.42</v>
      </c>
      <c r="Z556" s="22" t="s">
        <v>51</v>
      </c>
      <c r="AA556" s="22" t="s">
        <v>51</v>
      </c>
      <c r="AB556" s="22" t="s">
        <v>51</v>
      </c>
      <c r="AC556" s="25">
        <v>7610.0</v>
      </c>
      <c r="AD556" s="22" t="s">
        <v>51</v>
      </c>
      <c r="AO556" s="34">
        <f t="shared" ref="AO556:AS556" si="504">U556</f>
        <v>13.5</v>
      </c>
      <c r="AP556" s="34">
        <f t="shared" si="504"/>
        <v>11.21</v>
      </c>
      <c r="AQ556" s="34">
        <f t="shared" si="504"/>
        <v>26.3</v>
      </c>
      <c r="AR556" s="34">
        <f t="shared" si="504"/>
        <v>3.58</v>
      </c>
      <c r="AS556" s="34">
        <f t="shared" si="504"/>
        <v>45.42</v>
      </c>
      <c r="AT556" s="35">
        <f t="shared" si="15"/>
        <v>100.01</v>
      </c>
      <c r="AV556" s="25">
        <f t="shared" si="497"/>
        <v>7610</v>
      </c>
    </row>
    <row r="557" ht="14.25" customHeight="1">
      <c r="B557" s="83"/>
      <c r="C557" s="94" t="s">
        <v>46</v>
      </c>
      <c r="D557" s="75"/>
      <c r="E557" s="22" t="s">
        <v>48</v>
      </c>
      <c r="F557" s="81"/>
      <c r="G557" s="22">
        <v>44.44</v>
      </c>
      <c r="H557" s="22">
        <v>6.17</v>
      </c>
      <c r="I557" s="22">
        <v>49.38</v>
      </c>
      <c r="J557" s="22">
        <v>0.01</v>
      </c>
      <c r="K557" s="22">
        <v>0.0</v>
      </c>
      <c r="L557" s="22">
        <v>0.0</v>
      </c>
      <c r="M557" s="22">
        <v>94.13</v>
      </c>
      <c r="N557" s="22">
        <v>5.8</v>
      </c>
      <c r="O557" s="22">
        <v>0.08</v>
      </c>
      <c r="P557" s="22">
        <v>0.34</v>
      </c>
      <c r="Q557" s="89">
        <v>800.0</v>
      </c>
      <c r="R557" s="20" t="s">
        <v>51</v>
      </c>
      <c r="S557" s="25">
        <v>0.0</v>
      </c>
      <c r="T557" s="22" t="s">
        <v>51</v>
      </c>
      <c r="U557" s="22">
        <v>10.23</v>
      </c>
      <c r="V557" s="22">
        <v>8.38</v>
      </c>
      <c r="W557" s="22">
        <v>27.98</v>
      </c>
      <c r="X557" s="22">
        <v>2.21</v>
      </c>
      <c r="Y557" s="22">
        <v>51.2</v>
      </c>
      <c r="Z557" s="22" t="s">
        <v>51</v>
      </c>
      <c r="AA557" s="22" t="s">
        <v>51</v>
      </c>
      <c r="AB557" s="22" t="s">
        <v>51</v>
      </c>
      <c r="AC557" s="25">
        <v>6050.0</v>
      </c>
      <c r="AD557" s="22" t="s">
        <v>51</v>
      </c>
      <c r="AO557" s="34">
        <f t="shared" ref="AO557:AS557" si="505">U557</f>
        <v>10.23</v>
      </c>
      <c r="AP557" s="34">
        <f t="shared" si="505"/>
        <v>8.38</v>
      </c>
      <c r="AQ557" s="34">
        <f t="shared" si="505"/>
        <v>27.98</v>
      </c>
      <c r="AR557" s="34">
        <f t="shared" si="505"/>
        <v>2.21</v>
      </c>
      <c r="AS557" s="34">
        <f t="shared" si="505"/>
        <v>51.2</v>
      </c>
      <c r="AT557" s="35">
        <f t="shared" si="15"/>
        <v>100</v>
      </c>
      <c r="AV557" s="25">
        <f t="shared" si="497"/>
        <v>6050</v>
      </c>
    </row>
    <row r="558" ht="14.25" customHeight="1">
      <c r="B558" s="83"/>
      <c r="C558" s="95" t="s">
        <v>46</v>
      </c>
      <c r="D558" s="75"/>
      <c r="E558" s="22" t="s">
        <v>115</v>
      </c>
      <c r="F558" s="81"/>
      <c r="G558" s="22">
        <v>44.44</v>
      </c>
      <c r="H558" s="22">
        <v>6.17</v>
      </c>
      <c r="I558" s="22">
        <v>49.38</v>
      </c>
      <c r="J558" s="22">
        <v>0.01</v>
      </c>
      <c r="K558" s="22">
        <v>0.0</v>
      </c>
      <c r="L558" s="22">
        <v>0.0</v>
      </c>
      <c r="M558" s="22">
        <v>94.13</v>
      </c>
      <c r="N558" s="22">
        <v>5.8</v>
      </c>
      <c r="O558" s="22">
        <v>0.08</v>
      </c>
      <c r="P558" s="22">
        <v>0.27</v>
      </c>
      <c r="Q558" s="89">
        <v>800.0</v>
      </c>
      <c r="R558" s="20" t="s">
        <v>51</v>
      </c>
      <c r="S558" s="25">
        <v>0.5</v>
      </c>
      <c r="T558" s="22" t="s">
        <v>51</v>
      </c>
      <c r="U558" s="22">
        <v>14.28</v>
      </c>
      <c r="V558" s="22">
        <v>6.45</v>
      </c>
      <c r="W558" s="22">
        <v>27.77</v>
      </c>
      <c r="X558" s="22">
        <v>3.73</v>
      </c>
      <c r="Y558" s="22">
        <v>47.77</v>
      </c>
      <c r="Z558" s="22" t="s">
        <v>51</v>
      </c>
      <c r="AA558" s="22" t="s">
        <v>51</v>
      </c>
      <c r="AB558" s="22" t="s">
        <v>51</v>
      </c>
      <c r="AC558" s="22">
        <v>7070.0</v>
      </c>
      <c r="AD558" s="22" t="s">
        <v>51</v>
      </c>
      <c r="AO558" s="34">
        <f t="shared" ref="AO558:AS558" si="506">U558</f>
        <v>14.28</v>
      </c>
      <c r="AP558" s="34">
        <f t="shared" si="506"/>
        <v>6.45</v>
      </c>
      <c r="AQ558" s="34">
        <f t="shared" si="506"/>
        <v>27.77</v>
      </c>
      <c r="AR558" s="34">
        <f t="shared" si="506"/>
        <v>3.73</v>
      </c>
      <c r="AS558" s="34">
        <f t="shared" si="506"/>
        <v>47.77</v>
      </c>
      <c r="AT558" s="35">
        <f t="shared" si="15"/>
        <v>100</v>
      </c>
      <c r="AV558" s="25">
        <f t="shared" si="497"/>
        <v>7070</v>
      </c>
    </row>
    <row r="559" ht="14.25" customHeight="1">
      <c r="B559" s="83"/>
      <c r="C559" s="95" t="s">
        <v>46</v>
      </c>
      <c r="D559" s="75"/>
      <c r="E559" s="22" t="s">
        <v>115</v>
      </c>
      <c r="F559" s="81"/>
      <c r="G559" s="22">
        <v>44.44</v>
      </c>
      <c r="H559" s="22">
        <v>6.17</v>
      </c>
      <c r="I559" s="22">
        <v>49.38</v>
      </c>
      <c r="J559" s="22">
        <v>0.01</v>
      </c>
      <c r="K559" s="22">
        <v>0.0</v>
      </c>
      <c r="L559" s="22">
        <v>0.0</v>
      </c>
      <c r="M559" s="22">
        <v>94.13</v>
      </c>
      <c r="N559" s="22">
        <v>5.8</v>
      </c>
      <c r="O559" s="22">
        <v>0.08</v>
      </c>
      <c r="P559" s="22">
        <v>0.27</v>
      </c>
      <c r="Q559" s="89">
        <v>800.0</v>
      </c>
      <c r="R559" s="20" t="s">
        <v>51</v>
      </c>
      <c r="S559" s="25">
        <v>1.0</v>
      </c>
      <c r="T559" s="22" t="s">
        <v>51</v>
      </c>
      <c r="U559" s="22">
        <v>18.56</v>
      </c>
      <c r="V559" s="22">
        <v>8.34</v>
      </c>
      <c r="W559" s="22">
        <v>27.51</v>
      </c>
      <c r="X559" s="22">
        <v>3.02</v>
      </c>
      <c r="Y559" s="22">
        <v>42.58</v>
      </c>
      <c r="Z559" s="22" t="s">
        <v>51</v>
      </c>
      <c r="AA559" s="22" t="s">
        <v>51</v>
      </c>
      <c r="AB559" s="22" t="s">
        <v>51</v>
      </c>
      <c r="AC559" s="22">
        <v>7200.0</v>
      </c>
      <c r="AD559" s="22" t="s">
        <v>51</v>
      </c>
      <c r="AO559" s="34">
        <f t="shared" ref="AO559:AS559" si="507">U559</f>
        <v>18.56</v>
      </c>
      <c r="AP559" s="34">
        <f t="shared" si="507"/>
        <v>8.34</v>
      </c>
      <c r="AQ559" s="34">
        <f t="shared" si="507"/>
        <v>27.51</v>
      </c>
      <c r="AR559" s="34">
        <f t="shared" si="507"/>
        <v>3.02</v>
      </c>
      <c r="AS559" s="34">
        <f t="shared" si="507"/>
        <v>42.58</v>
      </c>
      <c r="AT559" s="35">
        <f t="shared" si="15"/>
        <v>100.01</v>
      </c>
      <c r="AV559" s="25">
        <f t="shared" si="497"/>
        <v>7200</v>
      </c>
    </row>
    <row r="560" ht="14.25" customHeight="1">
      <c r="B560" s="83"/>
      <c r="C560" s="95" t="s">
        <v>46</v>
      </c>
      <c r="D560" s="75"/>
      <c r="E560" s="22" t="s">
        <v>115</v>
      </c>
      <c r="F560" s="82"/>
      <c r="G560" s="22">
        <v>44.44</v>
      </c>
      <c r="H560" s="22">
        <v>6.17</v>
      </c>
      <c r="I560" s="22">
        <v>49.38</v>
      </c>
      <c r="J560" s="22">
        <v>0.01</v>
      </c>
      <c r="K560" s="22">
        <v>0.0</v>
      </c>
      <c r="L560" s="22">
        <v>0.0</v>
      </c>
      <c r="M560" s="22">
        <v>94.13</v>
      </c>
      <c r="N560" s="22">
        <v>5.8</v>
      </c>
      <c r="O560" s="22">
        <v>0.08</v>
      </c>
      <c r="P560" s="22">
        <v>0.27</v>
      </c>
      <c r="Q560" s="89">
        <v>800.0</v>
      </c>
      <c r="R560" s="20" t="s">
        <v>51</v>
      </c>
      <c r="S560" s="25">
        <v>1.5</v>
      </c>
      <c r="T560" s="22" t="s">
        <v>51</v>
      </c>
      <c r="U560" s="22">
        <v>15.69</v>
      </c>
      <c r="V560" s="22">
        <v>7.82</v>
      </c>
      <c r="W560" s="22">
        <v>27.32</v>
      </c>
      <c r="X560" s="22">
        <v>2.21</v>
      </c>
      <c r="Y560" s="22">
        <v>46.96</v>
      </c>
      <c r="Z560" s="22" t="s">
        <v>51</v>
      </c>
      <c r="AA560" s="22" t="s">
        <v>51</v>
      </c>
      <c r="AB560" s="22" t="s">
        <v>51</v>
      </c>
      <c r="AC560" s="22">
        <v>6550.0</v>
      </c>
      <c r="AD560" s="22" t="s">
        <v>51</v>
      </c>
      <c r="AO560" s="34">
        <f t="shared" ref="AO560:AS560" si="508">U560</f>
        <v>15.69</v>
      </c>
      <c r="AP560" s="34">
        <f t="shared" si="508"/>
        <v>7.82</v>
      </c>
      <c r="AQ560" s="34">
        <f t="shared" si="508"/>
        <v>27.32</v>
      </c>
      <c r="AR560" s="34">
        <f t="shared" si="508"/>
        <v>2.21</v>
      </c>
      <c r="AS560" s="34">
        <f t="shared" si="508"/>
        <v>46.96</v>
      </c>
      <c r="AT560" s="35">
        <f t="shared" si="15"/>
        <v>100</v>
      </c>
      <c r="AV560" s="25">
        <f t="shared" si="497"/>
        <v>6550</v>
      </c>
    </row>
    <row r="561" ht="14.25" customHeight="1">
      <c r="A561" s="18"/>
      <c r="B561" s="83" t="s">
        <v>116</v>
      </c>
      <c r="C561" s="95" t="s">
        <v>46</v>
      </c>
      <c r="D561" s="74" t="s">
        <v>117</v>
      </c>
      <c r="E561" s="22" t="s">
        <v>53</v>
      </c>
      <c r="F561" s="79" t="s">
        <v>85</v>
      </c>
      <c r="G561" s="27">
        <v>51.52</v>
      </c>
      <c r="H561" s="27">
        <v>5.57</v>
      </c>
      <c r="I561" s="27">
        <v>42.5</v>
      </c>
      <c r="J561" s="27">
        <v>0.18</v>
      </c>
      <c r="K561" s="27">
        <v>0.23</v>
      </c>
      <c r="L561" s="63">
        <f t="shared" ref="L561:L574" si="509">18.5*(100-N561)/100</f>
        <v>17.02</v>
      </c>
      <c r="M561" s="63">
        <f t="shared" ref="M561:M574" si="510">81*(100-N561)/100</f>
        <v>74.52</v>
      </c>
      <c r="N561" s="22">
        <v>8.0</v>
      </c>
      <c r="O561" s="63">
        <f t="shared" ref="O561:O574" si="511">0.5*(100-N561)/100</f>
        <v>0.46</v>
      </c>
      <c r="P561" s="22">
        <v>0.3</v>
      </c>
      <c r="Q561" s="89">
        <v>800.0</v>
      </c>
      <c r="R561" s="20" t="s">
        <v>82</v>
      </c>
      <c r="S561" s="25">
        <v>0.85</v>
      </c>
      <c r="T561" s="22" t="s">
        <v>51</v>
      </c>
      <c r="U561" s="22">
        <v>38.38</v>
      </c>
      <c r="V561" s="22">
        <v>24.89</v>
      </c>
      <c r="W561" s="22">
        <v>27.62</v>
      </c>
      <c r="X561" s="22">
        <v>7.02</v>
      </c>
      <c r="Y561" s="78">
        <f t="shared" ref="Y561:Y721" si="512">(AK561/AM561)*100</f>
        <v>40.575359</v>
      </c>
      <c r="Z561" s="22">
        <v>1.56</v>
      </c>
      <c r="AA561" s="22" t="s">
        <v>51</v>
      </c>
      <c r="AB561" s="22" t="s">
        <v>51</v>
      </c>
      <c r="AC561" s="32">
        <f t="shared" ref="AC561:AC715" si="513">((U561*0.24182)+(V561*0.283)+(X561*0.80262))*(10000/22.4)</f>
        <v>9803.265179</v>
      </c>
      <c r="AD561" s="22" t="s">
        <v>51</v>
      </c>
      <c r="AK561" s="33">
        <f t="shared" ref="AK561:AK721" si="514">0.79*((P561*(((G561/12)+(H561/4))-((I561/16)/2)))/0.21)+(J561/14)/2</f>
        <v>4.92441369</v>
      </c>
      <c r="AL561" s="33">
        <f t="shared" ref="AL561:AL721" si="515">(100*G561)/(12*(V561+W561+X561))</f>
        <v>7.212049947</v>
      </c>
      <c r="AM561" s="33">
        <f t="shared" ref="AM561:AM721" si="516">AL561+AK561</f>
        <v>12.13646364</v>
      </c>
      <c r="AO561" s="34">
        <f t="shared" ref="AO561:AO721" si="517">((AL561*(U561/100))/AM561)*100</f>
        <v>22.80717722</v>
      </c>
      <c r="AP561" s="34">
        <f t="shared" ref="AP561:AP721" si="518">((AL561*(V561/100))/AM561)*100</f>
        <v>14.79079315</v>
      </c>
      <c r="AQ561" s="34">
        <f t="shared" ref="AQ561:AQ721" si="519">((AL561*(W561/100))/AM561)*100</f>
        <v>16.41308584</v>
      </c>
      <c r="AR561" s="34">
        <f t="shared" ref="AR561:AR721" si="520">((AL561*(X561/100))/AM561)*100</f>
        <v>4.171609798</v>
      </c>
      <c r="AS561" s="34">
        <f t="shared" ref="AS561:AS721" si="521">Y561</f>
        <v>40.575359</v>
      </c>
      <c r="AT561" s="35">
        <f t="shared" si="15"/>
        <v>98.758025</v>
      </c>
      <c r="AV561" s="32">
        <f t="shared" ref="AV561:AV715" si="522">((AO561*0.24182)+(AP561*0.283)+(AR561*0.80262))*(10000/22.4)</f>
        <v>5825.555139</v>
      </c>
    </row>
    <row r="562" ht="14.25" customHeight="1">
      <c r="B562" s="83"/>
      <c r="C562" s="95" t="s">
        <v>46</v>
      </c>
      <c r="D562" s="74"/>
      <c r="E562" s="22" t="s">
        <v>53</v>
      </c>
      <c r="F562" s="81"/>
      <c r="G562" s="27">
        <v>51.52</v>
      </c>
      <c r="H562" s="27">
        <v>5.57</v>
      </c>
      <c r="I562" s="27">
        <v>42.5</v>
      </c>
      <c r="J562" s="27">
        <v>0.18</v>
      </c>
      <c r="K562" s="27">
        <v>0.23</v>
      </c>
      <c r="L562" s="63">
        <f t="shared" si="509"/>
        <v>17.02</v>
      </c>
      <c r="M562" s="63">
        <f t="shared" si="510"/>
        <v>74.52</v>
      </c>
      <c r="N562" s="22">
        <v>8.0</v>
      </c>
      <c r="O562" s="63">
        <f t="shared" si="511"/>
        <v>0.46</v>
      </c>
      <c r="P562" s="22">
        <v>0.25</v>
      </c>
      <c r="Q562" s="89">
        <v>800.0</v>
      </c>
      <c r="R562" s="20" t="s">
        <v>82</v>
      </c>
      <c r="S562" s="25">
        <v>0.75</v>
      </c>
      <c r="T562" s="22" t="s">
        <v>51</v>
      </c>
      <c r="U562" s="22">
        <v>38.13</v>
      </c>
      <c r="V562" s="22">
        <v>26.06</v>
      </c>
      <c r="W562" s="22">
        <v>26.2</v>
      </c>
      <c r="X562" s="22">
        <v>7.48</v>
      </c>
      <c r="Y562" s="78">
        <f t="shared" si="512"/>
        <v>36.35273099</v>
      </c>
      <c r="Z562" s="22">
        <v>1.54</v>
      </c>
      <c r="AA562" s="22" t="s">
        <v>51</v>
      </c>
      <c r="AB562" s="22" t="s">
        <v>51</v>
      </c>
      <c r="AC562" s="32">
        <f t="shared" si="513"/>
        <v>10088.91705</v>
      </c>
      <c r="AD562" s="22" t="s">
        <v>51</v>
      </c>
      <c r="AK562" s="33">
        <f t="shared" si="514"/>
        <v>4.104749504</v>
      </c>
      <c r="AL562" s="33">
        <f t="shared" si="515"/>
        <v>7.186697913</v>
      </c>
      <c r="AM562" s="33">
        <f t="shared" si="516"/>
        <v>11.29144742</v>
      </c>
      <c r="AO562" s="34">
        <f t="shared" si="517"/>
        <v>24.26870368</v>
      </c>
      <c r="AP562" s="34">
        <f t="shared" si="518"/>
        <v>16.58647831</v>
      </c>
      <c r="AQ562" s="34">
        <f t="shared" si="519"/>
        <v>16.67558448</v>
      </c>
      <c r="AR562" s="34">
        <f t="shared" si="520"/>
        <v>4.760815722</v>
      </c>
      <c r="AS562" s="34">
        <f t="shared" si="521"/>
        <v>36.35273099</v>
      </c>
      <c r="AT562" s="35">
        <f t="shared" si="15"/>
        <v>98.64431317</v>
      </c>
      <c r="AV562" s="32">
        <f t="shared" si="522"/>
        <v>6421.320178</v>
      </c>
    </row>
    <row r="563" ht="14.25" customHeight="1">
      <c r="B563" s="83"/>
      <c r="C563" s="95" t="s">
        <v>46</v>
      </c>
      <c r="D563" s="74"/>
      <c r="E563" s="22" t="s">
        <v>53</v>
      </c>
      <c r="F563" s="81"/>
      <c r="G563" s="27">
        <v>51.52</v>
      </c>
      <c r="H563" s="27">
        <v>5.57</v>
      </c>
      <c r="I563" s="27">
        <v>42.5</v>
      </c>
      <c r="J563" s="27">
        <v>0.18</v>
      </c>
      <c r="K563" s="27">
        <v>0.23</v>
      </c>
      <c r="L563" s="63">
        <f t="shared" si="509"/>
        <v>17.02</v>
      </c>
      <c r="M563" s="63">
        <f t="shared" si="510"/>
        <v>74.52</v>
      </c>
      <c r="N563" s="22">
        <v>8.0</v>
      </c>
      <c r="O563" s="63">
        <f t="shared" si="511"/>
        <v>0.46</v>
      </c>
      <c r="P563" s="22">
        <v>0.3</v>
      </c>
      <c r="Q563" s="96">
        <v>650.0</v>
      </c>
      <c r="R563" s="20" t="s">
        <v>82</v>
      </c>
      <c r="S563" s="25">
        <v>0.85</v>
      </c>
      <c r="T563" s="22" t="s">
        <v>51</v>
      </c>
      <c r="U563" s="22">
        <v>46.28</v>
      </c>
      <c r="V563" s="22">
        <v>14.89</v>
      </c>
      <c r="W563" s="22">
        <v>32.16</v>
      </c>
      <c r="X563" s="22">
        <v>5.24</v>
      </c>
      <c r="Y563" s="78">
        <f t="shared" si="512"/>
        <v>37.4906811</v>
      </c>
      <c r="Z563" s="22">
        <v>1.87</v>
      </c>
      <c r="AA563" s="22" t="s">
        <v>51</v>
      </c>
      <c r="AB563" s="22" t="s">
        <v>51</v>
      </c>
      <c r="AC563" s="32">
        <f t="shared" si="513"/>
        <v>8754.923393</v>
      </c>
      <c r="AD563" s="22" t="s">
        <v>51</v>
      </c>
      <c r="AK563" s="33">
        <f t="shared" si="514"/>
        <v>4.92441369</v>
      </c>
      <c r="AL563" s="33">
        <f t="shared" si="515"/>
        <v>8.210620259</v>
      </c>
      <c r="AM563" s="33">
        <f t="shared" si="516"/>
        <v>13.13503395</v>
      </c>
      <c r="AO563" s="34">
        <f t="shared" si="517"/>
        <v>28.92931279</v>
      </c>
      <c r="AP563" s="34">
        <f t="shared" si="518"/>
        <v>9.307637584</v>
      </c>
      <c r="AQ563" s="34">
        <f t="shared" si="519"/>
        <v>20.10299696</v>
      </c>
      <c r="AR563" s="34">
        <f t="shared" si="520"/>
        <v>3.27548831</v>
      </c>
      <c r="AS563" s="34">
        <f t="shared" si="521"/>
        <v>37.4906811</v>
      </c>
      <c r="AT563" s="35">
        <f t="shared" si="15"/>
        <v>99.10611674</v>
      </c>
      <c r="AV563" s="32">
        <f t="shared" si="522"/>
        <v>5472.642983</v>
      </c>
    </row>
    <row r="564" ht="14.25" customHeight="1">
      <c r="B564" s="83"/>
      <c r="C564" s="95" t="s">
        <v>46</v>
      </c>
      <c r="D564" s="74"/>
      <c r="E564" s="22" t="s">
        <v>53</v>
      </c>
      <c r="F564" s="81"/>
      <c r="G564" s="27">
        <v>51.52</v>
      </c>
      <c r="H564" s="27">
        <v>5.57</v>
      </c>
      <c r="I564" s="27">
        <v>42.5</v>
      </c>
      <c r="J564" s="27">
        <v>0.18</v>
      </c>
      <c r="K564" s="27">
        <v>0.23</v>
      </c>
      <c r="L564" s="63">
        <f t="shared" si="509"/>
        <v>17.02</v>
      </c>
      <c r="M564" s="63">
        <f t="shared" si="510"/>
        <v>74.52</v>
      </c>
      <c r="N564" s="22">
        <v>8.0</v>
      </c>
      <c r="O564" s="63">
        <f t="shared" si="511"/>
        <v>0.46</v>
      </c>
      <c r="P564" s="22">
        <v>0.3</v>
      </c>
      <c r="Q564" s="96">
        <v>700.0</v>
      </c>
      <c r="R564" s="20" t="s">
        <v>82</v>
      </c>
      <c r="S564" s="25">
        <v>0.85</v>
      </c>
      <c r="T564" s="22" t="s">
        <v>51</v>
      </c>
      <c r="U564" s="22">
        <v>49.33</v>
      </c>
      <c r="V564" s="22">
        <v>12.28</v>
      </c>
      <c r="W564" s="22">
        <v>32.81</v>
      </c>
      <c r="X564" s="22">
        <v>4.89</v>
      </c>
      <c r="Y564" s="78">
        <f t="shared" si="512"/>
        <v>36.43795712</v>
      </c>
      <c r="Z564" s="22">
        <v>2.12</v>
      </c>
      <c r="AA564" s="22" t="s">
        <v>51</v>
      </c>
      <c r="AB564" s="22" t="s">
        <v>51</v>
      </c>
      <c r="AC564" s="32">
        <f t="shared" si="513"/>
        <v>8629.032321</v>
      </c>
      <c r="AD564" s="22" t="s">
        <v>51</v>
      </c>
      <c r="AK564" s="33">
        <f t="shared" si="514"/>
        <v>4.92441369</v>
      </c>
      <c r="AL564" s="33">
        <f t="shared" si="515"/>
        <v>8.590102708</v>
      </c>
      <c r="AM564" s="33">
        <f t="shared" si="516"/>
        <v>13.5145164</v>
      </c>
      <c r="AO564" s="34">
        <f t="shared" si="517"/>
        <v>31.35515575</v>
      </c>
      <c r="AP564" s="34">
        <f t="shared" si="518"/>
        <v>7.805418865</v>
      </c>
      <c r="AQ564" s="34">
        <f t="shared" si="519"/>
        <v>20.85470627</v>
      </c>
      <c r="AR564" s="34">
        <f t="shared" si="520"/>
        <v>3.108183897</v>
      </c>
      <c r="AS564" s="34">
        <f t="shared" si="521"/>
        <v>36.43795712</v>
      </c>
      <c r="AT564" s="35">
        <f t="shared" si="15"/>
        <v>99.5614219</v>
      </c>
      <c r="AV564" s="32">
        <f t="shared" si="522"/>
        <v>5484.789224</v>
      </c>
    </row>
    <row r="565" ht="14.25" customHeight="1">
      <c r="B565" s="83"/>
      <c r="C565" s="95" t="s">
        <v>46</v>
      </c>
      <c r="D565" s="74"/>
      <c r="E565" s="22" t="s">
        <v>53</v>
      </c>
      <c r="F565" s="81"/>
      <c r="G565" s="27">
        <v>51.52</v>
      </c>
      <c r="H565" s="27">
        <v>5.57</v>
      </c>
      <c r="I565" s="27">
        <v>42.5</v>
      </c>
      <c r="J565" s="27">
        <v>0.18</v>
      </c>
      <c r="K565" s="27">
        <v>0.23</v>
      </c>
      <c r="L565" s="63">
        <f t="shared" si="509"/>
        <v>17.02</v>
      </c>
      <c r="M565" s="63">
        <f t="shared" si="510"/>
        <v>74.52</v>
      </c>
      <c r="N565" s="22">
        <v>8.0</v>
      </c>
      <c r="O565" s="63">
        <f t="shared" si="511"/>
        <v>0.46</v>
      </c>
      <c r="P565" s="22">
        <v>0.3</v>
      </c>
      <c r="Q565" s="96">
        <v>750.0</v>
      </c>
      <c r="R565" s="20" t="s">
        <v>82</v>
      </c>
      <c r="S565" s="25">
        <v>0.85</v>
      </c>
      <c r="T565" s="22" t="s">
        <v>51</v>
      </c>
      <c r="U565" s="22">
        <v>49.65</v>
      </c>
      <c r="V565" s="22">
        <v>11.15</v>
      </c>
      <c r="W565" s="22">
        <v>34.37</v>
      </c>
      <c r="X565" s="22">
        <v>4.37</v>
      </c>
      <c r="Y565" s="78">
        <f t="shared" si="512"/>
        <v>36.39622378</v>
      </c>
      <c r="Z565" s="22">
        <v>2.15</v>
      </c>
      <c r="AA565" s="22" t="s">
        <v>51</v>
      </c>
      <c r="AB565" s="22" t="s">
        <v>51</v>
      </c>
      <c r="AC565" s="32">
        <f t="shared" si="513"/>
        <v>8334.492143</v>
      </c>
      <c r="AD565" s="22" t="s">
        <v>51</v>
      </c>
      <c r="AK565" s="33">
        <f t="shared" si="514"/>
        <v>4.92441369</v>
      </c>
      <c r="AL565" s="33">
        <f t="shared" si="515"/>
        <v>8.605598984</v>
      </c>
      <c r="AM565" s="33">
        <f t="shared" si="516"/>
        <v>13.53001267</v>
      </c>
      <c r="AO565" s="34">
        <f t="shared" si="517"/>
        <v>31.57927489</v>
      </c>
      <c r="AP565" s="34">
        <f t="shared" si="518"/>
        <v>7.091821049</v>
      </c>
      <c r="AQ565" s="34">
        <f t="shared" si="519"/>
        <v>21.86061789</v>
      </c>
      <c r="AR565" s="34">
        <f t="shared" si="520"/>
        <v>2.779485021</v>
      </c>
      <c r="AS565" s="34">
        <f t="shared" si="521"/>
        <v>36.39622378</v>
      </c>
      <c r="AT565" s="35">
        <f t="shared" si="15"/>
        <v>99.70742263</v>
      </c>
      <c r="AV565" s="32">
        <f t="shared" si="522"/>
        <v>5301.051732</v>
      </c>
    </row>
    <row r="566" ht="14.25" customHeight="1">
      <c r="B566" s="83"/>
      <c r="C566" s="95" t="s">
        <v>46</v>
      </c>
      <c r="D566" s="74"/>
      <c r="E566" s="22" t="s">
        <v>53</v>
      </c>
      <c r="F566" s="81"/>
      <c r="G566" s="27">
        <v>51.52</v>
      </c>
      <c r="H566" s="27">
        <v>5.57</v>
      </c>
      <c r="I566" s="27">
        <v>42.5</v>
      </c>
      <c r="J566" s="27">
        <v>0.18</v>
      </c>
      <c r="K566" s="27">
        <v>0.23</v>
      </c>
      <c r="L566" s="63">
        <f t="shared" si="509"/>
        <v>17.02</v>
      </c>
      <c r="M566" s="63">
        <f t="shared" si="510"/>
        <v>74.52</v>
      </c>
      <c r="N566" s="22">
        <v>8.0</v>
      </c>
      <c r="O566" s="63">
        <f t="shared" si="511"/>
        <v>0.46</v>
      </c>
      <c r="P566" s="22">
        <v>0.3</v>
      </c>
      <c r="Q566" s="96">
        <v>800.0</v>
      </c>
      <c r="R566" s="20" t="s">
        <v>82</v>
      </c>
      <c r="S566" s="25">
        <v>0.85</v>
      </c>
      <c r="T566" s="22" t="s">
        <v>51</v>
      </c>
      <c r="U566" s="22">
        <v>50.23</v>
      </c>
      <c r="V566" s="22">
        <v>12.3</v>
      </c>
      <c r="W566" s="22">
        <v>32.56</v>
      </c>
      <c r="X566" s="22">
        <v>4.3</v>
      </c>
      <c r="Y566" s="78">
        <f t="shared" si="512"/>
        <v>36.05568417</v>
      </c>
      <c r="Z566" s="22">
        <v>2.24</v>
      </c>
      <c r="AA566" s="22" t="s">
        <v>51</v>
      </c>
      <c r="AB566" s="22" t="s">
        <v>51</v>
      </c>
      <c r="AC566" s="32">
        <f t="shared" si="513"/>
        <v>8517.314554</v>
      </c>
      <c r="AD566" s="22" t="s">
        <v>51</v>
      </c>
      <c r="AK566" s="33">
        <f t="shared" si="514"/>
        <v>4.92441369</v>
      </c>
      <c r="AL566" s="33">
        <f t="shared" si="515"/>
        <v>8.733387578</v>
      </c>
      <c r="AM566" s="33">
        <f t="shared" si="516"/>
        <v>13.65780127</v>
      </c>
      <c r="AO566" s="34">
        <f t="shared" si="517"/>
        <v>32.11922984</v>
      </c>
      <c r="AP566" s="34">
        <f t="shared" si="518"/>
        <v>7.865150847</v>
      </c>
      <c r="AQ566" s="34">
        <f t="shared" si="519"/>
        <v>20.82026923</v>
      </c>
      <c r="AR566" s="34">
        <f t="shared" si="520"/>
        <v>2.749605581</v>
      </c>
      <c r="AS566" s="34">
        <f t="shared" si="521"/>
        <v>36.05568417</v>
      </c>
      <c r="AT566" s="35">
        <f t="shared" si="15"/>
        <v>99.60993967</v>
      </c>
      <c r="AV566" s="32">
        <f t="shared" si="522"/>
        <v>5446.338518</v>
      </c>
    </row>
    <row r="567" ht="14.25" customHeight="1">
      <c r="B567" s="83"/>
      <c r="C567" s="95" t="s">
        <v>46</v>
      </c>
      <c r="D567" s="74"/>
      <c r="E567" s="22" t="s">
        <v>53</v>
      </c>
      <c r="F567" s="81"/>
      <c r="G567" s="27">
        <v>51.52</v>
      </c>
      <c r="H567" s="27">
        <v>5.57</v>
      </c>
      <c r="I567" s="27">
        <v>42.5</v>
      </c>
      <c r="J567" s="27">
        <v>0.18</v>
      </c>
      <c r="K567" s="27">
        <v>0.23</v>
      </c>
      <c r="L567" s="63">
        <f t="shared" si="509"/>
        <v>17.02</v>
      </c>
      <c r="M567" s="63">
        <f t="shared" si="510"/>
        <v>74.52</v>
      </c>
      <c r="N567" s="22">
        <v>8.0</v>
      </c>
      <c r="O567" s="63">
        <f t="shared" si="511"/>
        <v>0.46</v>
      </c>
      <c r="P567" s="22">
        <v>0.3</v>
      </c>
      <c r="Q567" s="22">
        <v>850.0</v>
      </c>
      <c r="R567" s="20" t="s">
        <v>82</v>
      </c>
      <c r="S567" s="25">
        <v>0.85</v>
      </c>
      <c r="T567" s="22" t="s">
        <v>51</v>
      </c>
      <c r="U567" s="22">
        <v>52.47</v>
      </c>
      <c r="V567" s="22">
        <v>14.82</v>
      </c>
      <c r="W567" s="22">
        <v>29.65</v>
      </c>
      <c r="X567" s="22">
        <v>2.9</v>
      </c>
      <c r="Y567" s="78">
        <f t="shared" si="512"/>
        <v>35.20502374</v>
      </c>
      <c r="Z567" s="22">
        <v>2.41</v>
      </c>
      <c r="AA567" s="22" t="s">
        <v>51</v>
      </c>
      <c r="AB567" s="22" t="s">
        <v>51</v>
      </c>
      <c r="AC567" s="32">
        <f t="shared" si="513"/>
        <v>8575.872054</v>
      </c>
      <c r="AD567" s="22" t="s">
        <v>51</v>
      </c>
      <c r="AK567" s="33">
        <f t="shared" si="514"/>
        <v>4.92441369</v>
      </c>
      <c r="AL567" s="33">
        <f t="shared" si="515"/>
        <v>9.06340159</v>
      </c>
      <c r="AM567" s="33">
        <f t="shared" si="516"/>
        <v>13.98781528</v>
      </c>
      <c r="AO567" s="34">
        <f t="shared" si="517"/>
        <v>33.99792404</v>
      </c>
      <c r="AP567" s="34">
        <f t="shared" si="518"/>
        <v>9.602615482</v>
      </c>
      <c r="AQ567" s="34">
        <f t="shared" si="519"/>
        <v>19.21171046</v>
      </c>
      <c r="AR567" s="34">
        <f t="shared" si="520"/>
        <v>1.879054312</v>
      </c>
      <c r="AS567" s="34">
        <f t="shared" si="521"/>
        <v>35.20502374</v>
      </c>
      <c r="AT567" s="35">
        <f t="shared" si="15"/>
        <v>99.89632804</v>
      </c>
      <c r="AV567" s="32">
        <f t="shared" si="522"/>
        <v>5556.734261</v>
      </c>
    </row>
    <row r="568" ht="14.25" customHeight="1">
      <c r="B568" s="83"/>
      <c r="C568" s="95" t="s">
        <v>46</v>
      </c>
      <c r="D568" s="74"/>
      <c r="E568" s="22" t="s">
        <v>53</v>
      </c>
      <c r="F568" s="81"/>
      <c r="G568" s="27">
        <v>51.52</v>
      </c>
      <c r="H568" s="27">
        <v>5.57</v>
      </c>
      <c r="I568" s="27">
        <v>42.5</v>
      </c>
      <c r="J568" s="27">
        <v>0.18</v>
      </c>
      <c r="K568" s="27">
        <v>0.23</v>
      </c>
      <c r="L568" s="63">
        <f t="shared" si="509"/>
        <v>17.02</v>
      </c>
      <c r="M568" s="63">
        <f t="shared" si="510"/>
        <v>74.52</v>
      </c>
      <c r="N568" s="22">
        <v>8.0</v>
      </c>
      <c r="O568" s="63">
        <f t="shared" si="511"/>
        <v>0.46</v>
      </c>
      <c r="P568" s="22">
        <v>0.25</v>
      </c>
      <c r="Q568" s="89">
        <v>700.0</v>
      </c>
      <c r="R568" s="20" t="s">
        <v>82</v>
      </c>
      <c r="S568" s="25">
        <v>0.75</v>
      </c>
      <c r="T568" s="22" t="s">
        <v>51</v>
      </c>
      <c r="U568" s="22">
        <v>42.84</v>
      </c>
      <c r="V568" s="22">
        <v>20.35</v>
      </c>
      <c r="W568" s="22">
        <v>28.62</v>
      </c>
      <c r="X568" s="22">
        <v>6.59</v>
      </c>
      <c r="Y568" s="78">
        <f t="shared" si="512"/>
        <v>34.69154792</v>
      </c>
      <c r="Z568" s="22">
        <v>1.86</v>
      </c>
      <c r="AA568" s="22" t="s">
        <v>51</v>
      </c>
      <c r="AB568" s="22" t="s">
        <v>51</v>
      </c>
      <c r="AC568" s="32">
        <f t="shared" si="513"/>
        <v>9557.091339</v>
      </c>
      <c r="AD568" s="22" t="s">
        <v>51</v>
      </c>
      <c r="AK568" s="33">
        <f t="shared" si="514"/>
        <v>4.104749504</v>
      </c>
      <c r="AL568" s="33">
        <f t="shared" si="515"/>
        <v>7.727381809</v>
      </c>
      <c r="AM568" s="33">
        <f t="shared" si="516"/>
        <v>11.83213131</v>
      </c>
      <c r="AO568" s="34">
        <f t="shared" si="517"/>
        <v>27.97814087</v>
      </c>
      <c r="AP568" s="34">
        <f t="shared" si="518"/>
        <v>13.29027</v>
      </c>
      <c r="AQ568" s="34">
        <f t="shared" si="519"/>
        <v>18.69127899</v>
      </c>
      <c r="AR568" s="34">
        <f t="shared" si="520"/>
        <v>4.303826992</v>
      </c>
      <c r="AS568" s="34">
        <f t="shared" si="521"/>
        <v>34.69154792</v>
      </c>
      <c r="AT568" s="35">
        <f t="shared" si="15"/>
        <v>98.95506477</v>
      </c>
      <c r="AV568" s="32">
        <f t="shared" si="522"/>
        <v>6241.588418</v>
      </c>
    </row>
    <row r="569" ht="14.25" customHeight="1">
      <c r="B569" s="83"/>
      <c r="C569" s="95" t="s">
        <v>46</v>
      </c>
      <c r="D569" s="74"/>
      <c r="E569" s="22" t="s">
        <v>53</v>
      </c>
      <c r="F569" s="81"/>
      <c r="G569" s="27">
        <v>51.52</v>
      </c>
      <c r="H569" s="27">
        <v>5.57</v>
      </c>
      <c r="I569" s="27">
        <v>42.5</v>
      </c>
      <c r="J569" s="27">
        <v>0.18</v>
      </c>
      <c r="K569" s="27">
        <v>0.23</v>
      </c>
      <c r="L569" s="63">
        <f t="shared" si="509"/>
        <v>17.02</v>
      </c>
      <c r="M569" s="63">
        <f t="shared" si="510"/>
        <v>74.52</v>
      </c>
      <c r="N569" s="22">
        <v>8.0</v>
      </c>
      <c r="O569" s="63">
        <f t="shared" si="511"/>
        <v>0.46</v>
      </c>
      <c r="P569" s="22">
        <v>0.25</v>
      </c>
      <c r="Q569" s="89">
        <v>700.0</v>
      </c>
      <c r="R569" s="20" t="s">
        <v>82</v>
      </c>
      <c r="S569" s="25">
        <v>0.75</v>
      </c>
      <c r="T569" s="22" t="s">
        <v>51</v>
      </c>
      <c r="U569" s="22">
        <v>46.67</v>
      </c>
      <c r="V569" s="22">
        <v>17.35</v>
      </c>
      <c r="W569" s="22">
        <v>29.42</v>
      </c>
      <c r="X569" s="22">
        <v>5.67</v>
      </c>
      <c r="Y569" s="78">
        <f t="shared" si="512"/>
        <v>33.39398177</v>
      </c>
      <c r="Z569" s="22">
        <v>1.97</v>
      </c>
      <c r="AA569" s="22" t="s">
        <v>51</v>
      </c>
      <c r="AB569" s="22" t="s">
        <v>51</v>
      </c>
      <c r="AC569" s="32">
        <f t="shared" si="513"/>
        <v>9261.895</v>
      </c>
      <c r="AD569" s="22" t="s">
        <v>51</v>
      </c>
      <c r="AK569" s="33">
        <f t="shared" si="514"/>
        <v>4.104749504</v>
      </c>
      <c r="AL569" s="33">
        <f t="shared" si="515"/>
        <v>8.187134503</v>
      </c>
      <c r="AM569" s="33">
        <f t="shared" si="516"/>
        <v>12.29188401</v>
      </c>
      <c r="AO569" s="34">
        <f t="shared" si="517"/>
        <v>31.08502871</v>
      </c>
      <c r="AP569" s="34">
        <f t="shared" si="518"/>
        <v>11.55614416</v>
      </c>
      <c r="AQ569" s="34">
        <f t="shared" si="519"/>
        <v>19.59549056</v>
      </c>
      <c r="AR569" s="34">
        <f t="shared" si="520"/>
        <v>3.776561234</v>
      </c>
      <c r="AS569" s="34">
        <f t="shared" si="521"/>
        <v>33.39398177</v>
      </c>
      <c r="AT569" s="35">
        <f t="shared" si="15"/>
        <v>99.40720644</v>
      </c>
      <c r="AV569" s="32">
        <f t="shared" si="522"/>
        <v>6168.979473</v>
      </c>
    </row>
    <row r="570" ht="14.25" customHeight="1">
      <c r="B570" s="83"/>
      <c r="C570" s="95" t="s">
        <v>46</v>
      </c>
      <c r="D570" s="74"/>
      <c r="E570" s="22" t="s">
        <v>53</v>
      </c>
      <c r="F570" s="81"/>
      <c r="G570" s="27">
        <v>51.52</v>
      </c>
      <c r="H570" s="27">
        <v>5.57</v>
      </c>
      <c r="I570" s="27">
        <v>42.5</v>
      </c>
      <c r="J570" s="27">
        <v>0.18</v>
      </c>
      <c r="K570" s="27">
        <v>0.23</v>
      </c>
      <c r="L570" s="63">
        <f t="shared" si="509"/>
        <v>17.02</v>
      </c>
      <c r="M570" s="63">
        <f t="shared" si="510"/>
        <v>74.52</v>
      </c>
      <c r="N570" s="22">
        <v>8.0</v>
      </c>
      <c r="O570" s="63">
        <f t="shared" si="511"/>
        <v>0.46</v>
      </c>
      <c r="P570" s="22">
        <v>0.25</v>
      </c>
      <c r="Q570" s="89">
        <v>700.0</v>
      </c>
      <c r="R570" s="20" t="s">
        <v>82</v>
      </c>
      <c r="S570" s="25">
        <v>0.75</v>
      </c>
      <c r="T570" s="22" t="s">
        <v>51</v>
      </c>
      <c r="U570" s="22">
        <v>47.61</v>
      </c>
      <c r="V570" s="22">
        <v>16.44</v>
      </c>
      <c r="W570" s="22">
        <v>30.12</v>
      </c>
      <c r="X570" s="22">
        <v>5.18</v>
      </c>
      <c r="Y570" s="78">
        <f t="shared" si="512"/>
        <v>33.09574768</v>
      </c>
      <c r="Z570" s="22">
        <v>2.01</v>
      </c>
      <c r="AA570" s="22" t="s">
        <v>51</v>
      </c>
      <c r="AB570" s="22" t="s">
        <v>51</v>
      </c>
      <c r="AC570" s="32">
        <f t="shared" si="513"/>
        <v>9072.831161</v>
      </c>
      <c r="AD570" s="22" t="s">
        <v>51</v>
      </c>
      <c r="AK570" s="33">
        <f t="shared" si="514"/>
        <v>4.104749504</v>
      </c>
      <c r="AL570" s="33">
        <f t="shared" si="515"/>
        <v>8.297899755</v>
      </c>
      <c r="AM570" s="33">
        <f t="shared" si="516"/>
        <v>12.40264926</v>
      </c>
      <c r="AO570" s="34">
        <f t="shared" si="517"/>
        <v>31.85311453</v>
      </c>
      <c r="AP570" s="34">
        <f t="shared" si="518"/>
        <v>10.99905908</v>
      </c>
      <c r="AQ570" s="34">
        <f t="shared" si="519"/>
        <v>20.1515608</v>
      </c>
      <c r="AR570" s="34">
        <f t="shared" si="520"/>
        <v>3.46564027</v>
      </c>
      <c r="AS570" s="34">
        <f t="shared" si="521"/>
        <v>33.09574768</v>
      </c>
      <c r="AT570" s="35">
        <f t="shared" si="15"/>
        <v>99.56512236</v>
      </c>
      <c r="AV570" s="32">
        <f t="shared" si="522"/>
        <v>6070.109853</v>
      </c>
    </row>
    <row r="571" ht="14.25" customHeight="1">
      <c r="B571" s="83"/>
      <c r="C571" s="95" t="s">
        <v>46</v>
      </c>
      <c r="D571" s="74"/>
      <c r="E571" s="22" t="s">
        <v>53</v>
      </c>
      <c r="F571" s="81"/>
      <c r="G571" s="27">
        <v>51.52</v>
      </c>
      <c r="H571" s="27">
        <v>5.57</v>
      </c>
      <c r="I571" s="27">
        <v>42.5</v>
      </c>
      <c r="J571" s="27">
        <v>0.18</v>
      </c>
      <c r="K571" s="27">
        <v>0.23</v>
      </c>
      <c r="L571" s="63">
        <f t="shared" si="509"/>
        <v>17.02</v>
      </c>
      <c r="M571" s="63">
        <f t="shared" si="510"/>
        <v>74.52</v>
      </c>
      <c r="N571" s="22">
        <v>8.0</v>
      </c>
      <c r="O571" s="63">
        <f t="shared" si="511"/>
        <v>0.46</v>
      </c>
      <c r="P571" s="22">
        <v>0.25</v>
      </c>
      <c r="Q571" s="89">
        <v>700.0</v>
      </c>
      <c r="R571" s="20" t="s">
        <v>82</v>
      </c>
      <c r="S571" s="25">
        <v>0.75</v>
      </c>
      <c r="T571" s="22" t="s">
        <v>51</v>
      </c>
      <c r="U571" s="22">
        <v>47.62</v>
      </c>
      <c r="V571" s="22">
        <v>16.87</v>
      </c>
      <c r="W571" s="22">
        <v>30.08</v>
      </c>
      <c r="X571" s="22">
        <v>4.79</v>
      </c>
      <c r="Y571" s="78">
        <f t="shared" si="512"/>
        <v>33.09574768</v>
      </c>
      <c r="Z571" s="22">
        <v>2.09</v>
      </c>
      <c r="AA571" s="22" t="s">
        <v>51</v>
      </c>
      <c r="AB571" s="22" t="s">
        <v>51</v>
      </c>
      <c r="AC571" s="32">
        <f t="shared" si="513"/>
        <v>8988.494732</v>
      </c>
      <c r="AD571" s="22" t="s">
        <v>51</v>
      </c>
      <c r="AK571" s="33">
        <f t="shared" si="514"/>
        <v>4.104749504</v>
      </c>
      <c r="AL571" s="33">
        <f t="shared" si="515"/>
        <v>8.297899755</v>
      </c>
      <c r="AM571" s="33">
        <f t="shared" si="516"/>
        <v>12.40264926</v>
      </c>
      <c r="AO571" s="34">
        <f t="shared" si="517"/>
        <v>31.85980496</v>
      </c>
      <c r="AP571" s="34">
        <f t="shared" si="518"/>
        <v>11.28674737</v>
      </c>
      <c r="AQ571" s="34">
        <f t="shared" si="519"/>
        <v>20.1247991</v>
      </c>
      <c r="AR571" s="34">
        <f t="shared" si="520"/>
        <v>3.204713686</v>
      </c>
      <c r="AS571" s="34">
        <f t="shared" si="521"/>
        <v>33.09574768</v>
      </c>
      <c r="AT571" s="35">
        <f t="shared" si="15"/>
        <v>99.57181279</v>
      </c>
      <c r="AV571" s="32">
        <f t="shared" si="522"/>
        <v>6013.685196</v>
      </c>
    </row>
    <row r="572" ht="14.25" customHeight="1">
      <c r="B572" s="83"/>
      <c r="C572" s="95" t="s">
        <v>46</v>
      </c>
      <c r="D572" s="74"/>
      <c r="E572" s="22" t="s">
        <v>53</v>
      </c>
      <c r="F572" s="81"/>
      <c r="G572" s="27">
        <v>51.52</v>
      </c>
      <c r="H572" s="27">
        <v>5.57</v>
      </c>
      <c r="I572" s="27">
        <v>42.5</v>
      </c>
      <c r="J572" s="27">
        <v>0.18</v>
      </c>
      <c r="K572" s="27">
        <v>0.23</v>
      </c>
      <c r="L572" s="63">
        <f t="shared" si="509"/>
        <v>17.02</v>
      </c>
      <c r="M572" s="63">
        <f t="shared" si="510"/>
        <v>74.52</v>
      </c>
      <c r="N572" s="22">
        <v>8.0</v>
      </c>
      <c r="O572" s="63">
        <f t="shared" si="511"/>
        <v>0.46</v>
      </c>
      <c r="P572" s="22">
        <v>0.25</v>
      </c>
      <c r="Q572" s="89">
        <v>700.0</v>
      </c>
      <c r="R572" s="20" t="s">
        <v>82</v>
      </c>
      <c r="S572" s="25">
        <v>0.75</v>
      </c>
      <c r="T572" s="22" t="s">
        <v>51</v>
      </c>
      <c r="U572" s="22">
        <v>47.84</v>
      </c>
      <c r="V572" s="22">
        <v>15.93</v>
      </c>
      <c r="W572" s="22">
        <v>30.18</v>
      </c>
      <c r="X572" s="22">
        <v>5.12</v>
      </c>
      <c r="Y572" s="78">
        <f t="shared" si="512"/>
        <v>32.87677559</v>
      </c>
      <c r="Z572" s="22">
        <v>2.13</v>
      </c>
      <c r="AA572" s="22" t="s">
        <v>51</v>
      </c>
      <c r="AB572" s="22" t="s">
        <v>51</v>
      </c>
      <c r="AC572" s="32">
        <f t="shared" si="513"/>
        <v>9011.729107</v>
      </c>
      <c r="AD572" s="22" t="s">
        <v>51</v>
      </c>
      <c r="AK572" s="33">
        <f t="shared" si="514"/>
        <v>4.104749504</v>
      </c>
      <c r="AL572" s="33">
        <f t="shared" si="515"/>
        <v>8.380506214</v>
      </c>
      <c r="AM572" s="33">
        <f t="shared" si="516"/>
        <v>12.48525572</v>
      </c>
      <c r="AO572" s="34">
        <f t="shared" si="517"/>
        <v>32.11175056</v>
      </c>
      <c r="AP572" s="34">
        <f t="shared" si="518"/>
        <v>10.69272965</v>
      </c>
      <c r="AQ572" s="34">
        <f t="shared" si="519"/>
        <v>20.25778913</v>
      </c>
      <c r="AR572" s="34">
        <f t="shared" si="520"/>
        <v>3.43670909</v>
      </c>
      <c r="AS572" s="34">
        <f t="shared" si="521"/>
        <v>32.87677559</v>
      </c>
      <c r="AT572" s="35">
        <f t="shared" si="15"/>
        <v>99.37575401</v>
      </c>
      <c r="AV572" s="32">
        <f t="shared" si="522"/>
        <v>6048.963152</v>
      </c>
    </row>
    <row r="573" ht="14.25" customHeight="1">
      <c r="B573" s="83"/>
      <c r="C573" s="95" t="s">
        <v>46</v>
      </c>
      <c r="D573" s="74"/>
      <c r="E573" s="22" t="s">
        <v>53</v>
      </c>
      <c r="F573" s="81"/>
      <c r="G573" s="27">
        <v>51.52</v>
      </c>
      <c r="H573" s="27">
        <v>5.57</v>
      </c>
      <c r="I573" s="27">
        <v>42.5</v>
      </c>
      <c r="J573" s="27">
        <v>0.18</v>
      </c>
      <c r="K573" s="27">
        <v>0.23</v>
      </c>
      <c r="L573" s="63">
        <f t="shared" si="509"/>
        <v>17.02</v>
      </c>
      <c r="M573" s="63">
        <f t="shared" si="510"/>
        <v>74.52</v>
      </c>
      <c r="N573" s="22">
        <v>8.0</v>
      </c>
      <c r="O573" s="63">
        <f t="shared" si="511"/>
        <v>0.46</v>
      </c>
      <c r="P573" s="22">
        <v>0.25</v>
      </c>
      <c r="Q573" s="89">
        <v>700.0</v>
      </c>
      <c r="R573" s="20" t="s">
        <v>82</v>
      </c>
      <c r="S573" s="25">
        <v>0.75</v>
      </c>
      <c r="T573" s="22" t="s">
        <v>51</v>
      </c>
      <c r="U573" s="22">
        <v>48.93</v>
      </c>
      <c r="V573" s="22">
        <v>15.33</v>
      </c>
      <c r="W573" s="22">
        <v>29.99</v>
      </c>
      <c r="X573" s="22">
        <v>5.14</v>
      </c>
      <c r="Y573" s="78">
        <f t="shared" si="512"/>
        <v>32.54344147</v>
      </c>
      <c r="Z573" s="22">
        <v>2.19</v>
      </c>
      <c r="AA573" s="22" t="s">
        <v>51</v>
      </c>
      <c r="AB573" s="22" t="s">
        <v>51</v>
      </c>
      <c r="AC573" s="32">
        <f t="shared" si="513"/>
        <v>9060.763125</v>
      </c>
      <c r="AD573" s="22" t="s">
        <v>51</v>
      </c>
      <c r="AK573" s="33">
        <f t="shared" si="514"/>
        <v>4.104749504</v>
      </c>
      <c r="AL573" s="33">
        <f t="shared" si="515"/>
        <v>8.508389483</v>
      </c>
      <c r="AM573" s="33">
        <f t="shared" si="516"/>
        <v>12.61313899</v>
      </c>
      <c r="AO573" s="34">
        <f t="shared" si="517"/>
        <v>33.00649409</v>
      </c>
      <c r="AP573" s="34">
        <f t="shared" si="518"/>
        <v>10.34109042</v>
      </c>
      <c r="AQ573" s="34">
        <f t="shared" si="519"/>
        <v>20.2302219</v>
      </c>
      <c r="AR573" s="34">
        <f t="shared" si="520"/>
        <v>3.467267108</v>
      </c>
      <c r="AS573" s="34">
        <f t="shared" si="521"/>
        <v>32.54344147</v>
      </c>
      <c r="AT573" s="35">
        <f t="shared" si="15"/>
        <v>99.58851499</v>
      </c>
      <c r="AV573" s="32">
        <f t="shared" si="522"/>
        <v>6112.078981</v>
      </c>
    </row>
    <row r="574" ht="14.25" customHeight="1">
      <c r="B574" s="83"/>
      <c r="C574" s="95" t="s">
        <v>46</v>
      </c>
      <c r="D574" s="74"/>
      <c r="E574" s="22" t="s">
        <v>53</v>
      </c>
      <c r="F574" s="82"/>
      <c r="G574" s="27">
        <v>51.52</v>
      </c>
      <c r="H574" s="27">
        <v>5.57</v>
      </c>
      <c r="I574" s="27">
        <v>42.5</v>
      </c>
      <c r="J574" s="27">
        <v>0.18</v>
      </c>
      <c r="K574" s="27">
        <v>0.23</v>
      </c>
      <c r="L574" s="63">
        <f t="shared" si="509"/>
        <v>17.02</v>
      </c>
      <c r="M574" s="63">
        <f t="shared" si="510"/>
        <v>74.52</v>
      </c>
      <c r="N574" s="22">
        <v>8.0</v>
      </c>
      <c r="O574" s="63">
        <f t="shared" si="511"/>
        <v>0.46</v>
      </c>
      <c r="P574" s="22">
        <v>0.25</v>
      </c>
      <c r="Q574" s="89">
        <v>700.0</v>
      </c>
      <c r="R574" s="20" t="s">
        <v>82</v>
      </c>
      <c r="S574" s="25">
        <v>0.75</v>
      </c>
      <c r="T574" s="22" t="s">
        <v>51</v>
      </c>
      <c r="U574" s="22">
        <v>49.09</v>
      </c>
      <c r="V574" s="22">
        <v>14.78</v>
      </c>
      <c r="W574" s="22">
        <v>30.73</v>
      </c>
      <c r="X574" s="22">
        <v>4.72</v>
      </c>
      <c r="Y574" s="78">
        <f t="shared" si="512"/>
        <v>32.44323104</v>
      </c>
      <c r="Z574" s="22">
        <v>2.22</v>
      </c>
      <c r="AA574" s="22" t="s">
        <v>51</v>
      </c>
      <c r="AB574" s="22" t="s">
        <v>51</v>
      </c>
      <c r="AC574" s="32">
        <f t="shared" si="513"/>
        <v>8858.058125</v>
      </c>
      <c r="AD574" s="22" t="s">
        <v>51</v>
      </c>
      <c r="AK574" s="33">
        <f t="shared" si="514"/>
        <v>4.104749504</v>
      </c>
      <c r="AL574" s="33">
        <f t="shared" si="515"/>
        <v>8.547348862</v>
      </c>
      <c r="AM574" s="33">
        <f t="shared" si="516"/>
        <v>12.65209837</v>
      </c>
      <c r="AO574" s="34">
        <f t="shared" si="517"/>
        <v>33.16361788</v>
      </c>
      <c r="AP574" s="34">
        <f t="shared" si="518"/>
        <v>9.984890453</v>
      </c>
      <c r="AQ574" s="34">
        <f t="shared" si="519"/>
        <v>20.7601951</v>
      </c>
      <c r="AR574" s="34">
        <f t="shared" si="520"/>
        <v>3.188679495</v>
      </c>
      <c r="AS574" s="34">
        <f t="shared" si="521"/>
        <v>32.44323104</v>
      </c>
      <c r="AT574" s="35">
        <f t="shared" si="15"/>
        <v>99.54061397</v>
      </c>
      <c r="AV574" s="32">
        <f t="shared" si="522"/>
        <v>5984.217862</v>
      </c>
    </row>
    <row r="575" ht="14.25" customHeight="1">
      <c r="A575" s="18"/>
      <c r="B575" s="97" t="s">
        <v>118</v>
      </c>
      <c r="C575" s="94" t="s">
        <v>46</v>
      </c>
      <c r="D575" s="57" t="s">
        <v>117</v>
      </c>
      <c r="E575" s="22" t="s">
        <v>75</v>
      </c>
      <c r="F575" s="79" t="s">
        <v>119</v>
      </c>
      <c r="G575" s="27">
        <f t="shared" ref="G575:G578" si="523">52.97*100/(100-O575)</f>
        <v>53.50505051</v>
      </c>
      <c r="H575" s="27">
        <f t="shared" ref="H575:H578" si="524">6.51*100/(100-O575)</f>
        <v>6.575757576</v>
      </c>
      <c r="I575" s="27">
        <f t="shared" ref="I575:I578" si="525">36.67*100/(100-O575)</f>
        <v>37.04040404</v>
      </c>
      <c r="J575" s="27">
        <f t="shared" ref="J575:J578" si="526">2.8*100/(100-O575)</f>
        <v>2.828282828</v>
      </c>
      <c r="K575" s="27">
        <f t="shared" ref="K575:K578" si="527">0.05*100/(100-O575)</f>
        <v>0.05050505051</v>
      </c>
      <c r="L575" s="22">
        <v>16.7</v>
      </c>
      <c r="M575" s="22">
        <v>71.8</v>
      </c>
      <c r="N575" s="22">
        <v>10.5</v>
      </c>
      <c r="O575" s="22">
        <v>1.0</v>
      </c>
      <c r="P575" s="76">
        <v>0.0</v>
      </c>
      <c r="Q575" s="89">
        <v>819.85</v>
      </c>
      <c r="R575" s="22" t="s">
        <v>51</v>
      </c>
      <c r="S575" s="25">
        <v>1.0</v>
      </c>
      <c r="T575" s="22" t="s">
        <v>51</v>
      </c>
      <c r="U575" s="22">
        <v>31.2</v>
      </c>
      <c r="V575" s="22">
        <v>28.2</v>
      </c>
      <c r="W575" s="22">
        <v>17.3</v>
      </c>
      <c r="X575" s="22">
        <v>13.6</v>
      </c>
      <c r="Y575" s="78">
        <f t="shared" si="512"/>
        <v>1.321182134</v>
      </c>
      <c r="Z575" s="22" t="s">
        <v>51</v>
      </c>
      <c r="AA575" s="22" t="s">
        <v>51</v>
      </c>
      <c r="AB575" s="22" t="s">
        <v>51</v>
      </c>
      <c r="AC575" s="32">
        <f t="shared" si="513"/>
        <v>11804.025</v>
      </c>
      <c r="AD575" s="22" t="s">
        <v>51</v>
      </c>
      <c r="AK575" s="33">
        <f t="shared" si="514"/>
        <v>0.101010101</v>
      </c>
      <c r="AL575" s="33">
        <f t="shared" si="515"/>
        <v>7.544423365</v>
      </c>
      <c r="AM575" s="33">
        <f t="shared" si="516"/>
        <v>7.645433466</v>
      </c>
      <c r="AO575" s="34">
        <f t="shared" si="517"/>
        <v>30.78779117</v>
      </c>
      <c r="AP575" s="34">
        <f t="shared" si="518"/>
        <v>27.82742664</v>
      </c>
      <c r="AQ575" s="34">
        <f t="shared" si="519"/>
        <v>17.07143549</v>
      </c>
      <c r="AR575" s="34">
        <f t="shared" si="520"/>
        <v>13.42031923</v>
      </c>
      <c r="AS575" s="34">
        <f t="shared" si="521"/>
        <v>1.321182134</v>
      </c>
      <c r="AT575" s="35">
        <f t="shared" si="15"/>
        <v>90.42815467</v>
      </c>
      <c r="AV575" s="32">
        <f t="shared" si="522"/>
        <v>11648.07233</v>
      </c>
    </row>
    <row r="576" ht="14.25" customHeight="1">
      <c r="B576" s="98"/>
      <c r="C576" s="94" t="s">
        <v>46</v>
      </c>
      <c r="D576" s="56"/>
      <c r="E576" s="22" t="s">
        <v>75</v>
      </c>
      <c r="F576" s="81"/>
      <c r="G576" s="27">
        <f t="shared" si="523"/>
        <v>53.50505051</v>
      </c>
      <c r="H576" s="27">
        <f t="shared" si="524"/>
        <v>6.575757576</v>
      </c>
      <c r="I576" s="27">
        <f t="shared" si="525"/>
        <v>37.04040404</v>
      </c>
      <c r="J576" s="27">
        <f t="shared" si="526"/>
        <v>2.828282828</v>
      </c>
      <c r="K576" s="27">
        <f t="shared" si="527"/>
        <v>0.05050505051</v>
      </c>
      <c r="L576" s="22">
        <v>16.7</v>
      </c>
      <c r="M576" s="22">
        <v>71.8</v>
      </c>
      <c r="N576" s="22">
        <v>10.5</v>
      </c>
      <c r="O576" s="22">
        <v>1.0</v>
      </c>
      <c r="P576" s="76">
        <v>0.0</v>
      </c>
      <c r="Q576" s="89">
        <v>816.85</v>
      </c>
      <c r="R576" s="22" t="s">
        <v>51</v>
      </c>
      <c r="S576" s="25">
        <v>1.0</v>
      </c>
      <c r="T576" s="22" t="s">
        <v>51</v>
      </c>
      <c r="U576" s="22">
        <v>23.7</v>
      </c>
      <c r="V576" s="22">
        <v>36.6</v>
      </c>
      <c r="W576" s="22">
        <v>12.4</v>
      </c>
      <c r="X576" s="22">
        <v>15.8</v>
      </c>
      <c r="Y576" s="78">
        <f t="shared" si="512"/>
        <v>1.446762274</v>
      </c>
      <c r="Z576" s="22" t="s">
        <v>51</v>
      </c>
      <c r="AA576" s="22" t="s">
        <v>51</v>
      </c>
      <c r="AB576" s="22" t="s">
        <v>51</v>
      </c>
      <c r="AC576" s="32">
        <f t="shared" si="513"/>
        <v>12843.89732</v>
      </c>
      <c r="AD576" s="22" t="s">
        <v>51</v>
      </c>
      <c r="AK576" s="33">
        <f t="shared" si="514"/>
        <v>0.101010101</v>
      </c>
      <c r="AL576" s="33">
        <f t="shared" si="515"/>
        <v>6.880793532</v>
      </c>
      <c r="AM576" s="33">
        <f t="shared" si="516"/>
        <v>6.981803633</v>
      </c>
      <c r="AO576" s="34">
        <f t="shared" si="517"/>
        <v>23.35711734</v>
      </c>
      <c r="AP576" s="34">
        <f t="shared" si="518"/>
        <v>36.07048501</v>
      </c>
      <c r="AQ576" s="34">
        <f t="shared" si="519"/>
        <v>12.22060148</v>
      </c>
      <c r="AR576" s="34">
        <f t="shared" si="520"/>
        <v>15.57141156</v>
      </c>
      <c r="AS576" s="34">
        <f t="shared" si="521"/>
        <v>1.446762274</v>
      </c>
      <c r="AT576" s="35">
        <f t="shared" si="15"/>
        <v>88.66637766</v>
      </c>
      <c r="AV576" s="32">
        <f t="shared" si="522"/>
        <v>12658.07666</v>
      </c>
    </row>
    <row r="577" ht="14.25" customHeight="1">
      <c r="B577" s="98"/>
      <c r="C577" s="94" t="s">
        <v>46</v>
      </c>
      <c r="D577" s="56"/>
      <c r="E577" s="22" t="s">
        <v>75</v>
      </c>
      <c r="F577" s="81"/>
      <c r="G577" s="27">
        <f t="shared" si="523"/>
        <v>53.50505051</v>
      </c>
      <c r="H577" s="27">
        <f t="shared" si="524"/>
        <v>6.575757576</v>
      </c>
      <c r="I577" s="27">
        <f t="shared" si="525"/>
        <v>37.04040404</v>
      </c>
      <c r="J577" s="27">
        <f t="shared" si="526"/>
        <v>2.828282828</v>
      </c>
      <c r="K577" s="27">
        <f t="shared" si="527"/>
        <v>0.05050505051</v>
      </c>
      <c r="L577" s="22">
        <v>16.7</v>
      </c>
      <c r="M577" s="22">
        <v>71.8</v>
      </c>
      <c r="N577" s="22">
        <v>10.5</v>
      </c>
      <c r="O577" s="22">
        <v>1.0</v>
      </c>
      <c r="P577" s="76">
        <v>0.0</v>
      </c>
      <c r="Q577" s="89">
        <v>821.85</v>
      </c>
      <c r="R577" s="22" t="s">
        <v>51</v>
      </c>
      <c r="S577" s="25">
        <v>1.0</v>
      </c>
      <c r="T577" s="22" t="s">
        <v>51</v>
      </c>
      <c r="U577" s="22">
        <v>25.4</v>
      </c>
      <c r="V577" s="22">
        <v>33.7</v>
      </c>
      <c r="W577" s="22">
        <v>14.2</v>
      </c>
      <c r="X577" s="22">
        <v>15.7</v>
      </c>
      <c r="Y577" s="78">
        <f t="shared" si="512"/>
        <v>1.420350919</v>
      </c>
      <c r="Z577" s="22" t="s">
        <v>51</v>
      </c>
      <c r="AA577" s="22" t="s">
        <v>51</v>
      </c>
      <c r="AB577" s="22" t="s">
        <v>51</v>
      </c>
      <c r="AC577" s="32">
        <f t="shared" si="513"/>
        <v>12625.20625</v>
      </c>
      <c r="AD577" s="22" t="s">
        <v>51</v>
      </c>
      <c r="AK577" s="33">
        <f t="shared" si="514"/>
        <v>0.101010101</v>
      </c>
      <c r="AL577" s="33">
        <f t="shared" si="515"/>
        <v>7.010619825</v>
      </c>
      <c r="AM577" s="33">
        <f t="shared" si="516"/>
        <v>7.111629926</v>
      </c>
      <c r="AO577" s="34">
        <f t="shared" si="517"/>
        <v>25.03923087</v>
      </c>
      <c r="AP577" s="34">
        <f t="shared" si="518"/>
        <v>33.22134174</v>
      </c>
      <c r="AQ577" s="34">
        <f t="shared" si="519"/>
        <v>13.99831017</v>
      </c>
      <c r="AR577" s="34">
        <f t="shared" si="520"/>
        <v>15.47700491</v>
      </c>
      <c r="AS577" s="34">
        <f t="shared" si="521"/>
        <v>1.420350919</v>
      </c>
      <c r="AT577" s="35">
        <f t="shared" si="15"/>
        <v>89.1562386</v>
      </c>
      <c r="AV577" s="32">
        <f t="shared" si="522"/>
        <v>12445.88402</v>
      </c>
    </row>
    <row r="578" ht="14.25" customHeight="1">
      <c r="B578" s="99"/>
      <c r="C578" s="94" t="s">
        <v>46</v>
      </c>
      <c r="D578" s="69"/>
      <c r="E578" s="22" t="s">
        <v>75</v>
      </c>
      <c r="F578" s="82"/>
      <c r="G578" s="27">
        <f t="shared" si="523"/>
        <v>53.50505051</v>
      </c>
      <c r="H578" s="27">
        <f t="shared" si="524"/>
        <v>6.575757576</v>
      </c>
      <c r="I578" s="27">
        <f t="shared" si="525"/>
        <v>37.04040404</v>
      </c>
      <c r="J578" s="27">
        <f t="shared" si="526"/>
        <v>2.828282828</v>
      </c>
      <c r="K578" s="27">
        <f t="shared" si="527"/>
        <v>0.05050505051</v>
      </c>
      <c r="L578" s="22">
        <v>16.7</v>
      </c>
      <c r="M578" s="22">
        <v>71.8</v>
      </c>
      <c r="N578" s="22">
        <v>10.5</v>
      </c>
      <c r="O578" s="22">
        <v>1.0</v>
      </c>
      <c r="P578" s="76">
        <v>0.0</v>
      </c>
      <c r="Q578" s="89">
        <v>829.85</v>
      </c>
      <c r="R578" s="22" t="s">
        <v>51</v>
      </c>
      <c r="S578" s="25">
        <v>1.0</v>
      </c>
      <c r="T578" s="22" t="s">
        <v>51</v>
      </c>
      <c r="U578" s="22">
        <v>22.1</v>
      </c>
      <c r="V578" s="22">
        <v>37.4</v>
      </c>
      <c r="W578" s="22">
        <v>12.3</v>
      </c>
      <c r="X578" s="22">
        <v>17.8</v>
      </c>
      <c r="Y578" s="78">
        <f t="shared" si="512"/>
        <v>1.50613611</v>
      </c>
      <c r="Z578" s="22" t="s">
        <v>51</v>
      </c>
      <c r="AA578" s="22" t="s">
        <v>51</v>
      </c>
      <c r="AB578" s="22" t="s">
        <v>51</v>
      </c>
      <c r="AC578" s="32">
        <f t="shared" si="513"/>
        <v>13488.86518</v>
      </c>
      <c r="AD578" s="22" t="s">
        <v>51</v>
      </c>
      <c r="AK578" s="33">
        <f t="shared" si="514"/>
        <v>0.101010101</v>
      </c>
      <c r="AL578" s="33">
        <f t="shared" si="515"/>
        <v>6.605561791</v>
      </c>
      <c r="AM578" s="33">
        <f t="shared" si="516"/>
        <v>6.706571892</v>
      </c>
      <c r="AO578" s="34">
        <f t="shared" si="517"/>
        <v>21.76714392</v>
      </c>
      <c r="AP578" s="34">
        <f t="shared" si="518"/>
        <v>36.83670509</v>
      </c>
      <c r="AQ578" s="34">
        <f t="shared" si="519"/>
        <v>12.11474526</v>
      </c>
      <c r="AR578" s="34">
        <f t="shared" si="520"/>
        <v>17.53190777</v>
      </c>
      <c r="AS578" s="34">
        <f t="shared" si="521"/>
        <v>1.50613611</v>
      </c>
      <c r="AT578" s="35">
        <f t="shared" si="15"/>
        <v>89.75663816</v>
      </c>
      <c r="AV578" s="32">
        <f t="shared" si="522"/>
        <v>13285.70451</v>
      </c>
    </row>
    <row r="579" ht="14.25" customHeight="1">
      <c r="A579" s="18"/>
      <c r="B579" s="83" t="s">
        <v>120</v>
      </c>
      <c r="C579" s="100" t="s">
        <v>46</v>
      </c>
      <c r="D579" s="74" t="s">
        <v>117</v>
      </c>
      <c r="E579" s="84" t="s">
        <v>75</v>
      </c>
      <c r="F579" s="75" t="s">
        <v>121</v>
      </c>
      <c r="G579" s="27">
        <v>49.13</v>
      </c>
      <c r="H579" s="27">
        <v>6.54</v>
      </c>
      <c r="I579" s="27">
        <v>44.16</v>
      </c>
      <c r="J579" s="27">
        <v>0.12</v>
      </c>
      <c r="K579" s="27">
        <v>0.05</v>
      </c>
      <c r="L579" s="63">
        <f t="shared" ref="L579:L673" si="528">100-SUM(M579,N579,O579)</f>
        <v>12.44</v>
      </c>
      <c r="M579" s="40">
        <v>80.0</v>
      </c>
      <c r="N579" s="40">
        <v>7.3</v>
      </c>
      <c r="O579" s="22">
        <v>0.26</v>
      </c>
      <c r="P579" s="76">
        <v>0.0</v>
      </c>
      <c r="Q579" s="89">
        <v>841.0</v>
      </c>
      <c r="R579" s="22" t="s">
        <v>62</v>
      </c>
      <c r="S579" s="25">
        <v>0.63</v>
      </c>
      <c r="T579" s="22">
        <v>17.12</v>
      </c>
      <c r="U579" s="22">
        <v>39.1</v>
      </c>
      <c r="V579" s="22">
        <v>29.1</v>
      </c>
      <c r="W579" s="22">
        <v>17.5</v>
      </c>
      <c r="X579" s="22">
        <v>11.4</v>
      </c>
      <c r="Y579" s="78">
        <f t="shared" si="512"/>
        <v>0.06067671978</v>
      </c>
      <c r="Z579" s="22" t="s">
        <v>51</v>
      </c>
      <c r="AA579" s="22" t="s">
        <v>51</v>
      </c>
      <c r="AB579" s="22" t="s">
        <v>51</v>
      </c>
      <c r="AC579" s="32">
        <f t="shared" si="513"/>
        <v>11982.29018</v>
      </c>
      <c r="AD579" s="22" t="s">
        <v>51</v>
      </c>
      <c r="AK579" s="33">
        <f t="shared" si="514"/>
        <v>0.004285714286</v>
      </c>
      <c r="AL579" s="33">
        <f t="shared" si="515"/>
        <v>7.058908046</v>
      </c>
      <c r="AM579" s="33">
        <f t="shared" si="516"/>
        <v>7.06319376</v>
      </c>
      <c r="AO579" s="34">
        <f t="shared" si="517"/>
        <v>39.0762754</v>
      </c>
      <c r="AP579" s="34">
        <f t="shared" si="518"/>
        <v>29.08234307</v>
      </c>
      <c r="AQ579" s="34">
        <f t="shared" si="519"/>
        <v>17.48938157</v>
      </c>
      <c r="AR579" s="34">
        <f t="shared" si="520"/>
        <v>11.39308285</v>
      </c>
      <c r="AS579" s="34">
        <f t="shared" si="521"/>
        <v>0.06067671978</v>
      </c>
      <c r="AT579" s="35">
        <f t="shared" si="15"/>
        <v>97.10175962</v>
      </c>
      <c r="AV579" s="32">
        <f t="shared" si="522"/>
        <v>11975.01972</v>
      </c>
    </row>
    <row r="580" ht="14.25" customHeight="1">
      <c r="B580" s="83"/>
      <c r="C580" s="100" t="s">
        <v>46</v>
      </c>
      <c r="D580" s="74"/>
      <c r="E580" s="84" t="s">
        <v>75</v>
      </c>
      <c r="F580" s="75"/>
      <c r="G580" s="27">
        <v>49.13</v>
      </c>
      <c r="H580" s="27">
        <v>6.54</v>
      </c>
      <c r="I580" s="27">
        <v>44.16</v>
      </c>
      <c r="J580" s="27">
        <v>0.12</v>
      </c>
      <c r="K580" s="27">
        <v>0.05</v>
      </c>
      <c r="L580" s="63">
        <f t="shared" si="528"/>
        <v>12.44</v>
      </c>
      <c r="M580" s="40">
        <v>80.0</v>
      </c>
      <c r="N580" s="40">
        <v>7.3</v>
      </c>
      <c r="O580" s="22">
        <v>0.26</v>
      </c>
      <c r="P580" s="76">
        <v>0.0</v>
      </c>
      <c r="Q580" s="89">
        <v>645.0</v>
      </c>
      <c r="R580" s="22" t="s">
        <v>122</v>
      </c>
      <c r="S580" s="25">
        <v>0.79</v>
      </c>
      <c r="T580" s="22">
        <v>17.12</v>
      </c>
      <c r="U580" s="22">
        <v>73.9</v>
      </c>
      <c r="V580" s="22">
        <v>6.1</v>
      </c>
      <c r="W580" s="22">
        <v>6.0</v>
      </c>
      <c r="X580" s="22">
        <v>11.7</v>
      </c>
      <c r="Y580" s="78">
        <f t="shared" si="512"/>
        <v>0.02490728953</v>
      </c>
      <c r="Z580" s="22" t="s">
        <v>51</v>
      </c>
      <c r="AA580" s="22" t="s">
        <v>51</v>
      </c>
      <c r="AB580" s="22" t="s">
        <v>51</v>
      </c>
      <c r="AC580" s="32">
        <f t="shared" si="513"/>
        <v>12940.82679</v>
      </c>
      <c r="AD580" s="22" t="s">
        <v>51</v>
      </c>
      <c r="AK580" s="33">
        <f t="shared" si="514"/>
        <v>0.004285714286</v>
      </c>
      <c r="AL580" s="33">
        <f t="shared" si="515"/>
        <v>17.20238095</v>
      </c>
      <c r="AM580" s="33">
        <f t="shared" si="516"/>
        <v>17.20666667</v>
      </c>
      <c r="AO580" s="34">
        <f t="shared" si="517"/>
        <v>73.88159351</v>
      </c>
      <c r="AP580" s="34">
        <f t="shared" si="518"/>
        <v>6.098480655</v>
      </c>
      <c r="AQ580" s="34">
        <f t="shared" si="519"/>
        <v>5.998505563</v>
      </c>
      <c r="AR580" s="34">
        <f t="shared" si="520"/>
        <v>11.69708585</v>
      </c>
      <c r="AS580" s="34">
        <f t="shared" si="521"/>
        <v>0.02490728953</v>
      </c>
      <c r="AT580" s="35">
        <f t="shared" si="15"/>
        <v>97.70057287</v>
      </c>
      <c r="AV580" s="32">
        <f t="shared" si="522"/>
        <v>12937.60358</v>
      </c>
    </row>
    <row r="581" ht="14.25" customHeight="1">
      <c r="B581" s="83"/>
      <c r="C581" s="100" t="s">
        <v>46</v>
      </c>
      <c r="D581" s="74"/>
      <c r="E581" s="84" t="s">
        <v>75</v>
      </c>
      <c r="F581" s="75"/>
      <c r="G581" s="27">
        <v>49.13</v>
      </c>
      <c r="H581" s="27">
        <v>6.54</v>
      </c>
      <c r="I581" s="27">
        <v>44.16</v>
      </c>
      <c r="J581" s="27">
        <v>0.12</v>
      </c>
      <c r="K581" s="27">
        <v>0.05</v>
      </c>
      <c r="L581" s="63">
        <f t="shared" si="528"/>
        <v>12.44</v>
      </c>
      <c r="M581" s="40">
        <v>80.0</v>
      </c>
      <c r="N581" s="40">
        <v>7.3</v>
      </c>
      <c r="O581" s="22">
        <v>0.26</v>
      </c>
      <c r="P581" s="76">
        <v>0.0</v>
      </c>
      <c r="Q581" s="89">
        <v>850.0</v>
      </c>
      <c r="R581" s="22" t="s">
        <v>62</v>
      </c>
      <c r="S581" s="25">
        <v>0.63</v>
      </c>
      <c r="T581" s="22">
        <v>17.12</v>
      </c>
      <c r="U581" s="22">
        <v>37.7</v>
      </c>
      <c r="V581" s="22">
        <v>29.1</v>
      </c>
      <c r="W581" s="22">
        <v>19.6</v>
      </c>
      <c r="X581" s="22">
        <v>10.4</v>
      </c>
      <c r="Y581" s="78">
        <f t="shared" si="512"/>
        <v>0.06182677368</v>
      </c>
      <c r="Z581" s="22" t="s">
        <v>51</v>
      </c>
      <c r="AA581" s="22" t="s">
        <v>51</v>
      </c>
      <c r="AB581" s="22" t="s">
        <v>51</v>
      </c>
      <c r="AC581" s="32">
        <f t="shared" si="513"/>
        <v>11472.84018</v>
      </c>
      <c r="AD581" s="22" t="s">
        <v>51</v>
      </c>
      <c r="AK581" s="33">
        <f t="shared" si="514"/>
        <v>0.004285714286</v>
      </c>
      <c r="AL581" s="33">
        <f t="shared" si="515"/>
        <v>6.927523971</v>
      </c>
      <c r="AM581" s="33">
        <f t="shared" si="516"/>
        <v>6.931809685</v>
      </c>
      <c r="AO581" s="34">
        <f t="shared" si="517"/>
        <v>37.67669131</v>
      </c>
      <c r="AP581" s="34">
        <f t="shared" si="518"/>
        <v>29.08200841</v>
      </c>
      <c r="AQ581" s="34">
        <f t="shared" si="519"/>
        <v>19.58788195</v>
      </c>
      <c r="AR581" s="34">
        <f t="shared" si="520"/>
        <v>10.39357002</v>
      </c>
      <c r="AS581" s="34">
        <f t="shared" si="521"/>
        <v>0.06182677368</v>
      </c>
      <c r="AT581" s="35">
        <f t="shared" si="15"/>
        <v>96.80197846</v>
      </c>
      <c r="AV581" s="32">
        <f t="shared" si="522"/>
        <v>11465.74689</v>
      </c>
    </row>
    <row r="582" ht="14.25" customHeight="1">
      <c r="B582" s="83"/>
      <c r="C582" s="100" t="s">
        <v>46</v>
      </c>
      <c r="D582" s="74"/>
      <c r="E582" s="84" t="s">
        <v>75</v>
      </c>
      <c r="F582" s="75"/>
      <c r="G582" s="27">
        <v>49.13</v>
      </c>
      <c r="H582" s="27">
        <v>6.54</v>
      </c>
      <c r="I582" s="27">
        <v>44.16</v>
      </c>
      <c r="J582" s="27">
        <v>0.12</v>
      </c>
      <c r="K582" s="27">
        <v>0.05</v>
      </c>
      <c r="L582" s="63">
        <f t="shared" si="528"/>
        <v>12.44</v>
      </c>
      <c r="M582" s="40">
        <v>80.0</v>
      </c>
      <c r="N582" s="40">
        <v>7.3</v>
      </c>
      <c r="O582" s="22">
        <v>0.26</v>
      </c>
      <c r="P582" s="76">
        <v>0.0</v>
      </c>
      <c r="Q582" s="89">
        <v>840.0</v>
      </c>
      <c r="R582" s="22" t="s">
        <v>62</v>
      </c>
      <c r="S582" s="25">
        <v>0.63</v>
      </c>
      <c r="T582" s="22">
        <v>17.12</v>
      </c>
      <c r="U582" s="25">
        <v>38.2563510392609</v>
      </c>
      <c r="V582" s="25">
        <v>17.6558891454965</v>
      </c>
      <c r="W582" s="25">
        <v>28.8337182448036</v>
      </c>
      <c r="X582" s="25">
        <v>11.0046189376443</v>
      </c>
      <c r="Y582" s="78">
        <f t="shared" si="512"/>
        <v>0.06014792274</v>
      </c>
      <c r="Z582" s="22" t="s">
        <v>51</v>
      </c>
      <c r="AA582" s="22" t="s">
        <v>51</v>
      </c>
      <c r="AB582" s="22" t="s">
        <v>51</v>
      </c>
      <c r="AC582" s="32">
        <f t="shared" si="513"/>
        <v>10303.70299</v>
      </c>
      <c r="AD582" s="22" t="s">
        <v>51</v>
      </c>
      <c r="AK582" s="33">
        <f t="shared" si="514"/>
        <v>0.004285714286</v>
      </c>
      <c r="AL582" s="33">
        <f t="shared" si="515"/>
        <v>7.121004887</v>
      </c>
      <c r="AM582" s="33">
        <f t="shared" si="516"/>
        <v>7.125290601</v>
      </c>
      <c r="AO582" s="34">
        <f t="shared" si="517"/>
        <v>38.23334064</v>
      </c>
      <c r="AP582" s="34">
        <f t="shared" si="518"/>
        <v>17.64526949</v>
      </c>
      <c r="AQ582" s="34">
        <f t="shared" si="519"/>
        <v>28.81637536</v>
      </c>
      <c r="AR582" s="34">
        <f t="shared" si="520"/>
        <v>10.99799989</v>
      </c>
      <c r="AS582" s="34">
        <f t="shared" si="521"/>
        <v>0.06014792274</v>
      </c>
      <c r="AT582" s="35">
        <f t="shared" si="15"/>
        <v>95.75313331</v>
      </c>
      <c r="AV582" s="32">
        <f t="shared" si="522"/>
        <v>10297.50552</v>
      </c>
    </row>
    <row r="583" ht="14.25" customHeight="1">
      <c r="B583" s="83"/>
      <c r="C583" s="100" t="s">
        <v>46</v>
      </c>
      <c r="D583" s="74"/>
      <c r="E583" s="84" t="s">
        <v>75</v>
      </c>
      <c r="F583" s="75"/>
      <c r="G583" s="27">
        <v>49.13</v>
      </c>
      <c r="H583" s="27">
        <v>6.54</v>
      </c>
      <c r="I583" s="27">
        <v>44.16</v>
      </c>
      <c r="J583" s="27">
        <v>0.12</v>
      </c>
      <c r="K583" s="27">
        <v>0.05</v>
      </c>
      <c r="L583" s="63">
        <f t="shared" si="528"/>
        <v>12.44</v>
      </c>
      <c r="M583" s="40">
        <v>80.0</v>
      </c>
      <c r="N583" s="40">
        <v>7.3</v>
      </c>
      <c r="O583" s="22">
        <v>0.26</v>
      </c>
      <c r="P583" s="76">
        <v>0.0</v>
      </c>
      <c r="Q583" s="89">
        <v>840.0</v>
      </c>
      <c r="R583" s="22" t="s">
        <v>62</v>
      </c>
      <c r="S583" s="25">
        <v>0.63</v>
      </c>
      <c r="T583" s="22">
        <v>17.12</v>
      </c>
      <c r="U583" s="25">
        <v>38.3487297921478</v>
      </c>
      <c r="V583" s="25">
        <v>17.2863741339491</v>
      </c>
      <c r="W583" s="25">
        <v>29.9422632794457</v>
      </c>
      <c r="X583" s="25">
        <v>11.743648960739</v>
      </c>
      <c r="Y583" s="78">
        <f t="shared" si="512"/>
        <v>0.06169324999</v>
      </c>
      <c r="Z583" s="22" t="s">
        <v>51</v>
      </c>
      <c r="AA583" s="22" t="s">
        <v>51</v>
      </c>
      <c r="AB583" s="22" t="s">
        <v>51</v>
      </c>
      <c r="AC583" s="32">
        <f t="shared" si="513"/>
        <v>10531.7952</v>
      </c>
      <c r="AD583" s="22" t="s">
        <v>51</v>
      </c>
      <c r="AK583" s="33">
        <f t="shared" si="514"/>
        <v>0.004285714286</v>
      </c>
      <c r="AL583" s="33">
        <f t="shared" si="515"/>
        <v>6.942526597</v>
      </c>
      <c r="AM583" s="33">
        <f t="shared" si="516"/>
        <v>6.946812312</v>
      </c>
      <c r="AO583" s="34">
        <f t="shared" si="517"/>
        <v>38.32507121</v>
      </c>
      <c r="AP583" s="34">
        <f t="shared" si="518"/>
        <v>17.27570961</v>
      </c>
      <c r="AQ583" s="34">
        <f t="shared" si="519"/>
        <v>29.92379092</v>
      </c>
      <c r="AR583" s="34">
        <f t="shared" si="520"/>
        <v>11.73640392</v>
      </c>
      <c r="AS583" s="34">
        <f t="shared" si="521"/>
        <v>0.06169324999</v>
      </c>
      <c r="AT583" s="35">
        <f t="shared" si="15"/>
        <v>97.32266892</v>
      </c>
      <c r="AV583" s="32">
        <f t="shared" si="522"/>
        <v>10525.29779</v>
      </c>
    </row>
    <row r="584" ht="14.25" customHeight="1">
      <c r="B584" s="83"/>
      <c r="C584" s="100" t="s">
        <v>46</v>
      </c>
      <c r="D584" s="74"/>
      <c r="E584" s="84" t="s">
        <v>75</v>
      </c>
      <c r="F584" s="75"/>
      <c r="G584" s="27">
        <v>49.13</v>
      </c>
      <c r="H584" s="27">
        <v>6.54</v>
      </c>
      <c r="I584" s="27">
        <v>44.16</v>
      </c>
      <c r="J584" s="27">
        <v>0.12</v>
      </c>
      <c r="K584" s="27">
        <v>0.05</v>
      </c>
      <c r="L584" s="63">
        <f t="shared" si="528"/>
        <v>12.44</v>
      </c>
      <c r="M584" s="40">
        <v>80.0</v>
      </c>
      <c r="N584" s="40">
        <v>7.3</v>
      </c>
      <c r="O584" s="22">
        <v>0.26</v>
      </c>
      <c r="P584" s="76">
        <v>0.0</v>
      </c>
      <c r="Q584" s="89">
        <v>840.0</v>
      </c>
      <c r="R584" s="22" t="s">
        <v>62</v>
      </c>
      <c r="S584" s="25">
        <v>0.63</v>
      </c>
      <c r="T584" s="22">
        <v>17.12</v>
      </c>
      <c r="U584" s="25">
        <v>39.0877598152424</v>
      </c>
      <c r="V584" s="25">
        <v>16.9168591224018</v>
      </c>
      <c r="W584" s="25">
        <v>28.8337182448036</v>
      </c>
      <c r="X584" s="25">
        <v>11.9284064665127</v>
      </c>
      <c r="Y584" s="78">
        <f t="shared" si="512"/>
        <v>0.06034109126</v>
      </c>
      <c r="Z584" s="22" t="s">
        <v>51</v>
      </c>
      <c r="AA584" s="22" t="s">
        <v>51</v>
      </c>
      <c r="AB584" s="22" t="s">
        <v>51</v>
      </c>
      <c r="AC584" s="32">
        <f t="shared" si="513"/>
        <v>10631.09411</v>
      </c>
      <c r="AD584" s="22" t="s">
        <v>51</v>
      </c>
      <c r="AK584" s="33">
        <f t="shared" si="514"/>
        <v>0.004285714286</v>
      </c>
      <c r="AL584" s="33">
        <f t="shared" si="515"/>
        <v>7.098194862</v>
      </c>
      <c r="AM584" s="33">
        <f t="shared" si="516"/>
        <v>7.102480576</v>
      </c>
      <c r="AO584" s="34">
        <f t="shared" si="517"/>
        <v>39.06417383</v>
      </c>
      <c r="AP584" s="34">
        <f t="shared" si="518"/>
        <v>16.90665131</v>
      </c>
      <c r="AQ584" s="34">
        <f t="shared" si="519"/>
        <v>28.81631966</v>
      </c>
      <c r="AR584" s="34">
        <f t="shared" si="520"/>
        <v>11.92120874</v>
      </c>
      <c r="AS584" s="34">
        <f t="shared" si="521"/>
        <v>0.06034109126</v>
      </c>
      <c r="AT584" s="35">
        <f t="shared" si="15"/>
        <v>96.76869463</v>
      </c>
      <c r="AV584" s="32">
        <f t="shared" si="522"/>
        <v>10624.67919</v>
      </c>
    </row>
    <row r="585" ht="14.25" customHeight="1">
      <c r="B585" s="83"/>
      <c r="C585" s="100" t="s">
        <v>46</v>
      </c>
      <c r="D585" s="74"/>
      <c r="E585" s="84" t="s">
        <v>75</v>
      </c>
      <c r="F585" s="75"/>
      <c r="G585" s="27">
        <v>49.13</v>
      </c>
      <c r="H585" s="27">
        <v>6.54</v>
      </c>
      <c r="I585" s="27">
        <v>44.16</v>
      </c>
      <c r="J585" s="27">
        <v>0.12</v>
      </c>
      <c r="K585" s="27">
        <v>0.05</v>
      </c>
      <c r="L585" s="63">
        <f t="shared" si="528"/>
        <v>12.44</v>
      </c>
      <c r="M585" s="40">
        <v>80.0</v>
      </c>
      <c r="N585" s="40">
        <v>7.3</v>
      </c>
      <c r="O585" s="22">
        <v>0.26</v>
      </c>
      <c r="P585" s="76">
        <v>0.0</v>
      </c>
      <c r="Q585" s="89">
        <v>840.0</v>
      </c>
      <c r="R585" s="22" t="s">
        <v>62</v>
      </c>
      <c r="S585" s="25">
        <v>0.63</v>
      </c>
      <c r="T585" s="22">
        <v>17.12</v>
      </c>
      <c r="U585" s="25">
        <v>38.3487297921478</v>
      </c>
      <c r="V585" s="25">
        <v>16.5473441108545</v>
      </c>
      <c r="W585" s="25">
        <v>29.0184757505773</v>
      </c>
      <c r="X585" s="25">
        <v>11.3741339491916</v>
      </c>
      <c r="Y585" s="78">
        <f t="shared" si="512"/>
        <v>0.0595684127</v>
      </c>
      <c r="Z585" s="22" t="s">
        <v>51</v>
      </c>
      <c r="AA585" s="22" t="s">
        <v>51</v>
      </c>
      <c r="AB585" s="22" t="s">
        <v>51</v>
      </c>
      <c r="AC585" s="32">
        <f t="shared" si="513"/>
        <v>10306.02483</v>
      </c>
      <c r="AD585" s="22" t="s">
        <v>51</v>
      </c>
      <c r="AK585" s="33">
        <f t="shared" si="514"/>
        <v>0.004285714286</v>
      </c>
      <c r="AL585" s="33">
        <f t="shared" si="515"/>
        <v>7.190323126</v>
      </c>
      <c r="AM585" s="33">
        <f t="shared" si="516"/>
        <v>7.19460884</v>
      </c>
      <c r="AO585" s="34">
        <f t="shared" si="517"/>
        <v>38.32588606</v>
      </c>
      <c r="AP585" s="34">
        <f t="shared" si="518"/>
        <v>16.53748712</v>
      </c>
      <c r="AQ585" s="34">
        <f t="shared" si="519"/>
        <v>29.00118991</v>
      </c>
      <c r="AR585" s="34">
        <f t="shared" si="520"/>
        <v>11.36735856</v>
      </c>
      <c r="AS585" s="34">
        <f t="shared" si="521"/>
        <v>0.0595684127</v>
      </c>
      <c r="AT585" s="35">
        <f t="shared" si="15"/>
        <v>95.29149006</v>
      </c>
      <c r="AV585" s="32">
        <f t="shared" si="522"/>
        <v>10299.88569</v>
      </c>
    </row>
    <row r="586" ht="14.25" customHeight="1">
      <c r="B586" s="83"/>
      <c r="C586" s="100" t="s">
        <v>46</v>
      </c>
      <c r="D586" s="74"/>
      <c r="E586" s="84" t="s">
        <v>75</v>
      </c>
      <c r="F586" s="75"/>
      <c r="G586" s="27">
        <v>49.13</v>
      </c>
      <c r="H586" s="27">
        <v>6.54</v>
      </c>
      <c r="I586" s="27">
        <v>44.16</v>
      </c>
      <c r="J586" s="27">
        <v>0.12</v>
      </c>
      <c r="K586" s="27">
        <v>0.05</v>
      </c>
      <c r="L586" s="63">
        <f t="shared" si="528"/>
        <v>12.44</v>
      </c>
      <c r="M586" s="40">
        <v>80.0</v>
      </c>
      <c r="N586" s="40">
        <v>7.3</v>
      </c>
      <c r="O586" s="22">
        <v>0.26</v>
      </c>
      <c r="P586" s="76">
        <v>0.0</v>
      </c>
      <c r="Q586" s="89">
        <v>840.0</v>
      </c>
      <c r="R586" s="22" t="s">
        <v>62</v>
      </c>
      <c r="S586" s="25">
        <v>0.63</v>
      </c>
      <c r="T586" s="22">
        <v>17.12</v>
      </c>
      <c r="U586" s="25">
        <v>38.7182448036951</v>
      </c>
      <c r="V586" s="25">
        <v>17.1939953810623</v>
      </c>
      <c r="W586" s="25">
        <v>28.8337182448036</v>
      </c>
      <c r="X586" s="25">
        <v>11.0969976905311</v>
      </c>
      <c r="Y586" s="78">
        <f t="shared" si="512"/>
        <v>0.05976158346</v>
      </c>
      <c r="Z586" s="22" t="s">
        <v>51</v>
      </c>
      <c r="AA586" s="22" t="s">
        <v>51</v>
      </c>
      <c r="AB586" s="22" t="s">
        <v>51</v>
      </c>
      <c r="AC586" s="32">
        <f t="shared" si="513"/>
        <v>10328.31203</v>
      </c>
      <c r="AD586" s="22" t="s">
        <v>51</v>
      </c>
      <c r="AK586" s="33">
        <f t="shared" si="514"/>
        <v>0.004285714286</v>
      </c>
      <c r="AL586" s="33">
        <f t="shared" si="515"/>
        <v>7.167067583</v>
      </c>
      <c r="AM586" s="33">
        <f t="shared" si="516"/>
        <v>7.171353297</v>
      </c>
      <c r="AO586" s="34">
        <f t="shared" si="517"/>
        <v>38.69510617</v>
      </c>
      <c r="AP586" s="34">
        <f t="shared" si="518"/>
        <v>17.18371998</v>
      </c>
      <c r="AQ586" s="34">
        <f t="shared" si="519"/>
        <v>28.81648676</v>
      </c>
      <c r="AR586" s="34">
        <f t="shared" si="520"/>
        <v>11.09036595</v>
      </c>
      <c r="AS586" s="34">
        <f t="shared" si="521"/>
        <v>0.05976158346</v>
      </c>
      <c r="AT586" s="35">
        <f t="shared" si="15"/>
        <v>95.84544044</v>
      </c>
      <c r="AV586" s="32">
        <f t="shared" si="522"/>
        <v>10322.13966</v>
      </c>
    </row>
    <row r="587" ht="14.25" customHeight="1">
      <c r="B587" s="83"/>
      <c r="C587" s="100" t="s">
        <v>46</v>
      </c>
      <c r="D587" s="74"/>
      <c r="E587" s="84" t="s">
        <v>75</v>
      </c>
      <c r="F587" s="75"/>
      <c r="G587" s="27">
        <v>49.13</v>
      </c>
      <c r="H587" s="27">
        <v>6.54</v>
      </c>
      <c r="I587" s="27">
        <v>44.16</v>
      </c>
      <c r="J587" s="27">
        <v>0.12</v>
      </c>
      <c r="K587" s="27">
        <v>0.05</v>
      </c>
      <c r="L587" s="63">
        <f t="shared" si="528"/>
        <v>12.44</v>
      </c>
      <c r="M587" s="40">
        <v>80.0</v>
      </c>
      <c r="N587" s="40">
        <v>7.3</v>
      </c>
      <c r="O587" s="22">
        <v>0.26</v>
      </c>
      <c r="P587" s="76">
        <v>0.0</v>
      </c>
      <c r="Q587" s="89">
        <v>840.0</v>
      </c>
      <c r="R587" s="22" t="s">
        <v>62</v>
      </c>
      <c r="S587" s="25">
        <v>0.63</v>
      </c>
      <c r="T587" s="22">
        <v>17.12</v>
      </c>
      <c r="U587" s="25">
        <v>39.0877598152424</v>
      </c>
      <c r="V587" s="25">
        <v>17.0092378752886</v>
      </c>
      <c r="W587" s="25">
        <v>28.5565819861431</v>
      </c>
      <c r="X587" s="25">
        <v>11.0046189376443</v>
      </c>
      <c r="Y587" s="78">
        <f t="shared" si="512"/>
        <v>0.05918206894</v>
      </c>
      <c r="Z587" s="22" t="s">
        <v>51</v>
      </c>
      <c r="AA587" s="22" t="s">
        <v>51</v>
      </c>
      <c r="AB587" s="22" t="s">
        <v>51</v>
      </c>
      <c r="AC587" s="32">
        <f t="shared" si="513"/>
        <v>10311.76056</v>
      </c>
      <c r="AD587" s="22" t="s">
        <v>51</v>
      </c>
      <c r="AK587" s="33">
        <f t="shared" si="514"/>
        <v>0.004285714286</v>
      </c>
      <c r="AL587" s="33">
        <f t="shared" si="515"/>
        <v>7.237289923</v>
      </c>
      <c r="AM587" s="33">
        <f t="shared" si="516"/>
        <v>7.241575637</v>
      </c>
      <c r="AO587" s="34">
        <f t="shared" si="517"/>
        <v>39.06462687</v>
      </c>
      <c r="AP587" s="34">
        <f t="shared" si="518"/>
        <v>16.99917146</v>
      </c>
      <c r="AQ587" s="34">
        <f t="shared" si="519"/>
        <v>28.53968161</v>
      </c>
      <c r="AR587" s="34">
        <f t="shared" si="520"/>
        <v>10.99810618</v>
      </c>
      <c r="AS587" s="34">
        <f t="shared" si="521"/>
        <v>0.05918206894</v>
      </c>
      <c r="AT587" s="35">
        <f t="shared" si="15"/>
        <v>95.66076818</v>
      </c>
      <c r="AV587" s="32">
        <f t="shared" si="522"/>
        <v>10305.65784</v>
      </c>
    </row>
    <row r="588" ht="14.25" customHeight="1">
      <c r="B588" s="83"/>
      <c r="C588" s="100" t="s">
        <v>46</v>
      </c>
      <c r="D588" s="74"/>
      <c r="E588" s="84" t="s">
        <v>75</v>
      </c>
      <c r="F588" s="75"/>
      <c r="G588" s="27">
        <v>49.13</v>
      </c>
      <c r="H588" s="27">
        <v>6.54</v>
      </c>
      <c r="I588" s="27">
        <v>44.16</v>
      </c>
      <c r="J588" s="27">
        <v>0.12</v>
      </c>
      <c r="K588" s="27">
        <v>0.05</v>
      </c>
      <c r="L588" s="63">
        <f t="shared" si="528"/>
        <v>12.44</v>
      </c>
      <c r="M588" s="40">
        <v>80.0</v>
      </c>
      <c r="N588" s="40">
        <v>7.3</v>
      </c>
      <c r="O588" s="22">
        <v>0.26</v>
      </c>
      <c r="P588" s="76">
        <v>0.0</v>
      </c>
      <c r="Q588" s="89">
        <v>840.0</v>
      </c>
      <c r="R588" s="22" t="s">
        <v>62</v>
      </c>
      <c r="S588" s="25">
        <v>0.63</v>
      </c>
      <c r="T588" s="22">
        <v>17.12</v>
      </c>
      <c r="U588" s="25">
        <v>38.3487297921478</v>
      </c>
      <c r="V588" s="25">
        <v>17.378752886836</v>
      </c>
      <c r="W588" s="25">
        <v>29.1108545034642</v>
      </c>
      <c r="X588" s="25">
        <v>11.0969976905311</v>
      </c>
      <c r="Y588" s="78">
        <f t="shared" si="512"/>
        <v>0.06024450709</v>
      </c>
      <c r="Z588" s="22" t="s">
        <v>51</v>
      </c>
      <c r="AA588" s="22" t="s">
        <v>51</v>
      </c>
      <c r="AB588" s="22" t="s">
        <v>51</v>
      </c>
      <c r="AC588" s="32">
        <f t="shared" si="513"/>
        <v>10311.76303</v>
      </c>
      <c r="AD588" s="22" t="s">
        <v>51</v>
      </c>
      <c r="AK588" s="33">
        <f t="shared" si="514"/>
        <v>0.004285714286</v>
      </c>
      <c r="AL588" s="33">
        <f t="shared" si="515"/>
        <v>7.109581579</v>
      </c>
      <c r="AM588" s="33">
        <f t="shared" si="516"/>
        <v>7.113867293</v>
      </c>
      <c r="AO588" s="34">
        <f t="shared" si="517"/>
        <v>38.32562679</v>
      </c>
      <c r="AP588" s="34">
        <f t="shared" si="518"/>
        <v>17.36828314</v>
      </c>
      <c r="AQ588" s="34">
        <f t="shared" si="519"/>
        <v>29.09331681</v>
      </c>
      <c r="AR588" s="34">
        <f t="shared" si="520"/>
        <v>11.09031236</v>
      </c>
      <c r="AS588" s="34">
        <f t="shared" si="521"/>
        <v>0.06024450709</v>
      </c>
      <c r="AT588" s="35">
        <f t="shared" si="15"/>
        <v>95.93778361</v>
      </c>
      <c r="AV588" s="32">
        <f t="shared" si="522"/>
        <v>10305.55076</v>
      </c>
    </row>
    <row r="589" ht="14.25" customHeight="1">
      <c r="B589" s="83"/>
      <c r="C589" s="100" t="s">
        <v>46</v>
      </c>
      <c r="D589" s="74"/>
      <c r="E589" s="84" t="s">
        <v>75</v>
      </c>
      <c r="F589" s="75"/>
      <c r="G589" s="27">
        <v>49.13</v>
      </c>
      <c r="H589" s="27">
        <v>6.54</v>
      </c>
      <c r="I589" s="27">
        <v>44.16</v>
      </c>
      <c r="J589" s="27">
        <v>0.12</v>
      </c>
      <c r="K589" s="27">
        <v>0.05</v>
      </c>
      <c r="L589" s="63">
        <f t="shared" si="528"/>
        <v>12.44</v>
      </c>
      <c r="M589" s="40">
        <v>80.0</v>
      </c>
      <c r="N589" s="40">
        <v>7.3</v>
      </c>
      <c r="O589" s="22">
        <v>0.26</v>
      </c>
      <c r="P589" s="76">
        <v>0.0</v>
      </c>
      <c r="Q589" s="89">
        <v>840.0</v>
      </c>
      <c r="R589" s="22" t="s">
        <v>62</v>
      </c>
      <c r="S589" s="25">
        <v>0.63</v>
      </c>
      <c r="T589" s="22">
        <v>17.12</v>
      </c>
      <c r="U589" s="25">
        <v>38.9953810623556</v>
      </c>
      <c r="V589" s="25">
        <v>17.6558891454965</v>
      </c>
      <c r="W589" s="25">
        <v>29.5727482678983</v>
      </c>
      <c r="X589" s="25">
        <v>11.3741339491916</v>
      </c>
      <c r="Y589" s="78">
        <f t="shared" si="512"/>
        <v>0.06130692266</v>
      </c>
      <c r="Z589" s="22" t="s">
        <v>51</v>
      </c>
      <c r="AA589" s="22" t="s">
        <v>51</v>
      </c>
      <c r="AB589" s="22" t="s">
        <v>51</v>
      </c>
      <c r="AC589" s="32">
        <f t="shared" si="513"/>
        <v>10515.88708</v>
      </c>
      <c r="AD589" s="22" t="s">
        <v>51</v>
      </c>
      <c r="AK589" s="33">
        <f t="shared" si="514"/>
        <v>0.004285714286</v>
      </c>
      <c r="AL589" s="33">
        <f t="shared" si="515"/>
        <v>6.986302135</v>
      </c>
      <c r="AM589" s="33">
        <f t="shared" si="516"/>
        <v>6.990587849</v>
      </c>
      <c r="AO589" s="34">
        <f t="shared" si="517"/>
        <v>38.97147419</v>
      </c>
      <c r="AP589" s="34">
        <f t="shared" si="518"/>
        <v>17.64506486</v>
      </c>
      <c r="AQ589" s="34">
        <f t="shared" si="519"/>
        <v>29.55461813</v>
      </c>
      <c r="AR589" s="34">
        <f t="shared" si="520"/>
        <v>11.36716082</v>
      </c>
      <c r="AS589" s="34">
        <f t="shared" si="521"/>
        <v>0.06130692266</v>
      </c>
      <c r="AT589" s="35">
        <f t="shared" si="15"/>
        <v>97.59962492</v>
      </c>
      <c r="AV589" s="32">
        <f t="shared" si="522"/>
        <v>10509.44012</v>
      </c>
    </row>
    <row r="590" ht="14.25" customHeight="1">
      <c r="B590" s="83"/>
      <c r="C590" s="100" t="s">
        <v>46</v>
      </c>
      <c r="D590" s="74"/>
      <c r="E590" s="84" t="s">
        <v>75</v>
      </c>
      <c r="F590" s="75"/>
      <c r="G590" s="27">
        <v>49.13</v>
      </c>
      <c r="H590" s="27">
        <v>6.54</v>
      </c>
      <c r="I590" s="27">
        <v>44.16</v>
      </c>
      <c r="J590" s="27">
        <v>0.12</v>
      </c>
      <c r="K590" s="27">
        <v>0.05</v>
      </c>
      <c r="L590" s="63">
        <f t="shared" si="528"/>
        <v>12.44</v>
      </c>
      <c r="M590" s="40">
        <v>80.0</v>
      </c>
      <c r="N590" s="40">
        <v>7.3</v>
      </c>
      <c r="O590" s="22">
        <v>0.26</v>
      </c>
      <c r="P590" s="76">
        <v>0.0</v>
      </c>
      <c r="Q590" s="89">
        <v>840.0</v>
      </c>
      <c r="R590" s="22" t="s">
        <v>62</v>
      </c>
      <c r="S590" s="25">
        <v>0.63</v>
      </c>
      <c r="T590" s="22">
        <v>17.12</v>
      </c>
      <c r="U590" s="25">
        <v>38.4411085450346</v>
      </c>
      <c r="V590" s="25">
        <v>18.0254041570438</v>
      </c>
      <c r="W590" s="25">
        <v>29.1108545034642</v>
      </c>
      <c r="X590" s="25">
        <v>11.4665127020785</v>
      </c>
      <c r="Y590" s="78">
        <f t="shared" si="512"/>
        <v>0.06130692266</v>
      </c>
      <c r="Z590" s="22" t="s">
        <v>51</v>
      </c>
      <c r="AA590" s="22" t="s">
        <v>51</v>
      </c>
      <c r="AB590" s="22" t="s">
        <v>51</v>
      </c>
      <c r="AC590" s="32">
        <f t="shared" si="513"/>
        <v>10535.83512</v>
      </c>
      <c r="AD590" s="22" t="s">
        <v>51</v>
      </c>
      <c r="AK590" s="33">
        <f t="shared" si="514"/>
        <v>0.004285714286</v>
      </c>
      <c r="AL590" s="33">
        <f t="shared" si="515"/>
        <v>6.986302135</v>
      </c>
      <c r="AM590" s="33">
        <f t="shared" si="516"/>
        <v>6.990587849</v>
      </c>
      <c r="AO590" s="34">
        <f t="shared" si="517"/>
        <v>38.41754148</v>
      </c>
      <c r="AP590" s="34">
        <f t="shared" si="518"/>
        <v>18.01435334</v>
      </c>
      <c r="AQ590" s="34">
        <f t="shared" si="519"/>
        <v>29.09300753</v>
      </c>
      <c r="AR590" s="34">
        <f t="shared" si="520"/>
        <v>11.45948294</v>
      </c>
      <c r="AS590" s="34">
        <f t="shared" si="521"/>
        <v>0.06130692266</v>
      </c>
      <c r="AT590" s="35">
        <f t="shared" si="15"/>
        <v>97.04569221</v>
      </c>
      <c r="AV590" s="32">
        <f t="shared" si="522"/>
        <v>10529.37592</v>
      </c>
    </row>
    <row r="591" ht="14.25" customHeight="1">
      <c r="B591" s="83"/>
      <c r="C591" s="100" t="s">
        <v>46</v>
      </c>
      <c r="D591" s="74"/>
      <c r="E591" s="84" t="s">
        <v>75</v>
      </c>
      <c r="F591" s="75"/>
      <c r="G591" s="27">
        <v>49.13</v>
      </c>
      <c r="H591" s="27">
        <v>6.54</v>
      </c>
      <c r="I591" s="27">
        <v>44.16</v>
      </c>
      <c r="J591" s="27">
        <v>0.12</v>
      </c>
      <c r="K591" s="27">
        <v>0.05</v>
      </c>
      <c r="L591" s="63">
        <f t="shared" si="528"/>
        <v>12.44</v>
      </c>
      <c r="M591" s="40">
        <v>80.0</v>
      </c>
      <c r="N591" s="40">
        <v>7.3</v>
      </c>
      <c r="O591" s="22">
        <v>0.26</v>
      </c>
      <c r="P591" s="76">
        <v>0.0</v>
      </c>
      <c r="Q591" s="89">
        <v>840.0</v>
      </c>
      <c r="R591" s="22" t="s">
        <v>62</v>
      </c>
      <c r="S591" s="25">
        <v>0.63</v>
      </c>
      <c r="T591" s="22">
        <v>17.12</v>
      </c>
      <c r="U591" s="25">
        <v>38.3487297921478</v>
      </c>
      <c r="V591" s="25">
        <v>17.6558891454965</v>
      </c>
      <c r="W591" s="25">
        <v>29.5727482678983</v>
      </c>
      <c r="X591" s="25">
        <v>11.189376443418</v>
      </c>
      <c r="Y591" s="78">
        <f t="shared" si="512"/>
        <v>0.06111375787</v>
      </c>
      <c r="Z591" s="22" t="s">
        <v>51</v>
      </c>
      <c r="AA591" s="22" t="s">
        <v>51</v>
      </c>
      <c r="AB591" s="22" t="s">
        <v>51</v>
      </c>
      <c r="AC591" s="32">
        <f t="shared" si="513"/>
        <v>10379.87669</v>
      </c>
      <c r="AD591" s="22" t="s">
        <v>51</v>
      </c>
      <c r="AK591" s="33">
        <f t="shared" si="514"/>
        <v>0.004285714286</v>
      </c>
      <c r="AL591" s="33">
        <f t="shared" si="515"/>
        <v>7.008397575</v>
      </c>
      <c r="AM591" s="33">
        <f t="shared" si="516"/>
        <v>7.01268329</v>
      </c>
      <c r="AO591" s="34">
        <f t="shared" si="517"/>
        <v>38.32529344</v>
      </c>
      <c r="AP591" s="34">
        <f t="shared" si="518"/>
        <v>17.64509897</v>
      </c>
      <c r="AQ591" s="34">
        <f t="shared" si="519"/>
        <v>29.55467525</v>
      </c>
      <c r="AR591" s="34">
        <f t="shared" si="520"/>
        <v>11.18253819</v>
      </c>
      <c r="AS591" s="34">
        <f t="shared" si="521"/>
        <v>0.06111375787</v>
      </c>
      <c r="AT591" s="35">
        <f t="shared" si="15"/>
        <v>96.76871961</v>
      </c>
      <c r="AV591" s="32">
        <f t="shared" si="522"/>
        <v>10373.53316</v>
      </c>
    </row>
    <row r="592" ht="14.25" customHeight="1">
      <c r="B592" s="83"/>
      <c r="C592" s="100" t="s">
        <v>46</v>
      </c>
      <c r="D592" s="74"/>
      <c r="E592" s="84" t="s">
        <v>75</v>
      </c>
      <c r="F592" s="75"/>
      <c r="G592" s="27">
        <v>49.13</v>
      </c>
      <c r="H592" s="27">
        <v>6.54</v>
      </c>
      <c r="I592" s="27">
        <v>44.16</v>
      </c>
      <c r="J592" s="27">
        <v>0.12</v>
      </c>
      <c r="K592" s="27">
        <v>0.05</v>
      </c>
      <c r="L592" s="63">
        <f t="shared" si="528"/>
        <v>12.44</v>
      </c>
      <c r="M592" s="40">
        <v>80.0</v>
      </c>
      <c r="N592" s="40">
        <v>7.3</v>
      </c>
      <c r="O592" s="22">
        <v>0.26</v>
      </c>
      <c r="P592" s="76">
        <v>0.0</v>
      </c>
      <c r="Q592" s="89">
        <v>840.0</v>
      </c>
      <c r="R592" s="22" t="s">
        <v>62</v>
      </c>
      <c r="S592" s="25">
        <v>0.63</v>
      </c>
      <c r="T592" s="22">
        <v>17.12</v>
      </c>
      <c r="U592" s="25">
        <v>38.0715935334873</v>
      </c>
      <c r="V592" s="25">
        <v>17.6558891454965</v>
      </c>
      <c r="W592" s="25">
        <v>29.4803695150115</v>
      </c>
      <c r="X592" s="25">
        <v>11.3741339491916</v>
      </c>
      <c r="Y592" s="78">
        <f t="shared" si="512"/>
        <v>0.06121034036</v>
      </c>
      <c r="Z592" s="22" t="s">
        <v>51</v>
      </c>
      <c r="AA592" s="22" t="s">
        <v>51</v>
      </c>
      <c r="AB592" s="22" t="s">
        <v>51</v>
      </c>
      <c r="AC592" s="32">
        <f t="shared" si="513"/>
        <v>10416.15927</v>
      </c>
      <c r="AD592" s="22" t="s">
        <v>51</v>
      </c>
      <c r="AK592" s="33">
        <f t="shared" si="514"/>
        <v>0.004285714286</v>
      </c>
      <c r="AL592" s="33">
        <f t="shared" si="515"/>
        <v>6.997332412</v>
      </c>
      <c r="AM592" s="33">
        <f t="shared" si="516"/>
        <v>7.001618127</v>
      </c>
      <c r="AO592" s="34">
        <f t="shared" si="517"/>
        <v>38.04828978</v>
      </c>
      <c r="AP592" s="34">
        <f t="shared" si="518"/>
        <v>17.64508192</v>
      </c>
      <c r="AQ592" s="34">
        <f t="shared" si="519"/>
        <v>29.46232448</v>
      </c>
      <c r="AR592" s="34">
        <f t="shared" si="520"/>
        <v>11.3671718</v>
      </c>
      <c r="AS592" s="34">
        <f t="shared" si="521"/>
        <v>0.06121034036</v>
      </c>
      <c r="AT592" s="35">
        <f t="shared" si="15"/>
        <v>96.58407832</v>
      </c>
      <c r="AV592" s="32">
        <f t="shared" si="522"/>
        <v>10409.7835</v>
      </c>
    </row>
    <row r="593" ht="14.25" customHeight="1">
      <c r="B593" s="83"/>
      <c r="C593" s="100" t="s">
        <v>46</v>
      </c>
      <c r="D593" s="74"/>
      <c r="E593" s="84" t="s">
        <v>75</v>
      </c>
      <c r="F593" s="75"/>
      <c r="G593" s="27">
        <v>49.13</v>
      </c>
      <c r="H593" s="27">
        <v>6.54</v>
      </c>
      <c r="I593" s="27">
        <v>44.16</v>
      </c>
      <c r="J593" s="27">
        <v>0.12</v>
      </c>
      <c r="K593" s="27">
        <v>0.05</v>
      </c>
      <c r="L593" s="63">
        <f t="shared" si="528"/>
        <v>12.44</v>
      </c>
      <c r="M593" s="40">
        <v>80.0</v>
      </c>
      <c r="N593" s="40">
        <v>7.3</v>
      </c>
      <c r="O593" s="22">
        <v>0.26</v>
      </c>
      <c r="P593" s="76">
        <v>0.0</v>
      </c>
      <c r="Q593" s="89">
        <v>840.0</v>
      </c>
      <c r="R593" s="22" t="s">
        <v>62</v>
      </c>
      <c r="S593" s="25">
        <v>0.63</v>
      </c>
      <c r="T593" s="22">
        <v>17.12</v>
      </c>
      <c r="U593" s="25">
        <v>38.0715935334873</v>
      </c>
      <c r="V593" s="25">
        <v>17.5635103926097</v>
      </c>
      <c r="W593" s="25">
        <v>29.4803695150115</v>
      </c>
      <c r="X593" s="25">
        <v>11.743648960739</v>
      </c>
      <c r="Y593" s="78">
        <f t="shared" si="512"/>
        <v>0.0615000867</v>
      </c>
      <c r="Z593" s="22" t="s">
        <v>51</v>
      </c>
      <c r="AA593" s="22" t="s">
        <v>51</v>
      </c>
      <c r="AB593" s="22" t="s">
        <v>51</v>
      </c>
      <c r="AC593" s="32">
        <f t="shared" si="513"/>
        <v>10536.89005</v>
      </c>
      <c r="AD593" s="22" t="s">
        <v>51</v>
      </c>
      <c r="AK593" s="33">
        <f t="shared" si="514"/>
        <v>0.004285714286</v>
      </c>
      <c r="AL593" s="33">
        <f t="shared" si="515"/>
        <v>6.964345577</v>
      </c>
      <c r="AM593" s="33">
        <f t="shared" si="516"/>
        <v>6.968631291</v>
      </c>
      <c r="AO593" s="34">
        <f t="shared" si="517"/>
        <v>38.04817947</v>
      </c>
      <c r="AP593" s="34">
        <f t="shared" si="518"/>
        <v>17.55270882</v>
      </c>
      <c r="AQ593" s="34">
        <f t="shared" si="519"/>
        <v>29.46223906</v>
      </c>
      <c r="AR593" s="34">
        <f t="shared" si="520"/>
        <v>11.73642661</v>
      </c>
      <c r="AS593" s="34">
        <f t="shared" si="521"/>
        <v>0.0615000867</v>
      </c>
      <c r="AT593" s="35">
        <f t="shared" si="15"/>
        <v>96.86105404</v>
      </c>
      <c r="AV593" s="32">
        <f t="shared" si="522"/>
        <v>10530.40986</v>
      </c>
    </row>
    <row r="594" ht="14.25" customHeight="1">
      <c r="B594" s="83"/>
      <c r="C594" s="100" t="s">
        <v>46</v>
      </c>
      <c r="D594" s="74"/>
      <c r="E594" s="84" t="s">
        <v>75</v>
      </c>
      <c r="F594" s="75"/>
      <c r="G594" s="27">
        <v>49.13</v>
      </c>
      <c r="H594" s="27">
        <v>6.54</v>
      </c>
      <c r="I594" s="27">
        <v>44.16</v>
      </c>
      <c r="J594" s="27">
        <v>0.12</v>
      </c>
      <c r="K594" s="27">
        <v>0.05</v>
      </c>
      <c r="L594" s="63">
        <f t="shared" si="528"/>
        <v>12.44</v>
      </c>
      <c r="M594" s="40">
        <v>80.0</v>
      </c>
      <c r="N594" s="40">
        <v>7.3</v>
      </c>
      <c r="O594" s="22">
        <v>0.26</v>
      </c>
      <c r="P594" s="76">
        <v>0.0</v>
      </c>
      <c r="Q594" s="89">
        <v>840.0</v>
      </c>
      <c r="R594" s="22" t="s">
        <v>62</v>
      </c>
      <c r="S594" s="25">
        <v>0.63</v>
      </c>
      <c r="T594" s="22">
        <v>17.12</v>
      </c>
      <c r="U594" s="25">
        <v>38.0715935334873</v>
      </c>
      <c r="V594" s="25">
        <v>17.7482678983833</v>
      </c>
      <c r="W594" s="25">
        <v>29.2956120092378</v>
      </c>
      <c r="X594" s="25">
        <v>11.5588914549653</v>
      </c>
      <c r="Y594" s="78">
        <f t="shared" si="512"/>
        <v>0.06130692266</v>
      </c>
      <c r="Z594" s="22" t="s">
        <v>51</v>
      </c>
      <c r="AA594" s="22" t="s">
        <v>51</v>
      </c>
      <c r="AB594" s="22" t="s">
        <v>51</v>
      </c>
      <c r="AC594" s="32">
        <f t="shared" si="513"/>
        <v>10494.03126</v>
      </c>
      <c r="AD594" s="22" t="s">
        <v>51</v>
      </c>
      <c r="AK594" s="33">
        <f t="shared" si="514"/>
        <v>0.004285714286</v>
      </c>
      <c r="AL594" s="33">
        <f t="shared" si="515"/>
        <v>6.986302135</v>
      </c>
      <c r="AM594" s="33">
        <f t="shared" si="516"/>
        <v>6.990587849</v>
      </c>
      <c r="AO594" s="34">
        <f t="shared" si="517"/>
        <v>38.04825301</v>
      </c>
      <c r="AP594" s="34">
        <f t="shared" si="518"/>
        <v>17.73738698</v>
      </c>
      <c r="AQ594" s="34">
        <f t="shared" si="519"/>
        <v>29.27765177</v>
      </c>
      <c r="AR594" s="34">
        <f t="shared" si="520"/>
        <v>11.55180505</v>
      </c>
      <c r="AS594" s="34">
        <f t="shared" si="521"/>
        <v>0.06130692266</v>
      </c>
      <c r="AT594" s="35">
        <f t="shared" si="15"/>
        <v>96.67640374</v>
      </c>
      <c r="AV594" s="32">
        <f t="shared" si="522"/>
        <v>10487.59769</v>
      </c>
    </row>
    <row r="595" ht="14.25" customHeight="1">
      <c r="B595" s="83"/>
      <c r="C595" s="100" t="s">
        <v>46</v>
      </c>
      <c r="D595" s="74"/>
      <c r="E595" s="84" t="s">
        <v>75</v>
      </c>
      <c r="F595" s="75"/>
      <c r="G595" s="27">
        <v>49.13</v>
      </c>
      <c r="H595" s="27">
        <v>6.54</v>
      </c>
      <c r="I595" s="27">
        <v>44.16</v>
      </c>
      <c r="J595" s="27">
        <v>0.12</v>
      </c>
      <c r="K595" s="27">
        <v>0.05</v>
      </c>
      <c r="L595" s="63">
        <f t="shared" si="528"/>
        <v>12.44</v>
      </c>
      <c r="M595" s="40">
        <v>80.0</v>
      </c>
      <c r="N595" s="40">
        <v>7.3</v>
      </c>
      <c r="O595" s="22">
        <v>0.26</v>
      </c>
      <c r="P595" s="76">
        <v>0.0</v>
      </c>
      <c r="Q595" s="89">
        <v>840.0</v>
      </c>
      <c r="R595" s="22" t="s">
        <v>62</v>
      </c>
      <c r="S595" s="25">
        <v>0.63</v>
      </c>
      <c r="T595" s="22">
        <v>17.12</v>
      </c>
      <c r="U595" s="25">
        <v>39.0877598152424</v>
      </c>
      <c r="V595" s="25">
        <v>17.7482678983833</v>
      </c>
      <c r="W595" s="25">
        <v>29.5727482678983</v>
      </c>
      <c r="X595" s="25">
        <v>11.4665127020785</v>
      </c>
      <c r="Y595" s="78">
        <f t="shared" si="512"/>
        <v>0.0615000867</v>
      </c>
      <c r="Z595" s="22" t="s">
        <v>51</v>
      </c>
      <c r="AA595" s="22" t="s">
        <v>51</v>
      </c>
      <c r="AB595" s="22" t="s">
        <v>51</v>
      </c>
      <c r="AC595" s="32">
        <f t="shared" si="513"/>
        <v>10570.63139</v>
      </c>
      <c r="AD595" s="22" t="s">
        <v>51</v>
      </c>
      <c r="AK595" s="33">
        <f t="shared" si="514"/>
        <v>0.004285714286</v>
      </c>
      <c r="AL595" s="33">
        <f t="shared" si="515"/>
        <v>6.964345577</v>
      </c>
      <c r="AM595" s="33">
        <f t="shared" si="516"/>
        <v>6.968631291</v>
      </c>
      <c r="AO595" s="34">
        <f t="shared" si="517"/>
        <v>39.06372081</v>
      </c>
      <c r="AP595" s="34">
        <f t="shared" si="518"/>
        <v>17.7373527</v>
      </c>
      <c r="AQ595" s="34">
        <f t="shared" si="519"/>
        <v>29.554561</v>
      </c>
      <c r="AR595" s="34">
        <f t="shared" si="520"/>
        <v>11.45946079</v>
      </c>
      <c r="AS595" s="34">
        <f t="shared" si="521"/>
        <v>0.0615000867</v>
      </c>
      <c r="AT595" s="35">
        <f t="shared" si="15"/>
        <v>97.87659538</v>
      </c>
      <c r="AV595" s="32">
        <f t="shared" si="522"/>
        <v>10564.13044</v>
      </c>
    </row>
    <row r="596" ht="14.25" customHeight="1">
      <c r="B596" s="83"/>
      <c r="C596" s="100" t="s">
        <v>46</v>
      </c>
      <c r="D596" s="74"/>
      <c r="E596" s="84" t="s">
        <v>75</v>
      </c>
      <c r="F596" s="75"/>
      <c r="G596" s="27">
        <v>49.13</v>
      </c>
      <c r="H596" s="27">
        <v>6.54</v>
      </c>
      <c r="I596" s="27">
        <v>44.16</v>
      </c>
      <c r="J596" s="27">
        <v>0.12</v>
      </c>
      <c r="K596" s="27">
        <v>0.05</v>
      </c>
      <c r="L596" s="63">
        <f t="shared" si="528"/>
        <v>12.44</v>
      </c>
      <c r="M596" s="40">
        <v>80.0</v>
      </c>
      <c r="N596" s="40">
        <v>7.3</v>
      </c>
      <c r="O596" s="22">
        <v>0.26</v>
      </c>
      <c r="P596" s="76">
        <v>0.0</v>
      </c>
      <c r="Q596" s="89">
        <v>840.0</v>
      </c>
      <c r="R596" s="22" t="s">
        <v>62</v>
      </c>
      <c r="S596" s="25">
        <v>0.63</v>
      </c>
      <c r="T596" s="22">
        <v>17.12</v>
      </c>
      <c r="U596" s="25">
        <v>38.7182448036951</v>
      </c>
      <c r="V596" s="25">
        <v>17.6558891454965</v>
      </c>
      <c r="W596" s="25">
        <v>29.0184757505773</v>
      </c>
      <c r="X596" s="25">
        <v>11.0969976905311</v>
      </c>
      <c r="Y596" s="78">
        <f t="shared" si="512"/>
        <v>0.06043767524</v>
      </c>
      <c r="Z596" s="22" t="s">
        <v>51</v>
      </c>
      <c r="AA596" s="22" t="s">
        <v>51</v>
      </c>
      <c r="AB596" s="22" t="s">
        <v>51</v>
      </c>
      <c r="AC596" s="32">
        <f t="shared" si="513"/>
        <v>10386.66735</v>
      </c>
      <c r="AD596" s="22" t="s">
        <v>51</v>
      </c>
      <c r="AK596" s="33">
        <f t="shared" si="514"/>
        <v>0.004285714286</v>
      </c>
      <c r="AL596" s="33">
        <f t="shared" si="515"/>
        <v>7.08684456</v>
      </c>
      <c r="AM596" s="33">
        <f t="shared" si="516"/>
        <v>7.091130274</v>
      </c>
      <c r="AO596" s="34">
        <f t="shared" si="517"/>
        <v>38.6948444</v>
      </c>
      <c r="AP596" s="34">
        <f t="shared" si="518"/>
        <v>17.64521834</v>
      </c>
      <c r="AQ596" s="34">
        <f t="shared" si="519"/>
        <v>29.00093766</v>
      </c>
      <c r="AR596" s="34">
        <f t="shared" si="520"/>
        <v>11.09029092</v>
      </c>
      <c r="AS596" s="34">
        <f t="shared" si="521"/>
        <v>0.06043767524</v>
      </c>
      <c r="AT596" s="35">
        <f t="shared" si="15"/>
        <v>96.49172899</v>
      </c>
      <c r="AV596" s="32">
        <f t="shared" si="522"/>
        <v>10380.38989</v>
      </c>
    </row>
    <row r="597" ht="14.25" customHeight="1">
      <c r="B597" s="83"/>
      <c r="C597" s="100" t="s">
        <v>46</v>
      </c>
      <c r="D597" s="74"/>
      <c r="E597" s="84" t="s">
        <v>75</v>
      </c>
      <c r="F597" s="75"/>
      <c r="G597" s="27">
        <v>49.13</v>
      </c>
      <c r="H597" s="27">
        <v>6.54</v>
      </c>
      <c r="I597" s="27">
        <v>44.16</v>
      </c>
      <c r="J597" s="27">
        <v>0.12</v>
      </c>
      <c r="K597" s="27">
        <v>0.05</v>
      </c>
      <c r="L597" s="63">
        <f t="shared" si="528"/>
        <v>12.44</v>
      </c>
      <c r="M597" s="40">
        <v>80.0</v>
      </c>
      <c r="N597" s="40">
        <v>7.3</v>
      </c>
      <c r="O597" s="22">
        <v>0.26</v>
      </c>
      <c r="P597" s="76">
        <v>0.0</v>
      </c>
      <c r="Q597" s="89">
        <v>840.0</v>
      </c>
      <c r="R597" s="22" t="s">
        <v>62</v>
      </c>
      <c r="S597" s="25">
        <v>0.63</v>
      </c>
      <c r="T597" s="22">
        <v>17.12</v>
      </c>
      <c r="U597" s="25">
        <v>38.4411085450346</v>
      </c>
      <c r="V597" s="25">
        <v>17.4711316397228</v>
      </c>
      <c r="W597" s="25">
        <v>29.4803695150115</v>
      </c>
      <c r="X597" s="25">
        <v>11.0969976905311</v>
      </c>
      <c r="Y597" s="78">
        <f t="shared" si="512"/>
        <v>0.06072742606</v>
      </c>
      <c r="Z597" s="22" t="s">
        <v>51</v>
      </c>
      <c r="AA597" s="22" t="s">
        <v>51</v>
      </c>
      <c r="AB597" s="22" t="s">
        <v>51</v>
      </c>
      <c r="AC597" s="32">
        <f t="shared" si="513"/>
        <v>10333.40688</v>
      </c>
      <c r="AD597" s="22" t="s">
        <v>51</v>
      </c>
      <c r="AK597" s="33">
        <f t="shared" si="514"/>
        <v>0.004285714286</v>
      </c>
      <c r="AL597" s="33">
        <f t="shared" si="515"/>
        <v>7.05301041</v>
      </c>
      <c r="AM597" s="33">
        <f t="shared" si="516"/>
        <v>7.057296125</v>
      </c>
      <c r="AO597" s="34">
        <f t="shared" si="517"/>
        <v>38.41776425</v>
      </c>
      <c r="AP597" s="34">
        <f t="shared" si="518"/>
        <v>17.46052187</v>
      </c>
      <c r="AQ597" s="34">
        <f t="shared" si="519"/>
        <v>29.46246685</v>
      </c>
      <c r="AR597" s="34">
        <f t="shared" si="520"/>
        <v>11.09025877</v>
      </c>
      <c r="AS597" s="34">
        <f t="shared" si="521"/>
        <v>0.06072742606</v>
      </c>
      <c r="AT597" s="35">
        <f t="shared" si="15"/>
        <v>96.49173916</v>
      </c>
      <c r="AV597" s="32">
        <f t="shared" si="522"/>
        <v>10327.13167</v>
      </c>
    </row>
    <row r="598" ht="14.25" customHeight="1">
      <c r="B598" s="83"/>
      <c r="C598" s="100" t="s">
        <v>46</v>
      </c>
      <c r="D598" s="74"/>
      <c r="E598" s="84" t="s">
        <v>75</v>
      </c>
      <c r="F598" s="75"/>
      <c r="G598" s="27">
        <v>49.13</v>
      </c>
      <c r="H598" s="27">
        <v>6.54</v>
      </c>
      <c r="I598" s="27">
        <v>44.16</v>
      </c>
      <c r="J598" s="27">
        <v>0.12</v>
      </c>
      <c r="K598" s="27">
        <v>0.05</v>
      </c>
      <c r="L598" s="63">
        <f t="shared" si="528"/>
        <v>12.44</v>
      </c>
      <c r="M598" s="40">
        <v>80.0</v>
      </c>
      <c r="N598" s="40">
        <v>7.3</v>
      </c>
      <c r="O598" s="22">
        <v>0.26</v>
      </c>
      <c r="P598" s="76">
        <v>0.0</v>
      </c>
      <c r="Q598" s="89">
        <v>840.0</v>
      </c>
      <c r="R598" s="22" t="s">
        <v>62</v>
      </c>
      <c r="S598" s="25">
        <v>0.63</v>
      </c>
      <c r="T598" s="22">
        <v>17.12</v>
      </c>
      <c r="U598" s="25">
        <v>38.1639722863741</v>
      </c>
      <c r="V598" s="25">
        <v>17.5635103926097</v>
      </c>
      <c r="W598" s="25">
        <v>29.4803695150115</v>
      </c>
      <c r="X598" s="25">
        <v>11.2817551963048</v>
      </c>
      <c r="Y598" s="78">
        <f t="shared" si="512"/>
        <v>0.0610171752</v>
      </c>
      <c r="Z598" s="22" t="s">
        <v>51</v>
      </c>
      <c r="AA598" s="22" t="s">
        <v>51</v>
      </c>
      <c r="AB598" s="22" t="s">
        <v>51</v>
      </c>
      <c r="AC598" s="32">
        <f t="shared" si="513"/>
        <v>10381.36052</v>
      </c>
      <c r="AD598" s="22" t="s">
        <v>51</v>
      </c>
      <c r="AK598" s="33">
        <f t="shared" si="514"/>
        <v>0.004285714286</v>
      </c>
      <c r="AL598" s="33">
        <f t="shared" si="515"/>
        <v>7.019497789</v>
      </c>
      <c r="AM598" s="33">
        <f t="shared" si="516"/>
        <v>7.023783504</v>
      </c>
      <c r="AO598" s="34">
        <f t="shared" si="517"/>
        <v>38.14068571</v>
      </c>
      <c r="AP598" s="34">
        <f t="shared" si="518"/>
        <v>17.55279363</v>
      </c>
      <c r="AQ598" s="34">
        <f t="shared" si="519"/>
        <v>29.46238143</v>
      </c>
      <c r="AR598" s="34">
        <f t="shared" si="520"/>
        <v>11.27487139</v>
      </c>
      <c r="AS598" s="34">
        <f t="shared" si="521"/>
        <v>0.0610171752</v>
      </c>
      <c r="AT598" s="35">
        <f t="shared" si="15"/>
        <v>96.49174933</v>
      </c>
      <c r="AV598" s="32">
        <f t="shared" si="522"/>
        <v>10375.02611</v>
      </c>
    </row>
    <row r="599" ht="14.25" customHeight="1">
      <c r="B599" s="83"/>
      <c r="C599" s="100" t="s">
        <v>46</v>
      </c>
      <c r="D599" s="74"/>
      <c r="E599" s="84" t="s">
        <v>75</v>
      </c>
      <c r="F599" s="75"/>
      <c r="G599" s="27">
        <v>49.13</v>
      </c>
      <c r="H599" s="27">
        <v>6.54</v>
      </c>
      <c r="I599" s="27">
        <v>44.16</v>
      </c>
      <c r="J599" s="27">
        <v>0.12</v>
      </c>
      <c r="K599" s="27">
        <v>0.05</v>
      </c>
      <c r="L599" s="63">
        <f t="shared" si="528"/>
        <v>12.44</v>
      </c>
      <c r="M599" s="40">
        <v>80.0</v>
      </c>
      <c r="N599" s="40">
        <v>7.3</v>
      </c>
      <c r="O599" s="22">
        <v>0.26</v>
      </c>
      <c r="P599" s="76">
        <v>0.0</v>
      </c>
      <c r="Q599" s="89">
        <v>840.0</v>
      </c>
      <c r="R599" s="22" t="s">
        <v>62</v>
      </c>
      <c r="S599" s="25">
        <v>0.63</v>
      </c>
      <c r="T599" s="22">
        <v>17.12</v>
      </c>
      <c r="U599" s="25">
        <v>38.2563510392609</v>
      </c>
      <c r="V599" s="25">
        <v>17.7482678983833</v>
      </c>
      <c r="W599" s="25">
        <v>29.4803695150115</v>
      </c>
      <c r="X599" s="25">
        <v>11.5588914549653</v>
      </c>
      <c r="Y599" s="78">
        <f t="shared" si="512"/>
        <v>0.0615000867</v>
      </c>
      <c r="Z599" s="22" t="s">
        <v>51</v>
      </c>
      <c r="AA599" s="22" t="s">
        <v>51</v>
      </c>
      <c r="AB599" s="22" t="s">
        <v>51</v>
      </c>
      <c r="AC599" s="32">
        <f t="shared" si="513"/>
        <v>10513.97682</v>
      </c>
      <c r="AD599" s="22" t="s">
        <v>51</v>
      </c>
      <c r="AK599" s="33">
        <f t="shared" si="514"/>
        <v>0.004285714286</v>
      </c>
      <c r="AL599" s="33">
        <f t="shared" si="515"/>
        <v>6.964345577</v>
      </c>
      <c r="AM599" s="33">
        <f t="shared" si="516"/>
        <v>6.968631291</v>
      </c>
      <c r="AO599" s="34">
        <f t="shared" si="517"/>
        <v>38.23282335</v>
      </c>
      <c r="AP599" s="34">
        <f t="shared" si="518"/>
        <v>17.7373527</v>
      </c>
      <c r="AQ599" s="34">
        <f t="shared" si="519"/>
        <v>29.46223906</v>
      </c>
      <c r="AR599" s="34">
        <f t="shared" si="520"/>
        <v>11.55178273</v>
      </c>
      <c r="AS599" s="34">
        <f t="shared" si="521"/>
        <v>0.0615000867</v>
      </c>
      <c r="AT599" s="35">
        <f t="shared" si="15"/>
        <v>97.04569792</v>
      </c>
      <c r="AV599" s="32">
        <f t="shared" si="522"/>
        <v>10507.51072</v>
      </c>
    </row>
    <row r="600" ht="14.25" customHeight="1">
      <c r="B600" s="83"/>
      <c r="C600" s="100" t="s">
        <v>46</v>
      </c>
      <c r="D600" s="74"/>
      <c r="E600" s="84" t="s">
        <v>75</v>
      </c>
      <c r="F600" s="75"/>
      <c r="G600" s="27">
        <v>49.13</v>
      </c>
      <c r="H600" s="27">
        <v>6.54</v>
      </c>
      <c r="I600" s="27">
        <v>44.16</v>
      </c>
      <c r="J600" s="27">
        <v>0.12</v>
      </c>
      <c r="K600" s="27">
        <v>0.05</v>
      </c>
      <c r="L600" s="63">
        <f t="shared" si="528"/>
        <v>12.44</v>
      </c>
      <c r="M600" s="40">
        <v>80.0</v>
      </c>
      <c r="N600" s="40">
        <v>7.3</v>
      </c>
      <c r="O600" s="22">
        <v>0.26</v>
      </c>
      <c r="P600" s="76">
        <v>0.0</v>
      </c>
      <c r="Q600" s="89">
        <v>840.0</v>
      </c>
      <c r="R600" s="22" t="s">
        <v>62</v>
      </c>
      <c r="S600" s="25">
        <v>0.63</v>
      </c>
      <c r="T600" s="22">
        <v>17.12</v>
      </c>
      <c r="U600" s="25">
        <v>37.8868360277136</v>
      </c>
      <c r="V600" s="25">
        <v>18.0254041570438</v>
      </c>
      <c r="W600" s="25">
        <v>29.4803695150115</v>
      </c>
      <c r="X600" s="25">
        <v>11.6512702078522</v>
      </c>
      <c r="Y600" s="78">
        <f t="shared" si="512"/>
        <v>0.06188641253</v>
      </c>
      <c r="Z600" s="22" t="s">
        <v>51</v>
      </c>
      <c r="AA600" s="22" t="s">
        <v>51</v>
      </c>
      <c r="AB600" s="22" t="s">
        <v>51</v>
      </c>
      <c r="AC600" s="32">
        <f t="shared" si="513"/>
        <v>10542.19936</v>
      </c>
      <c r="AD600" s="22" t="s">
        <v>51</v>
      </c>
      <c r="AK600" s="33">
        <f t="shared" si="514"/>
        <v>0.004285714286</v>
      </c>
      <c r="AL600" s="33">
        <f t="shared" si="515"/>
        <v>6.920843907</v>
      </c>
      <c r="AM600" s="33">
        <f t="shared" si="516"/>
        <v>6.925129621</v>
      </c>
      <c r="AO600" s="34">
        <f t="shared" si="517"/>
        <v>37.86338922</v>
      </c>
      <c r="AP600" s="34">
        <f t="shared" si="518"/>
        <v>18.01424888</v>
      </c>
      <c r="AQ600" s="34">
        <f t="shared" si="519"/>
        <v>29.46212517</v>
      </c>
      <c r="AR600" s="34">
        <f t="shared" si="520"/>
        <v>11.64405965</v>
      </c>
      <c r="AS600" s="34">
        <f t="shared" si="521"/>
        <v>0.06188641253</v>
      </c>
      <c r="AT600" s="35">
        <f t="shared" si="15"/>
        <v>97.04570934</v>
      </c>
      <c r="AV600" s="32">
        <f t="shared" si="522"/>
        <v>10535.67517</v>
      </c>
    </row>
    <row r="601" ht="14.25" customHeight="1">
      <c r="B601" s="83"/>
      <c r="C601" s="100" t="s">
        <v>46</v>
      </c>
      <c r="D601" s="74"/>
      <c r="E601" s="84" t="s">
        <v>75</v>
      </c>
      <c r="F601" s="75"/>
      <c r="G601" s="27">
        <v>49.13</v>
      </c>
      <c r="H601" s="27">
        <v>6.54</v>
      </c>
      <c r="I601" s="27">
        <v>44.16</v>
      </c>
      <c r="J601" s="27">
        <v>0.12</v>
      </c>
      <c r="K601" s="27">
        <v>0.05</v>
      </c>
      <c r="L601" s="63">
        <f t="shared" si="528"/>
        <v>12.44</v>
      </c>
      <c r="M601" s="40">
        <v>80.0</v>
      </c>
      <c r="N601" s="40">
        <v>7.3</v>
      </c>
      <c r="O601" s="22">
        <v>0.26</v>
      </c>
      <c r="P601" s="76">
        <v>0.0</v>
      </c>
      <c r="Q601" s="89">
        <v>840.0</v>
      </c>
      <c r="R601" s="22" t="s">
        <v>62</v>
      </c>
      <c r="S601" s="25">
        <v>0.63</v>
      </c>
      <c r="T601" s="22">
        <v>17.12</v>
      </c>
      <c r="U601" s="25">
        <v>38.8106235565819</v>
      </c>
      <c r="V601" s="25">
        <v>17.6558891454965</v>
      </c>
      <c r="W601" s="25">
        <v>29.757505773672</v>
      </c>
      <c r="X601" s="25">
        <v>11.0969976905311</v>
      </c>
      <c r="Y601" s="78">
        <f t="shared" si="512"/>
        <v>0.06121034036</v>
      </c>
      <c r="Z601" s="22" t="s">
        <v>51</v>
      </c>
      <c r="AA601" s="22" t="s">
        <v>51</v>
      </c>
      <c r="AB601" s="22" t="s">
        <v>51</v>
      </c>
      <c r="AC601" s="32">
        <f t="shared" si="513"/>
        <v>10396.64014</v>
      </c>
      <c r="AD601" s="22" t="s">
        <v>51</v>
      </c>
      <c r="AK601" s="33">
        <f t="shared" si="514"/>
        <v>0.004285714286</v>
      </c>
      <c r="AL601" s="33">
        <f t="shared" si="515"/>
        <v>6.997332412</v>
      </c>
      <c r="AM601" s="33">
        <f t="shared" si="516"/>
        <v>7.001618127</v>
      </c>
      <c r="AO601" s="34">
        <f t="shared" si="517"/>
        <v>38.78686744</v>
      </c>
      <c r="AP601" s="34">
        <f t="shared" si="518"/>
        <v>17.64508192</v>
      </c>
      <c r="AQ601" s="34">
        <f t="shared" si="519"/>
        <v>29.7392911</v>
      </c>
      <c r="AR601" s="34">
        <f t="shared" si="520"/>
        <v>11.09020518</v>
      </c>
      <c r="AS601" s="34">
        <f t="shared" si="521"/>
        <v>0.06121034036</v>
      </c>
      <c r="AT601" s="35">
        <f t="shared" si="15"/>
        <v>97.32265598</v>
      </c>
      <c r="AV601" s="32">
        <f t="shared" si="522"/>
        <v>10390.27632</v>
      </c>
    </row>
    <row r="602" ht="14.25" customHeight="1">
      <c r="B602" s="83"/>
      <c r="C602" s="100" t="s">
        <v>46</v>
      </c>
      <c r="D602" s="74"/>
      <c r="E602" s="84" t="s">
        <v>75</v>
      </c>
      <c r="F602" s="75"/>
      <c r="G602" s="27">
        <v>49.13</v>
      </c>
      <c r="H602" s="27">
        <v>6.54</v>
      </c>
      <c r="I602" s="27">
        <v>44.16</v>
      </c>
      <c r="J602" s="27">
        <v>0.12</v>
      </c>
      <c r="K602" s="27">
        <v>0.05</v>
      </c>
      <c r="L602" s="63">
        <f t="shared" si="528"/>
        <v>12.44</v>
      </c>
      <c r="M602" s="40">
        <v>80.0</v>
      </c>
      <c r="N602" s="40">
        <v>7.3</v>
      </c>
      <c r="O602" s="22">
        <v>0.26</v>
      </c>
      <c r="P602" s="76">
        <v>0.0</v>
      </c>
      <c r="Q602" s="89">
        <v>840.0</v>
      </c>
      <c r="R602" s="22" t="s">
        <v>62</v>
      </c>
      <c r="S602" s="25">
        <v>0.63</v>
      </c>
      <c r="T602" s="22">
        <v>17.12</v>
      </c>
      <c r="U602" s="25">
        <v>38.4411085450346</v>
      </c>
      <c r="V602" s="25">
        <v>17.7482678983833</v>
      </c>
      <c r="W602" s="25">
        <v>29.5727482678983</v>
      </c>
      <c r="X602" s="25">
        <v>11.3741339491916</v>
      </c>
      <c r="Y602" s="78">
        <f t="shared" si="512"/>
        <v>0.06140350477</v>
      </c>
      <c r="Z602" s="22" t="s">
        <v>51</v>
      </c>
      <c r="AA602" s="22" t="s">
        <v>51</v>
      </c>
      <c r="AB602" s="22" t="s">
        <v>51</v>
      </c>
      <c r="AC602" s="32">
        <f t="shared" si="513"/>
        <v>10467.72146</v>
      </c>
      <c r="AD602" s="22" t="s">
        <v>51</v>
      </c>
      <c r="AK602" s="33">
        <f t="shared" si="514"/>
        <v>0.004285714286</v>
      </c>
      <c r="AL602" s="33">
        <f t="shared" si="515"/>
        <v>6.975306577</v>
      </c>
      <c r="AM602" s="33">
        <f t="shared" si="516"/>
        <v>6.979592292</v>
      </c>
      <c r="AO602" s="34">
        <f t="shared" si="517"/>
        <v>38.41750436</v>
      </c>
      <c r="AP602" s="34">
        <f t="shared" si="518"/>
        <v>17.73736984</v>
      </c>
      <c r="AQ602" s="34">
        <f t="shared" si="519"/>
        <v>29.55458956</v>
      </c>
      <c r="AR602" s="34">
        <f t="shared" si="520"/>
        <v>11.36714983</v>
      </c>
      <c r="AS602" s="34">
        <f t="shared" si="521"/>
        <v>0.06140350477</v>
      </c>
      <c r="AT602" s="35">
        <f t="shared" si="15"/>
        <v>97.1380171</v>
      </c>
      <c r="AV602" s="32">
        <f t="shared" si="522"/>
        <v>10461.29391</v>
      </c>
    </row>
    <row r="603" ht="14.25" customHeight="1">
      <c r="B603" s="83"/>
      <c r="C603" s="100" t="s">
        <v>46</v>
      </c>
      <c r="D603" s="74"/>
      <c r="E603" s="84" t="s">
        <v>75</v>
      </c>
      <c r="F603" s="75"/>
      <c r="G603" s="27">
        <v>49.13</v>
      </c>
      <c r="H603" s="27">
        <v>6.54</v>
      </c>
      <c r="I603" s="27">
        <v>44.16</v>
      </c>
      <c r="J603" s="27">
        <v>0.12</v>
      </c>
      <c r="K603" s="27">
        <v>0.05</v>
      </c>
      <c r="L603" s="63">
        <f t="shared" si="528"/>
        <v>12.44</v>
      </c>
      <c r="M603" s="40">
        <v>80.0</v>
      </c>
      <c r="N603" s="40">
        <v>7.3</v>
      </c>
      <c r="O603" s="22">
        <v>0.26</v>
      </c>
      <c r="P603" s="76">
        <v>0.0</v>
      </c>
      <c r="Q603" s="89">
        <v>840.0</v>
      </c>
      <c r="R603" s="22" t="s">
        <v>62</v>
      </c>
      <c r="S603" s="25">
        <v>0.63</v>
      </c>
      <c r="T603" s="22">
        <v>17.12</v>
      </c>
      <c r="U603" s="25">
        <v>38.2563510392609</v>
      </c>
      <c r="V603" s="25">
        <v>17.933025404157</v>
      </c>
      <c r="W603" s="25">
        <v>29.2956120092378</v>
      </c>
      <c r="X603" s="25">
        <v>11.5588914549653</v>
      </c>
      <c r="Y603" s="78">
        <f t="shared" si="512"/>
        <v>0.0615000867</v>
      </c>
      <c r="Z603" s="22" t="s">
        <v>51</v>
      </c>
      <c r="AA603" s="22" t="s">
        <v>51</v>
      </c>
      <c r="AB603" s="22" t="s">
        <v>51</v>
      </c>
      <c r="AC603" s="32">
        <f t="shared" si="513"/>
        <v>10537.31895</v>
      </c>
      <c r="AD603" s="22" t="s">
        <v>51</v>
      </c>
      <c r="AK603" s="33">
        <f t="shared" si="514"/>
        <v>0.004285714286</v>
      </c>
      <c r="AL603" s="33">
        <f t="shared" si="515"/>
        <v>6.964345577</v>
      </c>
      <c r="AM603" s="33">
        <f t="shared" si="516"/>
        <v>6.968631291</v>
      </c>
      <c r="AO603" s="34">
        <f t="shared" si="517"/>
        <v>38.23282335</v>
      </c>
      <c r="AP603" s="34">
        <f t="shared" si="518"/>
        <v>17.92199658</v>
      </c>
      <c r="AQ603" s="34">
        <f t="shared" si="519"/>
        <v>29.27759518</v>
      </c>
      <c r="AR603" s="34">
        <f t="shared" si="520"/>
        <v>11.55178273</v>
      </c>
      <c r="AS603" s="34">
        <f t="shared" si="521"/>
        <v>0.0615000867</v>
      </c>
      <c r="AT603" s="35">
        <f t="shared" si="15"/>
        <v>97.04569792</v>
      </c>
      <c r="AV603" s="32">
        <f t="shared" si="522"/>
        <v>10530.83849</v>
      </c>
    </row>
    <row r="604" ht="14.25" customHeight="1">
      <c r="B604" s="83"/>
      <c r="C604" s="100" t="s">
        <v>46</v>
      </c>
      <c r="D604" s="74"/>
      <c r="E604" s="84" t="s">
        <v>75</v>
      </c>
      <c r="F604" s="75"/>
      <c r="G604" s="27">
        <v>49.13</v>
      </c>
      <c r="H604" s="27">
        <v>6.54</v>
      </c>
      <c r="I604" s="27">
        <v>44.16</v>
      </c>
      <c r="J604" s="27">
        <v>0.12</v>
      </c>
      <c r="K604" s="27">
        <v>0.05</v>
      </c>
      <c r="L604" s="63">
        <f t="shared" si="528"/>
        <v>12.44</v>
      </c>
      <c r="M604" s="40">
        <v>80.0</v>
      </c>
      <c r="N604" s="40">
        <v>7.3</v>
      </c>
      <c r="O604" s="22">
        <v>0.26</v>
      </c>
      <c r="P604" s="76">
        <v>0.0</v>
      </c>
      <c r="Q604" s="89">
        <v>840.0</v>
      </c>
      <c r="R604" s="22" t="s">
        <v>62</v>
      </c>
      <c r="S604" s="25">
        <v>0.63</v>
      </c>
      <c r="T604" s="22">
        <v>17.12</v>
      </c>
      <c r="U604" s="25">
        <v>38.1639722863741</v>
      </c>
      <c r="V604" s="25">
        <v>17.378752886836</v>
      </c>
      <c r="W604" s="25">
        <v>29.5727482678983</v>
      </c>
      <c r="X604" s="25">
        <v>11.5588914549653</v>
      </c>
      <c r="Y604" s="78">
        <f t="shared" si="512"/>
        <v>0.06121034036</v>
      </c>
      <c r="Z604" s="22" t="s">
        <v>51</v>
      </c>
      <c r="AA604" s="22" t="s">
        <v>51</v>
      </c>
      <c r="AB604" s="22" t="s">
        <v>51</v>
      </c>
      <c r="AC604" s="32">
        <f t="shared" si="513"/>
        <v>10457.31978</v>
      </c>
      <c r="AD604" s="22" t="s">
        <v>51</v>
      </c>
      <c r="AK604" s="33">
        <f t="shared" si="514"/>
        <v>0.004285714286</v>
      </c>
      <c r="AL604" s="33">
        <f t="shared" si="515"/>
        <v>6.997332412</v>
      </c>
      <c r="AM604" s="33">
        <f t="shared" si="516"/>
        <v>7.001618127</v>
      </c>
      <c r="AO604" s="34">
        <f t="shared" si="517"/>
        <v>38.14061199</v>
      </c>
      <c r="AP604" s="34">
        <f t="shared" si="518"/>
        <v>17.36811529</v>
      </c>
      <c r="AQ604" s="34">
        <f t="shared" si="519"/>
        <v>29.55464669</v>
      </c>
      <c r="AR604" s="34">
        <f t="shared" si="520"/>
        <v>11.55181622</v>
      </c>
      <c r="AS604" s="34">
        <f t="shared" si="521"/>
        <v>0.06121034036</v>
      </c>
      <c r="AT604" s="35">
        <f t="shared" si="15"/>
        <v>96.67640053</v>
      </c>
      <c r="AV604" s="32">
        <f t="shared" si="522"/>
        <v>10450.91882</v>
      </c>
    </row>
    <row r="605" ht="14.25" customHeight="1">
      <c r="B605" s="83"/>
      <c r="C605" s="100" t="s">
        <v>46</v>
      </c>
      <c r="D605" s="74"/>
      <c r="E605" s="84" t="s">
        <v>75</v>
      </c>
      <c r="F605" s="75"/>
      <c r="G605" s="27">
        <v>49.13</v>
      </c>
      <c r="H605" s="27">
        <v>6.54</v>
      </c>
      <c r="I605" s="27">
        <v>44.16</v>
      </c>
      <c r="J605" s="27">
        <v>0.12</v>
      </c>
      <c r="K605" s="27">
        <v>0.05</v>
      </c>
      <c r="L605" s="63">
        <f t="shared" si="528"/>
        <v>12.44</v>
      </c>
      <c r="M605" s="40">
        <v>80.0</v>
      </c>
      <c r="N605" s="40">
        <v>7.3</v>
      </c>
      <c r="O605" s="22">
        <v>0.26</v>
      </c>
      <c r="P605" s="76">
        <v>0.0</v>
      </c>
      <c r="Q605" s="89">
        <v>840.0</v>
      </c>
      <c r="R605" s="22" t="s">
        <v>62</v>
      </c>
      <c r="S605" s="25">
        <v>0.63</v>
      </c>
      <c r="T605" s="22">
        <v>17.12</v>
      </c>
      <c r="U605" s="25">
        <v>38.5334872979214</v>
      </c>
      <c r="V605" s="25">
        <v>17.5635103926097</v>
      </c>
      <c r="W605" s="25">
        <v>29.4803695150115</v>
      </c>
      <c r="X605" s="25">
        <v>11.6512702078522</v>
      </c>
      <c r="Y605" s="78">
        <f t="shared" si="512"/>
        <v>0.06140350477</v>
      </c>
      <c r="Z605" s="22" t="s">
        <v>51</v>
      </c>
      <c r="AA605" s="22" t="s">
        <v>51</v>
      </c>
      <c r="AB605" s="22" t="s">
        <v>51</v>
      </c>
      <c r="AC605" s="32">
        <f t="shared" si="513"/>
        <v>10553.6535</v>
      </c>
      <c r="AD605" s="22" t="s">
        <v>51</v>
      </c>
      <c r="AK605" s="33">
        <f t="shared" si="514"/>
        <v>0.004285714286</v>
      </c>
      <c r="AL605" s="33">
        <f t="shared" si="515"/>
        <v>6.975306577</v>
      </c>
      <c r="AM605" s="33">
        <f t="shared" si="516"/>
        <v>6.979592292</v>
      </c>
      <c r="AO605" s="34">
        <f t="shared" si="517"/>
        <v>38.50982639</v>
      </c>
      <c r="AP605" s="34">
        <f t="shared" si="518"/>
        <v>17.55272578</v>
      </c>
      <c r="AQ605" s="34">
        <f t="shared" si="519"/>
        <v>29.46226753</v>
      </c>
      <c r="AR605" s="34">
        <f t="shared" si="520"/>
        <v>11.64411592</v>
      </c>
      <c r="AS605" s="34">
        <f t="shared" si="521"/>
        <v>0.06140350477</v>
      </c>
      <c r="AT605" s="35">
        <f t="shared" si="15"/>
        <v>97.23033913</v>
      </c>
      <c r="AV605" s="32">
        <f t="shared" si="522"/>
        <v>10547.17318</v>
      </c>
    </row>
    <row r="606" ht="14.25" customHeight="1">
      <c r="B606" s="83"/>
      <c r="C606" s="100" t="s">
        <v>46</v>
      </c>
      <c r="D606" s="74"/>
      <c r="E606" s="84" t="s">
        <v>75</v>
      </c>
      <c r="F606" s="75"/>
      <c r="G606" s="27">
        <v>49.13</v>
      </c>
      <c r="H606" s="27">
        <v>6.54</v>
      </c>
      <c r="I606" s="27">
        <v>44.16</v>
      </c>
      <c r="J606" s="27">
        <v>0.12</v>
      </c>
      <c r="K606" s="27">
        <v>0.05</v>
      </c>
      <c r="L606" s="63">
        <f t="shared" si="528"/>
        <v>12.44</v>
      </c>
      <c r="M606" s="40">
        <v>80.0</v>
      </c>
      <c r="N606" s="40">
        <v>7.3</v>
      </c>
      <c r="O606" s="22">
        <v>0.26</v>
      </c>
      <c r="P606" s="76">
        <v>0.0</v>
      </c>
      <c r="Q606" s="89">
        <v>840.0</v>
      </c>
      <c r="R606" s="22" t="s">
        <v>62</v>
      </c>
      <c r="S606" s="25">
        <v>0.63</v>
      </c>
      <c r="T606" s="22">
        <v>17.12</v>
      </c>
      <c r="U606" s="25">
        <v>38.7182448036951</v>
      </c>
      <c r="V606" s="25">
        <v>18.0254041570438</v>
      </c>
      <c r="W606" s="25">
        <v>29.3879907621247</v>
      </c>
      <c r="X606" s="25">
        <v>11.5588914549653</v>
      </c>
      <c r="Y606" s="78">
        <f t="shared" si="512"/>
        <v>0.06169324999</v>
      </c>
      <c r="Z606" s="22" t="s">
        <v>51</v>
      </c>
      <c r="AA606" s="22" t="s">
        <v>51</v>
      </c>
      <c r="AB606" s="22" t="s">
        <v>51</v>
      </c>
      <c r="AC606" s="32">
        <f t="shared" si="513"/>
        <v>10598.85393</v>
      </c>
      <c r="AD606" s="22" t="s">
        <v>51</v>
      </c>
      <c r="AK606" s="33">
        <f t="shared" si="514"/>
        <v>0.004285714286</v>
      </c>
      <c r="AL606" s="33">
        <f t="shared" si="515"/>
        <v>6.942526597</v>
      </c>
      <c r="AM606" s="33">
        <f t="shared" si="516"/>
        <v>6.946812312</v>
      </c>
      <c r="AO606" s="34">
        <f t="shared" si="517"/>
        <v>38.69435826</v>
      </c>
      <c r="AP606" s="34">
        <f t="shared" si="518"/>
        <v>18.0142837</v>
      </c>
      <c r="AQ606" s="34">
        <f t="shared" si="519"/>
        <v>29.36986036</v>
      </c>
      <c r="AR606" s="34">
        <f t="shared" si="520"/>
        <v>11.5517604</v>
      </c>
      <c r="AS606" s="34">
        <f t="shared" si="521"/>
        <v>0.06169324999</v>
      </c>
      <c r="AT606" s="35">
        <f t="shared" si="15"/>
        <v>97.69195596</v>
      </c>
      <c r="AV606" s="32">
        <f t="shared" si="522"/>
        <v>10592.31515</v>
      </c>
    </row>
    <row r="607" ht="14.25" customHeight="1">
      <c r="B607" s="83"/>
      <c r="C607" s="100" t="s">
        <v>46</v>
      </c>
      <c r="D607" s="74"/>
      <c r="E607" s="84" t="s">
        <v>75</v>
      </c>
      <c r="F607" s="75"/>
      <c r="G607" s="27">
        <v>49.13</v>
      </c>
      <c r="H607" s="27">
        <v>6.54</v>
      </c>
      <c r="I607" s="27">
        <v>44.16</v>
      </c>
      <c r="J607" s="27">
        <v>0.12</v>
      </c>
      <c r="K607" s="27">
        <v>0.05</v>
      </c>
      <c r="L607" s="63">
        <f t="shared" si="528"/>
        <v>12.44</v>
      </c>
      <c r="M607" s="40">
        <v>80.0</v>
      </c>
      <c r="N607" s="40">
        <v>7.3</v>
      </c>
      <c r="O607" s="22">
        <v>0.26</v>
      </c>
      <c r="P607" s="76">
        <v>0.0</v>
      </c>
      <c r="Q607" s="89">
        <v>840.0</v>
      </c>
      <c r="R607" s="22" t="s">
        <v>62</v>
      </c>
      <c r="S607" s="25">
        <v>0.63</v>
      </c>
      <c r="T607" s="22">
        <v>17.12</v>
      </c>
      <c r="U607" s="25">
        <v>38.3487297921478</v>
      </c>
      <c r="V607" s="25">
        <v>17.4711316397228</v>
      </c>
      <c r="W607" s="25">
        <v>28.9260969976905</v>
      </c>
      <c r="X607" s="25">
        <v>11.4665127020785</v>
      </c>
      <c r="Y607" s="78">
        <f t="shared" si="512"/>
        <v>0.06053425903</v>
      </c>
      <c r="Z607" s="22" t="s">
        <v>51</v>
      </c>
      <c r="AA607" s="22" t="s">
        <v>51</v>
      </c>
      <c r="AB607" s="22" t="s">
        <v>51</v>
      </c>
      <c r="AC607" s="32">
        <f t="shared" si="513"/>
        <v>10455.83595</v>
      </c>
      <c r="AD607" s="22" t="s">
        <v>51</v>
      </c>
      <c r="AK607" s="33">
        <f t="shared" si="514"/>
        <v>0.004285714286</v>
      </c>
      <c r="AL607" s="33">
        <f t="shared" si="515"/>
        <v>7.0755305</v>
      </c>
      <c r="AM607" s="33">
        <f t="shared" si="516"/>
        <v>7.079816214</v>
      </c>
      <c r="AO607" s="34">
        <f t="shared" si="517"/>
        <v>38.32551567</v>
      </c>
      <c r="AP607" s="34">
        <f t="shared" si="518"/>
        <v>17.46055562</v>
      </c>
      <c r="AQ607" s="34">
        <f t="shared" si="519"/>
        <v>28.9085868</v>
      </c>
      <c r="AR607" s="34">
        <f t="shared" si="520"/>
        <v>11.45957153</v>
      </c>
      <c r="AS607" s="34">
        <f t="shared" si="521"/>
        <v>0.06053425903</v>
      </c>
      <c r="AT607" s="35">
        <f t="shared" si="15"/>
        <v>96.21476388</v>
      </c>
      <c r="AV607" s="32">
        <f t="shared" si="522"/>
        <v>10449.50658</v>
      </c>
    </row>
    <row r="608" ht="14.25" customHeight="1">
      <c r="B608" s="83"/>
      <c r="C608" s="100" t="s">
        <v>46</v>
      </c>
      <c r="D608" s="74"/>
      <c r="E608" s="84" t="s">
        <v>75</v>
      </c>
      <c r="F608" s="75"/>
      <c r="G608" s="27">
        <v>49.13</v>
      </c>
      <c r="H608" s="27">
        <v>6.54</v>
      </c>
      <c r="I608" s="27">
        <v>44.16</v>
      </c>
      <c r="J608" s="27">
        <v>0.12</v>
      </c>
      <c r="K608" s="27">
        <v>0.05</v>
      </c>
      <c r="L608" s="63">
        <f t="shared" si="528"/>
        <v>12.44</v>
      </c>
      <c r="M608" s="40">
        <v>80.0</v>
      </c>
      <c r="N608" s="40">
        <v>7.3</v>
      </c>
      <c r="O608" s="22">
        <v>0.26</v>
      </c>
      <c r="P608" s="76">
        <v>0.0</v>
      </c>
      <c r="Q608" s="89">
        <v>840.0</v>
      </c>
      <c r="R608" s="22" t="s">
        <v>62</v>
      </c>
      <c r="S608" s="25">
        <v>0.63</v>
      </c>
      <c r="T608" s="22">
        <v>17.12</v>
      </c>
      <c r="U608" s="25">
        <v>37.6096997690531</v>
      </c>
      <c r="V608" s="25">
        <v>17.6558891454965</v>
      </c>
      <c r="W608" s="25">
        <v>29.2956120092378</v>
      </c>
      <c r="X608" s="25">
        <v>11.6512702078522</v>
      </c>
      <c r="Y608" s="78">
        <f t="shared" si="512"/>
        <v>0.06130692266</v>
      </c>
      <c r="Z608" s="22" t="s">
        <v>51</v>
      </c>
      <c r="AA608" s="22" t="s">
        <v>51</v>
      </c>
      <c r="AB608" s="22" t="s">
        <v>51</v>
      </c>
      <c r="AC608" s="32">
        <f t="shared" si="513"/>
        <v>10465.59675</v>
      </c>
      <c r="AD608" s="22" t="s">
        <v>51</v>
      </c>
      <c r="AK608" s="33">
        <f t="shared" si="514"/>
        <v>0.004285714286</v>
      </c>
      <c r="AL608" s="33">
        <f t="shared" si="515"/>
        <v>6.986302135</v>
      </c>
      <c r="AM608" s="33">
        <f t="shared" si="516"/>
        <v>6.990587849</v>
      </c>
      <c r="AO608" s="34">
        <f t="shared" si="517"/>
        <v>37.58664242</v>
      </c>
      <c r="AP608" s="34">
        <f t="shared" si="518"/>
        <v>17.64506486</v>
      </c>
      <c r="AQ608" s="34">
        <f t="shared" si="519"/>
        <v>29.27765177</v>
      </c>
      <c r="AR608" s="34">
        <f t="shared" si="520"/>
        <v>11.64412717</v>
      </c>
      <c r="AS608" s="34">
        <f t="shared" si="521"/>
        <v>0.06130692266</v>
      </c>
      <c r="AT608" s="35">
        <f t="shared" si="15"/>
        <v>96.21479315</v>
      </c>
      <c r="AV608" s="32">
        <f t="shared" si="522"/>
        <v>10459.18061</v>
      </c>
    </row>
    <row r="609" ht="14.25" customHeight="1">
      <c r="B609" s="83"/>
      <c r="C609" s="100" t="s">
        <v>46</v>
      </c>
      <c r="D609" s="74"/>
      <c r="E609" s="84" t="s">
        <v>75</v>
      </c>
      <c r="F609" s="75"/>
      <c r="G609" s="27">
        <v>49.13</v>
      </c>
      <c r="H609" s="27">
        <v>6.54</v>
      </c>
      <c r="I609" s="27">
        <v>44.16</v>
      </c>
      <c r="J609" s="27">
        <v>0.12</v>
      </c>
      <c r="K609" s="27">
        <v>0.05</v>
      </c>
      <c r="L609" s="63">
        <f t="shared" si="528"/>
        <v>12.44</v>
      </c>
      <c r="M609" s="40">
        <v>80.0</v>
      </c>
      <c r="N609" s="40">
        <v>7.3</v>
      </c>
      <c r="O609" s="22">
        <v>0.26</v>
      </c>
      <c r="P609" s="76">
        <v>0.0</v>
      </c>
      <c r="Q609" s="89">
        <v>840.0</v>
      </c>
      <c r="R609" s="22" t="s">
        <v>62</v>
      </c>
      <c r="S609" s="25">
        <v>0.63</v>
      </c>
      <c r="T609" s="22">
        <v>17.12</v>
      </c>
      <c r="U609" s="25">
        <v>38.2563510392609</v>
      </c>
      <c r="V609" s="25">
        <v>18.1177829099307</v>
      </c>
      <c r="W609" s="25">
        <v>29.2956120092378</v>
      </c>
      <c r="X609" s="25">
        <v>11.6512702078522</v>
      </c>
      <c r="Y609" s="78">
        <f t="shared" si="512"/>
        <v>0.06178983135</v>
      </c>
      <c r="Z609" s="22" t="s">
        <v>51</v>
      </c>
      <c r="AA609" s="22" t="s">
        <v>51</v>
      </c>
      <c r="AB609" s="22" t="s">
        <v>51</v>
      </c>
      <c r="AC609" s="32">
        <f t="shared" si="513"/>
        <v>10593.76155</v>
      </c>
      <c r="AD609" s="22" t="s">
        <v>51</v>
      </c>
      <c r="AK609" s="33">
        <f t="shared" si="514"/>
        <v>0.004285714286</v>
      </c>
      <c r="AL609" s="33">
        <f t="shared" si="515"/>
        <v>6.931668296</v>
      </c>
      <c r="AM609" s="33">
        <f t="shared" si="516"/>
        <v>6.93595401</v>
      </c>
      <c r="AO609" s="34">
        <f t="shared" si="517"/>
        <v>38.2327125</v>
      </c>
      <c r="AP609" s="34">
        <f t="shared" si="518"/>
        <v>18.10658796</v>
      </c>
      <c r="AQ609" s="34">
        <f t="shared" si="519"/>
        <v>29.2775103</v>
      </c>
      <c r="AR609" s="34">
        <f t="shared" si="520"/>
        <v>11.64407091</v>
      </c>
      <c r="AS609" s="34">
        <f t="shared" si="521"/>
        <v>0.06178983135</v>
      </c>
      <c r="AT609" s="35">
        <f t="shared" si="15"/>
        <v>97.32267151</v>
      </c>
      <c r="AV609" s="32">
        <f t="shared" si="522"/>
        <v>10587.21568</v>
      </c>
    </row>
    <row r="610" ht="14.25" customHeight="1">
      <c r="B610" s="83"/>
      <c r="C610" s="100" t="s">
        <v>46</v>
      </c>
      <c r="D610" s="74"/>
      <c r="E610" s="84" t="s">
        <v>75</v>
      </c>
      <c r="F610" s="75"/>
      <c r="G610" s="27">
        <v>49.13</v>
      </c>
      <c r="H610" s="27">
        <v>6.54</v>
      </c>
      <c r="I610" s="27">
        <v>44.16</v>
      </c>
      <c r="J610" s="27">
        <v>0.12</v>
      </c>
      <c r="K610" s="27">
        <v>0.05</v>
      </c>
      <c r="L610" s="63">
        <f t="shared" si="528"/>
        <v>12.44</v>
      </c>
      <c r="M610" s="40">
        <v>80.0</v>
      </c>
      <c r="N610" s="40">
        <v>7.3</v>
      </c>
      <c r="O610" s="22">
        <v>0.26</v>
      </c>
      <c r="P610" s="76">
        <v>0.0</v>
      </c>
      <c r="Q610" s="89">
        <v>840.0</v>
      </c>
      <c r="R610" s="22" t="s">
        <v>62</v>
      </c>
      <c r="S610" s="25">
        <v>0.63</v>
      </c>
      <c r="T610" s="22">
        <v>17.12</v>
      </c>
      <c r="U610" s="25">
        <v>37.7020785219399</v>
      </c>
      <c r="V610" s="25">
        <v>17.8406466512702</v>
      </c>
      <c r="W610" s="25">
        <v>29.3879907621247</v>
      </c>
      <c r="X610" s="25">
        <v>11.3741339491916</v>
      </c>
      <c r="Y610" s="78">
        <f t="shared" si="512"/>
        <v>0.06130692266</v>
      </c>
      <c r="Z610" s="22" t="s">
        <v>51</v>
      </c>
      <c r="AA610" s="22" t="s">
        <v>51</v>
      </c>
      <c r="AB610" s="22" t="s">
        <v>51</v>
      </c>
      <c r="AC610" s="32">
        <f t="shared" si="513"/>
        <v>10399.61028</v>
      </c>
      <c r="AD610" s="22" t="s">
        <v>51</v>
      </c>
      <c r="AK610" s="33">
        <f t="shared" si="514"/>
        <v>0.004285714286</v>
      </c>
      <c r="AL610" s="33">
        <f t="shared" si="515"/>
        <v>6.986302135</v>
      </c>
      <c r="AM610" s="33">
        <f t="shared" si="516"/>
        <v>6.990587849</v>
      </c>
      <c r="AO610" s="34">
        <f t="shared" si="517"/>
        <v>37.67896454</v>
      </c>
      <c r="AP610" s="34">
        <f t="shared" si="518"/>
        <v>17.8297091</v>
      </c>
      <c r="AQ610" s="34">
        <f t="shared" si="519"/>
        <v>29.36997389</v>
      </c>
      <c r="AR610" s="34">
        <f t="shared" si="520"/>
        <v>11.36716082</v>
      </c>
      <c r="AS610" s="34">
        <f t="shared" si="521"/>
        <v>0.06130692266</v>
      </c>
      <c r="AT610" s="35">
        <f t="shared" si="15"/>
        <v>96.30711527</v>
      </c>
      <c r="AV610" s="32">
        <f t="shared" si="522"/>
        <v>10393.2346</v>
      </c>
    </row>
    <row r="611" ht="14.25" customHeight="1">
      <c r="B611" s="83"/>
      <c r="C611" s="100" t="s">
        <v>46</v>
      </c>
      <c r="D611" s="74"/>
      <c r="E611" s="84" t="s">
        <v>75</v>
      </c>
      <c r="F611" s="75"/>
      <c r="G611" s="27">
        <v>49.13</v>
      </c>
      <c r="H611" s="27">
        <v>6.54</v>
      </c>
      <c r="I611" s="27">
        <v>44.16</v>
      </c>
      <c r="J611" s="27">
        <v>0.12</v>
      </c>
      <c r="K611" s="27">
        <v>0.05</v>
      </c>
      <c r="L611" s="63">
        <f t="shared" si="528"/>
        <v>12.44</v>
      </c>
      <c r="M611" s="40">
        <v>80.0</v>
      </c>
      <c r="N611" s="40">
        <v>7.3</v>
      </c>
      <c r="O611" s="22">
        <v>0.26</v>
      </c>
      <c r="P611" s="76">
        <v>0.0</v>
      </c>
      <c r="Q611" s="89">
        <v>840.0</v>
      </c>
      <c r="R611" s="22" t="s">
        <v>62</v>
      </c>
      <c r="S611" s="25">
        <v>0.63</v>
      </c>
      <c r="T611" s="22">
        <v>17.12</v>
      </c>
      <c r="U611" s="25">
        <v>38.7182448036951</v>
      </c>
      <c r="V611" s="25">
        <v>18.0254041570438</v>
      </c>
      <c r="W611" s="25">
        <v>29.4803695150115</v>
      </c>
      <c r="X611" s="25">
        <v>11.3741339491916</v>
      </c>
      <c r="Y611" s="78">
        <f t="shared" si="512"/>
        <v>0.06159666844</v>
      </c>
      <c r="Z611" s="22" t="s">
        <v>51</v>
      </c>
      <c r="AA611" s="22" t="s">
        <v>51</v>
      </c>
      <c r="AB611" s="22" t="s">
        <v>51</v>
      </c>
      <c r="AC611" s="32">
        <f t="shared" si="513"/>
        <v>10532.653</v>
      </c>
      <c r="AD611" s="22" t="s">
        <v>51</v>
      </c>
      <c r="AK611" s="33">
        <f t="shared" si="514"/>
        <v>0.004285714286</v>
      </c>
      <c r="AL611" s="33">
        <f t="shared" si="515"/>
        <v>6.953418971</v>
      </c>
      <c r="AM611" s="33">
        <f t="shared" si="516"/>
        <v>6.957704685</v>
      </c>
      <c r="AO611" s="34">
        <f t="shared" si="517"/>
        <v>38.69439565</v>
      </c>
      <c r="AP611" s="34">
        <f t="shared" si="518"/>
        <v>18.01430111</v>
      </c>
      <c r="AQ611" s="34">
        <f t="shared" si="519"/>
        <v>29.46221059</v>
      </c>
      <c r="AR611" s="34">
        <f t="shared" si="520"/>
        <v>11.36712786</v>
      </c>
      <c r="AS611" s="34">
        <f t="shared" si="521"/>
        <v>0.06159666844</v>
      </c>
      <c r="AT611" s="35">
        <f t="shared" si="15"/>
        <v>97.59963188</v>
      </c>
      <c r="AV611" s="32">
        <f t="shared" si="522"/>
        <v>10526.16524</v>
      </c>
    </row>
    <row r="612" ht="14.25" customHeight="1">
      <c r="B612" s="83"/>
      <c r="C612" s="100" t="s">
        <v>46</v>
      </c>
      <c r="D612" s="74"/>
      <c r="E612" s="84" t="s">
        <v>75</v>
      </c>
      <c r="F612" s="75"/>
      <c r="G612" s="27">
        <v>49.13</v>
      </c>
      <c r="H612" s="27">
        <v>6.54</v>
      </c>
      <c r="I612" s="27">
        <v>44.16</v>
      </c>
      <c r="J612" s="27">
        <v>0.12</v>
      </c>
      <c r="K612" s="27">
        <v>0.05</v>
      </c>
      <c r="L612" s="63">
        <f t="shared" si="528"/>
        <v>12.44</v>
      </c>
      <c r="M612" s="40">
        <v>80.0</v>
      </c>
      <c r="N612" s="40">
        <v>7.3</v>
      </c>
      <c r="O612" s="22">
        <v>0.26</v>
      </c>
      <c r="P612" s="76">
        <v>0.0</v>
      </c>
      <c r="Q612" s="89">
        <v>840.0</v>
      </c>
      <c r="R612" s="22" t="s">
        <v>62</v>
      </c>
      <c r="S612" s="25">
        <v>0.63</v>
      </c>
      <c r="T612" s="22">
        <v>17.12</v>
      </c>
      <c r="U612" s="25">
        <v>37.5173210161662</v>
      </c>
      <c r="V612" s="25">
        <v>17.933025404157</v>
      </c>
      <c r="W612" s="25">
        <v>29.8498845265588</v>
      </c>
      <c r="X612" s="25">
        <v>11.5588914549653</v>
      </c>
      <c r="Y612" s="78">
        <f t="shared" si="512"/>
        <v>0.06207957433</v>
      </c>
      <c r="Z612" s="22" t="s">
        <v>51</v>
      </c>
      <c r="AA612" s="22" t="s">
        <v>51</v>
      </c>
      <c r="AB612" s="22" t="s">
        <v>51</v>
      </c>
      <c r="AC612" s="32">
        <f t="shared" si="513"/>
        <v>10457.5367</v>
      </c>
      <c r="AD612" s="22" t="s">
        <v>51</v>
      </c>
      <c r="AK612" s="33">
        <f t="shared" si="514"/>
        <v>0.004285714286</v>
      </c>
      <c r="AL612" s="33">
        <f t="shared" si="515"/>
        <v>6.899296231</v>
      </c>
      <c r="AM612" s="33">
        <f t="shared" si="516"/>
        <v>6.903581946</v>
      </c>
      <c r="AO612" s="34">
        <f t="shared" si="517"/>
        <v>37.49403042</v>
      </c>
      <c r="AP612" s="34">
        <f t="shared" si="518"/>
        <v>17.92189266</v>
      </c>
      <c r="AQ612" s="34">
        <f t="shared" si="519"/>
        <v>29.83135385</v>
      </c>
      <c r="AR612" s="34">
        <f t="shared" si="520"/>
        <v>11.55171574</v>
      </c>
      <c r="AS612" s="34">
        <f t="shared" si="521"/>
        <v>0.06207957433</v>
      </c>
      <c r="AT612" s="35">
        <f t="shared" si="15"/>
        <v>96.86107225</v>
      </c>
      <c r="AV612" s="32">
        <f t="shared" si="522"/>
        <v>10451.04471</v>
      </c>
    </row>
    <row r="613" ht="14.25" customHeight="1">
      <c r="B613" s="83"/>
      <c r="C613" s="100" t="s">
        <v>46</v>
      </c>
      <c r="D613" s="74"/>
      <c r="E613" s="84" t="s">
        <v>75</v>
      </c>
      <c r="F613" s="75"/>
      <c r="G613" s="27">
        <v>49.13</v>
      </c>
      <c r="H613" s="27">
        <v>6.54</v>
      </c>
      <c r="I613" s="27">
        <v>44.16</v>
      </c>
      <c r="J613" s="27">
        <v>0.12</v>
      </c>
      <c r="K613" s="27">
        <v>0.05</v>
      </c>
      <c r="L613" s="63">
        <f t="shared" si="528"/>
        <v>12.44</v>
      </c>
      <c r="M613" s="40">
        <v>80.0</v>
      </c>
      <c r="N613" s="40">
        <v>7.3</v>
      </c>
      <c r="O613" s="22">
        <v>0.26</v>
      </c>
      <c r="P613" s="76">
        <v>0.0</v>
      </c>
      <c r="Q613" s="89">
        <v>840.0</v>
      </c>
      <c r="R613" s="22" t="s">
        <v>62</v>
      </c>
      <c r="S613" s="25">
        <v>0.63</v>
      </c>
      <c r="T613" s="22">
        <v>17.12</v>
      </c>
      <c r="U613" s="25">
        <v>37.1478060046189</v>
      </c>
      <c r="V613" s="25">
        <v>17.6558891454965</v>
      </c>
      <c r="W613" s="25">
        <v>29.8498845265588</v>
      </c>
      <c r="X613" s="25">
        <v>11.4665127020785</v>
      </c>
      <c r="Y613" s="78">
        <f t="shared" si="512"/>
        <v>0.06169324999</v>
      </c>
      <c r="Z613" s="22" t="s">
        <v>51</v>
      </c>
      <c r="AA613" s="22" t="s">
        <v>51</v>
      </c>
      <c r="AB613" s="22" t="s">
        <v>51</v>
      </c>
      <c r="AC613" s="32">
        <f t="shared" si="513"/>
        <v>10349.53192</v>
      </c>
      <c r="AD613" s="22" t="s">
        <v>51</v>
      </c>
      <c r="AK613" s="33">
        <f t="shared" si="514"/>
        <v>0.004285714286</v>
      </c>
      <c r="AL613" s="33">
        <f t="shared" si="515"/>
        <v>6.942526597</v>
      </c>
      <c r="AM613" s="33">
        <f t="shared" si="516"/>
        <v>6.946812312</v>
      </c>
      <c r="AO613" s="34">
        <f t="shared" si="517"/>
        <v>37.12488832</v>
      </c>
      <c r="AP613" s="34">
        <f t="shared" si="518"/>
        <v>17.64499665</v>
      </c>
      <c r="AQ613" s="34">
        <f t="shared" si="519"/>
        <v>29.83146916</v>
      </c>
      <c r="AR613" s="34">
        <f t="shared" si="520"/>
        <v>11.45943864</v>
      </c>
      <c r="AS613" s="34">
        <f t="shared" si="521"/>
        <v>0.06169324999</v>
      </c>
      <c r="AT613" s="35">
        <f t="shared" si="15"/>
        <v>96.12248602</v>
      </c>
      <c r="AV613" s="32">
        <f t="shared" si="522"/>
        <v>10343.14696</v>
      </c>
    </row>
    <row r="614" ht="14.25" customHeight="1">
      <c r="B614" s="83"/>
      <c r="C614" s="100" t="s">
        <v>46</v>
      </c>
      <c r="D614" s="74"/>
      <c r="E614" s="84" t="s">
        <v>75</v>
      </c>
      <c r="F614" s="75"/>
      <c r="G614" s="27">
        <v>49.13</v>
      </c>
      <c r="H614" s="27">
        <v>6.54</v>
      </c>
      <c r="I614" s="27">
        <v>44.16</v>
      </c>
      <c r="J614" s="27">
        <v>0.12</v>
      </c>
      <c r="K614" s="27">
        <v>0.05</v>
      </c>
      <c r="L614" s="63">
        <f t="shared" si="528"/>
        <v>12.44</v>
      </c>
      <c r="M614" s="40">
        <v>80.0</v>
      </c>
      <c r="N614" s="40">
        <v>7.3</v>
      </c>
      <c r="O614" s="22">
        <v>0.26</v>
      </c>
      <c r="P614" s="76">
        <v>0.0</v>
      </c>
      <c r="Q614" s="89">
        <v>840.0</v>
      </c>
      <c r="R614" s="22" t="s">
        <v>62</v>
      </c>
      <c r="S614" s="25">
        <v>0.63</v>
      </c>
      <c r="T614" s="22">
        <v>17.12</v>
      </c>
      <c r="U614" s="25">
        <v>37.6096997690531</v>
      </c>
      <c r="V614" s="25">
        <v>17.8406466512702</v>
      </c>
      <c r="W614" s="25">
        <v>29.8498845265588</v>
      </c>
      <c r="X614" s="25">
        <v>11.4665127020785</v>
      </c>
      <c r="Y614" s="78">
        <f t="shared" si="512"/>
        <v>0.06188641253</v>
      </c>
      <c r="Z614" s="22" t="s">
        <v>51</v>
      </c>
      <c r="AA614" s="22" t="s">
        <v>51</v>
      </c>
      <c r="AB614" s="22" t="s">
        <v>51</v>
      </c>
      <c r="AC614" s="32">
        <f t="shared" si="513"/>
        <v>10422.73796</v>
      </c>
      <c r="AD614" s="22" t="s">
        <v>51</v>
      </c>
      <c r="AK614" s="33">
        <f t="shared" si="514"/>
        <v>0.004285714286</v>
      </c>
      <c r="AL614" s="33">
        <f t="shared" si="515"/>
        <v>6.920843907</v>
      </c>
      <c r="AM614" s="33">
        <f t="shared" si="516"/>
        <v>6.925129621</v>
      </c>
      <c r="AO614" s="34">
        <f t="shared" si="517"/>
        <v>37.58642448</v>
      </c>
      <c r="AP614" s="34">
        <f t="shared" si="518"/>
        <v>17.82960572</v>
      </c>
      <c r="AQ614" s="34">
        <f t="shared" si="519"/>
        <v>29.8314115</v>
      </c>
      <c r="AR614" s="34">
        <f t="shared" si="520"/>
        <v>11.45941649</v>
      </c>
      <c r="AS614" s="34">
        <f t="shared" si="521"/>
        <v>0.06188641253</v>
      </c>
      <c r="AT614" s="35">
        <f t="shared" si="15"/>
        <v>96.7687446</v>
      </c>
      <c r="AV614" s="32">
        <f t="shared" si="522"/>
        <v>10416.2877</v>
      </c>
    </row>
    <row r="615" ht="14.25" customHeight="1">
      <c r="B615" s="83"/>
      <c r="C615" s="100" t="s">
        <v>46</v>
      </c>
      <c r="D615" s="74"/>
      <c r="E615" s="84" t="s">
        <v>75</v>
      </c>
      <c r="F615" s="75"/>
      <c r="G615" s="27">
        <v>49.13</v>
      </c>
      <c r="H615" s="27">
        <v>6.54</v>
      </c>
      <c r="I615" s="27">
        <v>44.16</v>
      </c>
      <c r="J615" s="27">
        <v>0.12</v>
      </c>
      <c r="K615" s="27">
        <v>0.05</v>
      </c>
      <c r="L615" s="63">
        <f t="shared" si="528"/>
        <v>12.44</v>
      </c>
      <c r="M615" s="40">
        <v>80.0</v>
      </c>
      <c r="N615" s="40">
        <v>7.3</v>
      </c>
      <c r="O615" s="22">
        <v>0.26</v>
      </c>
      <c r="P615" s="76">
        <v>0.0</v>
      </c>
      <c r="Q615" s="89">
        <v>840.0</v>
      </c>
      <c r="R615" s="22" t="s">
        <v>62</v>
      </c>
      <c r="S615" s="25">
        <v>0.63</v>
      </c>
      <c r="T615" s="22">
        <v>17.12</v>
      </c>
      <c r="U615" s="25">
        <v>37.9792147806004</v>
      </c>
      <c r="V615" s="25">
        <v>18.0254041570438</v>
      </c>
      <c r="W615" s="25">
        <v>29.4803695150115</v>
      </c>
      <c r="X615" s="25">
        <v>11.4665127020785</v>
      </c>
      <c r="Y615" s="78">
        <f t="shared" si="512"/>
        <v>0.06169324999</v>
      </c>
      <c r="Z615" s="22" t="s">
        <v>51</v>
      </c>
      <c r="AA615" s="22" t="s">
        <v>51</v>
      </c>
      <c r="AB615" s="22" t="s">
        <v>51</v>
      </c>
      <c r="AC615" s="32">
        <f t="shared" si="513"/>
        <v>10485.97121</v>
      </c>
      <c r="AD615" s="22" t="s">
        <v>51</v>
      </c>
      <c r="AK615" s="33">
        <f t="shared" si="514"/>
        <v>0.004285714286</v>
      </c>
      <c r="AL615" s="33">
        <f t="shared" si="515"/>
        <v>6.942526597</v>
      </c>
      <c r="AM615" s="33">
        <f t="shared" si="516"/>
        <v>6.946812312</v>
      </c>
      <c r="AO615" s="34">
        <f t="shared" si="517"/>
        <v>37.95578417</v>
      </c>
      <c r="AP615" s="34">
        <f t="shared" si="518"/>
        <v>18.0142837</v>
      </c>
      <c r="AQ615" s="34">
        <f t="shared" si="519"/>
        <v>29.46218212</v>
      </c>
      <c r="AR615" s="34">
        <f t="shared" si="520"/>
        <v>11.45943864</v>
      </c>
      <c r="AS615" s="34">
        <f t="shared" si="521"/>
        <v>0.06169324999</v>
      </c>
      <c r="AT615" s="35">
        <f t="shared" si="15"/>
        <v>96.95338187</v>
      </c>
      <c r="AV615" s="32">
        <f t="shared" si="522"/>
        <v>10479.50208</v>
      </c>
    </row>
    <row r="616" ht="14.25" customHeight="1">
      <c r="B616" s="83"/>
      <c r="C616" s="100" t="s">
        <v>46</v>
      </c>
      <c r="D616" s="74"/>
      <c r="E616" s="84" t="s">
        <v>75</v>
      </c>
      <c r="F616" s="75"/>
      <c r="G616" s="27">
        <v>49.13</v>
      </c>
      <c r="H616" s="27">
        <v>6.54</v>
      </c>
      <c r="I616" s="27">
        <v>44.16</v>
      </c>
      <c r="J616" s="27">
        <v>0.12</v>
      </c>
      <c r="K616" s="27">
        <v>0.05</v>
      </c>
      <c r="L616" s="63">
        <f t="shared" si="528"/>
        <v>12.44</v>
      </c>
      <c r="M616" s="40">
        <v>80.0</v>
      </c>
      <c r="N616" s="40">
        <v>7.3</v>
      </c>
      <c r="O616" s="22">
        <v>0.26</v>
      </c>
      <c r="P616" s="76">
        <v>0.0</v>
      </c>
      <c r="Q616" s="89">
        <v>840.0</v>
      </c>
      <c r="R616" s="22" t="s">
        <v>62</v>
      </c>
      <c r="S616" s="25">
        <v>0.63</v>
      </c>
      <c r="T616" s="22">
        <v>17.12</v>
      </c>
      <c r="U616" s="25">
        <v>38.1639722863741</v>
      </c>
      <c r="V616" s="25">
        <v>17.6558891454965</v>
      </c>
      <c r="W616" s="25">
        <v>29.6651270207852</v>
      </c>
      <c r="X616" s="25">
        <v>11.743648960739</v>
      </c>
      <c r="Y616" s="78">
        <f t="shared" si="512"/>
        <v>0.06178983135</v>
      </c>
      <c r="Z616" s="22" t="s">
        <v>51</v>
      </c>
      <c r="AA616" s="22" t="s">
        <v>51</v>
      </c>
      <c r="AB616" s="22" t="s">
        <v>51</v>
      </c>
      <c r="AC616" s="32">
        <f t="shared" si="513"/>
        <v>10558.5339</v>
      </c>
      <c r="AD616" s="22" t="s">
        <v>51</v>
      </c>
      <c r="AK616" s="33">
        <f t="shared" si="514"/>
        <v>0.004285714286</v>
      </c>
      <c r="AL616" s="33">
        <f t="shared" si="515"/>
        <v>6.931668296</v>
      </c>
      <c r="AM616" s="33">
        <f t="shared" si="516"/>
        <v>6.93595401</v>
      </c>
      <c r="AO616" s="34">
        <f t="shared" si="517"/>
        <v>38.14039083</v>
      </c>
      <c r="AP616" s="34">
        <f t="shared" si="518"/>
        <v>17.6449796</v>
      </c>
      <c r="AQ616" s="34">
        <f t="shared" si="519"/>
        <v>29.64679699</v>
      </c>
      <c r="AR616" s="34">
        <f t="shared" si="520"/>
        <v>11.73639258</v>
      </c>
      <c r="AS616" s="34">
        <f t="shared" si="521"/>
        <v>0.06178983135</v>
      </c>
      <c r="AT616" s="35">
        <f t="shared" si="15"/>
        <v>97.23034983</v>
      </c>
      <c r="AV616" s="32">
        <f t="shared" si="522"/>
        <v>10552.0098</v>
      </c>
    </row>
    <row r="617" ht="14.25" customHeight="1">
      <c r="B617" s="83"/>
      <c r="C617" s="100" t="s">
        <v>46</v>
      </c>
      <c r="D617" s="74"/>
      <c r="E617" s="84" t="s">
        <v>75</v>
      </c>
      <c r="F617" s="75"/>
      <c r="G617" s="27">
        <v>49.13</v>
      </c>
      <c r="H617" s="27">
        <v>6.54</v>
      </c>
      <c r="I617" s="27">
        <v>44.16</v>
      </c>
      <c r="J617" s="27">
        <v>0.12</v>
      </c>
      <c r="K617" s="27">
        <v>0.05</v>
      </c>
      <c r="L617" s="63">
        <f t="shared" si="528"/>
        <v>12.44</v>
      </c>
      <c r="M617" s="40">
        <v>80.0</v>
      </c>
      <c r="N617" s="40">
        <v>7.3</v>
      </c>
      <c r="O617" s="22">
        <v>0.26</v>
      </c>
      <c r="P617" s="76">
        <v>0.0</v>
      </c>
      <c r="Q617" s="89">
        <v>840.0</v>
      </c>
      <c r="R617" s="22" t="s">
        <v>62</v>
      </c>
      <c r="S617" s="25">
        <v>0.63</v>
      </c>
      <c r="T617" s="22">
        <v>17.12</v>
      </c>
      <c r="U617" s="25">
        <v>37.7020785219399</v>
      </c>
      <c r="V617" s="25">
        <v>17.933025404157</v>
      </c>
      <c r="W617" s="25">
        <v>29.4803695150115</v>
      </c>
      <c r="X617" s="25">
        <v>10.9122401847575</v>
      </c>
      <c r="Y617" s="78">
        <f t="shared" si="512"/>
        <v>0.0610171752</v>
      </c>
      <c r="Z617" s="22" t="s">
        <v>51</v>
      </c>
      <c r="AA617" s="22" t="s">
        <v>51</v>
      </c>
      <c r="AB617" s="22" t="s">
        <v>51</v>
      </c>
      <c r="AC617" s="32">
        <f t="shared" si="513"/>
        <v>10245.77903</v>
      </c>
      <c r="AD617" s="22" t="s">
        <v>51</v>
      </c>
      <c r="AK617" s="33">
        <f t="shared" si="514"/>
        <v>0.004285714286</v>
      </c>
      <c r="AL617" s="33">
        <f t="shared" si="515"/>
        <v>7.019497789</v>
      </c>
      <c r="AM617" s="33">
        <f t="shared" si="516"/>
        <v>7.023783504</v>
      </c>
      <c r="AO617" s="34">
        <f t="shared" si="517"/>
        <v>37.67907378</v>
      </c>
      <c r="AP617" s="34">
        <f t="shared" si="518"/>
        <v>17.92208318</v>
      </c>
      <c r="AQ617" s="34">
        <f t="shared" si="519"/>
        <v>29.46238143</v>
      </c>
      <c r="AR617" s="34">
        <f t="shared" si="520"/>
        <v>10.90558184</v>
      </c>
      <c r="AS617" s="34">
        <f t="shared" si="521"/>
        <v>0.0610171752</v>
      </c>
      <c r="AT617" s="35">
        <f t="shared" si="15"/>
        <v>96.0301374</v>
      </c>
      <c r="AV617" s="32">
        <f t="shared" si="522"/>
        <v>10239.52735</v>
      </c>
    </row>
    <row r="618" ht="14.25" customHeight="1">
      <c r="B618" s="83"/>
      <c r="C618" s="100" t="s">
        <v>46</v>
      </c>
      <c r="D618" s="74"/>
      <c r="E618" s="84" t="s">
        <v>75</v>
      </c>
      <c r="F618" s="75"/>
      <c r="G618" s="27">
        <v>49.13</v>
      </c>
      <c r="H618" s="27">
        <v>6.54</v>
      </c>
      <c r="I618" s="27">
        <v>44.16</v>
      </c>
      <c r="J618" s="27">
        <v>0.12</v>
      </c>
      <c r="K618" s="27">
        <v>0.05</v>
      </c>
      <c r="L618" s="63">
        <f t="shared" si="528"/>
        <v>12.44</v>
      </c>
      <c r="M618" s="40">
        <v>80.0</v>
      </c>
      <c r="N618" s="40">
        <v>7.3</v>
      </c>
      <c r="O618" s="22">
        <v>0.26</v>
      </c>
      <c r="P618" s="76">
        <v>0.0</v>
      </c>
      <c r="Q618" s="89">
        <v>840.0</v>
      </c>
      <c r="R618" s="22" t="s">
        <v>62</v>
      </c>
      <c r="S618" s="25">
        <v>0.63</v>
      </c>
      <c r="T618" s="22">
        <v>17.12</v>
      </c>
      <c r="U618" s="25">
        <v>38.5334872979214</v>
      </c>
      <c r="V618" s="25">
        <v>17.6558891454965</v>
      </c>
      <c r="W618" s="25">
        <v>29.203233256351</v>
      </c>
      <c r="X618" s="25">
        <v>10.8198614318706</v>
      </c>
      <c r="Y618" s="78">
        <f t="shared" si="512"/>
        <v>0.06034109126</v>
      </c>
      <c r="Z618" s="22" t="s">
        <v>51</v>
      </c>
      <c r="AA618" s="22" t="s">
        <v>51</v>
      </c>
      <c r="AB618" s="22" t="s">
        <v>51</v>
      </c>
      <c r="AC618" s="32">
        <f t="shared" si="513"/>
        <v>10267.42041</v>
      </c>
      <c r="AD618" s="22" t="s">
        <v>51</v>
      </c>
      <c r="AK618" s="33">
        <f t="shared" si="514"/>
        <v>0.004285714286</v>
      </c>
      <c r="AL618" s="33">
        <f t="shared" si="515"/>
        <v>7.098194862</v>
      </c>
      <c r="AM618" s="33">
        <f t="shared" si="516"/>
        <v>7.102480576</v>
      </c>
      <c r="AO618" s="34">
        <f t="shared" si="517"/>
        <v>38.51023577</v>
      </c>
      <c r="AP618" s="34">
        <f t="shared" si="518"/>
        <v>17.64523539</v>
      </c>
      <c r="AQ618" s="34">
        <f t="shared" si="519"/>
        <v>29.18561171</v>
      </c>
      <c r="AR618" s="34">
        <f t="shared" si="520"/>
        <v>10.81333261</v>
      </c>
      <c r="AS618" s="34">
        <f t="shared" si="521"/>
        <v>0.06034109126</v>
      </c>
      <c r="AT618" s="35">
        <f t="shared" si="15"/>
        <v>96.21475657</v>
      </c>
      <c r="AV618" s="32">
        <f t="shared" si="522"/>
        <v>10261.22493</v>
      </c>
    </row>
    <row r="619" ht="14.25" customHeight="1">
      <c r="B619" s="83"/>
      <c r="C619" s="100" t="s">
        <v>46</v>
      </c>
      <c r="D619" s="74"/>
      <c r="E619" s="84" t="s">
        <v>75</v>
      </c>
      <c r="F619" s="75"/>
      <c r="G619" s="27">
        <v>49.13</v>
      </c>
      <c r="H619" s="27">
        <v>6.54</v>
      </c>
      <c r="I619" s="27">
        <v>44.16</v>
      </c>
      <c r="J619" s="27">
        <v>0.12</v>
      </c>
      <c r="K619" s="27">
        <v>0.05</v>
      </c>
      <c r="L619" s="63">
        <f t="shared" si="528"/>
        <v>12.44</v>
      </c>
      <c r="M619" s="40">
        <v>80.0</v>
      </c>
      <c r="N619" s="40">
        <v>7.3</v>
      </c>
      <c r="O619" s="22">
        <v>0.26</v>
      </c>
      <c r="P619" s="76">
        <v>0.0</v>
      </c>
      <c r="Q619" s="89">
        <v>840.0</v>
      </c>
      <c r="R619" s="22" t="s">
        <v>62</v>
      </c>
      <c r="S619" s="25">
        <v>0.63</v>
      </c>
      <c r="T619" s="22">
        <v>17.12</v>
      </c>
      <c r="U619" s="25">
        <v>39.4572748267898</v>
      </c>
      <c r="V619" s="25">
        <v>17.1939953810623</v>
      </c>
      <c r="W619" s="25">
        <v>28.7413394919168</v>
      </c>
      <c r="X619" s="25">
        <v>10.7274826789838</v>
      </c>
      <c r="Y619" s="78">
        <f t="shared" si="512"/>
        <v>0.05927865516</v>
      </c>
      <c r="Z619" s="22" t="s">
        <v>51</v>
      </c>
      <c r="AA619" s="22" t="s">
        <v>51</v>
      </c>
      <c r="AB619" s="22" t="s">
        <v>51</v>
      </c>
      <c r="AC619" s="32">
        <f t="shared" si="513"/>
        <v>10275.69243</v>
      </c>
      <c r="AD619" s="22" t="s">
        <v>51</v>
      </c>
      <c r="AK619" s="33">
        <f t="shared" si="514"/>
        <v>0.004285714286</v>
      </c>
      <c r="AL619" s="33">
        <f t="shared" si="515"/>
        <v>7.225490795</v>
      </c>
      <c r="AM619" s="33">
        <f t="shared" si="516"/>
        <v>7.22977651</v>
      </c>
      <c r="AO619" s="34">
        <f t="shared" si="517"/>
        <v>39.43388508</v>
      </c>
      <c r="AP619" s="34">
        <f t="shared" si="518"/>
        <v>17.18380301</v>
      </c>
      <c r="AQ619" s="34">
        <f t="shared" si="519"/>
        <v>28.72430201</v>
      </c>
      <c r="AR619" s="34">
        <f t="shared" si="520"/>
        <v>10.72112357</v>
      </c>
      <c r="AS619" s="34">
        <f t="shared" si="521"/>
        <v>0.05927865516</v>
      </c>
      <c r="AT619" s="35">
        <f t="shared" si="15"/>
        <v>96.12239234</v>
      </c>
      <c r="AV619" s="32">
        <f t="shared" si="522"/>
        <v>10269.60114</v>
      </c>
    </row>
    <row r="620" ht="14.25" customHeight="1">
      <c r="B620" s="83"/>
      <c r="C620" s="100" t="s">
        <v>46</v>
      </c>
      <c r="D620" s="74"/>
      <c r="E620" s="84" t="s">
        <v>75</v>
      </c>
      <c r="F620" s="75"/>
      <c r="G620" s="27">
        <v>49.13</v>
      </c>
      <c r="H620" s="27">
        <v>6.54</v>
      </c>
      <c r="I620" s="27">
        <v>44.16</v>
      </c>
      <c r="J620" s="27">
        <v>0.12</v>
      </c>
      <c r="K620" s="27">
        <v>0.05</v>
      </c>
      <c r="L620" s="63">
        <f t="shared" si="528"/>
        <v>12.44</v>
      </c>
      <c r="M620" s="40">
        <v>80.0</v>
      </c>
      <c r="N620" s="40">
        <v>7.3</v>
      </c>
      <c r="O620" s="22">
        <v>0.26</v>
      </c>
      <c r="P620" s="76">
        <v>0.0</v>
      </c>
      <c r="Q620" s="89">
        <v>840.0</v>
      </c>
      <c r="R620" s="22" t="s">
        <v>62</v>
      </c>
      <c r="S620" s="25">
        <v>0.63</v>
      </c>
      <c r="T620" s="22">
        <v>17.12</v>
      </c>
      <c r="U620" s="25">
        <v>39.7344110854503</v>
      </c>
      <c r="V620" s="25">
        <v>17.1939953810623</v>
      </c>
      <c r="W620" s="25">
        <v>29.4803695150115</v>
      </c>
      <c r="X620" s="25">
        <v>11.6512702078522</v>
      </c>
      <c r="Y620" s="78">
        <f t="shared" si="512"/>
        <v>0.0610171752</v>
      </c>
      <c r="Z620" s="22" t="s">
        <v>51</v>
      </c>
      <c r="AA620" s="22" t="s">
        <v>51</v>
      </c>
      <c r="AB620" s="22" t="s">
        <v>51</v>
      </c>
      <c r="AC620" s="32">
        <f t="shared" si="513"/>
        <v>10636.61539</v>
      </c>
      <c r="AD620" s="22" t="s">
        <v>51</v>
      </c>
      <c r="AK620" s="33">
        <f t="shared" si="514"/>
        <v>0.004285714286</v>
      </c>
      <c r="AL620" s="33">
        <f t="shared" si="515"/>
        <v>7.019497789</v>
      </c>
      <c r="AM620" s="33">
        <f t="shared" si="516"/>
        <v>7.023783504</v>
      </c>
      <c r="AO620" s="34">
        <f t="shared" si="517"/>
        <v>39.71016627</v>
      </c>
      <c r="AP620" s="34">
        <f t="shared" si="518"/>
        <v>17.18350409</v>
      </c>
      <c r="AQ620" s="34">
        <f t="shared" si="519"/>
        <v>29.46238143</v>
      </c>
      <c r="AR620" s="34">
        <f t="shared" si="520"/>
        <v>11.64416093</v>
      </c>
      <c r="AS620" s="34">
        <f t="shared" si="521"/>
        <v>0.0610171752</v>
      </c>
      <c r="AT620" s="35">
        <f t="shared" si="15"/>
        <v>98.06122989</v>
      </c>
      <c r="AV620" s="32">
        <f t="shared" si="522"/>
        <v>10630.12523</v>
      </c>
    </row>
    <row r="621" ht="14.25" customHeight="1">
      <c r="B621" s="83"/>
      <c r="C621" s="100" t="s">
        <v>46</v>
      </c>
      <c r="D621" s="74"/>
      <c r="E621" s="84" t="s">
        <v>75</v>
      </c>
      <c r="F621" s="75"/>
      <c r="G621" s="27">
        <v>49.13</v>
      </c>
      <c r="H621" s="27">
        <v>6.54</v>
      </c>
      <c r="I621" s="27">
        <v>44.16</v>
      </c>
      <c r="J621" s="27">
        <v>0.12</v>
      </c>
      <c r="K621" s="27">
        <v>0.05</v>
      </c>
      <c r="L621" s="63">
        <f t="shared" si="528"/>
        <v>12.44</v>
      </c>
      <c r="M621" s="40">
        <v>80.0</v>
      </c>
      <c r="N621" s="40">
        <v>7.3</v>
      </c>
      <c r="O621" s="22">
        <v>0.26</v>
      </c>
      <c r="P621" s="76">
        <v>0.0</v>
      </c>
      <c r="Q621" s="89">
        <v>840.0</v>
      </c>
      <c r="R621" s="22" t="s">
        <v>62</v>
      </c>
      <c r="S621" s="25">
        <v>0.63</v>
      </c>
      <c r="T621" s="22">
        <v>17.12</v>
      </c>
      <c r="U621" s="25">
        <v>40.2886836027713</v>
      </c>
      <c r="V621" s="25">
        <v>17.5635103926097</v>
      </c>
      <c r="W621" s="25">
        <v>28.7413394919168</v>
      </c>
      <c r="X621" s="25">
        <v>10.4503464203233</v>
      </c>
      <c r="Y621" s="78">
        <f t="shared" si="512"/>
        <v>0.05937524119</v>
      </c>
      <c r="Z621" s="22" t="s">
        <v>51</v>
      </c>
      <c r="AA621" s="22" t="s">
        <v>51</v>
      </c>
      <c r="AB621" s="22" t="s">
        <v>51</v>
      </c>
      <c r="AC621" s="32">
        <f t="shared" si="513"/>
        <v>10312.83034</v>
      </c>
      <c r="AD621" s="22" t="s">
        <v>51</v>
      </c>
      <c r="AK621" s="33">
        <f t="shared" si="514"/>
        <v>0.004285714286</v>
      </c>
      <c r="AL621" s="33">
        <f t="shared" si="515"/>
        <v>7.213730078</v>
      </c>
      <c r="AM621" s="33">
        <f t="shared" si="516"/>
        <v>7.218015792</v>
      </c>
      <c r="AO621" s="34">
        <f t="shared" si="517"/>
        <v>40.2647621</v>
      </c>
      <c r="AP621" s="34">
        <f t="shared" si="518"/>
        <v>17.55308202</v>
      </c>
      <c r="AQ621" s="34">
        <f t="shared" si="519"/>
        <v>28.72427425</v>
      </c>
      <c r="AR621" s="34">
        <f t="shared" si="520"/>
        <v>10.4441415</v>
      </c>
      <c r="AS621" s="34">
        <f t="shared" si="521"/>
        <v>0.05937524119</v>
      </c>
      <c r="AT621" s="35">
        <f t="shared" si="15"/>
        <v>97.04563511</v>
      </c>
      <c r="AV621" s="32">
        <f t="shared" si="522"/>
        <v>10306.70707</v>
      </c>
    </row>
    <row r="622" ht="14.25" customHeight="1">
      <c r="B622" s="83"/>
      <c r="C622" s="100" t="s">
        <v>46</v>
      </c>
      <c r="D622" s="74"/>
      <c r="E622" s="84" t="s">
        <v>75</v>
      </c>
      <c r="F622" s="75"/>
      <c r="G622" s="27">
        <v>49.13</v>
      </c>
      <c r="H622" s="27">
        <v>6.54</v>
      </c>
      <c r="I622" s="27">
        <v>44.16</v>
      </c>
      <c r="J622" s="27">
        <v>0.12</v>
      </c>
      <c r="K622" s="27">
        <v>0.05</v>
      </c>
      <c r="L622" s="63">
        <f t="shared" si="528"/>
        <v>12.44</v>
      </c>
      <c r="M622" s="40">
        <v>80.0</v>
      </c>
      <c r="N622" s="40">
        <v>7.3</v>
      </c>
      <c r="O622" s="22">
        <v>0.26</v>
      </c>
      <c r="P622" s="76">
        <v>0.0</v>
      </c>
      <c r="Q622" s="89">
        <v>840.0</v>
      </c>
      <c r="R622" s="22" t="s">
        <v>62</v>
      </c>
      <c r="S622" s="25">
        <v>0.63</v>
      </c>
      <c r="T622" s="22">
        <v>17.12</v>
      </c>
      <c r="U622" s="25">
        <v>39.6420323325635</v>
      </c>
      <c r="V622" s="25">
        <v>17.1016166281755</v>
      </c>
      <c r="W622" s="25">
        <v>28.7413394919168</v>
      </c>
      <c r="X622" s="25">
        <v>11.6512702078522</v>
      </c>
      <c r="Y622" s="78">
        <f t="shared" si="512"/>
        <v>0.06014792274</v>
      </c>
      <c r="Z622" s="22" t="s">
        <v>51</v>
      </c>
      <c r="AA622" s="22" t="s">
        <v>51</v>
      </c>
      <c r="AB622" s="22" t="s">
        <v>51</v>
      </c>
      <c r="AC622" s="32">
        <f t="shared" si="513"/>
        <v>10614.97154</v>
      </c>
      <c r="AD622" s="22" t="s">
        <v>51</v>
      </c>
      <c r="AK622" s="33">
        <f t="shared" si="514"/>
        <v>0.004285714286</v>
      </c>
      <c r="AL622" s="33">
        <f t="shared" si="515"/>
        <v>7.121004887</v>
      </c>
      <c r="AM622" s="33">
        <f t="shared" si="516"/>
        <v>7.125290601</v>
      </c>
      <c r="AO622" s="34">
        <f t="shared" si="517"/>
        <v>39.61818847</v>
      </c>
      <c r="AP622" s="34">
        <f t="shared" si="518"/>
        <v>17.09133036</v>
      </c>
      <c r="AQ622" s="34">
        <f t="shared" si="519"/>
        <v>28.72405217</v>
      </c>
      <c r="AR622" s="34">
        <f t="shared" si="520"/>
        <v>11.64426221</v>
      </c>
      <c r="AS622" s="34">
        <f t="shared" si="521"/>
        <v>0.06014792274</v>
      </c>
      <c r="AT622" s="35">
        <f t="shared" si="15"/>
        <v>97.13798114</v>
      </c>
      <c r="AV622" s="32">
        <f t="shared" si="522"/>
        <v>10608.58686</v>
      </c>
    </row>
    <row r="623" ht="14.25" customHeight="1">
      <c r="B623" s="83"/>
      <c r="C623" s="100" t="s">
        <v>46</v>
      </c>
      <c r="D623" s="74"/>
      <c r="E623" s="84" t="s">
        <v>75</v>
      </c>
      <c r="F623" s="75"/>
      <c r="G623" s="27">
        <v>49.13</v>
      </c>
      <c r="H623" s="27">
        <v>6.54</v>
      </c>
      <c r="I623" s="27">
        <v>44.16</v>
      </c>
      <c r="J623" s="27">
        <v>0.12</v>
      </c>
      <c r="K623" s="27">
        <v>0.05</v>
      </c>
      <c r="L623" s="63">
        <f t="shared" si="528"/>
        <v>12.44</v>
      </c>
      <c r="M623" s="40">
        <v>80.0</v>
      </c>
      <c r="N623" s="40">
        <v>7.3</v>
      </c>
      <c r="O623" s="22">
        <v>0.26</v>
      </c>
      <c r="P623" s="76">
        <v>0.0</v>
      </c>
      <c r="Q623" s="89">
        <v>840.0</v>
      </c>
      <c r="R623" s="22" t="s">
        <v>62</v>
      </c>
      <c r="S623" s="25">
        <v>0.63</v>
      </c>
      <c r="T623" s="22">
        <v>17.12</v>
      </c>
      <c r="U623" s="25">
        <v>39.0877598152424</v>
      </c>
      <c r="V623" s="25">
        <v>17.0092378752886</v>
      </c>
      <c r="W623" s="25">
        <v>29.203233256351</v>
      </c>
      <c r="X623" s="25">
        <v>11.2817551963048</v>
      </c>
      <c r="Y623" s="78">
        <f t="shared" si="512"/>
        <v>0.06014792274</v>
      </c>
      <c r="Z623" s="22" t="s">
        <v>51</v>
      </c>
      <c r="AA623" s="22" t="s">
        <v>51</v>
      </c>
      <c r="AB623" s="22" t="s">
        <v>51</v>
      </c>
      <c r="AC623" s="32">
        <f t="shared" si="513"/>
        <v>10411.06194</v>
      </c>
      <c r="AD623" s="22" t="s">
        <v>51</v>
      </c>
      <c r="AK623" s="33">
        <f t="shared" si="514"/>
        <v>0.004285714286</v>
      </c>
      <c r="AL623" s="33">
        <f t="shared" si="515"/>
        <v>7.121004887</v>
      </c>
      <c r="AM623" s="33">
        <f t="shared" si="516"/>
        <v>7.125290601</v>
      </c>
      <c r="AO623" s="34">
        <f t="shared" si="517"/>
        <v>39.06424934</v>
      </c>
      <c r="AP623" s="34">
        <f t="shared" si="518"/>
        <v>16.99900717</v>
      </c>
      <c r="AQ623" s="34">
        <f t="shared" si="519"/>
        <v>29.18566812</v>
      </c>
      <c r="AR623" s="34">
        <f t="shared" si="520"/>
        <v>11.27496945</v>
      </c>
      <c r="AS623" s="34">
        <f t="shared" si="521"/>
        <v>0.06014792274</v>
      </c>
      <c r="AT623" s="35">
        <f t="shared" si="15"/>
        <v>96.58404201</v>
      </c>
      <c r="AV623" s="32">
        <f t="shared" si="522"/>
        <v>10404.79991</v>
      </c>
    </row>
    <row r="624" ht="14.25" customHeight="1">
      <c r="B624" s="83"/>
      <c r="C624" s="100" t="s">
        <v>46</v>
      </c>
      <c r="D624" s="74"/>
      <c r="E624" s="84" t="s">
        <v>75</v>
      </c>
      <c r="F624" s="75"/>
      <c r="G624" s="27">
        <v>49.13</v>
      </c>
      <c r="H624" s="27">
        <v>6.54</v>
      </c>
      <c r="I624" s="27">
        <v>44.16</v>
      </c>
      <c r="J624" s="27">
        <v>0.12</v>
      </c>
      <c r="K624" s="27">
        <v>0.05</v>
      </c>
      <c r="L624" s="63">
        <f t="shared" si="528"/>
        <v>12.44</v>
      </c>
      <c r="M624" s="40">
        <v>80.0</v>
      </c>
      <c r="N624" s="40">
        <v>7.3</v>
      </c>
      <c r="O624" s="22">
        <v>0.26</v>
      </c>
      <c r="P624" s="76">
        <v>0.0</v>
      </c>
      <c r="Q624" s="89">
        <v>840.0</v>
      </c>
      <c r="R624" s="22" t="s">
        <v>62</v>
      </c>
      <c r="S624" s="25">
        <v>0.63</v>
      </c>
      <c r="T624" s="22">
        <v>17.12</v>
      </c>
      <c r="U624" s="25">
        <v>40.0115473441108</v>
      </c>
      <c r="V624" s="25">
        <v>16.9168591224018</v>
      </c>
      <c r="W624" s="25">
        <v>28.64896073903</v>
      </c>
      <c r="X624" s="25">
        <v>11.2817551963048</v>
      </c>
      <c r="Y624" s="78">
        <f t="shared" si="512"/>
        <v>0.05947182704</v>
      </c>
      <c r="Z624" s="22" t="s">
        <v>51</v>
      </c>
      <c r="AA624" s="22" t="s">
        <v>51</v>
      </c>
      <c r="AB624" s="22" t="s">
        <v>51</v>
      </c>
      <c r="AC624" s="32">
        <f t="shared" si="513"/>
        <v>10499.11869</v>
      </c>
      <c r="AD624" s="22" t="s">
        <v>51</v>
      </c>
      <c r="AK624" s="33">
        <f t="shared" si="514"/>
        <v>0.004285714286</v>
      </c>
      <c r="AL624" s="33">
        <f t="shared" si="515"/>
        <v>7.202007583</v>
      </c>
      <c r="AM624" s="33">
        <f t="shared" si="516"/>
        <v>7.206293298</v>
      </c>
      <c r="AO624" s="34">
        <f t="shared" si="517"/>
        <v>39.98775175</v>
      </c>
      <c r="AP624" s="34">
        <f t="shared" si="518"/>
        <v>16.90679836</v>
      </c>
      <c r="AQ624" s="34">
        <f t="shared" si="519"/>
        <v>28.63192268</v>
      </c>
      <c r="AR624" s="34">
        <f t="shared" si="520"/>
        <v>11.27504573</v>
      </c>
      <c r="AS624" s="34">
        <f t="shared" si="521"/>
        <v>0.05947182704</v>
      </c>
      <c r="AT624" s="35">
        <f t="shared" si="15"/>
        <v>96.86099034</v>
      </c>
      <c r="AV624" s="32">
        <f t="shared" si="522"/>
        <v>10492.87467</v>
      </c>
    </row>
    <row r="625" ht="14.25" customHeight="1">
      <c r="B625" s="83"/>
      <c r="C625" s="100" t="s">
        <v>46</v>
      </c>
      <c r="D625" s="74"/>
      <c r="E625" s="84" t="s">
        <v>75</v>
      </c>
      <c r="F625" s="75"/>
      <c r="G625" s="27">
        <v>49.13</v>
      </c>
      <c r="H625" s="27">
        <v>6.54</v>
      </c>
      <c r="I625" s="27">
        <v>44.16</v>
      </c>
      <c r="J625" s="27">
        <v>0.12</v>
      </c>
      <c r="K625" s="27">
        <v>0.05</v>
      </c>
      <c r="L625" s="63">
        <f t="shared" si="528"/>
        <v>12.44</v>
      </c>
      <c r="M625" s="40">
        <v>80.0</v>
      </c>
      <c r="N625" s="40">
        <v>7.3</v>
      </c>
      <c r="O625" s="22">
        <v>0.26</v>
      </c>
      <c r="P625" s="76">
        <v>0.0</v>
      </c>
      <c r="Q625" s="89">
        <v>840.0</v>
      </c>
      <c r="R625" s="22" t="s">
        <v>62</v>
      </c>
      <c r="S625" s="25">
        <v>0.63</v>
      </c>
      <c r="T625" s="22">
        <v>17.12</v>
      </c>
      <c r="U625" s="25">
        <v>39.364896073903</v>
      </c>
      <c r="V625" s="25">
        <v>17.378752886836</v>
      </c>
      <c r="W625" s="25">
        <v>28.8337182448036</v>
      </c>
      <c r="X625" s="25">
        <v>11.2817551963048</v>
      </c>
      <c r="Y625" s="78">
        <f t="shared" si="512"/>
        <v>0.06014792274</v>
      </c>
      <c r="Z625" s="22" t="s">
        <v>51</v>
      </c>
      <c r="AA625" s="22" t="s">
        <v>51</v>
      </c>
      <c r="AB625" s="22" t="s">
        <v>51</v>
      </c>
      <c r="AC625" s="32">
        <f t="shared" si="513"/>
        <v>10487.66455</v>
      </c>
      <c r="AD625" s="22" t="s">
        <v>51</v>
      </c>
      <c r="AK625" s="33">
        <f t="shared" si="514"/>
        <v>0.004285714286</v>
      </c>
      <c r="AL625" s="33">
        <f t="shared" si="515"/>
        <v>7.121004887</v>
      </c>
      <c r="AM625" s="33">
        <f t="shared" si="516"/>
        <v>7.125290601</v>
      </c>
      <c r="AO625" s="34">
        <f t="shared" si="517"/>
        <v>39.34121891</v>
      </c>
      <c r="AP625" s="34">
        <f t="shared" si="518"/>
        <v>17.36829993</v>
      </c>
      <c r="AQ625" s="34">
        <f t="shared" si="519"/>
        <v>28.81637536</v>
      </c>
      <c r="AR625" s="34">
        <f t="shared" si="520"/>
        <v>11.27496945</v>
      </c>
      <c r="AS625" s="34">
        <f t="shared" si="521"/>
        <v>0.06014792274</v>
      </c>
      <c r="AT625" s="35">
        <f t="shared" si="15"/>
        <v>96.86101157</v>
      </c>
      <c r="AV625" s="32">
        <f t="shared" si="522"/>
        <v>10481.35644</v>
      </c>
    </row>
    <row r="626" ht="14.25" customHeight="1">
      <c r="B626" s="83"/>
      <c r="C626" s="100" t="s">
        <v>46</v>
      </c>
      <c r="D626" s="74"/>
      <c r="E626" s="84" t="s">
        <v>75</v>
      </c>
      <c r="F626" s="75"/>
      <c r="G626" s="27">
        <v>49.13</v>
      </c>
      <c r="H626" s="27">
        <v>6.54</v>
      </c>
      <c r="I626" s="27">
        <v>44.16</v>
      </c>
      <c r="J626" s="27">
        <v>0.12</v>
      </c>
      <c r="K626" s="27">
        <v>0.05</v>
      </c>
      <c r="L626" s="63">
        <f t="shared" si="528"/>
        <v>12.44</v>
      </c>
      <c r="M626" s="40">
        <v>80.0</v>
      </c>
      <c r="N626" s="40">
        <v>7.3</v>
      </c>
      <c r="O626" s="22">
        <v>0.26</v>
      </c>
      <c r="P626" s="76">
        <v>0.0</v>
      </c>
      <c r="Q626" s="89">
        <v>840.0</v>
      </c>
      <c r="R626" s="22" t="s">
        <v>62</v>
      </c>
      <c r="S626" s="25">
        <v>0.63</v>
      </c>
      <c r="T626" s="22">
        <v>17.12</v>
      </c>
      <c r="U626" s="25">
        <v>39.364896073903</v>
      </c>
      <c r="V626" s="25">
        <v>17.5635103926097</v>
      </c>
      <c r="W626" s="25">
        <v>29.203233256351</v>
      </c>
      <c r="X626" s="25">
        <v>11.8360277136258</v>
      </c>
      <c r="Y626" s="78">
        <f t="shared" si="512"/>
        <v>0.06130692266</v>
      </c>
      <c r="Z626" s="22" t="s">
        <v>51</v>
      </c>
      <c r="AA626" s="22" t="s">
        <v>51</v>
      </c>
      <c r="AB626" s="22" t="s">
        <v>51</v>
      </c>
      <c r="AC626" s="32">
        <f t="shared" si="513"/>
        <v>10709.60945</v>
      </c>
      <c r="AD626" s="22" t="s">
        <v>51</v>
      </c>
      <c r="AK626" s="33">
        <f t="shared" si="514"/>
        <v>0.004285714286</v>
      </c>
      <c r="AL626" s="33">
        <f t="shared" si="515"/>
        <v>6.986302135</v>
      </c>
      <c r="AM626" s="33">
        <f t="shared" si="516"/>
        <v>6.990587849</v>
      </c>
      <c r="AO626" s="34">
        <f t="shared" si="517"/>
        <v>39.34076267</v>
      </c>
      <c r="AP626" s="34">
        <f t="shared" si="518"/>
        <v>17.55274274</v>
      </c>
      <c r="AQ626" s="34">
        <f t="shared" si="519"/>
        <v>29.18532965</v>
      </c>
      <c r="AR626" s="34">
        <f t="shared" si="520"/>
        <v>11.82877141</v>
      </c>
      <c r="AS626" s="34">
        <f t="shared" si="521"/>
        <v>0.06130692266</v>
      </c>
      <c r="AT626" s="35">
        <f t="shared" si="15"/>
        <v>97.9689134</v>
      </c>
      <c r="AV626" s="32">
        <f t="shared" si="522"/>
        <v>10703.04372</v>
      </c>
    </row>
    <row r="627" ht="14.25" customHeight="1">
      <c r="B627" s="83"/>
      <c r="C627" s="100" t="s">
        <v>46</v>
      </c>
      <c r="D627" s="74"/>
      <c r="E627" s="84" t="s">
        <v>75</v>
      </c>
      <c r="F627" s="75"/>
      <c r="G627" s="27">
        <v>49.13</v>
      </c>
      <c r="H627" s="27">
        <v>6.54</v>
      </c>
      <c r="I627" s="27">
        <v>44.16</v>
      </c>
      <c r="J627" s="27">
        <v>0.12</v>
      </c>
      <c r="K627" s="27">
        <v>0.05</v>
      </c>
      <c r="L627" s="63">
        <f t="shared" si="528"/>
        <v>12.44</v>
      </c>
      <c r="M627" s="40">
        <v>80.0</v>
      </c>
      <c r="N627" s="40">
        <v>7.3</v>
      </c>
      <c r="O627" s="22">
        <v>0.26</v>
      </c>
      <c r="P627" s="76">
        <v>0.0</v>
      </c>
      <c r="Q627" s="89">
        <v>840.0</v>
      </c>
      <c r="R627" s="22" t="s">
        <v>62</v>
      </c>
      <c r="S627" s="25">
        <v>0.63</v>
      </c>
      <c r="T627" s="22">
        <v>17.12</v>
      </c>
      <c r="U627" s="25">
        <v>38.9953810623556</v>
      </c>
      <c r="V627" s="25">
        <v>17.1016166281755</v>
      </c>
      <c r="W627" s="25">
        <v>29.0184757505773</v>
      </c>
      <c r="X627" s="25">
        <v>11.9284064665127</v>
      </c>
      <c r="Y627" s="78">
        <f t="shared" si="512"/>
        <v>0.06072742606</v>
      </c>
      <c r="Z627" s="22" t="s">
        <v>51</v>
      </c>
      <c r="AA627" s="22" t="s">
        <v>51</v>
      </c>
      <c r="AB627" s="22" t="s">
        <v>51</v>
      </c>
      <c r="AC627" s="32">
        <f t="shared" si="513"/>
        <v>10644.46346</v>
      </c>
      <c r="AD627" s="22" t="s">
        <v>51</v>
      </c>
      <c r="AK627" s="33">
        <f t="shared" si="514"/>
        <v>0.004285714286</v>
      </c>
      <c r="AL627" s="33">
        <f t="shared" si="515"/>
        <v>7.05301041</v>
      </c>
      <c r="AM627" s="33">
        <f t="shared" si="516"/>
        <v>7.057296125</v>
      </c>
      <c r="AO627" s="34">
        <f t="shared" si="517"/>
        <v>38.97170017</v>
      </c>
      <c r="AP627" s="34">
        <f t="shared" si="518"/>
        <v>17.09123126</v>
      </c>
      <c r="AQ627" s="34">
        <f t="shared" si="519"/>
        <v>29.00085358</v>
      </c>
      <c r="AR627" s="34">
        <f t="shared" si="520"/>
        <v>11.92116265</v>
      </c>
      <c r="AS627" s="34">
        <f t="shared" si="521"/>
        <v>0.06072742606</v>
      </c>
      <c r="AT627" s="35">
        <f t="shared" si="15"/>
        <v>97.04567508</v>
      </c>
      <c r="AV627" s="32">
        <f t="shared" si="522"/>
        <v>10637.99935</v>
      </c>
    </row>
    <row r="628" ht="14.25" customHeight="1">
      <c r="B628" s="83"/>
      <c r="C628" s="100" t="s">
        <v>46</v>
      </c>
      <c r="D628" s="74"/>
      <c r="E628" s="84" t="s">
        <v>75</v>
      </c>
      <c r="F628" s="75"/>
      <c r="G628" s="27">
        <v>49.13</v>
      </c>
      <c r="H628" s="27">
        <v>6.54</v>
      </c>
      <c r="I628" s="27">
        <v>44.16</v>
      </c>
      <c r="J628" s="27">
        <v>0.12</v>
      </c>
      <c r="K628" s="27">
        <v>0.05</v>
      </c>
      <c r="L628" s="63">
        <f t="shared" si="528"/>
        <v>12.44</v>
      </c>
      <c r="M628" s="40">
        <v>80.0</v>
      </c>
      <c r="N628" s="40">
        <v>7.3</v>
      </c>
      <c r="O628" s="22">
        <v>0.26</v>
      </c>
      <c r="P628" s="76">
        <v>0.0</v>
      </c>
      <c r="Q628" s="89">
        <v>840.0</v>
      </c>
      <c r="R628" s="22" t="s">
        <v>62</v>
      </c>
      <c r="S628" s="25">
        <v>0.63</v>
      </c>
      <c r="T628" s="22">
        <v>17.12</v>
      </c>
      <c r="U628" s="25">
        <v>39.1801385681293</v>
      </c>
      <c r="V628" s="25">
        <v>17.6558891454965</v>
      </c>
      <c r="W628" s="25">
        <v>29.4803695150115</v>
      </c>
      <c r="X628" s="25">
        <v>11.5588914549653</v>
      </c>
      <c r="Y628" s="78">
        <f t="shared" si="512"/>
        <v>0.06140350477</v>
      </c>
      <c r="Z628" s="22" t="s">
        <v>51</v>
      </c>
      <c r="AA628" s="22" t="s">
        <v>51</v>
      </c>
      <c r="AB628" s="22" t="s">
        <v>51</v>
      </c>
      <c r="AC628" s="32">
        <f t="shared" si="513"/>
        <v>10602.03357</v>
      </c>
      <c r="AD628" s="22" t="s">
        <v>51</v>
      </c>
      <c r="AK628" s="33">
        <f t="shared" si="514"/>
        <v>0.004285714286</v>
      </c>
      <c r="AL628" s="33">
        <f t="shared" si="515"/>
        <v>6.975306577</v>
      </c>
      <c r="AM628" s="33">
        <f t="shared" si="516"/>
        <v>6.979592292</v>
      </c>
      <c r="AO628" s="34">
        <f t="shared" si="517"/>
        <v>39.15608059</v>
      </c>
      <c r="AP628" s="34">
        <f t="shared" si="518"/>
        <v>17.64504781</v>
      </c>
      <c r="AQ628" s="34">
        <f t="shared" si="519"/>
        <v>29.46226753</v>
      </c>
      <c r="AR628" s="34">
        <f t="shared" si="520"/>
        <v>11.55179389</v>
      </c>
      <c r="AS628" s="34">
        <f t="shared" si="521"/>
        <v>0.06140350477</v>
      </c>
      <c r="AT628" s="35">
        <f t="shared" si="15"/>
        <v>97.87659333</v>
      </c>
      <c r="AV628" s="32">
        <f t="shared" si="522"/>
        <v>10595.52355</v>
      </c>
    </row>
    <row r="629" ht="14.25" customHeight="1">
      <c r="B629" s="83"/>
      <c r="C629" s="100" t="s">
        <v>46</v>
      </c>
      <c r="D629" s="74"/>
      <c r="E629" s="84" t="s">
        <v>75</v>
      </c>
      <c r="F629" s="75"/>
      <c r="G629" s="27">
        <v>49.13</v>
      </c>
      <c r="H629" s="27">
        <v>6.54</v>
      </c>
      <c r="I629" s="27">
        <v>44.16</v>
      </c>
      <c r="J629" s="27">
        <v>0.12</v>
      </c>
      <c r="K629" s="27">
        <v>0.05</v>
      </c>
      <c r="L629" s="63">
        <f t="shared" si="528"/>
        <v>12.44</v>
      </c>
      <c r="M629" s="40">
        <v>80.0</v>
      </c>
      <c r="N629" s="40">
        <v>7.3</v>
      </c>
      <c r="O629" s="22">
        <v>0.26</v>
      </c>
      <c r="P629" s="76">
        <v>0.0</v>
      </c>
      <c r="Q629" s="89">
        <v>840.0</v>
      </c>
      <c r="R629" s="22" t="s">
        <v>62</v>
      </c>
      <c r="S629" s="25">
        <v>0.63</v>
      </c>
      <c r="T629" s="22">
        <v>17.12</v>
      </c>
      <c r="U629" s="25">
        <v>39.0877598152424</v>
      </c>
      <c r="V629" s="25">
        <v>17.6558891454965</v>
      </c>
      <c r="W629" s="25">
        <v>28.7413394919168</v>
      </c>
      <c r="X629" s="25">
        <v>11.189376443418</v>
      </c>
      <c r="Y629" s="78">
        <f t="shared" si="512"/>
        <v>0.06024450709</v>
      </c>
      <c r="Z629" s="22" t="s">
        <v>51</v>
      </c>
      <c r="AA629" s="22" t="s">
        <v>51</v>
      </c>
      <c r="AB629" s="22" t="s">
        <v>51</v>
      </c>
      <c r="AC629" s="32">
        <f t="shared" si="513"/>
        <v>10459.65894</v>
      </c>
      <c r="AD629" s="22" t="s">
        <v>51</v>
      </c>
      <c r="AK629" s="33">
        <f t="shared" si="514"/>
        <v>0.004285714286</v>
      </c>
      <c r="AL629" s="33">
        <f t="shared" si="515"/>
        <v>7.109581579</v>
      </c>
      <c r="AM629" s="33">
        <f t="shared" si="516"/>
        <v>7.113867293</v>
      </c>
      <c r="AO629" s="34">
        <f t="shared" si="517"/>
        <v>39.06421159</v>
      </c>
      <c r="AP629" s="34">
        <f t="shared" si="518"/>
        <v>17.64525244</v>
      </c>
      <c r="AQ629" s="34">
        <f t="shared" si="519"/>
        <v>28.72402441</v>
      </c>
      <c r="AR629" s="34">
        <f t="shared" si="520"/>
        <v>11.18263546</v>
      </c>
      <c r="AS629" s="34">
        <f t="shared" si="521"/>
        <v>0.06024450709</v>
      </c>
      <c r="AT629" s="35">
        <f t="shared" si="15"/>
        <v>96.67636841</v>
      </c>
      <c r="AV629" s="32">
        <f t="shared" si="522"/>
        <v>10453.35757</v>
      </c>
    </row>
    <row r="630" ht="14.25" customHeight="1">
      <c r="B630" s="83"/>
      <c r="C630" s="100" t="s">
        <v>46</v>
      </c>
      <c r="D630" s="74"/>
      <c r="E630" s="84" t="s">
        <v>75</v>
      </c>
      <c r="F630" s="75"/>
      <c r="G630" s="27">
        <v>49.13</v>
      </c>
      <c r="H630" s="27">
        <v>6.54</v>
      </c>
      <c r="I630" s="27">
        <v>44.16</v>
      </c>
      <c r="J630" s="27">
        <v>0.12</v>
      </c>
      <c r="K630" s="27">
        <v>0.05</v>
      </c>
      <c r="L630" s="63">
        <f t="shared" si="528"/>
        <v>12.44</v>
      </c>
      <c r="M630" s="40">
        <v>80.0</v>
      </c>
      <c r="N630" s="40">
        <v>7.3</v>
      </c>
      <c r="O630" s="22">
        <v>0.26</v>
      </c>
      <c r="P630" s="76">
        <v>0.0</v>
      </c>
      <c r="Q630" s="89">
        <v>840.0</v>
      </c>
      <c r="R630" s="22" t="s">
        <v>62</v>
      </c>
      <c r="S630" s="25">
        <v>0.63</v>
      </c>
      <c r="T630" s="22">
        <v>17.12</v>
      </c>
      <c r="U630" s="25">
        <v>39.1801385681293</v>
      </c>
      <c r="V630" s="25">
        <v>17.1016166281755</v>
      </c>
      <c r="W630" s="25">
        <v>28.64896073903</v>
      </c>
      <c r="X630" s="25">
        <v>11.4665127020785</v>
      </c>
      <c r="Y630" s="78">
        <f t="shared" si="512"/>
        <v>0.05985816856</v>
      </c>
      <c r="Z630" s="22" t="s">
        <v>51</v>
      </c>
      <c r="AA630" s="22" t="s">
        <v>51</v>
      </c>
      <c r="AB630" s="22" t="s">
        <v>51</v>
      </c>
      <c r="AC630" s="32">
        <f t="shared" si="513"/>
        <v>10498.90671</v>
      </c>
      <c r="AD630" s="22" t="s">
        <v>51</v>
      </c>
      <c r="AK630" s="33">
        <f t="shared" si="514"/>
        <v>0.004285714286</v>
      </c>
      <c r="AL630" s="33">
        <f t="shared" si="515"/>
        <v>7.155496132</v>
      </c>
      <c r="AM630" s="33">
        <f t="shared" si="516"/>
        <v>7.159781846</v>
      </c>
      <c r="AO630" s="34">
        <f t="shared" si="517"/>
        <v>39.15668605</v>
      </c>
      <c r="AP630" s="34">
        <f t="shared" si="518"/>
        <v>17.09137991</v>
      </c>
      <c r="AQ630" s="34">
        <f t="shared" si="519"/>
        <v>28.631812</v>
      </c>
      <c r="AR630" s="34">
        <f t="shared" si="520"/>
        <v>11.45964906</v>
      </c>
      <c r="AS630" s="34">
        <f t="shared" si="521"/>
        <v>0.05985816856</v>
      </c>
      <c r="AT630" s="35">
        <f t="shared" si="15"/>
        <v>96.39938519</v>
      </c>
      <c r="AV630" s="32">
        <f t="shared" si="522"/>
        <v>10492.62226</v>
      </c>
    </row>
    <row r="631" ht="14.25" customHeight="1">
      <c r="B631" s="83"/>
      <c r="C631" s="100" t="s">
        <v>46</v>
      </c>
      <c r="D631" s="74"/>
      <c r="E631" s="84" t="s">
        <v>75</v>
      </c>
      <c r="F631" s="75"/>
      <c r="G631" s="27">
        <v>49.13</v>
      </c>
      <c r="H631" s="27">
        <v>6.54</v>
      </c>
      <c r="I631" s="27">
        <v>44.16</v>
      </c>
      <c r="J631" s="27">
        <v>0.12</v>
      </c>
      <c r="K631" s="27">
        <v>0.05</v>
      </c>
      <c r="L631" s="63">
        <f t="shared" si="528"/>
        <v>12.44</v>
      </c>
      <c r="M631" s="40">
        <v>80.0</v>
      </c>
      <c r="N631" s="40">
        <v>7.3</v>
      </c>
      <c r="O631" s="22">
        <v>0.26</v>
      </c>
      <c r="P631" s="76">
        <v>0.0</v>
      </c>
      <c r="Q631" s="89">
        <v>840.0</v>
      </c>
      <c r="R631" s="22" t="s">
        <v>62</v>
      </c>
      <c r="S631" s="25">
        <v>0.63</v>
      </c>
      <c r="T631" s="22">
        <v>17.12</v>
      </c>
      <c r="U631" s="25">
        <v>38.9953810623556</v>
      </c>
      <c r="V631" s="25">
        <v>17.1016166281755</v>
      </c>
      <c r="W631" s="25">
        <v>29.0184757505773</v>
      </c>
      <c r="X631" s="25">
        <v>11.5588914549653</v>
      </c>
      <c r="Y631" s="78">
        <f t="shared" si="512"/>
        <v>0.06034109126</v>
      </c>
      <c r="Z631" s="22" t="s">
        <v>51</v>
      </c>
      <c r="AA631" s="22" t="s">
        <v>51</v>
      </c>
      <c r="AB631" s="22" t="s">
        <v>51</v>
      </c>
      <c r="AC631" s="32">
        <f t="shared" si="513"/>
        <v>10512.06161</v>
      </c>
      <c r="AD631" s="22" t="s">
        <v>51</v>
      </c>
      <c r="AK631" s="33">
        <f t="shared" si="514"/>
        <v>0.004285714286</v>
      </c>
      <c r="AL631" s="33">
        <f t="shared" si="515"/>
        <v>7.098194862</v>
      </c>
      <c r="AM631" s="33">
        <f t="shared" si="516"/>
        <v>7.102480576</v>
      </c>
      <c r="AO631" s="34">
        <f t="shared" si="517"/>
        <v>38.97185082</v>
      </c>
      <c r="AP631" s="34">
        <f t="shared" si="518"/>
        <v>17.09129733</v>
      </c>
      <c r="AQ631" s="34">
        <f t="shared" si="519"/>
        <v>29.00096569</v>
      </c>
      <c r="AR631" s="34">
        <f t="shared" si="520"/>
        <v>11.55191669</v>
      </c>
      <c r="AS631" s="34">
        <f t="shared" si="521"/>
        <v>0.06034109126</v>
      </c>
      <c r="AT631" s="35">
        <f t="shared" si="15"/>
        <v>96.67637162</v>
      </c>
      <c r="AV631" s="32">
        <f t="shared" si="522"/>
        <v>10505.71852</v>
      </c>
    </row>
    <row r="632" ht="14.25" customHeight="1">
      <c r="B632" s="83"/>
      <c r="C632" s="100" t="s">
        <v>46</v>
      </c>
      <c r="D632" s="74"/>
      <c r="E632" s="84" t="s">
        <v>75</v>
      </c>
      <c r="F632" s="75"/>
      <c r="G632" s="27">
        <v>49.13</v>
      </c>
      <c r="H632" s="27">
        <v>6.54</v>
      </c>
      <c r="I632" s="27">
        <v>44.16</v>
      </c>
      <c r="J632" s="27">
        <v>0.12</v>
      </c>
      <c r="K632" s="27">
        <v>0.05</v>
      </c>
      <c r="L632" s="63">
        <f t="shared" si="528"/>
        <v>12.44</v>
      </c>
      <c r="M632" s="40">
        <v>80.0</v>
      </c>
      <c r="N632" s="40">
        <v>7.3</v>
      </c>
      <c r="O632" s="22">
        <v>0.26</v>
      </c>
      <c r="P632" s="76">
        <v>0.0</v>
      </c>
      <c r="Q632" s="89">
        <v>840.0</v>
      </c>
      <c r="R632" s="22" t="s">
        <v>62</v>
      </c>
      <c r="S632" s="25">
        <v>0.63</v>
      </c>
      <c r="T632" s="22">
        <v>17.12</v>
      </c>
      <c r="U632" s="25">
        <v>38.5334872979214</v>
      </c>
      <c r="V632" s="25">
        <v>17.8406466512702</v>
      </c>
      <c r="W632" s="25">
        <v>29.0184757505773</v>
      </c>
      <c r="X632" s="25">
        <v>11.3741339491916</v>
      </c>
      <c r="Y632" s="78">
        <f t="shared" si="512"/>
        <v>0.06092059234</v>
      </c>
      <c r="Z632" s="22" t="s">
        <v>51</v>
      </c>
      <c r="AA632" s="22" t="s">
        <v>51</v>
      </c>
      <c r="AB632" s="22" t="s">
        <v>51</v>
      </c>
      <c r="AC632" s="32">
        <f t="shared" si="513"/>
        <v>10489.36531</v>
      </c>
      <c r="AD632" s="22" t="s">
        <v>51</v>
      </c>
      <c r="AK632" s="33">
        <f t="shared" si="514"/>
        <v>0.004285714286</v>
      </c>
      <c r="AL632" s="33">
        <f t="shared" si="515"/>
        <v>7.030633221</v>
      </c>
      <c r="AM632" s="33">
        <f t="shared" si="516"/>
        <v>7.034918935</v>
      </c>
      <c r="AO632" s="34">
        <f t="shared" si="517"/>
        <v>38.51001247</v>
      </c>
      <c r="AP632" s="34">
        <f t="shared" si="518"/>
        <v>17.82977802</v>
      </c>
      <c r="AQ632" s="34">
        <f t="shared" si="519"/>
        <v>29.00079752</v>
      </c>
      <c r="AR632" s="34">
        <f t="shared" si="520"/>
        <v>11.36720476</v>
      </c>
      <c r="AS632" s="34">
        <f t="shared" si="521"/>
        <v>0.06092059234</v>
      </c>
      <c r="AT632" s="35">
        <f t="shared" si="15"/>
        <v>96.76871337</v>
      </c>
      <c r="AV632" s="32">
        <f t="shared" si="522"/>
        <v>10482.97513</v>
      </c>
    </row>
    <row r="633" ht="14.25" customHeight="1">
      <c r="B633" s="83"/>
      <c r="C633" s="100" t="s">
        <v>46</v>
      </c>
      <c r="D633" s="74"/>
      <c r="E633" s="84" t="s">
        <v>75</v>
      </c>
      <c r="F633" s="75"/>
      <c r="G633" s="27">
        <v>49.13</v>
      </c>
      <c r="H633" s="27">
        <v>6.54</v>
      </c>
      <c r="I633" s="27">
        <v>44.16</v>
      </c>
      <c r="J633" s="27">
        <v>0.12</v>
      </c>
      <c r="K633" s="27">
        <v>0.05</v>
      </c>
      <c r="L633" s="63">
        <f t="shared" si="528"/>
        <v>12.44</v>
      </c>
      <c r="M633" s="40">
        <v>80.0</v>
      </c>
      <c r="N633" s="40">
        <v>7.3</v>
      </c>
      <c r="O633" s="22">
        <v>0.26</v>
      </c>
      <c r="P633" s="76">
        <v>0.0</v>
      </c>
      <c r="Q633" s="89">
        <v>840.0</v>
      </c>
      <c r="R633" s="22" t="s">
        <v>62</v>
      </c>
      <c r="S633" s="25">
        <v>0.63</v>
      </c>
      <c r="T633" s="22">
        <v>17.12</v>
      </c>
      <c r="U633" s="25">
        <v>38.5334872979214</v>
      </c>
      <c r="V633" s="25">
        <v>17.4711316397228</v>
      </c>
      <c r="W633" s="25">
        <v>28.64896073903</v>
      </c>
      <c r="X633" s="25">
        <v>10.6351039260969</v>
      </c>
      <c r="Y633" s="78">
        <f t="shared" si="512"/>
        <v>0.05937524119</v>
      </c>
      <c r="Z633" s="22" t="s">
        <v>51</v>
      </c>
      <c r="AA633" s="22" t="s">
        <v>51</v>
      </c>
      <c r="AB633" s="22" t="s">
        <v>51</v>
      </c>
      <c r="AC633" s="32">
        <f t="shared" si="513"/>
        <v>10177.87735</v>
      </c>
      <c r="AD633" s="22" t="s">
        <v>51</v>
      </c>
      <c r="AK633" s="33">
        <f t="shared" si="514"/>
        <v>0.004285714286</v>
      </c>
      <c r="AL633" s="33">
        <f t="shared" si="515"/>
        <v>7.213730078</v>
      </c>
      <c r="AM633" s="33">
        <f t="shared" si="516"/>
        <v>7.218015792</v>
      </c>
      <c r="AO633" s="34">
        <f t="shared" si="517"/>
        <v>38.51060795</v>
      </c>
      <c r="AP633" s="34">
        <f t="shared" si="518"/>
        <v>17.46075811</v>
      </c>
      <c r="AQ633" s="34">
        <f t="shared" si="519"/>
        <v>28.63195035</v>
      </c>
      <c r="AR633" s="34">
        <f t="shared" si="520"/>
        <v>10.62878931</v>
      </c>
      <c r="AS633" s="34">
        <f t="shared" si="521"/>
        <v>0.05937524119</v>
      </c>
      <c r="AT633" s="35">
        <f t="shared" si="15"/>
        <v>95.29148096</v>
      </c>
      <c r="AV633" s="32">
        <f t="shared" si="522"/>
        <v>10171.83421</v>
      </c>
    </row>
    <row r="634" ht="14.25" customHeight="1">
      <c r="B634" s="83"/>
      <c r="C634" s="100" t="s">
        <v>46</v>
      </c>
      <c r="D634" s="74"/>
      <c r="E634" s="84" t="s">
        <v>75</v>
      </c>
      <c r="F634" s="75"/>
      <c r="G634" s="27">
        <v>49.13</v>
      </c>
      <c r="H634" s="27">
        <v>6.54</v>
      </c>
      <c r="I634" s="27">
        <v>44.16</v>
      </c>
      <c r="J634" s="27">
        <v>0.12</v>
      </c>
      <c r="K634" s="27">
        <v>0.05</v>
      </c>
      <c r="L634" s="63">
        <f t="shared" si="528"/>
        <v>12.44</v>
      </c>
      <c r="M634" s="40">
        <v>80.0</v>
      </c>
      <c r="N634" s="40">
        <v>7.3</v>
      </c>
      <c r="O634" s="22">
        <v>0.26</v>
      </c>
      <c r="P634" s="76">
        <v>0.0</v>
      </c>
      <c r="Q634" s="89">
        <v>840.0</v>
      </c>
      <c r="R634" s="22" t="s">
        <v>62</v>
      </c>
      <c r="S634" s="25">
        <v>0.63</v>
      </c>
      <c r="T634" s="22">
        <v>17.12</v>
      </c>
      <c r="U634" s="25">
        <v>38.9953810623556</v>
      </c>
      <c r="V634" s="25">
        <v>17.0092378752886</v>
      </c>
      <c r="W634" s="25">
        <v>28.64896073903</v>
      </c>
      <c r="X634" s="25">
        <v>10.7274826789838</v>
      </c>
      <c r="Y634" s="78">
        <f t="shared" si="512"/>
        <v>0.05898889593</v>
      </c>
      <c r="Z634" s="22" t="s">
        <v>51</v>
      </c>
      <c r="AA634" s="22" t="s">
        <v>51</v>
      </c>
      <c r="AB634" s="22" t="s">
        <v>51</v>
      </c>
      <c r="AC634" s="32">
        <f t="shared" si="513"/>
        <v>10202.48639</v>
      </c>
      <c r="AD634" s="22" t="s">
        <v>51</v>
      </c>
      <c r="AK634" s="33">
        <f t="shared" si="514"/>
        <v>0.004285714286</v>
      </c>
      <c r="AL634" s="33">
        <f t="shared" si="515"/>
        <v>7.261004164</v>
      </c>
      <c r="AM634" s="33">
        <f t="shared" si="516"/>
        <v>7.265289878</v>
      </c>
      <c r="AO634" s="34">
        <f t="shared" si="517"/>
        <v>38.97237812</v>
      </c>
      <c r="AP634" s="34">
        <f t="shared" si="518"/>
        <v>16.99920431</v>
      </c>
      <c r="AQ634" s="34">
        <f t="shared" si="519"/>
        <v>28.63206103</v>
      </c>
      <c r="AR634" s="34">
        <f t="shared" si="520"/>
        <v>10.72115466</v>
      </c>
      <c r="AS634" s="34">
        <f t="shared" si="521"/>
        <v>0.05898889593</v>
      </c>
      <c r="AT634" s="35">
        <f t="shared" si="15"/>
        <v>95.38378702</v>
      </c>
      <c r="AV634" s="32">
        <f t="shared" si="522"/>
        <v>10196.46806</v>
      </c>
    </row>
    <row r="635" ht="14.25" customHeight="1">
      <c r="B635" s="83"/>
      <c r="C635" s="100" t="s">
        <v>46</v>
      </c>
      <c r="D635" s="74"/>
      <c r="E635" s="84" t="s">
        <v>75</v>
      </c>
      <c r="F635" s="75"/>
      <c r="G635" s="27">
        <v>49.13</v>
      </c>
      <c r="H635" s="27">
        <v>6.54</v>
      </c>
      <c r="I635" s="27">
        <v>44.16</v>
      </c>
      <c r="J635" s="27">
        <v>0.12</v>
      </c>
      <c r="K635" s="27">
        <v>0.05</v>
      </c>
      <c r="L635" s="63">
        <f t="shared" si="528"/>
        <v>12.44</v>
      </c>
      <c r="M635" s="40">
        <v>80.0</v>
      </c>
      <c r="N635" s="40">
        <v>7.3</v>
      </c>
      <c r="O635" s="22">
        <v>0.26</v>
      </c>
      <c r="P635" s="76">
        <v>0.0</v>
      </c>
      <c r="Q635" s="89">
        <v>840.0</v>
      </c>
      <c r="R635" s="22" t="s">
        <v>62</v>
      </c>
      <c r="S635" s="25">
        <v>0.63</v>
      </c>
      <c r="T635" s="22">
        <v>17.12</v>
      </c>
      <c r="U635" s="25">
        <v>39.4572748267898</v>
      </c>
      <c r="V635" s="25">
        <v>17.6558891454965</v>
      </c>
      <c r="W635" s="25">
        <v>28.64896073903</v>
      </c>
      <c r="X635" s="25">
        <v>11.6512702078522</v>
      </c>
      <c r="Y635" s="78">
        <f t="shared" si="512"/>
        <v>0.06063084264</v>
      </c>
      <c r="Z635" s="22" t="s">
        <v>51</v>
      </c>
      <c r="AA635" s="22" t="s">
        <v>51</v>
      </c>
      <c r="AB635" s="22" t="s">
        <v>51</v>
      </c>
      <c r="AC635" s="32">
        <f t="shared" si="513"/>
        <v>10665.05238</v>
      </c>
      <c r="AD635" s="22" t="s">
        <v>51</v>
      </c>
      <c r="AK635" s="33">
        <f t="shared" si="514"/>
        <v>0.004285714286</v>
      </c>
      <c r="AL635" s="33">
        <f t="shared" si="515"/>
        <v>7.064252507</v>
      </c>
      <c r="AM635" s="33">
        <f t="shared" si="516"/>
        <v>7.068538221</v>
      </c>
      <c r="AO635" s="34">
        <f t="shared" si="517"/>
        <v>39.43335155</v>
      </c>
      <c r="AP635" s="34">
        <f t="shared" si="518"/>
        <v>17.64518423</v>
      </c>
      <c r="AQ635" s="34">
        <f t="shared" si="519"/>
        <v>28.63159063</v>
      </c>
      <c r="AR635" s="34">
        <f t="shared" si="520"/>
        <v>11.64420594</v>
      </c>
      <c r="AS635" s="34">
        <f t="shared" si="521"/>
        <v>0.06063084264</v>
      </c>
      <c r="AT635" s="35">
        <f t="shared" si="15"/>
        <v>97.4149632</v>
      </c>
      <c r="AV635" s="32">
        <f t="shared" si="522"/>
        <v>10658.58606</v>
      </c>
    </row>
    <row r="636" ht="14.25" customHeight="1">
      <c r="B636" s="83"/>
      <c r="C636" s="100" t="s">
        <v>46</v>
      </c>
      <c r="D636" s="74"/>
      <c r="E636" s="84" t="s">
        <v>75</v>
      </c>
      <c r="F636" s="75"/>
      <c r="G636" s="27">
        <v>49.13</v>
      </c>
      <c r="H636" s="27">
        <v>6.54</v>
      </c>
      <c r="I636" s="27">
        <v>44.16</v>
      </c>
      <c r="J636" s="27">
        <v>0.12</v>
      </c>
      <c r="K636" s="27">
        <v>0.05</v>
      </c>
      <c r="L636" s="63">
        <f t="shared" si="528"/>
        <v>12.44</v>
      </c>
      <c r="M636" s="40">
        <v>80.0</v>
      </c>
      <c r="N636" s="40">
        <v>7.3</v>
      </c>
      <c r="O636" s="22">
        <v>0.26</v>
      </c>
      <c r="P636" s="76">
        <v>0.0</v>
      </c>
      <c r="Q636" s="89">
        <v>840.0</v>
      </c>
      <c r="R636" s="22" t="s">
        <v>62</v>
      </c>
      <c r="S636" s="25">
        <v>0.63</v>
      </c>
      <c r="T636" s="22">
        <v>17.12</v>
      </c>
      <c r="U636" s="25">
        <v>39.919168591224</v>
      </c>
      <c r="V636" s="25">
        <v>17.5635103926097</v>
      </c>
      <c r="W636" s="25">
        <v>28.094688221709</v>
      </c>
      <c r="X636" s="25">
        <v>10.7274826789838</v>
      </c>
      <c r="Y636" s="78">
        <f t="shared" si="512"/>
        <v>0.05898889593</v>
      </c>
      <c r="Z636" s="22" t="s">
        <v>51</v>
      </c>
      <c r="AA636" s="22" t="s">
        <v>51</v>
      </c>
      <c r="AB636" s="22" t="s">
        <v>51</v>
      </c>
      <c r="AC636" s="32">
        <f t="shared" si="513"/>
        <v>10372.2406</v>
      </c>
      <c r="AD636" s="22" t="s">
        <v>51</v>
      </c>
      <c r="AK636" s="33">
        <f t="shared" si="514"/>
        <v>0.004285714286</v>
      </c>
      <c r="AL636" s="33">
        <f t="shared" si="515"/>
        <v>7.261004164</v>
      </c>
      <c r="AM636" s="33">
        <f t="shared" si="516"/>
        <v>7.265289878</v>
      </c>
      <c r="AO636" s="34">
        <f t="shared" si="517"/>
        <v>39.89562071</v>
      </c>
      <c r="AP636" s="34">
        <f t="shared" si="518"/>
        <v>17.55314987</v>
      </c>
      <c r="AQ636" s="34">
        <f t="shared" si="519"/>
        <v>28.07811548</v>
      </c>
      <c r="AR636" s="34">
        <f t="shared" si="520"/>
        <v>10.72115466</v>
      </c>
      <c r="AS636" s="34">
        <f t="shared" si="521"/>
        <v>0.05898889593</v>
      </c>
      <c r="AT636" s="35">
        <f t="shared" si="15"/>
        <v>96.30702961</v>
      </c>
      <c r="AV636" s="32">
        <f t="shared" si="522"/>
        <v>10366.12213</v>
      </c>
    </row>
    <row r="637" ht="14.25" customHeight="1">
      <c r="B637" s="83"/>
      <c r="C637" s="100" t="s">
        <v>46</v>
      </c>
      <c r="D637" s="74"/>
      <c r="E637" s="84" t="s">
        <v>75</v>
      </c>
      <c r="F637" s="75"/>
      <c r="G637" s="27">
        <v>49.13</v>
      </c>
      <c r="H637" s="27">
        <v>6.54</v>
      </c>
      <c r="I637" s="27">
        <v>44.16</v>
      </c>
      <c r="J637" s="27">
        <v>0.12</v>
      </c>
      <c r="K637" s="27">
        <v>0.05</v>
      </c>
      <c r="L637" s="63">
        <f t="shared" si="528"/>
        <v>12.44</v>
      </c>
      <c r="M637" s="40">
        <v>80.0</v>
      </c>
      <c r="N637" s="40">
        <v>7.3</v>
      </c>
      <c r="O637" s="22">
        <v>0.26</v>
      </c>
      <c r="P637" s="76">
        <v>0.0</v>
      </c>
      <c r="Q637" s="89">
        <v>840.0</v>
      </c>
      <c r="R637" s="22" t="s">
        <v>62</v>
      </c>
      <c r="S637" s="25">
        <v>0.63</v>
      </c>
      <c r="T637" s="22">
        <v>17.12</v>
      </c>
      <c r="U637" s="25">
        <v>39.919168591224</v>
      </c>
      <c r="V637" s="25">
        <v>16.6397228637413</v>
      </c>
      <c r="W637" s="25">
        <v>28.4642032332563</v>
      </c>
      <c r="X637" s="25">
        <v>10.2655889145496</v>
      </c>
      <c r="Y637" s="78">
        <f t="shared" si="512"/>
        <v>0.05792643108</v>
      </c>
      <c r="Z637" s="22" t="s">
        <v>51</v>
      </c>
      <c r="AA637" s="22" t="s">
        <v>51</v>
      </c>
      <c r="AB637" s="22" t="s">
        <v>51</v>
      </c>
      <c r="AC637" s="32">
        <f t="shared" si="513"/>
        <v>10090.02763</v>
      </c>
      <c r="AD637" s="22" t="s">
        <v>51</v>
      </c>
      <c r="AK637" s="33">
        <f t="shared" si="514"/>
        <v>0.004285714286</v>
      </c>
      <c r="AL637" s="33">
        <f t="shared" si="515"/>
        <v>7.394261383</v>
      </c>
      <c r="AM637" s="33">
        <f t="shared" si="516"/>
        <v>7.398547098</v>
      </c>
      <c r="AO637" s="34">
        <f t="shared" si="517"/>
        <v>39.89604484</v>
      </c>
      <c r="AP637" s="34">
        <f t="shared" si="518"/>
        <v>16.63008407</v>
      </c>
      <c r="AQ637" s="34">
        <f t="shared" si="519"/>
        <v>28.44771494</v>
      </c>
      <c r="AR637" s="34">
        <f t="shared" si="520"/>
        <v>10.25964243</v>
      </c>
      <c r="AS637" s="34">
        <f t="shared" si="521"/>
        <v>0.05792643108</v>
      </c>
      <c r="AT637" s="35">
        <f t="shared" si="15"/>
        <v>95.2914127</v>
      </c>
      <c r="AV637" s="32">
        <f t="shared" si="522"/>
        <v>10084.18284</v>
      </c>
    </row>
    <row r="638" ht="14.25" customHeight="1">
      <c r="B638" s="83"/>
      <c r="C638" s="100" t="s">
        <v>46</v>
      </c>
      <c r="D638" s="74"/>
      <c r="E638" s="84" t="s">
        <v>75</v>
      </c>
      <c r="F638" s="75"/>
      <c r="G638" s="27">
        <v>49.13</v>
      </c>
      <c r="H638" s="27">
        <v>6.54</v>
      </c>
      <c r="I638" s="27">
        <v>44.16</v>
      </c>
      <c r="J638" s="27">
        <v>0.12</v>
      </c>
      <c r="K638" s="27">
        <v>0.05</v>
      </c>
      <c r="L638" s="63">
        <f t="shared" si="528"/>
        <v>12.44</v>
      </c>
      <c r="M638" s="40">
        <v>80.0</v>
      </c>
      <c r="N638" s="40">
        <v>7.3</v>
      </c>
      <c r="O638" s="22">
        <v>0.26</v>
      </c>
      <c r="P638" s="76">
        <v>0.0</v>
      </c>
      <c r="Q638" s="89">
        <v>840.0</v>
      </c>
      <c r="R638" s="22" t="s">
        <v>62</v>
      </c>
      <c r="S638" s="25">
        <v>0.63</v>
      </c>
      <c r="T638" s="22">
        <v>17.12</v>
      </c>
      <c r="U638" s="25">
        <v>39.8267898383371</v>
      </c>
      <c r="V638" s="25">
        <v>17.0092378752886</v>
      </c>
      <c r="W638" s="25">
        <v>28.64896073903</v>
      </c>
      <c r="X638" s="25">
        <v>10.4503464203233</v>
      </c>
      <c r="Y638" s="78">
        <f t="shared" si="512"/>
        <v>0.05869913503</v>
      </c>
      <c r="Z638" s="22" t="s">
        <v>51</v>
      </c>
      <c r="AA638" s="22" t="s">
        <v>51</v>
      </c>
      <c r="AB638" s="22" t="s">
        <v>51</v>
      </c>
      <c r="AC638" s="32">
        <f t="shared" si="513"/>
        <v>10192.94004</v>
      </c>
      <c r="AD638" s="22" t="s">
        <v>51</v>
      </c>
      <c r="AK638" s="33">
        <f t="shared" si="514"/>
        <v>0.004285714286</v>
      </c>
      <c r="AL638" s="33">
        <f t="shared" si="515"/>
        <v>7.296868354</v>
      </c>
      <c r="AM638" s="33">
        <f t="shared" si="516"/>
        <v>7.301154069</v>
      </c>
      <c r="AO638" s="34">
        <f t="shared" si="517"/>
        <v>39.80341186</v>
      </c>
      <c r="AP638" s="34">
        <f t="shared" si="518"/>
        <v>16.9992536</v>
      </c>
      <c r="AQ638" s="34">
        <f t="shared" si="519"/>
        <v>28.63214405</v>
      </c>
      <c r="AR638" s="34">
        <f t="shared" si="520"/>
        <v>10.44421216</v>
      </c>
      <c r="AS638" s="34">
        <f t="shared" si="521"/>
        <v>0.05869913503</v>
      </c>
      <c r="AT638" s="35">
        <f t="shared" si="15"/>
        <v>95.9377208</v>
      </c>
      <c r="AV638" s="32">
        <f t="shared" si="522"/>
        <v>10186.95687</v>
      </c>
    </row>
    <row r="639" ht="14.25" customHeight="1">
      <c r="B639" s="83"/>
      <c r="C639" s="100" t="s">
        <v>46</v>
      </c>
      <c r="D639" s="74"/>
      <c r="E639" s="84" t="s">
        <v>75</v>
      </c>
      <c r="F639" s="75"/>
      <c r="G639" s="27">
        <v>49.13</v>
      </c>
      <c r="H639" s="27">
        <v>6.54</v>
      </c>
      <c r="I639" s="27">
        <v>44.16</v>
      </c>
      <c r="J639" s="27">
        <v>0.12</v>
      </c>
      <c r="K639" s="27">
        <v>0.05</v>
      </c>
      <c r="L639" s="63">
        <f t="shared" si="528"/>
        <v>12.44</v>
      </c>
      <c r="M639" s="40">
        <v>80.0</v>
      </c>
      <c r="N639" s="40">
        <v>7.3</v>
      </c>
      <c r="O639" s="22">
        <v>0.26</v>
      </c>
      <c r="P639" s="76">
        <v>0.0</v>
      </c>
      <c r="Q639" s="89">
        <v>840.0</v>
      </c>
      <c r="R639" s="22" t="s">
        <v>62</v>
      </c>
      <c r="S639" s="25">
        <v>0.63</v>
      </c>
      <c r="T639" s="22">
        <v>17.12</v>
      </c>
      <c r="U639" s="25">
        <v>39.6420323325635</v>
      </c>
      <c r="V639" s="25">
        <v>17.6558891454965</v>
      </c>
      <c r="W639" s="25">
        <v>28.2794457274826</v>
      </c>
      <c r="X639" s="25">
        <v>10.9122401847575</v>
      </c>
      <c r="Y639" s="78">
        <f t="shared" si="512"/>
        <v>0.05947182704</v>
      </c>
      <c r="Z639" s="22" t="s">
        <v>51</v>
      </c>
      <c r="AA639" s="22" t="s">
        <v>51</v>
      </c>
      <c r="AB639" s="22" t="s">
        <v>51</v>
      </c>
      <c r="AC639" s="32">
        <f t="shared" si="513"/>
        <v>10420.19424</v>
      </c>
      <c r="AD639" s="22" t="s">
        <v>51</v>
      </c>
      <c r="AK639" s="33">
        <f t="shared" si="514"/>
        <v>0.004285714286</v>
      </c>
      <c r="AL639" s="33">
        <f t="shared" si="515"/>
        <v>7.202007583</v>
      </c>
      <c r="AM639" s="33">
        <f t="shared" si="516"/>
        <v>7.206293298</v>
      </c>
      <c r="AO639" s="34">
        <f t="shared" si="517"/>
        <v>39.61845649</v>
      </c>
      <c r="AP639" s="34">
        <f t="shared" si="518"/>
        <v>17.64538887</v>
      </c>
      <c r="AQ639" s="34">
        <f t="shared" si="519"/>
        <v>28.26262742</v>
      </c>
      <c r="AR639" s="34">
        <f t="shared" si="520"/>
        <v>10.90575048</v>
      </c>
      <c r="AS639" s="34">
        <f t="shared" si="521"/>
        <v>0.05947182704</v>
      </c>
      <c r="AT639" s="35">
        <f t="shared" si="15"/>
        <v>96.49169508</v>
      </c>
      <c r="AV639" s="32">
        <f t="shared" si="522"/>
        <v>10413.99716</v>
      </c>
    </row>
    <row r="640" ht="14.25" customHeight="1">
      <c r="B640" s="83"/>
      <c r="C640" s="100" t="s">
        <v>46</v>
      </c>
      <c r="D640" s="74"/>
      <c r="E640" s="84" t="s">
        <v>75</v>
      </c>
      <c r="F640" s="75"/>
      <c r="G640" s="27">
        <v>49.13</v>
      </c>
      <c r="H640" s="27">
        <v>6.54</v>
      </c>
      <c r="I640" s="27">
        <v>44.16</v>
      </c>
      <c r="J640" s="27">
        <v>0.12</v>
      </c>
      <c r="K640" s="27">
        <v>0.05</v>
      </c>
      <c r="L640" s="63">
        <f t="shared" si="528"/>
        <v>12.44</v>
      </c>
      <c r="M640" s="40">
        <v>80.0</v>
      </c>
      <c r="N640" s="40">
        <v>7.3</v>
      </c>
      <c r="O640" s="22">
        <v>0.26</v>
      </c>
      <c r="P640" s="76">
        <v>0.0</v>
      </c>
      <c r="Q640" s="89">
        <v>840.0</v>
      </c>
      <c r="R640" s="22" t="s">
        <v>62</v>
      </c>
      <c r="S640" s="25">
        <v>0.63</v>
      </c>
      <c r="T640" s="22">
        <v>17.12</v>
      </c>
      <c r="U640" s="25">
        <v>39.1801385681293</v>
      </c>
      <c r="V640" s="25">
        <v>17.1016166281755</v>
      </c>
      <c r="W640" s="25">
        <v>28.7413394919168</v>
      </c>
      <c r="X640" s="25">
        <v>11.5588914549653</v>
      </c>
      <c r="Y640" s="78">
        <f t="shared" si="512"/>
        <v>0.0600513382</v>
      </c>
      <c r="Z640" s="22" t="s">
        <v>51</v>
      </c>
      <c r="AA640" s="22" t="s">
        <v>51</v>
      </c>
      <c r="AB640" s="22" t="s">
        <v>51</v>
      </c>
      <c r="AC640" s="32">
        <f t="shared" si="513"/>
        <v>10532.00718</v>
      </c>
      <c r="AD640" s="22" t="s">
        <v>51</v>
      </c>
      <c r="AK640" s="33">
        <f t="shared" si="514"/>
        <v>0.004285714286</v>
      </c>
      <c r="AL640" s="33">
        <f t="shared" si="515"/>
        <v>7.132464963</v>
      </c>
      <c r="AM640" s="33">
        <f t="shared" si="516"/>
        <v>7.136750678</v>
      </c>
      <c r="AO640" s="34">
        <f t="shared" si="517"/>
        <v>39.15661037</v>
      </c>
      <c r="AP640" s="34">
        <f t="shared" si="518"/>
        <v>17.09134688</v>
      </c>
      <c r="AQ640" s="34">
        <f t="shared" si="519"/>
        <v>28.72407993</v>
      </c>
      <c r="AR640" s="34">
        <f t="shared" si="520"/>
        <v>11.55195019</v>
      </c>
      <c r="AS640" s="34">
        <f t="shared" si="521"/>
        <v>0.0600513382</v>
      </c>
      <c r="AT640" s="35">
        <f t="shared" si="15"/>
        <v>96.58403871</v>
      </c>
      <c r="AV640" s="32">
        <f t="shared" si="522"/>
        <v>10525.68256</v>
      </c>
    </row>
    <row r="641" ht="14.25" customHeight="1">
      <c r="B641" s="83"/>
      <c r="C641" s="100" t="s">
        <v>46</v>
      </c>
      <c r="D641" s="74"/>
      <c r="E641" s="84" t="s">
        <v>75</v>
      </c>
      <c r="F641" s="75"/>
      <c r="G641" s="27">
        <v>49.13</v>
      </c>
      <c r="H641" s="27">
        <v>6.54</v>
      </c>
      <c r="I641" s="27">
        <v>44.16</v>
      </c>
      <c r="J641" s="27">
        <v>0.12</v>
      </c>
      <c r="K641" s="27">
        <v>0.05</v>
      </c>
      <c r="L641" s="63">
        <f t="shared" si="528"/>
        <v>12.44</v>
      </c>
      <c r="M641" s="40">
        <v>80.0</v>
      </c>
      <c r="N641" s="40">
        <v>7.3</v>
      </c>
      <c r="O641" s="22">
        <v>0.26</v>
      </c>
      <c r="P641" s="76">
        <v>0.0</v>
      </c>
      <c r="Q641" s="89">
        <v>840.0</v>
      </c>
      <c r="R641" s="22" t="s">
        <v>62</v>
      </c>
      <c r="S641" s="25">
        <v>0.63</v>
      </c>
      <c r="T641" s="22">
        <v>17.12</v>
      </c>
      <c r="U641" s="25">
        <v>40.3810623556582</v>
      </c>
      <c r="V641" s="25">
        <v>16.6397228637413</v>
      </c>
      <c r="W641" s="25">
        <v>28.7413394919168</v>
      </c>
      <c r="X641" s="25">
        <v>11.0046189376443</v>
      </c>
      <c r="Y641" s="78">
        <f t="shared" si="512"/>
        <v>0.05898889593</v>
      </c>
      <c r="Z641" s="22" t="s">
        <v>51</v>
      </c>
      <c r="AA641" s="22" t="s">
        <v>51</v>
      </c>
      <c r="AB641" s="22" t="s">
        <v>51</v>
      </c>
      <c r="AC641" s="32">
        <f t="shared" si="513"/>
        <v>10404.69523</v>
      </c>
      <c r="AD641" s="22" t="s">
        <v>51</v>
      </c>
      <c r="AK641" s="33">
        <f t="shared" si="514"/>
        <v>0.004285714286</v>
      </c>
      <c r="AL641" s="33">
        <f t="shared" si="515"/>
        <v>7.261004164</v>
      </c>
      <c r="AM641" s="33">
        <f t="shared" si="516"/>
        <v>7.265289878</v>
      </c>
      <c r="AO641" s="34">
        <f t="shared" si="517"/>
        <v>40.35724201</v>
      </c>
      <c r="AP641" s="34">
        <f t="shared" si="518"/>
        <v>16.62990727</v>
      </c>
      <c r="AQ641" s="34">
        <f t="shared" si="519"/>
        <v>28.72438529</v>
      </c>
      <c r="AR641" s="34">
        <f t="shared" si="520"/>
        <v>10.99812743</v>
      </c>
      <c r="AS641" s="34">
        <f t="shared" si="521"/>
        <v>0.05898889593</v>
      </c>
      <c r="AT641" s="35">
        <f t="shared" si="15"/>
        <v>96.76865091</v>
      </c>
      <c r="AV641" s="32">
        <f t="shared" si="522"/>
        <v>10398.55762</v>
      </c>
    </row>
    <row r="642" ht="14.25" customHeight="1">
      <c r="B642" s="83"/>
      <c r="C642" s="100" t="s">
        <v>46</v>
      </c>
      <c r="D642" s="74"/>
      <c r="E642" s="84" t="s">
        <v>75</v>
      </c>
      <c r="F642" s="75"/>
      <c r="G642" s="27">
        <v>49.13</v>
      </c>
      <c r="H642" s="27">
        <v>6.54</v>
      </c>
      <c r="I642" s="27">
        <v>44.16</v>
      </c>
      <c r="J642" s="27">
        <v>0.12</v>
      </c>
      <c r="K642" s="27">
        <v>0.05</v>
      </c>
      <c r="L642" s="63">
        <f t="shared" si="528"/>
        <v>12.44</v>
      </c>
      <c r="M642" s="40">
        <v>80.0</v>
      </c>
      <c r="N642" s="40">
        <v>7.3</v>
      </c>
      <c r="O642" s="22">
        <v>0.26</v>
      </c>
      <c r="P642" s="76">
        <v>0.0</v>
      </c>
      <c r="Q642" s="89">
        <v>840.0</v>
      </c>
      <c r="R642" s="22" t="s">
        <v>62</v>
      </c>
      <c r="S642" s="25">
        <v>0.63</v>
      </c>
      <c r="T642" s="22">
        <v>17.12</v>
      </c>
      <c r="U642" s="25">
        <v>40.0115473441108</v>
      </c>
      <c r="V642" s="25">
        <v>17.1016166281755</v>
      </c>
      <c r="W642" s="25">
        <v>29.0184757505773</v>
      </c>
      <c r="X642" s="25">
        <v>12.0207852193995</v>
      </c>
      <c r="Y642" s="78">
        <f t="shared" si="512"/>
        <v>0.06082400929</v>
      </c>
      <c r="Z642" s="22" t="s">
        <v>51</v>
      </c>
      <c r="AA642" s="22" t="s">
        <v>51</v>
      </c>
      <c r="AB642" s="22" t="s">
        <v>51</v>
      </c>
      <c r="AC642" s="32">
        <f t="shared" si="513"/>
        <v>10787.26452</v>
      </c>
      <c r="AD642" s="22" t="s">
        <v>51</v>
      </c>
      <c r="AK642" s="33">
        <f t="shared" si="514"/>
        <v>0.004285714286</v>
      </c>
      <c r="AL642" s="33">
        <f t="shared" si="515"/>
        <v>7.041804038</v>
      </c>
      <c r="AM642" s="33">
        <f t="shared" si="516"/>
        <v>7.046089753</v>
      </c>
      <c r="AO642" s="34">
        <f t="shared" si="517"/>
        <v>39.98721072</v>
      </c>
      <c r="AP642" s="34">
        <f t="shared" si="518"/>
        <v>17.09121474</v>
      </c>
      <c r="AQ642" s="34">
        <f t="shared" si="519"/>
        <v>29.00082555</v>
      </c>
      <c r="AR642" s="34">
        <f t="shared" si="520"/>
        <v>12.0134737</v>
      </c>
      <c r="AS642" s="34">
        <f t="shared" si="521"/>
        <v>0.06082400929</v>
      </c>
      <c r="AT642" s="35">
        <f t="shared" si="15"/>
        <v>98.15354871</v>
      </c>
      <c r="AV642" s="32">
        <f t="shared" si="522"/>
        <v>10780.70327</v>
      </c>
    </row>
    <row r="643" ht="14.25" customHeight="1">
      <c r="B643" s="83"/>
      <c r="C643" s="100" t="s">
        <v>46</v>
      </c>
      <c r="D643" s="74"/>
      <c r="E643" s="84" t="s">
        <v>75</v>
      </c>
      <c r="F643" s="75"/>
      <c r="G643" s="27">
        <v>49.13</v>
      </c>
      <c r="H643" s="27">
        <v>6.54</v>
      </c>
      <c r="I643" s="27">
        <v>44.16</v>
      </c>
      <c r="J643" s="27">
        <v>0.12</v>
      </c>
      <c r="K643" s="27">
        <v>0.05</v>
      </c>
      <c r="L643" s="63">
        <f t="shared" si="528"/>
        <v>12.44</v>
      </c>
      <c r="M643" s="40">
        <v>80.0</v>
      </c>
      <c r="N643" s="40">
        <v>7.3</v>
      </c>
      <c r="O643" s="22">
        <v>0.26</v>
      </c>
      <c r="P643" s="76">
        <v>0.0</v>
      </c>
      <c r="Q643" s="89">
        <v>840.0</v>
      </c>
      <c r="R643" s="22" t="s">
        <v>62</v>
      </c>
      <c r="S643" s="25">
        <v>0.63</v>
      </c>
      <c r="T643" s="22">
        <v>17.12</v>
      </c>
      <c r="U643" s="25">
        <v>40.1963048498845</v>
      </c>
      <c r="V643" s="25">
        <v>17.1016166281755</v>
      </c>
      <c r="W643" s="25">
        <v>28.9260969976905</v>
      </c>
      <c r="X643" s="25">
        <v>11.189376443418</v>
      </c>
      <c r="Y643" s="78">
        <f t="shared" si="512"/>
        <v>0.05985816856</v>
      </c>
      <c r="Z643" s="22" t="s">
        <v>51</v>
      </c>
      <c r="AA643" s="22" t="s">
        <v>51</v>
      </c>
      <c r="AB643" s="22" t="s">
        <v>51</v>
      </c>
      <c r="AC643" s="32">
        <f t="shared" si="513"/>
        <v>10509.30592</v>
      </c>
      <c r="AD643" s="22" t="s">
        <v>51</v>
      </c>
      <c r="AK643" s="33">
        <f t="shared" si="514"/>
        <v>0.004285714286</v>
      </c>
      <c r="AL643" s="33">
        <f t="shared" si="515"/>
        <v>7.155496132</v>
      </c>
      <c r="AM643" s="33">
        <f t="shared" si="516"/>
        <v>7.159781846</v>
      </c>
      <c r="AO643" s="34">
        <f t="shared" si="517"/>
        <v>40.17224408</v>
      </c>
      <c r="AP643" s="34">
        <f t="shared" si="518"/>
        <v>17.09137991</v>
      </c>
      <c r="AQ643" s="34">
        <f t="shared" si="519"/>
        <v>28.90878237</v>
      </c>
      <c r="AR643" s="34">
        <f t="shared" si="520"/>
        <v>11.18267869</v>
      </c>
      <c r="AS643" s="34">
        <f t="shared" si="521"/>
        <v>0.05985816856</v>
      </c>
      <c r="AT643" s="35">
        <f t="shared" si="15"/>
        <v>97.41494321</v>
      </c>
      <c r="AV643" s="32">
        <f t="shared" si="522"/>
        <v>10503.01524</v>
      </c>
    </row>
    <row r="644" ht="14.25" customHeight="1">
      <c r="B644" s="83"/>
      <c r="C644" s="100" t="s">
        <v>46</v>
      </c>
      <c r="D644" s="74"/>
      <c r="E644" s="84" t="s">
        <v>75</v>
      </c>
      <c r="F644" s="75"/>
      <c r="G644" s="27">
        <v>49.13</v>
      </c>
      <c r="H644" s="27">
        <v>6.54</v>
      </c>
      <c r="I644" s="27">
        <v>44.16</v>
      </c>
      <c r="J644" s="27">
        <v>0.12</v>
      </c>
      <c r="K644" s="27">
        <v>0.05</v>
      </c>
      <c r="L644" s="63">
        <f t="shared" si="528"/>
        <v>12.44</v>
      </c>
      <c r="M644" s="40">
        <v>80.0</v>
      </c>
      <c r="N644" s="40">
        <v>7.3</v>
      </c>
      <c r="O644" s="22">
        <v>0.26</v>
      </c>
      <c r="P644" s="76">
        <v>0.0</v>
      </c>
      <c r="Q644" s="89">
        <v>840.0</v>
      </c>
      <c r="R644" s="22" t="s">
        <v>62</v>
      </c>
      <c r="S644" s="25">
        <v>0.63</v>
      </c>
      <c r="T644" s="22">
        <v>17.12</v>
      </c>
      <c r="U644" s="25">
        <v>39.7344110854503</v>
      </c>
      <c r="V644" s="25">
        <v>16.1778290993071</v>
      </c>
      <c r="W644" s="25">
        <v>28.9260969976905</v>
      </c>
      <c r="X644" s="25">
        <v>11.3741339491916</v>
      </c>
      <c r="Y644" s="78">
        <f t="shared" si="512"/>
        <v>0.05908548253</v>
      </c>
      <c r="Z644" s="22" t="s">
        <v>51</v>
      </c>
      <c r="AA644" s="22" t="s">
        <v>51</v>
      </c>
      <c r="AB644" s="22" t="s">
        <v>51</v>
      </c>
      <c r="AC644" s="32">
        <f t="shared" si="513"/>
        <v>10408.93228</v>
      </c>
      <c r="AD644" s="22" t="s">
        <v>51</v>
      </c>
      <c r="AK644" s="33">
        <f t="shared" si="514"/>
        <v>0.004285714286</v>
      </c>
      <c r="AL644" s="33">
        <f t="shared" si="515"/>
        <v>7.249127649</v>
      </c>
      <c r="AM644" s="33">
        <f t="shared" si="516"/>
        <v>7.253413364</v>
      </c>
      <c r="AO644" s="34">
        <f t="shared" si="517"/>
        <v>39.71093382</v>
      </c>
      <c r="AP644" s="34">
        <f t="shared" si="518"/>
        <v>16.16827035</v>
      </c>
      <c r="AQ644" s="34">
        <f t="shared" si="519"/>
        <v>28.90900587</v>
      </c>
      <c r="AR644" s="34">
        <f t="shared" si="520"/>
        <v>11.36741349</v>
      </c>
      <c r="AS644" s="34">
        <f t="shared" si="521"/>
        <v>0.05908548253</v>
      </c>
      <c r="AT644" s="35">
        <f t="shared" si="15"/>
        <v>96.21470901</v>
      </c>
      <c r="AV644" s="32">
        <f t="shared" si="522"/>
        <v>10402.78212</v>
      </c>
    </row>
    <row r="645" ht="14.25" customHeight="1">
      <c r="B645" s="83"/>
      <c r="C645" s="100" t="s">
        <v>46</v>
      </c>
      <c r="D645" s="74"/>
      <c r="E645" s="84" t="s">
        <v>75</v>
      </c>
      <c r="F645" s="75"/>
      <c r="G645" s="27">
        <v>49.13</v>
      </c>
      <c r="H645" s="27">
        <v>6.54</v>
      </c>
      <c r="I645" s="27">
        <v>44.16</v>
      </c>
      <c r="J645" s="27">
        <v>0.12</v>
      </c>
      <c r="K645" s="27">
        <v>0.05</v>
      </c>
      <c r="L645" s="63">
        <f t="shared" si="528"/>
        <v>12.44</v>
      </c>
      <c r="M645" s="40">
        <v>80.0</v>
      </c>
      <c r="N645" s="40">
        <v>7.3</v>
      </c>
      <c r="O645" s="22">
        <v>0.26</v>
      </c>
      <c r="P645" s="76">
        <v>0.0</v>
      </c>
      <c r="Q645" s="89">
        <v>840.0</v>
      </c>
      <c r="R645" s="22" t="s">
        <v>62</v>
      </c>
      <c r="S645" s="25">
        <v>0.63</v>
      </c>
      <c r="T645" s="22">
        <v>17.12</v>
      </c>
      <c r="U645" s="25">
        <v>39.0877598152424</v>
      </c>
      <c r="V645" s="25">
        <v>16.1778290993071</v>
      </c>
      <c r="W645" s="25">
        <v>28.8337182448036</v>
      </c>
      <c r="X645" s="25">
        <v>11.4665127020785</v>
      </c>
      <c r="Y645" s="78">
        <f t="shared" si="512"/>
        <v>0.05908548253</v>
      </c>
      <c r="Z645" s="22" t="s">
        <v>51</v>
      </c>
      <c r="AA645" s="22" t="s">
        <v>51</v>
      </c>
      <c r="AB645" s="22" t="s">
        <v>51</v>
      </c>
      <c r="AC645" s="32">
        <f t="shared" si="513"/>
        <v>10372.22328</v>
      </c>
      <c r="AD645" s="22" t="s">
        <v>51</v>
      </c>
      <c r="AK645" s="33">
        <f t="shared" si="514"/>
        <v>0.004285714286</v>
      </c>
      <c r="AL645" s="33">
        <f t="shared" si="515"/>
        <v>7.249127649</v>
      </c>
      <c r="AM645" s="33">
        <f t="shared" si="516"/>
        <v>7.253413364</v>
      </c>
      <c r="AO645" s="34">
        <f t="shared" si="517"/>
        <v>39.06466462</v>
      </c>
      <c r="AP645" s="34">
        <f t="shared" si="518"/>
        <v>16.16827035</v>
      </c>
      <c r="AQ645" s="34">
        <f t="shared" si="519"/>
        <v>28.8166817</v>
      </c>
      <c r="AR645" s="34">
        <f t="shared" si="520"/>
        <v>11.45973766</v>
      </c>
      <c r="AS645" s="34">
        <f t="shared" si="521"/>
        <v>0.05908548253</v>
      </c>
      <c r="AT645" s="35">
        <f t="shared" si="15"/>
        <v>95.56843982</v>
      </c>
      <c r="AV645" s="32">
        <f t="shared" si="522"/>
        <v>10366.0948</v>
      </c>
    </row>
    <row r="646" ht="14.25" customHeight="1">
      <c r="B646" s="83"/>
      <c r="C646" s="100" t="s">
        <v>46</v>
      </c>
      <c r="D646" s="74"/>
      <c r="E646" s="84" t="s">
        <v>75</v>
      </c>
      <c r="F646" s="75"/>
      <c r="G646" s="27">
        <v>49.13</v>
      </c>
      <c r="H646" s="27">
        <v>6.54</v>
      </c>
      <c r="I646" s="27">
        <v>44.16</v>
      </c>
      <c r="J646" s="27">
        <v>0.12</v>
      </c>
      <c r="K646" s="27">
        <v>0.05</v>
      </c>
      <c r="L646" s="63">
        <f t="shared" si="528"/>
        <v>12.44</v>
      </c>
      <c r="M646" s="40">
        <v>80.0</v>
      </c>
      <c r="N646" s="40">
        <v>7.3</v>
      </c>
      <c r="O646" s="22">
        <v>0.26</v>
      </c>
      <c r="P646" s="76">
        <v>0.0</v>
      </c>
      <c r="Q646" s="89">
        <v>840.0</v>
      </c>
      <c r="R646" s="22" t="s">
        <v>62</v>
      </c>
      <c r="S646" s="25">
        <v>0.63</v>
      </c>
      <c r="T646" s="22">
        <v>17.12</v>
      </c>
      <c r="U646" s="25">
        <v>38.4411085450346</v>
      </c>
      <c r="V646" s="25">
        <v>17.1939953810623</v>
      </c>
      <c r="W646" s="25">
        <v>28.8337182448036</v>
      </c>
      <c r="X646" s="25">
        <v>11.4665127020785</v>
      </c>
      <c r="Y646" s="78">
        <f t="shared" si="512"/>
        <v>0.06014792274</v>
      </c>
      <c r="Z646" s="22" t="s">
        <v>51</v>
      </c>
      <c r="AA646" s="22" t="s">
        <v>51</v>
      </c>
      <c r="AB646" s="22" t="s">
        <v>51</v>
      </c>
      <c r="AC646" s="32">
        <f t="shared" si="513"/>
        <v>10430.79553</v>
      </c>
      <c r="AD646" s="22" t="s">
        <v>51</v>
      </c>
      <c r="AK646" s="33">
        <f t="shared" si="514"/>
        <v>0.004285714286</v>
      </c>
      <c r="AL646" s="33">
        <f t="shared" si="515"/>
        <v>7.121004887</v>
      </c>
      <c r="AM646" s="33">
        <f t="shared" si="516"/>
        <v>7.125290601</v>
      </c>
      <c r="AO646" s="34">
        <f t="shared" si="517"/>
        <v>38.41798702</v>
      </c>
      <c r="AP646" s="34">
        <f t="shared" si="518"/>
        <v>17.18365355</v>
      </c>
      <c r="AQ646" s="34">
        <f t="shared" si="519"/>
        <v>28.81637536</v>
      </c>
      <c r="AR646" s="34">
        <f t="shared" si="520"/>
        <v>11.45961583</v>
      </c>
      <c r="AS646" s="34">
        <f t="shared" si="521"/>
        <v>0.06014792274</v>
      </c>
      <c r="AT646" s="35">
        <f t="shared" si="15"/>
        <v>95.93777968</v>
      </c>
      <c r="AV646" s="32">
        <f t="shared" si="522"/>
        <v>10424.52162</v>
      </c>
    </row>
    <row r="647" ht="14.25" customHeight="1">
      <c r="B647" s="83"/>
      <c r="C647" s="100" t="s">
        <v>46</v>
      </c>
      <c r="D647" s="74"/>
      <c r="E647" s="84" t="s">
        <v>75</v>
      </c>
      <c r="F647" s="75"/>
      <c r="G647" s="27">
        <v>49.13</v>
      </c>
      <c r="H647" s="27">
        <v>6.54</v>
      </c>
      <c r="I647" s="27">
        <v>44.16</v>
      </c>
      <c r="J647" s="27">
        <v>0.12</v>
      </c>
      <c r="K647" s="27">
        <v>0.05</v>
      </c>
      <c r="L647" s="63">
        <f t="shared" si="528"/>
        <v>12.44</v>
      </c>
      <c r="M647" s="40">
        <v>80.0</v>
      </c>
      <c r="N647" s="40">
        <v>7.3</v>
      </c>
      <c r="O647" s="22">
        <v>0.26</v>
      </c>
      <c r="P647" s="76">
        <v>0.0</v>
      </c>
      <c r="Q647" s="89">
        <v>840.0</v>
      </c>
      <c r="R647" s="22" t="s">
        <v>62</v>
      </c>
      <c r="S647" s="25">
        <v>0.63</v>
      </c>
      <c r="T647" s="22">
        <v>17.12</v>
      </c>
      <c r="U647" s="25">
        <v>39.0877598152424</v>
      </c>
      <c r="V647" s="25">
        <v>17.378752886836</v>
      </c>
      <c r="W647" s="25">
        <v>28.9260969976905</v>
      </c>
      <c r="X647" s="25">
        <v>11.3741339491916</v>
      </c>
      <c r="Y647" s="78">
        <f t="shared" si="512"/>
        <v>0.06034109126</v>
      </c>
      <c r="Z647" s="22" t="s">
        <v>51</v>
      </c>
      <c r="AA647" s="22" t="s">
        <v>51</v>
      </c>
      <c r="AB647" s="22" t="s">
        <v>51</v>
      </c>
      <c r="AC647" s="32">
        <f t="shared" si="513"/>
        <v>10490.84667</v>
      </c>
      <c r="AD647" s="22" t="s">
        <v>51</v>
      </c>
      <c r="AK647" s="33">
        <f t="shared" si="514"/>
        <v>0.004285714286</v>
      </c>
      <c r="AL647" s="33">
        <f t="shared" si="515"/>
        <v>7.098194862</v>
      </c>
      <c r="AM647" s="33">
        <f t="shared" si="516"/>
        <v>7.102480576</v>
      </c>
      <c r="AO647" s="34">
        <f t="shared" si="517"/>
        <v>39.06417383</v>
      </c>
      <c r="AP647" s="34">
        <f t="shared" si="518"/>
        <v>17.36826636</v>
      </c>
      <c r="AQ647" s="34">
        <f t="shared" si="519"/>
        <v>28.90864268</v>
      </c>
      <c r="AR647" s="34">
        <f t="shared" si="520"/>
        <v>11.36727067</v>
      </c>
      <c r="AS647" s="34">
        <f t="shared" si="521"/>
        <v>0.06034109126</v>
      </c>
      <c r="AT647" s="35">
        <f t="shared" si="15"/>
        <v>96.76869463</v>
      </c>
      <c r="AV647" s="32">
        <f t="shared" si="522"/>
        <v>10484.51638</v>
      </c>
    </row>
    <row r="648" ht="14.25" customHeight="1">
      <c r="B648" s="83"/>
      <c r="C648" s="100" t="s">
        <v>46</v>
      </c>
      <c r="D648" s="74"/>
      <c r="E648" s="84" t="s">
        <v>75</v>
      </c>
      <c r="F648" s="75"/>
      <c r="G648" s="27">
        <v>49.13</v>
      </c>
      <c r="H648" s="27">
        <v>6.54</v>
      </c>
      <c r="I648" s="27">
        <v>44.16</v>
      </c>
      <c r="J648" s="27">
        <v>0.12</v>
      </c>
      <c r="K648" s="27">
        <v>0.05</v>
      </c>
      <c r="L648" s="63">
        <f t="shared" si="528"/>
        <v>12.44</v>
      </c>
      <c r="M648" s="40">
        <v>80.0</v>
      </c>
      <c r="N648" s="40">
        <v>7.3</v>
      </c>
      <c r="O648" s="22">
        <v>0.26</v>
      </c>
      <c r="P648" s="76">
        <v>0.0</v>
      </c>
      <c r="Q648" s="89">
        <v>840.0</v>
      </c>
      <c r="R648" s="22" t="s">
        <v>62</v>
      </c>
      <c r="S648" s="25">
        <v>0.63</v>
      </c>
      <c r="T648" s="22">
        <v>17.12</v>
      </c>
      <c r="U648" s="25">
        <v>39.1801385681293</v>
      </c>
      <c r="V648" s="25">
        <v>16.9168591224018</v>
      </c>
      <c r="W648" s="25">
        <v>28.8337182448036</v>
      </c>
      <c r="X648" s="25">
        <v>11.6512702078522</v>
      </c>
      <c r="Y648" s="78">
        <f t="shared" si="512"/>
        <v>0.0600513382</v>
      </c>
      <c r="Z648" s="22" t="s">
        <v>51</v>
      </c>
      <c r="AA648" s="22" t="s">
        <v>51</v>
      </c>
      <c r="AB648" s="22" t="s">
        <v>51</v>
      </c>
      <c r="AC648" s="32">
        <f t="shared" si="513"/>
        <v>10541.76551</v>
      </c>
      <c r="AD648" s="22" t="s">
        <v>51</v>
      </c>
      <c r="AK648" s="33">
        <f t="shared" si="514"/>
        <v>0.004285714286</v>
      </c>
      <c r="AL648" s="33">
        <f t="shared" si="515"/>
        <v>7.132464963</v>
      </c>
      <c r="AM648" s="33">
        <f t="shared" si="516"/>
        <v>7.136750678</v>
      </c>
      <c r="AO648" s="34">
        <f t="shared" si="517"/>
        <v>39.15661037</v>
      </c>
      <c r="AP648" s="34">
        <f t="shared" si="518"/>
        <v>16.90670032</v>
      </c>
      <c r="AQ648" s="34">
        <f t="shared" si="519"/>
        <v>28.81640321</v>
      </c>
      <c r="AR648" s="34">
        <f t="shared" si="520"/>
        <v>11.64427346</v>
      </c>
      <c r="AS648" s="34">
        <f t="shared" si="521"/>
        <v>0.0600513382</v>
      </c>
      <c r="AT648" s="35">
        <f t="shared" si="15"/>
        <v>96.58403871</v>
      </c>
      <c r="AV648" s="32">
        <f t="shared" si="522"/>
        <v>10535.43504</v>
      </c>
    </row>
    <row r="649" ht="14.25" customHeight="1">
      <c r="B649" s="83"/>
      <c r="C649" s="100" t="s">
        <v>46</v>
      </c>
      <c r="D649" s="74"/>
      <c r="E649" s="84" t="s">
        <v>75</v>
      </c>
      <c r="F649" s="75"/>
      <c r="G649" s="27">
        <v>49.13</v>
      </c>
      <c r="H649" s="27">
        <v>6.54</v>
      </c>
      <c r="I649" s="27">
        <v>44.16</v>
      </c>
      <c r="J649" s="27">
        <v>0.12</v>
      </c>
      <c r="K649" s="27">
        <v>0.05</v>
      </c>
      <c r="L649" s="63">
        <f t="shared" si="528"/>
        <v>12.44</v>
      </c>
      <c r="M649" s="40">
        <v>80.0</v>
      </c>
      <c r="N649" s="40">
        <v>7.3</v>
      </c>
      <c r="O649" s="22">
        <v>0.26</v>
      </c>
      <c r="P649" s="76">
        <v>0.0</v>
      </c>
      <c r="Q649" s="89">
        <v>840.0</v>
      </c>
      <c r="R649" s="22" t="s">
        <v>62</v>
      </c>
      <c r="S649" s="25">
        <v>0.63</v>
      </c>
      <c r="T649" s="22">
        <v>17.12</v>
      </c>
      <c r="U649" s="25">
        <v>39.7344110854503</v>
      </c>
      <c r="V649" s="25">
        <v>16.9168591224018</v>
      </c>
      <c r="W649" s="25">
        <v>28.8337182448036</v>
      </c>
      <c r="X649" s="25">
        <v>11.4665127020785</v>
      </c>
      <c r="Y649" s="78">
        <f t="shared" si="512"/>
        <v>0.05985816856</v>
      </c>
      <c r="Z649" s="22" t="s">
        <v>51</v>
      </c>
      <c r="AA649" s="22" t="s">
        <v>51</v>
      </c>
      <c r="AB649" s="22" t="s">
        <v>51</v>
      </c>
      <c r="AC649" s="32">
        <f t="shared" si="513"/>
        <v>10535.40127</v>
      </c>
      <c r="AD649" s="22" t="s">
        <v>51</v>
      </c>
      <c r="AK649" s="33">
        <f t="shared" si="514"/>
        <v>0.004285714286</v>
      </c>
      <c r="AL649" s="33">
        <f t="shared" si="515"/>
        <v>7.155496132</v>
      </c>
      <c r="AM649" s="33">
        <f t="shared" si="516"/>
        <v>7.159781846</v>
      </c>
      <c r="AO649" s="34">
        <f t="shared" si="517"/>
        <v>39.71062679</v>
      </c>
      <c r="AP649" s="34">
        <f t="shared" si="518"/>
        <v>16.906733</v>
      </c>
      <c r="AQ649" s="34">
        <f t="shared" si="519"/>
        <v>28.81645891</v>
      </c>
      <c r="AR649" s="34">
        <f t="shared" si="520"/>
        <v>11.45964906</v>
      </c>
      <c r="AS649" s="34">
        <f t="shared" si="521"/>
        <v>0.05985816856</v>
      </c>
      <c r="AT649" s="35">
        <f t="shared" si="15"/>
        <v>96.95332593</v>
      </c>
      <c r="AV649" s="32">
        <f t="shared" si="522"/>
        <v>10529.09497</v>
      </c>
    </row>
    <row r="650" ht="14.25" customHeight="1">
      <c r="B650" s="83"/>
      <c r="C650" s="100" t="s">
        <v>46</v>
      </c>
      <c r="D650" s="74"/>
      <c r="E650" s="84" t="s">
        <v>75</v>
      </c>
      <c r="F650" s="75"/>
      <c r="G650" s="27">
        <v>49.13</v>
      </c>
      <c r="H650" s="27">
        <v>6.54</v>
      </c>
      <c r="I650" s="27">
        <v>44.16</v>
      </c>
      <c r="J650" s="27">
        <v>0.12</v>
      </c>
      <c r="K650" s="27">
        <v>0.05</v>
      </c>
      <c r="L650" s="63">
        <f t="shared" si="528"/>
        <v>12.44</v>
      </c>
      <c r="M650" s="40">
        <v>80.0</v>
      </c>
      <c r="N650" s="40">
        <v>7.3</v>
      </c>
      <c r="O650" s="22">
        <v>0.26</v>
      </c>
      <c r="P650" s="76">
        <v>0.0</v>
      </c>
      <c r="Q650" s="89">
        <v>840.0</v>
      </c>
      <c r="R650" s="22" t="s">
        <v>62</v>
      </c>
      <c r="S650" s="25">
        <v>0.63</v>
      </c>
      <c r="T650" s="22">
        <v>17.12</v>
      </c>
      <c r="U650" s="25">
        <v>39.6420323325635</v>
      </c>
      <c r="V650" s="25">
        <v>16.9168591224018</v>
      </c>
      <c r="W650" s="25">
        <v>29.2956120092378</v>
      </c>
      <c r="X650" s="25">
        <v>11.3741339491916</v>
      </c>
      <c r="Y650" s="78">
        <f t="shared" si="512"/>
        <v>0.06024450709</v>
      </c>
      <c r="Z650" s="22" t="s">
        <v>51</v>
      </c>
      <c r="AA650" s="22" t="s">
        <v>51</v>
      </c>
      <c r="AB650" s="22" t="s">
        <v>51</v>
      </c>
      <c r="AC650" s="32">
        <f t="shared" si="513"/>
        <v>10492.32803</v>
      </c>
      <c r="AD650" s="22" t="s">
        <v>51</v>
      </c>
      <c r="AK650" s="33">
        <f t="shared" si="514"/>
        <v>0.004285714286</v>
      </c>
      <c r="AL650" s="33">
        <f t="shared" si="515"/>
        <v>7.109581579</v>
      </c>
      <c r="AM650" s="33">
        <f t="shared" si="516"/>
        <v>7.113867293</v>
      </c>
      <c r="AO650" s="34">
        <f t="shared" si="517"/>
        <v>39.61815019</v>
      </c>
      <c r="AP650" s="34">
        <f t="shared" si="518"/>
        <v>16.90666764</v>
      </c>
      <c r="AQ650" s="34">
        <f t="shared" si="519"/>
        <v>29.27796301</v>
      </c>
      <c r="AR650" s="34">
        <f t="shared" si="520"/>
        <v>11.36728166</v>
      </c>
      <c r="AS650" s="34">
        <f t="shared" si="521"/>
        <v>0.06024450709</v>
      </c>
      <c r="AT650" s="35">
        <f t="shared" si="15"/>
        <v>97.23030701</v>
      </c>
      <c r="AV650" s="32">
        <f t="shared" si="522"/>
        <v>10486.00698</v>
      </c>
    </row>
    <row r="651" ht="14.25" customHeight="1">
      <c r="B651" s="83"/>
      <c r="C651" s="100" t="s">
        <v>46</v>
      </c>
      <c r="D651" s="74"/>
      <c r="E651" s="84" t="s">
        <v>75</v>
      </c>
      <c r="F651" s="75"/>
      <c r="G651" s="27">
        <v>49.13</v>
      </c>
      <c r="H651" s="27">
        <v>6.54</v>
      </c>
      <c r="I651" s="27">
        <v>44.16</v>
      </c>
      <c r="J651" s="27">
        <v>0.12</v>
      </c>
      <c r="K651" s="27">
        <v>0.05</v>
      </c>
      <c r="L651" s="63">
        <f t="shared" si="528"/>
        <v>12.44</v>
      </c>
      <c r="M651" s="40">
        <v>80.0</v>
      </c>
      <c r="N651" s="40">
        <v>7.3</v>
      </c>
      <c r="O651" s="22">
        <v>0.26</v>
      </c>
      <c r="P651" s="76">
        <v>0.0</v>
      </c>
      <c r="Q651" s="89">
        <v>840.0</v>
      </c>
      <c r="R651" s="22" t="s">
        <v>62</v>
      </c>
      <c r="S651" s="25">
        <v>0.63</v>
      </c>
      <c r="T651" s="22">
        <v>17.12</v>
      </c>
      <c r="U651" s="25">
        <v>39.4572748267898</v>
      </c>
      <c r="V651" s="25">
        <v>17.0092378752886</v>
      </c>
      <c r="W651" s="25">
        <v>29.203233256351</v>
      </c>
      <c r="X651" s="25">
        <v>11.2817551963048</v>
      </c>
      <c r="Y651" s="78">
        <f t="shared" si="512"/>
        <v>0.06014792274</v>
      </c>
      <c r="Z651" s="22" t="s">
        <v>51</v>
      </c>
      <c r="AA651" s="22" t="s">
        <v>51</v>
      </c>
      <c r="AB651" s="22" t="s">
        <v>51</v>
      </c>
      <c r="AC651" s="32">
        <f t="shared" si="513"/>
        <v>10450.95307</v>
      </c>
      <c r="AD651" s="22" t="s">
        <v>51</v>
      </c>
      <c r="AK651" s="33">
        <f t="shared" si="514"/>
        <v>0.004285714286</v>
      </c>
      <c r="AL651" s="33">
        <f t="shared" si="515"/>
        <v>7.121004887</v>
      </c>
      <c r="AM651" s="33">
        <f t="shared" si="516"/>
        <v>7.125290601</v>
      </c>
      <c r="AO651" s="34">
        <f t="shared" si="517"/>
        <v>39.4335421</v>
      </c>
      <c r="AP651" s="34">
        <f t="shared" si="518"/>
        <v>16.99900717</v>
      </c>
      <c r="AQ651" s="34">
        <f t="shared" si="519"/>
        <v>29.18566812</v>
      </c>
      <c r="AR651" s="34">
        <f t="shared" si="520"/>
        <v>11.27496945</v>
      </c>
      <c r="AS651" s="34">
        <f t="shared" si="521"/>
        <v>0.06014792274</v>
      </c>
      <c r="AT651" s="35">
        <f t="shared" si="15"/>
        <v>96.95333476</v>
      </c>
      <c r="AV651" s="32">
        <f t="shared" si="522"/>
        <v>10444.66704</v>
      </c>
    </row>
    <row r="652" ht="14.25" customHeight="1">
      <c r="B652" s="83"/>
      <c r="C652" s="100" t="s">
        <v>46</v>
      </c>
      <c r="D652" s="74"/>
      <c r="E652" s="84" t="s">
        <v>75</v>
      </c>
      <c r="F652" s="75"/>
      <c r="G652" s="27">
        <v>49.13</v>
      </c>
      <c r="H652" s="27">
        <v>6.54</v>
      </c>
      <c r="I652" s="27">
        <v>44.16</v>
      </c>
      <c r="J652" s="27">
        <v>0.12</v>
      </c>
      <c r="K652" s="27">
        <v>0.05</v>
      </c>
      <c r="L652" s="63">
        <f t="shared" si="528"/>
        <v>12.44</v>
      </c>
      <c r="M652" s="40">
        <v>80.0</v>
      </c>
      <c r="N652" s="40">
        <v>7.3</v>
      </c>
      <c r="O652" s="22">
        <v>0.26</v>
      </c>
      <c r="P652" s="76">
        <v>0.0</v>
      </c>
      <c r="Q652" s="89">
        <v>840.0</v>
      </c>
      <c r="R652" s="22" t="s">
        <v>62</v>
      </c>
      <c r="S652" s="25">
        <v>0.63</v>
      </c>
      <c r="T652" s="22">
        <v>17.12</v>
      </c>
      <c r="U652" s="25">
        <v>39.4572748267898</v>
      </c>
      <c r="V652" s="25">
        <v>17.4711316397228</v>
      </c>
      <c r="W652" s="25">
        <v>29.5727482678983</v>
      </c>
      <c r="X652" s="25">
        <v>11.5588914549653</v>
      </c>
      <c r="Y652" s="78">
        <f t="shared" si="512"/>
        <v>0.06130692266</v>
      </c>
      <c r="Z652" s="22" t="s">
        <v>51</v>
      </c>
      <c r="AA652" s="22" t="s">
        <v>51</v>
      </c>
      <c r="AB652" s="22" t="s">
        <v>51</v>
      </c>
      <c r="AC652" s="32">
        <f t="shared" si="513"/>
        <v>10608.60978</v>
      </c>
      <c r="AD652" s="22" t="s">
        <v>51</v>
      </c>
      <c r="AK652" s="33">
        <f t="shared" si="514"/>
        <v>0.004285714286</v>
      </c>
      <c r="AL652" s="33">
        <f t="shared" si="515"/>
        <v>6.986302135</v>
      </c>
      <c r="AM652" s="33">
        <f t="shared" si="516"/>
        <v>6.990587849</v>
      </c>
      <c r="AO652" s="34">
        <f t="shared" si="517"/>
        <v>39.43308479</v>
      </c>
      <c r="AP652" s="34">
        <f t="shared" si="518"/>
        <v>17.46042063</v>
      </c>
      <c r="AQ652" s="34">
        <f t="shared" si="519"/>
        <v>29.55461813</v>
      </c>
      <c r="AR652" s="34">
        <f t="shared" si="520"/>
        <v>11.55180505</v>
      </c>
      <c r="AS652" s="34">
        <f t="shared" si="521"/>
        <v>0.06130692266</v>
      </c>
      <c r="AT652" s="35">
        <f t="shared" si="15"/>
        <v>98.06123552</v>
      </c>
      <c r="AV652" s="32">
        <f t="shared" si="522"/>
        <v>10602.10597</v>
      </c>
    </row>
    <row r="653" ht="14.25" customHeight="1">
      <c r="B653" s="83"/>
      <c r="C653" s="100" t="s">
        <v>46</v>
      </c>
      <c r="D653" s="74"/>
      <c r="E653" s="84" t="s">
        <v>75</v>
      </c>
      <c r="F653" s="75"/>
      <c r="G653" s="27">
        <v>49.13</v>
      </c>
      <c r="H653" s="27">
        <v>6.54</v>
      </c>
      <c r="I653" s="27">
        <v>44.16</v>
      </c>
      <c r="J653" s="27">
        <v>0.12</v>
      </c>
      <c r="K653" s="27">
        <v>0.05</v>
      </c>
      <c r="L653" s="63">
        <f t="shared" si="528"/>
        <v>12.44</v>
      </c>
      <c r="M653" s="40">
        <v>80.0</v>
      </c>
      <c r="N653" s="40">
        <v>7.3</v>
      </c>
      <c r="O653" s="22">
        <v>0.26</v>
      </c>
      <c r="P653" s="76">
        <v>0.0</v>
      </c>
      <c r="Q653" s="89">
        <v>840.0</v>
      </c>
      <c r="R653" s="22" t="s">
        <v>62</v>
      </c>
      <c r="S653" s="25">
        <v>0.63</v>
      </c>
      <c r="T653" s="22">
        <v>17.12</v>
      </c>
      <c r="U653" s="25">
        <v>39.0877598152424</v>
      </c>
      <c r="V653" s="25">
        <v>16.9168591224018</v>
      </c>
      <c r="W653" s="25">
        <v>28.9260969976905</v>
      </c>
      <c r="X653" s="25">
        <v>11.743648960739</v>
      </c>
      <c r="Y653" s="78">
        <f t="shared" si="512"/>
        <v>0.06024450709</v>
      </c>
      <c r="Z653" s="22" t="s">
        <v>51</v>
      </c>
      <c r="AA653" s="22" t="s">
        <v>51</v>
      </c>
      <c r="AB653" s="22" t="s">
        <v>51</v>
      </c>
      <c r="AC653" s="32">
        <f t="shared" si="513"/>
        <v>10564.89319</v>
      </c>
      <c r="AD653" s="22" t="s">
        <v>51</v>
      </c>
      <c r="AK653" s="33">
        <f t="shared" si="514"/>
        <v>0.004285714286</v>
      </c>
      <c r="AL653" s="33">
        <f t="shared" si="515"/>
        <v>7.109581579</v>
      </c>
      <c r="AM653" s="33">
        <f t="shared" si="516"/>
        <v>7.113867293</v>
      </c>
      <c r="AO653" s="34">
        <f t="shared" si="517"/>
        <v>39.06421159</v>
      </c>
      <c r="AP653" s="34">
        <f t="shared" si="518"/>
        <v>16.90666764</v>
      </c>
      <c r="AQ653" s="34">
        <f t="shared" si="519"/>
        <v>28.90867061</v>
      </c>
      <c r="AR653" s="34">
        <f t="shared" si="520"/>
        <v>11.73657406</v>
      </c>
      <c r="AS653" s="34">
        <f t="shared" si="521"/>
        <v>0.06024450709</v>
      </c>
      <c r="AT653" s="35">
        <f t="shared" si="15"/>
        <v>96.67636841</v>
      </c>
      <c r="AV653" s="32">
        <f t="shared" si="522"/>
        <v>10558.52842</v>
      </c>
    </row>
    <row r="654" ht="14.25" customHeight="1">
      <c r="B654" s="83"/>
      <c r="C654" s="100" t="s">
        <v>46</v>
      </c>
      <c r="D654" s="74"/>
      <c r="E654" s="84" t="s">
        <v>75</v>
      </c>
      <c r="F654" s="75"/>
      <c r="G654" s="27">
        <v>49.13</v>
      </c>
      <c r="H654" s="27">
        <v>6.54</v>
      </c>
      <c r="I654" s="27">
        <v>44.16</v>
      </c>
      <c r="J654" s="27">
        <v>0.12</v>
      </c>
      <c r="K654" s="27">
        <v>0.05</v>
      </c>
      <c r="L654" s="63">
        <f t="shared" si="528"/>
        <v>12.44</v>
      </c>
      <c r="M654" s="40">
        <v>80.0</v>
      </c>
      <c r="N654" s="40">
        <v>7.3</v>
      </c>
      <c r="O654" s="22">
        <v>0.26</v>
      </c>
      <c r="P654" s="76">
        <v>0.0</v>
      </c>
      <c r="Q654" s="89">
        <v>840.0</v>
      </c>
      <c r="R654" s="22" t="s">
        <v>62</v>
      </c>
      <c r="S654" s="25">
        <v>0.63</v>
      </c>
      <c r="T654" s="22">
        <v>17.12</v>
      </c>
      <c r="U654" s="25">
        <v>38.5334872979214</v>
      </c>
      <c r="V654" s="25">
        <v>17.4711316397228</v>
      </c>
      <c r="W654" s="25">
        <v>29.4803695150115</v>
      </c>
      <c r="X654" s="25">
        <v>11.743648960739</v>
      </c>
      <c r="Y654" s="78">
        <f t="shared" si="512"/>
        <v>0.06140350477</v>
      </c>
      <c r="Z654" s="22" t="s">
        <v>51</v>
      </c>
      <c r="AA654" s="22" t="s">
        <v>51</v>
      </c>
      <c r="AB654" s="22" t="s">
        <v>51</v>
      </c>
      <c r="AC654" s="32">
        <f t="shared" si="513"/>
        <v>10575.08289</v>
      </c>
      <c r="AD654" s="22" t="s">
        <v>51</v>
      </c>
      <c r="AK654" s="33">
        <f t="shared" si="514"/>
        <v>0.004285714286</v>
      </c>
      <c r="AL654" s="33">
        <f t="shared" si="515"/>
        <v>6.975306577</v>
      </c>
      <c r="AM654" s="33">
        <f t="shared" si="516"/>
        <v>6.979592292</v>
      </c>
      <c r="AO654" s="34">
        <f t="shared" si="517"/>
        <v>38.50982639</v>
      </c>
      <c r="AP654" s="34">
        <f t="shared" si="518"/>
        <v>17.46040375</v>
      </c>
      <c r="AQ654" s="34">
        <f t="shared" si="519"/>
        <v>29.46226753</v>
      </c>
      <c r="AR654" s="34">
        <f t="shared" si="520"/>
        <v>11.73643795</v>
      </c>
      <c r="AS654" s="34">
        <f t="shared" si="521"/>
        <v>0.06140350477</v>
      </c>
      <c r="AT654" s="35">
        <f t="shared" si="15"/>
        <v>97.23033913</v>
      </c>
      <c r="AV654" s="32">
        <f t="shared" si="522"/>
        <v>10568.58942</v>
      </c>
    </row>
    <row r="655" ht="14.25" customHeight="1">
      <c r="B655" s="83"/>
      <c r="C655" s="100" t="s">
        <v>46</v>
      </c>
      <c r="D655" s="74"/>
      <c r="E655" s="84" t="s">
        <v>75</v>
      </c>
      <c r="F655" s="75"/>
      <c r="G655" s="27">
        <v>49.13</v>
      </c>
      <c r="H655" s="27">
        <v>6.54</v>
      </c>
      <c r="I655" s="27">
        <v>44.16</v>
      </c>
      <c r="J655" s="27">
        <v>0.12</v>
      </c>
      <c r="K655" s="27">
        <v>0.05</v>
      </c>
      <c r="L655" s="63">
        <f t="shared" si="528"/>
        <v>12.44</v>
      </c>
      <c r="M655" s="40">
        <v>80.0</v>
      </c>
      <c r="N655" s="40">
        <v>7.3</v>
      </c>
      <c r="O655" s="22">
        <v>0.26</v>
      </c>
      <c r="P655" s="76">
        <v>0.0</v>
      </c>
      <c r="Q655" s="89">
        <v>840.0</v>
      </c>
      <c r="R655" s="22" t="s">
        <v>62</v>
      </c>
      <c r="S655" s="25">
        <v>0.63</v>
      </c>
      <c r="T655" s="22">
        <v>17.12</v>
      </c>
      <c r="U655" s="25">
        <v>38.0715935334873</v>
      </c>
      <c r="V655" s="25">
        <v>17.6558891454965</v>
      </c>
      <c r="W655" s="25">
        <v>29.3879907621247</v>
      </c>
      <c r="X655" s="25">
        <v>11.5588914549653</v>
      </c>
      <c r="Y655" s="78">
        <f t="shared" si="512"/>
        <v>0.06130692266</v>
      </c>
      <c r="Z655" s="22" t="s">
        <v>51</v>
      </c>
      <c r="AA655" s="22" t="s">
        <v>51</v>
      </c>
      <c r="AB655" s="22" t="s">
        <v>51</v>
      </c>
      <c r="AC655" s="32">
        <f t="shared" si="513"/>
        <v>10482.36019</v>
      </c>
      <c r="AD655" s="22" t="s">
        <v>51</v>
      </c>
      <c r="AK655" s="33">
        <f t="shared" si="514"/>
        <v>0.004285714286</v>
      </c>
      <c r="AL655" s="33">
        <f t="shared" si="515"/>
        <v>6.986302135</v>
      </c>
      <c r="AM655" s="33">
        <f t="shared" si="516"/>
        <v>6.990587849</v>
      </c>
      <c r="AO655" s="34">
        <f t="shared" si="517"/>
        <v>38.04825301</v>
      </c>
      <c r="AP655" s="34">
        <f t="shared" si="518"/>
        <v>17.64506486</v>
      </c>
      <c r="AQ655" s="34">
        <f t="shared" si="519"/>
        <v>29.36997389</v>
      </c>
      <c r="AR655" s="34">
        <f t="shared" si="520"/>
        <v>11.55180505</v>
      </c>
      <c r="AS655" s="34">
        <f t="shared" si="521"/>
        <v>0.06130692266</v>
      </c>
      <c r="AT655" s="35">
        <f t="shared" si="15"/>
        <v>96.67640374</v>
      </c>
      <c r="AV655" s="32">
        <f t="shared" si="522"/>
        <v>10475.93378</v>
      </c>
    </row>
    <row r="656" ht="14.25" customHeight="1">
      <c r="B656" s="83"/>
      <c r="C656" s="100" t="s">
        <v>46</v>
      </c>
      <c r="D656" s="74"/>
      <c r="E656" s="84" t="s">
        <v>75</v>
      </c>
      <c r="F656" s="75"/>
      <c r="G656" s="27">
        <v>49.13</v>
      </c>
      <c r="H656" s="27">
        <v>6.54</v>
      </c>
      <c r="I656" s="27">
        <v>44.16</v>
      </c>
      <c r="J656" s="27">
        <v>0.12</v>
      </c>
      <c r="K656" s="27">
        <v>0.05</v>
      </c>
      <c r="L656" s="63">
        <f t="shared" si="528"/>
        <v>12.44</v>
      </c>
      <c r="M656" s="40">
        <v>80.0</v>
      </c>
      <c r="N656" s="40">
        <v>7.3</v>
      </c>
      <c r="O656" s="22">
        <v>0.26</v>
      </c>
      <c r="P656" s="76">
        <v>0.0</v>
      </c>
      <c r="Q656" s="89">
        <v>840.0</v>
      </c>
      <c r="R656" s="22" t="s">
        <v>62</v>
      </c>
      <c r="S656" s="25">
        <v>0.63</v>
      </c>
      <c r="T656" s="22">
        <v>17.12</v>
      </c>
      <c r="U656" s="25">
        <v>37.9792147806004</v>
      </c>
      <c r="V656" s="25">
        <v>17.6558891454965</v>
      </c>
      <c r="W656" s="25">
        <v>29.8498845265588</v>
      </c>
      <c r="X656" s="25">
        <v>11.743648960739</v>
      </c>
      <c r="Y656" s="78">
        <f t="shared" si="512"/>
        <v>0.06198299353</v>
      </c>
      <c r="Z656" s="22" t="s">
        <v>51</v>
      </c>
      <c r="AA656" s="22" t="s">
        <v>51</v>
      </c>
      <c r="AB656" s="22" t="s">
        <v>51</v>
      </c>
      <c r="AC656" s="32">
        <f t="shared" si="513"/>
        <v>10538.58834</v>
      </c>
      <c r="AD656" s="22" t="s">
        <v>51</v>
      </c>
      <c r="AK656" s="33">
        <f t="shared" si="514"/>
        <v>0.004285714286</v>
      </c>
      <c r="AL656" s="33">
        <f t="shared" si="515"/>
        <v>6.910053271</v>
      </c>
      <c r="AM656" s="33">
        <f t="shared" si="516"/>
        <v>6.914338985</v>
      </c>
      <c r="AO656" s="34">
        <f t="shared" si="517"/>
        <v>37.95567413</v>
      </c>
      <c r="AP656" s="34">
        <f t="shared" si="518"/>
        <v>17.6449455</v>
      </c>
      <c r="AQ656" s="34">
        <f t="shared" si="519"/>
        <v>29.83138267</v>
      </c>
      <c r="AR656" s="34">
        <f t="shared" si="520"/>
        <v>11.7363699</v>
      </c>
      <c r="AS656" s="34">
        <f t="shared" si="521"/>
        <v>0.06198299353</v>
      </c>
      <c r="AT656" s="35">
        <f t="shared" si="15"/>
        <v>97.23035519</v>
      </c>
      <c r="AV656" s="32">
        <f t="shared" si="522"/>
        <v>10532.0562</v>
      </c>
    </row>
    <row r="657" ht="14.25" customHeight="1">
      <c r="B657" s="83"/>
      <c r="C657" s="100" t="s">
        <v>46</v>
      </c>
      <c r="D657" s="74"/>
      <c r="E657" s="84" t="s">
        <v>75</v>
      </c>
      <c r="F657" s="75"/>
      <c r="G657" s="27">
        <v>49.13</v>
      </c>
      <c r="H657" s="27">
        <v>6.54</v>
      </c>
      <c r="I657" s="27">
        <v>44.16</v>
      </c>
      <c r="J657" s="27">
        <v>0.12</v>
      </c>
      <c r="K657" s="27">
        <v>0.05</v>
      </c>
      <c r="L657" s="63">
        <f t="shared" si="528"/>
        <v>12.44</v>
      </c>
      <c r="M657" s="40">
        <v>80.0</v>
      </c>
      <c r="N657" s="40">
        <v>7.3</v>
      </c>
      <c r="O657" s="22">
        <v>0.26</v>
      </c>
      <c r="P657" s="76">
        <v>0.0</v>
      </c>
      <c r="Q657" s="89">
        <v>840.0</v>
      </c>
      <c r="R657" s="22" t="s">
        <v>62</v>
      </c>
      <c r="S657" s="25">
        <v>0.63</v>
      </c>
      <c r="T657" s="22">
        <v>17.12</v>
      </c>
      <c r="U657" s="25">
        <v>38.5334872979214</v>
      </c>
      <c r="V657" s="25">
        <v>17.7482678983833</v>
      </c>
      <c r="W657" s="25">
        <v>29.0184757505773</v>
      </c>
      <c r="X657" s="25">
        <v>10.8198614318706</v>
      </c>
      <c r="Y657" s="78">
        <f t="shared" si="512"/>
        <v>0.06024450709</v>
      </c>
      <c r="Z657" s="22" t="s">
        <v>51</v>
      </c>
      <c r="AA657" s="22" t="s">
        <v>51</v>
      </c>
      <c r="AB657" s="22" t="s">
        <v>51</v>
      </c>
      <c r="AC657" s="32">
        <f t="shared" si="513"/>
        <v>10279.09147</v>
      </c>
      <c r="AD657" s="22" t="s">
        <v>51</v>
      </c>
      <c r="AK657" s="33">
        <f t="shared" si="514"/>
        <v>0.004285714286</v>
      </c>
      <c r="AL657" s="33">
        <f t="shared" si="515"/>
        <v>7.109581579</v>
      </c>
      <c r="AM657" s="33">
        <f t="shared" si="516"/>
        <v>7.113867293</v>
      </c>
      <c r="AO657" s="34">
        <f t="shared" si="517"/>
        <v>38.51027299</v>
      </c>
      <c r="AP657" s="34">
        <f t="shared" si="518"/>
        <v>17.73757554</v>
      </c>
      <c r="AQ657" s="34">
        <f t="shared" si="519"/>
        <v>29.00099371</v>
      </c>
      <c r="AR657" s="34">
        <f t="shared" si="520"/>
        <v>10.81334306</v>
      </c>
      <c r="AS657" s="34">
        <f t="shared" si="521"/>
        <v>0.06024450709</v>
      </c>
      <c r="AT657" s="35">
        <f t="shared" si="15"/>
        <v>96.12242981</v>
      </c>
      <c r="AV657" s="32">
        <f t="shared" si="522"/>
        <v>10272.89888</v>
      </c>
    </row>
    <row r="658" ht="14.25" customHeight="1">
      <c r="B658" s="83"/>
      <c r="C658" s="100" t="s">
        <v>46</v>
      </c>
      <c r="D658" s="74"/>
      <c r="E658" s="84" t="s">
        <v>75</v>
      </c>
      <c r="F658" s="75"/>
      <c r="G658" s="27">
        <v>49.13</v>
      </c>
      <c r="H658" s="27">
        <v>6.54</v>
      </c>
      <c r="I658" s="27">
        <v>44.16</v>
      </c>
      <c r="J658" s="27">
        <v>0.12</v>
      </c>
      <c r="K658" s="27">
        <v>0.05</v>
      </c>
      <c r="L658" s="63">
        <f t="shared" si="528"/>
        <v>12.44</v>
      </c>
      <c r="M658" s="40">
        <v>80.0</v>
      </c>
      <c r="N658" s="40">
        <v>7.3</v>
      </c>
      <c r="O658" s="22">
        <v>0.26</v>
      </c>
      <c r="P658" s="76">
        <v>0.0</v>
      </c>
      <c r="Q658" s="89">
        <v>840.0</v>
      </c>
      <c r="R658" s="22" t="s">
        <v>62</v>
      </c>
      <c r="S658" s="25">
        <v>0.63</v>
      </c>
      <c r="T658" s="22">
        <v>17.12</v>
      </c>
      <c r="U658" s="25">
        <v>39.0877598152424</v>
      </c>
      <c r="V658" s="25">
        <v>17.8406466512702</v>
      </c>
      <c r="W658" s="25">
        <v>29.203233256351</v>
      </c>
      <c r="X658" s="25">
        <v>11.2817551963048</v>
      </c>
      <c r="Y658" s="78">
        <f t="shared" si="512"/>
        <v>0.0610171752</v>
      </c>
      <c r="Z658" s="22" t="s">
        <v>51</v>
      </c>
      <c r="AA658" s="22" t="s">
        <v>51</v>
      </c>
      <c r="AB658" s="22" t="s">
        <v>51</v>
      </c>
      <c r="AC658" s="32">
        <f t="shared" si="513"/>
        <v>10516.10153</v>
      </c>
      <c r="AD658" s="22" t="s">
        <v>51</v>
      </c>
      <c r="AK658" s="33">
        <f t="shared" si="514"/>
        <v>0.004285714286</v>
      </c>
      <c r="AL658" s="33">
        <f t="shared" si="515"/>
        <v>7.019497789</v>
      </c>
      <c r="AM658" s="33">
        <f t="shared" si="516"/>
        <v>7.023783504</v>
      </c>
      <c r="AO658" s="34">
        <f t="shared" si="517"/>
        <v>39.06390957</v>
      </c>
      <c r="AP658" s="34">
        <f t="shared" si="518"/>
        <v>17.82976079</v>
      </c>
      <c r="AQ658" s="34">
        <f t="shared" si="519"/>
        <v>29.18541427</v>
      </c>
      <c r="AR658" s="34">
        <f t="shared" si="520"/>
        <v>11.27487139</v>
      </c>
      <c r="AS658" s="34">
        <f t="shared" si="521"/>
        <v>0.0610171752</v>
      </c>
      <c r="AT658" s="35">
        <f t="shared" si="15"/>
        <v>97.41497319</v>
      </c>
      <c r="AV658" s="32">
        <f t="shared" si="522"/>
        <v>10509.68491</v>
      </c>
    </row>
    <row r="659" ht="14.25" customHeight="1">
      <c r="B659" s="83"/>
      <c r="C659" s="100" t="s">
        <v>46</v>
      </c>
      <c r="D659" s="74"/>
      <c r="E659" s="84" t="s">
        <v>75</v>
      </c>
      <c r="F659" s="75"/>
      <c r="G659" s="27">
        <v>49.13</v>
      </c>
      <c r="H659" s="27">
        <v>6.54</v>
      </c>
      <c r="I659" s="27">
        <v>44.16</v>
      </c>
      <c r="J659" s="27">
        <v>0.12</v>
      </c>
      <c r="K659" s="27">
        <v>0.05</v>
      </c>
      <c r="L659" s="63">
        <f t="shared" si="528"/>
        <v>12.44</v>
      </c>
      <c r="M659" s="40">
        <v>80.0</v>
      </c>
      <c r="N659" s="40">
        <v>7.3</v>
      </c>
      <c r="O659" s="22">
        <v>0.26</v>
      </c>
      <c r="P659" s="76">
        <v>0.0</v>
      </c>
      <c r="Q659" s="89">
        <v>840.0</v>
      </c>
      <c r="R659" s="22" t="s">
        <v>62</v>
      </c>
      <c r="S659" s="25">
        <v>0.63</v>
      </c>
      <c r="T659" s="22">
        <v>17.12</v>
      </c>
      <c r="U659" s="25">
        <v>39.0877598152424</v>
      </c>
      <c r="V659" s="25">
        <v>17.5635103926097</v>
      </c>
      <c r="W659" s="25">
        <v>28.7413394919168</v>
      </c>
      <c r="X659" s="25">
        <v>11.3741339491916</v>
      </c>
      <c r="Y659" s="78">
        <f t="shared" si="512"/>
        <v>0.06034109126</v>
      </c>
      <c r="Z659" s="22" t="s">
        <v>51</v>
      </c>
      <c r="AA659" s="22" t="s">
        <v>51</v>
      </c>
      <c r="AB659" s="22" t="s">
        <v>51</v>
      </c>
      <c r="AC659" s="32">
        <f t="shared" si="513"/>
        <v>10514.1888</v>
      </c>
      <c r="AD659" s="22" t="s">
        <v>51</v>
      </c>
      <c r="AK659" s="33">
        <f t="shared" si="514"/>
        <v>0.004285714286</v>
      </c>
      <c r="AL659" s="33">
        <f t="shared" si="515"/>
        <v>7.098194862</v>
      </c>
      <c r="AM659" s="33">
        <f t="shared" si="516"/>
        <v>7.102480576</v>
      </c>
      <c r="AO659" s="34">
        <f t="shared" si="517"/>
        <v>39.06417383</v>
      </c>
      <c r="AP659" s="34">
        <f t="shared" si="518"/>
        <v>17.55291238</v>
      </c>
      <c r="AQ659" s="34">
        <f t="shared" si="519"/>
        <v>28.72399665</v>
      </c>
      <c r="AR659" s="34">
        <f t="shared" si="520"/>
        <v>11.36727067</v>
      </c>
      <c r="AS659" s="34">
        <f t="shared" si="521"/>
        <v>0.06034109126</v>
      </c>
      <c r="AT659" s="35">
        <f t="shared" si="15"/>
        <v>96.76869463</v>
      </c>
      <c r="AV659" s="32">
        <f t="shared" si="522"/>
        <v>10507.84442</v>
      </c>
    </row>
    <row r="660" ht="14.25" customHeight="1">
      <c r="B660" s="83"/>
      <c r="C660" s="100" t="s">
        <v>46</v>
      </c>
      <c r="D660" s="74"/>
      <c r="E660" s="84" t="s">
        <v>75</v>
      </c>
      <c r="F660" s="75"/>
      <c r="G660" s="27">
        <v>49.13</v>
      </c>
      <c r="H660" s="27">
        <v>6.54</v>
      </c>
      <c r="I660" s="27">
        <v>44.16</v>
      </c>
      <c r="J660" s="27">
        <v>0.12</v>
      </c>
      <c r="K660" s="27">
        <v>0.05</v>
      </c>
      <c r="L660" s="63">
        <f t="shared" si="528"/>
        <v>12.44</v>
      </c>
      <c r="M660" s="40">
        <v>80.0</v>
      </c>
      <c r="N660" s="40">
        <v>7.3</v>
      </c>
      <c r="O660" s="22">
        <v>0.26</v>
      </c>
      <c r="P660" s="76">
        <v>0.0</v>
      </c>
      <c r="Q660" s="89">
        <v>840.0</v>
      </c>
      <c r="R660" s="22" t="s">
        <v>62</v>
      </c>
      <c r="S660" s="25">
        <v>0.63</v>
      </c>
      <c r="T660" s="22">
        <v>17.12</v>
      </c>
      <c r="U660" s="25">
        <v>38.3487297921478</v>
      </c>
      <c r="V660" s="25">
        <v>17.378752886836</v>
      </c>
      <c r="W660" s="25">
        <v>29.2956120092378</v>
      </c>
      <c r="X660" s="25">
        <v>11.6512702078522</v>
      </c>
      <c r="Y660" s="78">
        <f t="shared" si="512"/>
        <v>0.0610171752</v>
      </c>
      <c r="Z660" s="22" t="s">
        <v>51</v>
      </c>
      <c r="AA660" s="22" t="s">
        <v>51</v>
      </c>
      <c r="AB660" s="22" t="s">
        <v>51</v>
      </c>
      <c r="AC660" s="32">
        <f t="shared" si="513"/>
        <v>10510.3658</v>
      </c>
      <c r="AD660" s="22" t="s">
        <v>51</v>
      </c>
      <c r="AK660" s="33">
        <f t="shared" si="514"/>
        <v>0.004285714286</v>
      </c>
      <c r="AL660" s="33">
        <f t="shared" si="515"/>
        <v>7.019497789</v>
      </c>
      <c r="AM660" s="33">
        <f t="shared" si="516"/>
        <v>7.023783504</v>
      </c>
      <c r="AO660" s="34">
        <f t="shared" si="517"/>
        <v>38.32533048</v>
      </c>
      <c r="AP660" s="34">
        <f t="shared" si="518"/>
        <v>17.36814886</v>
      </c>
      <c r="AQ660" s="34">
        <f t="shared" si="519"/>
        <v>29.27773665</v>
      </c>
      <c r="AR660" s="34">
        <f t="shared" si="520"/>
        <v>11.64416093</v>
      </c>
      <c r="AS660" s="34">
        <f t="shared" si="521"/>
        <v>0.0610171752</v>
      </c>
      <c r="AT660" s="35">
        <f t="shared" si="15"/>
        <v>96.6763941</v>
      </c>
      <c r="AV660" s="32">
        <f t="shared" si="522"/>
        <v>10503.95268</v>
      </c>
    </row>
    <row r="661" ht="14.25" customHeight="1">
      <c r="B661" s="83"/>
      <c r="C661" s="100" t="s">
        <v>46</v>
      </c>
      <c r="D661" s="74"/>
      <c r="E661" s="84" t="s">
        <v>75</v>
      </c>
      <c r="F661" s="75"/>
      <c r="G661" s="27">
        <v>49.13</v>
      </c>
      <c r="H661" s="27">
        <v>6.54</v>
      </c>
      <c r="I661" s="27">
        <v>44.16</v>
      </c>
      <c r="J661" s="27">
        <v>0.12</v>
      </c>
      <c r="K661" s="27">
        <v>0.05</v>
      </c>
      <c r="L661" s="63">
        <f t="shared" si="528"/>
        <v>12.44</v>
      </c>
      <c r="M661" s="40">
        <v>80.0</v>
      </c>
      <c r="N661" s="40">
        <v>7.3</v>
      </c>
      <c r="O661" s="22">
        <v>0.26</v>
      </c>
      <c r="P661" s="76">
        <v>0.0</v>
      </c>
      <c r="Q661" s="89">
        <v>840.0</v>
      </c>
      <c r="R661" s="22" t="s">
        <v>62</v>
      </c>
      <c r="S661" s="25">
        <v>0.63</v>
      </c>
      <c r="T661" s="22">
        <v>17.12</v>
      </c>
      <c r="U661" s="25">
        <v>39.2725173210161</v>
      </c>
      <c r="V661" s="25">
        <v>17.4711316397228</v>
      </c>
      <c r="W661" s="25">
        <v>29.4803695150115</v>
      </c>
      <c r="X661" s="25">
        <v>11.5588914549653</v>
      </c>
      <c r="Y661" s="78">
        <f t="shared" si="512"/>
        <v>0.06121034036</v>
      </c>
      <c r="Z661" s="22" t="s">
        <v>51</v>
      </c>
      <c r="AA661" s="22" t="s">
        <v>51</v>
      </c>
      <c r="AB661" s="22" t="s">
        <v>51</v>
      </c>
      <c r="AC661" s="32">
        <f t="shared" si="513"/>
        <v>10588.66422</v>
      </c>
      <c r="AD661" s="22" t="s">
        <v>51</v>
      </c>
      <c r="AK661" s="33">
        <f t="shared" si="514"/>
        <v>0.004285714286</v>
      </c>
      <c r="AL661" s="33">
        <f t="shared" si="515"/>
        <v>6.997332412</v>
      </c>
      <c r="AM661" s="33">
        <f t="shared" si="516"/>
        <v>7.001618127</v>
      </c>
      <c r="AO661" s="34">
        <f t="shared" si="517"/>
        <v>39.24847848</v>
      </c>
      <c r="AP661" s="34">
        <f t="shared" si="518"/>
        <v>17.4604375</v>
      </c>
      <c r="AQ661" s="34">
        <f t="shared" si="519"/>
        <v>29.46232448</v>
      </c>
      <c r="AR661" s="34">
        <f t="shared" si="520"/>
        <v>11.55181622</v>
      </c>
      <c r="AS661" s="34">
        <f t="shared" si="521"/>
        <v>0.06121034036</v>
      </c>
      <c r="AT661" s="35">
        <f t="shared" si="15"/>
        <v>97.78426702</v>
      </c>
      <c r="AV661" s="32">
        <f t="shared" si="522"/>
        <v>10582.18286</v>
      </c>
    </row>
    <row r="662" ht="14.25" customHeight="1">
      <c r="B662" s="83"/>
      <c r="C662" s="100" t="s">
        <v>46</v>
      </c>
      <c r="D662" s="74"/>
      <c r="E662" s="84" t="s">
        <v>75</v>
      </c>
      <c r="F662" s="75"/>
      <c r="G662" s="27">
        <v>49.13</v>
      </c>
      <c r="H662" s="27">
        <v>6.54</v>
      </c>
      <c r="I662" s="27">
        <v>44.16</v>
      </c>
      <c r="J662" s="27">
        <v>0.12</v>
      </c>
      <c r="K662" s="27">
        <v>0.05</v>
      </c>
      <c r="L662" s="63">
        <f t="shared" si="528"/>
        <v>12.44</v>
      </c>
      <c r="M662" s="40">
        <v>80.0</v>
      </c>
      <c r="N662" s="40">
        <v>7.3</v>
      </c>
      <c r="O662" s="22">
        <v>0.26</v>
      </c>
      <c r="P662" s="76">
        <v>0.0</v>
      </c>
      <c r="Q662" s="89">
        <v>840.0</v>
      </c>
      <c r="R662" s="22" t="s">
        <v>62</v>
      </c>
      <c r="S662" s="25">
        <v>0.63</v>
      </c>
      <c r="T662" s="22">
        <v>17.12</v>
      </c>
      <c r="U662" s="25">
        <v>38.5334872979214</v>
      </c>
      <c r="V662" s="25">
        <v>17.4711316397228</v>
      </c>
      <c r="W662" s="25">
        <v>29.2956120092378</v>
      </c>
      <c r="X662" s="25">
        <v>11.743648960739</v>
      </c>
      <c r="Y662" s="78">
        <f t="shared" si="512"/>
        <v>0.06121034036</v>
      </c>
      <c r="Z662" s="22" t="s">
        <v>51</v>
      </c>
      <c r="AA662" s="22" t="s">
        <v>51</v>
      </c>
      <c r="AB662" s="22" t="s">
        <v>51</v>
      </c>
      <c r="AC662" s="32">
        <f t="shared" si="513"/>
        <v>10575.08289</v>
      </c>
      <c r="AD662" s="22" t="s">
        <v>51</v>
      </c>
      <c r="AK662" s="33">
        <f t="shared" si="514"/>
        <v>0.004285714286</v>
      </c>
      <c r="AL662" s="33">
        <f t="shared" si="515"/>
        <v>6.997332412</v>
      </c>
      <c r="AM662" s="33">
        <f t="shared" si="516"/>
        <v>7.001618127</v>
      </c>
      <c r="AO662" s="34">
        <f t="shared" si="517"/>
        <v>38.50990082</v>
      </c>
      <c r="AP662" s="34">
        <f t="shared" si="518"/>
        <v>17.4604375</v>
      </c>
      <c r="AQ662" s="34">
        <f t="shared" si="519"/>
        <v>29.27768007</v>
      </c>
      <c r="AR662" s="34">
        <f t="shared" si="520"/>
        <v>11.73646063</v>
      </c>
      <c r="AS662" s="34">
        <f t="shared" si="521"/>
        <v>0.06121034036</v>
      </c>
      <c r="AT662" s="35">
        <f t="shared" si="15"/>
        <v>97.04568936</v>
      </c>
      <c r="AV662" s="32">
        <f t="shared" si="522"/>
        <v>10568.60985</v>
      </c>
    </row>
    <row r="663" ht="14.25" customHeight="1">
      <c r="B663" s="83"/>
      <c r="C663" s="100" t="s">
        <v>46</v>
      </c>
      <c r="D663" s="74"/>
      <c r="E663" s="84" t="s">
        <v>75</v>
      </c>
      <c r="F663" s="75"/>
      <c r="G663" s="27">
        <v>49.13</v>
      </c>
      <c r="H663" s="27">
        <v>6.54</v>
      </c>
      <c r="I663" s="27">
        <v>44.16</v>
      </c>
      <c r="J663" s="27">
        <v>0.12</v>
      </c>
      <c r="K663" s="27">
        <v>0.05</v>
      </c>
      <c r="L663" s="63">
        <f t="shared" si="528"/>
        <v>12.44</v>
      </c>
      <c r="M663" s="40">
        <v>80.0</v>
      </c>
      <c r="N663" s="40">
        <v>7.3</v>
      </c>
      <c r="O663" s="22">
        <v>0.26</v>
      </c>
      <c r="P663" s="76">
        <v>0.0</v>
      </c>
      <c r="Q663" s="89">
        <v>840.0</v>
      </c>
      <c r="R663" s="22" t="s">
        <v>62</v>
      </c>
      <c r="S663" s="25">
        <v>0.63</v>
      </c>
      <c r="T663" s="22">
        <v>17.12</v>
      </c>
      <c r="U663" s="25">
        <v>38.4411085450346</v>
      </c>
      <c r="V663" s="25">
        <v>17.4711316397228</v>
      </c>
      <c r="W663" s="25">
        <v>29.3879907621247</v>
      </c>
      <c r="X663" s="25">
        <v>11.743648960739</v>
      </c>
      <c r="Y663" s="78">
        <f t="shared" si="512"/>
        <v>0.06130692266</v>
      </c>
      <c r="Z663" s="22" t="s">
        <v>51</v>
      </c>
      <c r="AA663" s="22" t="s">
        <v>51</v>
      </c>
      <c r="AB663" s="22" t="s">
        <v>51</v>
      </c>
      <c r="AC663" s="32">
        <f t="shared" si="513"/>
        <v>10565.11011</v>
      </c>
      <c r="AD663" s="22" t="s">
        <v>51</v>
      </c>
      <c r="AK663" s="33">
        <f t="shared" si="514"/>
        <v>0.004285714286</v>
      </c>
      <c r="AL663" s="33">
        <f t="shared" si="515"/>
        <v>6.986302135</v>
      </c>
      <c r="AM663" s="33">
        <f t="shared" si="516"/>
        <v>6.990587849</v>
      </c>
      <c r="AO663" s="34">
        <f t="shared" si="517"/>
        <v>38.41754148</v>
      </c>
      <c r="AP663" s="34">
        <f t="shared" si="518"/>
        <v>17.46042063</v>
      </c>
      <c r="AQ663" s="34">
        <f t="shared" si="519"/>
        <v>29.36997389</v>
      </c>
      <c r="AR663" s="34">
        <f t="shared" si="520"/>
        <v>11.73644929</v>
      </c>
      <c r="AS663" s="34">
        <f t="shared" si="521"/>
        <v>0.06130692266</v>
      </c>
      <c r="AT663" s="35">
        <f t="shared" si="15"/>
        <v>97.04569221</v>
      </c>
      <c r="AV663" s="32">
        <f t="shared" si="522"/>
        <v>10558.63297</v>
      </c>
    </row>
    <row r="664" ht="14.25" customHeight="1">
      <c r="B664" s="83"/>
      <c r="C664" s="100" t="s">
        <v>46</v>
      </c>
      <c r="D664" s="74"/>
      <c r="E664" s="84" t="s">
        <v>75</v>
      </c>
      <c r="F664" s="75"/>
      <c r="G664" s="27">
        <v>49.13</v>
      </c>
      <c r="H664" s="27">
        <v>6.54</v>
      </c>
      <c r="I664" s="27">
        <v>44.16</v>
      </c>
      <c r="J664" s="27">
        <v>0.12</v>
      </c>
      <c r="K664" s="27">
        <v>0.05</v>
      </c>
      <c r="L664" s="63">
        <f t="shared" si="528"/>
        <v>12.44</v>
      </c>
      <c r="M664" s="40">
        <v>80.0</v>
      </c>
      <c r="N664" s="40">
        <v>7.3</v>
      </c>
      <c r="O664" s="22">
        <v>0.26</v>
      </c>
      <c r="P664" s="76">
        <v>0.0</v>
      </c>
      <c r="Q664" s="89">
        <v>840.0</v>
      </c>
      <c r="R664" s="22" t="s">
        <v>62</v>
      </c>
      <c r="S664" s="25">
        <v>0.63</v>
      </c>
      <c r="T664" s="22">
        <v>17.12</v>
      </c>
      <c r="U664" s="25">
        <v>38.0715935334873</v>
      </c>
      <c r="V664" s="25">
        <v>17.2863741339491</v>
      </c>
      <c r="W664" s="25">
        <v>29.0184757505773</v>
      </c>
      <c r="X664" s="25">
        <v>11.5588914549653</v>
      </c>
      <c r="Y664" s="78">
        <f t="shared" si="512"/>
        <v>0.06053425903</v>
      </c>
      <c r="Z664" s="22" t="s">
        <v>51</v>
      </c>
      <c r="AA664" s="22" t="s">
        <v>51</v>
      </c>
      <c r="AB664" s="22" t="s">
        <v>51</v>
      </c>
      <c r="AC664" s="32">
        <f t="shared" si="513"/>
        <v>10435.67593</v>
      </c>
      <c r="AD664" s="22" t="s">
        <v>51</v>
      </c>
      <c r="AK664" s="33">
        <f t="shared" si="514"/>
        <v>0.004285714286</v>
      </c>
      <c r="AL664" s="33">
        <f t="shared" si="515"/>
        <v>7.0755305</v>
      </c>
      <c r="AM664" s="33">
        <f t="shared" si="516"/>
        <v>7.079816214</v>
      </c>
      <c r="AO664" s="34">
        <f t="shared" si="517"/>
        <v>38.04854718</v>
      </c>
      <c r="AP664" s="34">
        <f t="shared" si="518"/>
        <v>17.27590996</v>
      </c>
      <c r="AQ664" s="34">
        <f t="shared" si="519"/>
        <v>29.00090963</v>
      </c>
      <c r="AR664" s="34">
        <f t="shared" si="520"/>
        <v>11.55189437</v>
      </c>
      <c r="AS664" s="34">
        <f t="shared" si="521"/>
        <v>0.06053425903</v>
      </c>
      <c r="AT664" s="35">
        <f t="shared" si="15"/>
        <v>95.93779539</v>
      </c>
      <c r="AV664" s="32">
        <f t="shared" si="522"/>
        <v>10429.35877</v>
      </c>
    </row>
    <row r="665" ht="14.25" customHeight="1">
      <c r="B665" s="83"/>
      <c r="C665" s="100" t="s">
        <v>46</v>
      </c>
      <c r="D665" s="74"/>
      <c r="E665" s="84" t="s">
        <v>75</v>
      </c>
      <c r="F665" s="75"/>
      <c r="G665" s="27">
        <v>49.13</v>
      </c>
      <c r="H665" s="27">
        <v>6.54</v>
      </c>
      <c r="I665" s="27">
        <v>44.16</v>
      </c>
      <c r="J665" s="27">
        <v>0.12</v>
      </c>
      <c r="K665" s="27">
        <v>0.05</v>
      </c>
      <c r="L665" s="63">
        <f t="shared" si="528"/>
        <v>12.44</v>
      </c>
      <c r="M665" s="40">
        <v>80.0</v>
      </c>
      <c r="N665" s="40">
        <v>7.3</v>
      </c>
      <c r="O665" s="22">
        <v>0.26</v>
      </c>
      <c r="P665" s="76">
        <v>0.0</v>
      </c>
      <c r="Q665" s="89">
        <v>840.0</v>
      </c>
      <c r="R665" s="22" t="s">
        <v>62</v>
      </c>
      <c r="S665" s="25">
        <v>0.63</v>
      </c>
      <c r="T665" s="22">
        <v>17.12</v>
      </c>
      <c r="U665" s="25">
        <v>37.7020785219399</v>
      </c>
      <c r="V665" s="25">
        <v>17.378752886836</v>
      </c>
      <c r="W665" s="25">
        <v>29.4803695150115</v>
      </c>
      <c r="X665" s="25">
        <v>11.189376443418</v>
      </c>
      <c r="Y665" s="78">
        <f t="shared" si="512"/>
        <v>0.06072742606</v>
      </c>
      <c r="Z665" s="22" t="s">
        <v>51</v>
      </c>
      <c r="AA665" s="22" t="s">
        <v>51</v>
      </c>
      <c r="AB665" s="22" t="s">
        <v>51</v>
      </c>
      <c r="AC665" s="32">
        <f t="shared" si="513"/>
        <v>10275.05403</v>
      </c>
      <c r="AD665" s="22" t="s">
        <v>51</v>
      </c>
      <c r="AK665" s="33">
        <f t="shared" si="514"/>
        <v>0.004285714286</v>
      </c>
      <c r="AL665" s="33">
        <f t="shared" si="515"/>
        <v>7.05301041</v>
      </c>
      <c r="AM665" s="33">
        <f t="shared" si="516"/>
        <v>7.057296125</v>
      </c>
      <c r="AO665" s="34">
        <f t="shared" si="517"/>
        <v>37.67918302</v>
      </c>
      <c r="AP665" s="34">
        <f t="shared" si="518"/>
        <v>17.36819922</v>
      </c>
      <c r="AQ665" s="34">
        <f t="shared" si="519"/>
        <v>29.46246685</v>
      </c>
      <c r="AR665" s="34">
        <f t="shared" si="520"/>
        <v>11.18258142</v>
      </c>
      <c r="AS665" s="34">
        <f t="shared" si="521"/>
        <v>0.06072742606</v>
      </c>
      <c r="AT665" s="35">
        <f t="shared" si="15"/>
        <v>95.75315793</v>
      </c>
      <c r="AV665" s="32">
        <f t="shared" si="522"/>
        <v>10268.81425</v>
      </c>
    </row>
    <row r="666" ht="14.25" customHeight="1">
      <c r="B666" s="83"/>
      <c r="C666" s="100" t="s">
        <v>46</v>
      </c>
      <c r="D666" s="74"/>
      <c r="E666" s="84" t="s">
        <v>75</v>
      </c>
      <c r="F666" s="75"/>
      <c r="G666" s="27">
        <v>49.13</v>
      </c>
      <c r="H666" s="27">
        <v>6.54</v>
      </c>
      <c r="I666" s="27">
        <v>44.16</v>
      </c>
      <c r="J666" s="27">
        <v>0.12</v>
      </c>
      <c r="K666" s="27">
        <v>0.05</v>
      </c>
      <c r="L666" s="63">
        <f t="shared" si="528"/>
        <v>12.44</v>
      </c>
      <c r="M666" s="40">
        <v>80.0</v>
      </c>
      <c r="N666" s="40">
        <v>7.3</v>
      </c>
      <c r="O666" s="22">
        <v>0.26</v>
      </c>
      <c r="P666" s="76">
        <v>0.0</v>
      </c>
      <c r="Q666" s="89">
        <v>840.0</v>
      </c>
      <c r="R666" s="22" t="s">
        <v>62</v>
      </c>
      <c r="S666" s="25">
        <v>0.63</v>
      </c>
      <c r="T666" s="22">
        <v>17.12</v>
      </c>
      <c r="U666" s="25">
        <v>38.4411085450346</v>
      </c>
      <c r="V666" s="25">
        <v>17.6558891454965</v>
      </c>
      <c r="W666" s="25">
        <v>29.757505773672</v>
      </c>
      <c r="X666" s="25">
        <v>11.5588914549653</v>
      </c>
      <c r="Y666" s="78">
        <f t="shared" si="512"/>
        <v>0.06169324999</v>
      </c>
      <c r="Z666" s="22" t="s">
        <v>51</v>
      </c>
      <c r="AA666" s="22" t="s">
        <v>51</v>
      </c>
      <c r="AB666" s="22" t="s">
        <v>51</v>
      </c>
      <c r="AC666" s="32">
        <f t="shared" si="513"/>
        <v>10522.25132</v>
      </c>
      <c r="AD666" s="22" t="s">
        <v>51</v>
      </c>
      <c r="AK666" s="33">
        <f t="shared" si="514"/>
        <v>0.004285714286</v>
      </c>
      <c r="AL666" s="33">
        <f t="shared" si="515"/>
        <v>6.942526597</v>
      </c>
      <c r="AM666" s="33">
        <f t="shared" si="516"/>
        <v>6.946812312</v>
      </c>
      <c r="AO666" s="34">
        <f t="shared" si="517"/>
        <v>38.41739298</v>
      </c>
      <c r="AP666" s="34">
        <f t="shared" si="518"/>
        <v>17.64499665</v>
      </c>
      <c r="AQ666" s="34">
        <f t="shared" si="519"/>
        <v>29.7391474</v>
      </c>
      <c r="AR666" s="34">
        <f t="shared" si="520"/>
        <v>11.5517604</v>
      </c>
      <c r="AS666" s="34">
        <f t="shared" si="521"/>
        <v>0.06169324999</v>
      </c>
      <c r="AT666" s="35">
        <f t="shared" si="15"/>
        <v>97.41499068</v>
      </c>
      <c r="AV666" s="32">
        <f t="shared" si="522"/>
        <v>10515.7598</v>
      </c>
    </row>
    <row r="667" ht="14.25" customHeight="1">
      <c r="B667" s="83"/>
      <c r="C667" s="100" t="s">
        <v>46</v>
      </c>
      <c r="D667" s="74"/>
      <c r="E667" s="84" t="s">
        <v>75</v>
      </c>
      <c r="F667" s="75"/>
      <c r="G667" s="27">
        <v>49.13</v>
      </c>
      <c r="H667" s="27">
        <v>6.54</v>
      </c>
      <c r="I667" s="27">
        <v>44.16</v>
      </c>
      <c r="J667" s="27">
        <v>0.12</v>
      </c>
      <c r="K667" s="27">
        <v>0.05</v>
      </c>
      <c r="L667" s="63">
        <f t="shared" si="528"/>
        <v>12.44</v>
      </c>
      <c r="M667" s="40">
        <v>80.0</v>
      </c>
      <c r="N667" s="40">
        <v>7.3</v>
      </c>
      <c r="O667" s="22">
        <v>0.26</v>
      </c>
      <c r="P667" s="76">
        <v>0.0</v>
      </c>
      <c r="Q667" s="89">
        <v>840.0</v>
      </c>
      <c r="R667" s="22" t="s">
        <v>62</v>
      </c>
      <c r="S667" s="25">
        <v>0.63</v>
      </c>
      <c r="T667" s="22">
        <v>17.12</v>
      </c>
      <c r="U667" s="25">
        <v>37.9792147806004</v>
      </c>
      <c r="V667" s="25">
        <v>18.0254041570438</v>
      </c>
      <c r="W667" s="25">
        <v>29.0184757505773</v>
      </c>
      <c r="X667" s="25">
        <v>11.8360277136258</v>
      </c>
      <c r="Y667" s="78">
        <f t="shared" si="512"/>
        <v>0.06159666844</v>
      </c>
      <c r="Z667" s="22" t="s">
        <v>51</v>
      </c>
      <c r="AA667" s="22" t="s">
        <v>51</v>
      </c>
      <c r="AB667" s="22" t="s">
        <v>51</v>
      </c>
      <c r="AC667" s="32">
        <f t="shared" si="513"/>
        <v>10618.37306</v>
      </c>
      <c r="AD667" s="22" t="s">
        <v>51</v>
      </c>
      <c r="AK667" s="33">
        <f t="shared" si="514"/>
        <v>0.004285714286</v>
      </c>
      <c r="AL667" s="33">
        <f t="shared" si="515"/>
        <v>6.953418971</v>
      </c>
      <c r="AM667" s="33">
        <f t="shared" si="516"/>
        <v>6.957704685</v>
      </c>
      <c r="AO667" s="34">
        <f t="shared" si="517"/>
        <v>37.95582085</v>
      </c>
      <c r="AP667" s="34">
        <f t="shared" si="518"/>
        <v>18.01430111</v>
      </c>
      <c r="AQ667" s="34">
        <f t="shared" si="519"/>
        <v>29.00060134</v>
      </c>
      <c r="AR667" s="34">
        <f t="shared" si="520"/>
        <v>11.82873711</v>
      </c>
      <c r="AS667" s="34">
        <f t="shared" si="521"/>
        <v>0.06159666844</v>
      </c>
      <c r="AT667" s="35">
        <f t="shared" si="15"/>
        <v>96.86105708</v>
      </c>
      <c r="AV667" s="32">
        <f t="shared" si="522"/>
        <v>10611.8325</v>
      </c>
    </row>
    <row r="668" ht="14.25" customHeight="1">
      <c r="B668" s="83"/>
      <c r="C668" s="100" t="s">
        <v>46</v>
      </c>
      <c r="D668" s="74"/>
      <c r="E668" s="84" t="s">
        <v>75</v>
      </c>
      <c r="F668" s="75"/>
      <c r="G668" s="27">
        <v>49.13</v>
      </c>
      <c r="H668" s="27">
        <v>6.54</v>
      </c>
      <c r="I668" s="27">
        <v>44.16</v>
      </c>
      <c r="J668" s="27">
        <v>0.12</v>
      </c>
      <c r="K668" s="27">
        <v>0.05</v>
      </c>
      <c r="L668" s="63">
        <f t="shared" si="528"/>
        <v>12.44</v>
      </c>
      <c r="M668" s="40">
        <v>80.0</v>
      </c>
      <c r="N668" s="40">
        <v>7.3</v>
      </c>
      <c r="O668" s="22">
        <v>0.26</v>
      </c>
      <c r="P668" s="76">
        <v>0.0</v>
      </c>
      <c r="Q668" s="89">
        <v>840.0</v>
      </c>
      <c r="R668" s="22" t="s">
        <v>62</v>
      </c>
      <c r="S668" s="25">
        <v>0.63</v>
      </c>
      <c r="T668" s="22">
        <v>17.12</v>
      </c>
      <c r="U668" s="25">
        <v>39.0877598152424</v>
      </c>
      <c r="V668" s="25">
        <v>18.0254041570438</v>
      </c>
      <c r="W668" s="25">
        <v>28.4642032332563</v>
      </c>
      <c r="X668" s="25">
        <v>11.0046189376443</v>
      </c>
      <c r="Y668" s="78">
        <f t="shared" si="512"/>
        <v>0.06014792274</v>
      </c>
      <c r="Z668" s="22" t="s">
        <v>51</v>
      </c>
      <c r="AA668" s="22" t="s">
        <v>51</v>
      </c>
      <c r="AB668" s="22" t="s">
        <v>51</v>
      </c>
      <c r="AC668" s="32">
        <f t="shared" si="513"/>
        <v>10440.14228</v>
      </c>
      <c r="AD668" s="22" t="s">
        <v>51</v>
      </c>
      <c r="AK668" s="33">
        <f t="shared" si="514"/>
        <v>0.004285714286</v>
      </c>
      <c r="AL668" s="33">
        <f t="shared" si="515"/>
        <v>7.121004887</v>
      </c>
      <c r="AM668" s="33">
        <f t="shared" si="516"/>
        <v>7.125290601</v>
      </c>
      <c r="AO668" s="34">
        <f t="shared" si="517"/>
        <v>39.06424934</v>
      </c>
      <c r="AP668" s="34">
        <f t="shared" si="518"/>
        <v>18.01456225</v>
      </c>
      <c r="AQ668" s="34">
        <f t="shared" si="519"/>
        <v>28.44708261</v>
      </c>
      <c r="AR668" s="34">
        <f t="shared" si="520"/>
        <v>10.99799989</v>
      </c>
      <c r="AS668" s="34">
        <f t="shared" si="521"/>
        <v>0.06014792274</v>
      </c>
      <c r="AT668" s="35">
        <f t="shared" si="15"/>
        <v>96.58404201</v>
      </c>
      <c r="AV668" s="32">
        <f t="shared" si="522"/>
        <v>10433.86275</v>
      </c>
    </row>
    <row r="669" ht="14.25" customHeight="1">
      <c r="B669" s="83"/>
      <c r="C669" s="100" t="s">
        <v>46</v>
      </c>
      <c r="D669" s="74"/>
      <c r="E669" s="84" t="s">
        <v>75</v>
      </c>
      <c r="F669" s="75"/>
      <c r="G669" s="27">
        <v>49.13</v>
      </c>
      <c r="H669" s="27">
        <v>6.54</v>
      </c>
      <c r="I669" s="27">
        <v>44.16</v>
      </c>
      <c r="J669" s="27">
        <v>0.12</v>
      </c>
      <c r="K669" s="27">
        <v>0.05</v>
      </c>
      <c r="L669" s="63">
        <f t="shared" si="528"/>
        <v>12.44</v>
      </c>
      <c r="M669" s="40">
        <v>80.0</v>
      </c>
      <c r="N669" s="40">
        <v>7.3</v>
      </c>
      <c r="O669" s="22">
        <v>0.26</v>
      </c>
      <c r="P669" s="76">
        <v>0.0</v>
      </c>
      <c r="Q669" s="89">
        <v>645.0</v>
      </c>
      <c r="R669" s="22" t="s">
        <v>122</v>
      </c>
      <c r="S669" s="25">
        <v>0.79</v>
      </c>
      <c r="T669" s="22">
        <v>17.12</v>
      </c>
      <c r="U669" s="25">
        <v>78.84</v>
      </c>
      <c r="V669" s="25">
        <v>6.35496183206106</v>
      </c>
      <c r="W669" s="25">
        <v>6.78435114503816</v>
      </c>
      <c r="X669" s="25">
        <v>11.6793893129771</v>
      </c>
      <c r="Y669" s="78">
        <f t="shared" si="512"/>
        <v>0.02597310981</v>
      </c>
      <c r="Z669" s="22" t="s">
        <v>51</v>
      </c>
      <c r="AA669" s="22" t="s">
        <v>51</v>
      </c>
      <c r="AB669" s="22" t="s">
        <v>51</v>
      </c>
      <c r="AC669" s="32">
        <f t="shared" si="513"/>
        <v>13498.95288</v>
      </c>
      <c r="AD669" s="22" t="s">
        <v>51</v>
      </c>
      <c r="AK669" s="33">
        <f t="shared" si="514"/>
        <v>0.004285714286</v>
      </c>
      <c r="AL669" s="33">
        <f t="shared" si="515"/>
        <v>16.4962963</v>
      </c>
      <c r="AM669" s="33">
        <f t="shared" si="516"/>
        <v>16.50058201</v>
      </c>
      <c r="AO669" s="34">
        <f t="shared" si="517"/>
        <v>78.8195228</v>
      </c>
      <c r="AP669" s="34">
        <f t="shared" si="518"/>
        <v>6.353311251</v>
      </c>
      <c r="AQ669" s="34">
        <f t="shared" si="519"/>
        <v>6.782589038</v>
      </c>
      <c r="AR669" s="34">
        <f t="shared" si="520"/>
        <v>11.67635581</v>
      </c>
      <c r="AS669" s="34">
        <f t="shared" si="521"/>
        <v>0.02597310981</v>
      </c>
      <c r="AT669" s="35">
        <f t="shared" si="15"/>
        <v>103.657752</v>
      </c>
      <c r="AV669" s="32">
        <f t="shared" si="522"/>
        <v>13495.44678</v>
      </c>
    </row>
    <row r="670" ht="14.25" customHeight="1">
      <c r="B670" s="83"/>
      <c r="C670" s="100" t="s">
        <v>46</v>
      </c>
      <c r="D670" s="74"/>
      <c r="E670" s="84" t="s">
        <v>75</v>
      </c>
      <c r="F670" s="75"/>
      <c r="G670" s="27">
        <v>49.13</v>
      </c>
      <c r="H670" s="27">
        <v>6.54</v>
      </c>
      <c r="I670" s="27">
        <v>44.16</v>
      </c>
      <c r="J670" s="27">
        <v>0.12</v>
      </c>
      <c r="K670" s="27">
        <v>0.05</v>
      </c>
      <c r="L670" s="63">
        <f t="shared" si="528"/>
        <v>12.44</v>
      </c>
      <c r="M670" s="40">
        <v>80.0</v>
      </c>
      <c r="N670" s="40">
        <v>7.3</v>
      </c>
      <c r="O670" s="22">
        <v>0.26</v>
      </c>
      <c r="P670" s="76">
        <v>0.0</v>
      </c>
      <c r="Q670" s="89">
        <v>645.0</v>
      </c>
      <c r="R670" s="22" t="s">
        <v>122</v>
      </c>
      <c r="S670" s="25">
        <v>0.79</v>
      </c>
      <c r="T670" s="22">
        <v>17.12</v>
      </c>
      <c r="U670" s="25">
        <v>79.18</v>
      </c>
      <c r="V670" s="25">
        <v>6.61259541984733</v>
      </c>
      <c r="W670" s="25">
        <v>7.21374045801526</v>
      </c>
      <c r="X670" s="25">
        <v>11.3358778625954</v>
      </c>
      <c r="Y670" s="78">
        <f t="shared" si="512"/>
        <v>0.02633250456</v>
      </c>
      <c r="Z670" s="22" t="s">
        <v>51</v>
      </c>
      <c r="AA670" s="22" t="s">
        <v>51</v>
      </c>
      <c r="AB670" s="22" t="s">
        <v>51</v>
      </c>
      <c r="AC670" s="32">
        <f t="shared" si="513"/>
        <v>13445.1225</v>
      </c>
      <c r="AD670" s="22" t="s">
        <v>51</v>
      </c>
      <c r="AK670" s="33">
        <f t="shared" si="514"/>
        <v>0.004285714286</v>
      </c>
      <c r="AL670" s="33">
        <f t="shared" si="515"/>
        <v>16.27109089</v>
      </c>
      <c r="AM670" s="33">
        <f t="shared" si="516"/>
        <v>16.2753766</v>
      </c>
      <c r="AO670" s="34">
        <f t="shared" si="517"/>
        <v>79.15914992</v>
      </c>
      <c r="AP670" s="34">
        <f t="shared" si="518"/>
        <v>6.610854158</v>
      </c>
      <c r="AQ670" s="34">
        <f t="shared" si="519"/>
        <v>7.211840899</v>
      </c>
      <c r="AR670" s="34">
        <f t="shared" si="520"/>
        <v>11.33289284</v>
      </c>
      <c r="AS670" s="34">
        <f t="shared" si="521"/>
        <v>0.02633250456</v>
      </c>
      <c r="AT670" s="35">
        <f t="shared" si="15"/>
        <v>104.3410703</v>
      </c>
      <c r="AV670" s="32">
        <f t="shared" si="522"/>
        <v>13441.58206</v>
      </c>
    </row>
    <row r="671" ht="14.25" customHeight="1">
      <c r="B671" s="83"/>
      <c r="C671" s="100" t="s">
        <v>46</v>
      </c>
      <c r="D671" s="74"/>
      <c r="E671" s="84" t="s">
        <v>75</v>
      </c>
      <c r="F671" s="75"/>
      <c r="G671" s="27">
        <v>49.13</v>
      </c>
      <c r="H671" s="27">
        <v>6.54</v>
      </c>
      <c r="I671" s="27">
        <v>44.16</v>
      </c>
      <c r="J671" s="27">
        <v>0.12</v>
      </c>
      <c r="K671" s="27">
        <v>0.05</v>
      </c>
      <c r="L671" s="63">
        <f t="shared" si="528"/>
        <v>12.44</v>
      </c>
      <c r="M671" s="40">
        <v>80.0</v>
      </c>
      <c r="N671" s="40">
        <v>7.3</v>
      </c>
      <c r="O671" s="22">
        <v>0.26</v>
      </c>
      <c r="P671" s="76">
        <v>0.0</v>
      </c>
      <c r="Q671" s="89">
        <v>645.0</v>
      </c>
      <c r="R671" s="22" t="s">
        <v>122</v>
      </c>
      <c r="S671" s="25">
        <v>0.79</v>
      </c>
      <c r="T671" s="22">
        <v>17.12</v>
      </c>
      <c r="U671" s="25">
        <v>78.83</v>
      </c>
      <c r="V671" s="25">
        <v>6.87022900763358</v>
      </c>
      <c r="W671" s="25">
        <v>7.47137404580152</v>
      </c>
      <c r="X671" s="25">
        <v>11.2499999999999</v>
      </c>
      <c r="Y671" s="78">
        <f t="shared" si="512"/>
        <v>0.02678174436</v>
      </c>
      <c r="Z671" s="22" t="s">
        <v>51</v>
      </c>
      <c r="AA671" s="22" t="s">
        <v>51</v>
      </c>
      <c r="AB671" s="22" t="s">
        <v>51</v>
      </c>
      <c r="AC671" s="32">
        <f t="shared" si="513"/>
        <v>13409.11625</v>
      </c>
      <c r="AD671" s="22" t="s">
        <v>51</v>
      </c>
      <c r="AK671" s="33">
        <f t="shared" si="514"/>
        <v>0.004285714286</v>
      </c>
      <c r="AL671" s="33">
        <f t="shared" si="515"/>
        <v>15.99808601</v>
      </c>
      <c r="AM671" s="33">
        <f t="shared" si="516"/>
        <v>16.00237172</v>
      </c>
      <c r="AO671" s="34">
        <f t="shared" si="517"/>
        <v>78.80888795</v>
      </c>
      <c r="AP671" s="34">
        <f t="shared" si="518"/>
        <v>6.86838904</v>
      </c>
      <c r="AQ671" s="34">
        <f t="shared" si="519"/>
        <v>7.469373082</v>
      </c>
      <c r="AR671" s="34">
        <f t="shared" si="520"/>
        <v>11.24698705</v>
      </c>
      <c r="AS671" s="34">
        <f t="shared" si="521"/>
        <v>0.02678174436</v>
      </c>
      <c r="AT671" s="35">
        <f t="shared" si="15"/>
        <v>104.4204189</v>
      </c>
      <c r="AV671" s="32">
        <f t="shared" si="522"/>
        <v>13405.52506</v>
      </c>
    </row>
    <row r="672" ht="14.25" customHeight="1">
      <c r="B672" s="83"/>
      <c r="C672" s="100" t="s">
        <v>46</v>
      </c>
      <c r="D672" s="74"/>
      <c r="E672" s="84" t="s">
        <v>75</v>
      </c>
      <c r="F672" s="75"/>
      <c r="G672" s="27">
        <v>49.13</v>
      </c>
      <c r="H672" s="27">
        <v>6.54</v>
      </c>
      <c r="I672" s="27">
        <v>44.16</v>
      </c>
      <c r="J672" s="27">
        <v>0.12</v>
      </c>
      <c r="K672" s="27">
        <v>0.05</v>
      </c>
      <c r="L672" s="63">
        <f t="shared" si="528"/>
        <v>12.44</v>
      </c>
      <c r="M672" s="40">
        <v>80.0</v>
      </c>
      <c r="N672" s="40">
        <v>7.3</v>
      </c>
      <c r="O672" s="22">
        <v>0.26</v>
      </c>
      <c r="P672" s="76">
        <v>0.0</v>
      </c>
      <c r="Q672" s="89">
        <v>645.0</v>
      </c>
      <c r="R672" s="22" t="s">
        <v>122</v>
      </c>
      <c r="S672" s="25">
        <v>0.79</v>
      </c>
      <c r="T672" s="22">
        <v>17.12</v>
      </c>
      <c r="U672" s="25">
        <v>78.83</v>
      </c>
      <c r="V672" s="25">
        <v>6.44083969465648</v>
      </c>
      <c r="W672" s="25">
        <v>6.78435114503816</v>
      </c>
      <c r="X672" s="25">
        <v>11.8511450381679</v>
      </c>
      <c r="Y672" s="78">
        <f t="shared" si="512"/>
        <v>0.02624265612</v>
      </c>
      <c r="Z672" s="22" t="s">
        <v>51</v>
      </c>
      <c r="AA672" s="22" t="s">
        <v>51</v>
      </c>
      <c r="AB672" s="22" t="s">
        <v>51</v>
      </c>
      <c r="AC672" s="32">
        <f t="shared" si="513"/>
        <v>13570.2653</v>
      </c>
      <c r="AD672" s="22" t="s">
        <v>51</v>
      </c>
      <c r="AK672" s="33">
        <f t="shared" si="514"/>
        <v>0.004285714286</v>
      </c>
      <c r="AL672" s="33">
        <f t="shared" si="515"/>
        <v>16.3268138</v>
      </c>
      <c r="AM672" s="33">
        <f t="shared" si="516"/>
        <v>16.33109951</v>
      </c>
      <c r="AO672" s="34">
        <f t="shared" si="517"/>
        <v>78.80931291</v>
      </c>
      <c r="AP672" s="34">
        <f t="shared" si="518"/>
        <v>6.439149447</v>
      </c>
      <c r="AQ672" s="34">
        <f t="shared" si="519"/>
        <v>6.782570751</v>
      </c>
      <c r="AR672" s="34">
        <f t="shared" si="520"/>
        <v>11.84803498</v>
      </c>
      <c r="AS672" s="34">
        <f t="shared" si="521"/>
        <v>0.02624265612</v>
      </c>
      <c r="AT672" s="35">
        <f t="shared" si="15"/>
        <v>103.9053108</v>
      </c>
      <c r="AV672" s="32">
        <f t="shared" si="522"/>
        <v>13566.7041</v>
      </c>
    </row>
    <row r="673" ht="14.25" customHeight="1">
      <c r="B673" s="83"/>
      <c r="C673" s="100" t="s">
        <v>46</v>
      </c>
      <c r="D673" s="74"/>
      <c r="E673" s="84" t="s">
        <v>75</v>
      </c>
      <c r="F673" s="75"/>
      <c r="G673" s="27">
        <v>49.13</v>
      </c>
      <c r="H673" s="27">
        <v>6.54</v>
      </c>
      <c r="I673" s="27">
        <v>44.16</v>
      </c>
      <c r="J673" s="27">
        <v>0.12</v>
      </c>
      <c r="K673" s="27">
        <v>0.05</v>
      </c>
      <c r="L673" s="63">
        <f t="shared" si="528"/>
        <v>12.44</v>
      </c>
      <c r="M673" s="40">
        <v>80.0</v>
      </c>
      <c r="N673" s="40">
        <v>7.3</v>
      </c>
      <c r="O673" s="22">
        <v>0.26</v>
      </c>
      <c r="P673" s="76">
        <v>0.0</v>
      </c>
      <c r="Q673" s="89">
        <v>645.0</v>
      </c>
      <c r="R673" s="22" t="s">
        <v>122</v>
      </c>
      <c r="S673" s="25">
        <v>0.79</v>
      </c>
      <c r="T673" s="22">
        <v>17.12</v>
      </c>
      <c r="U673" s="25">
        <v>78.3</v>
      </c>
      <c r="V673" s="25">
        <v>7.04198473282442</v>
      </c>
      <c r="W673" s="25">
        <v>6.78435114503816</v>
      </c>
      <c r="X673" s="25">
        <v>11.8511450381679</v>
      </c>
      <c r="Y673" s="78">
        <f t="shared" si="512"/>
        <v>0.02687159184</v>
      </c>
      <c r="Z673" s="22" t="s">
        <v>51</v>
      </c>
      <c r="AA673" s="22" t="s">
        <v>51</v>
      </c>
      <c r="AB673" s="22" t="s">
        <v>51</v>
      </c>
      <c r="AC673" s="32">
        <f t="shared" si="513"/>
        <v>13588.99719</v>
      </c>
      <c r="AD673" s="22" t="s">
        <v>51</v>
      </c>
      <c r="AK673" s="33">
        <f t="shared" si="514"/>
        <v>0.004285714286</v>
      </c>
      <c r="AL673" s="33">
        <f t="shared" si="515"/>
        <v>15.9445807</v>
      </c>
      <c r="AM673" s="33">
        <f t="shared" si="516"/>
        <v>15.94886642</v>
      </c>
      <c r="AO673" s="34">
        <f t="shared" si="517"/>
        <v>78.27895954</v>
      </c>
      <c r="AP673" s="34">
        <f t="shared" si="518"/>
        <v>7.040092439</v>
      </c>
      <c r="AQ673" s="34">
        <f t="shared" si="519"/>
        <v>6.782528082</v>
      </c>
      <c r="AR673" s="34">
        <f t="shared" si="520"/>
        <v>11.84796045</v>
      </c>
      <c r="AS673" s="34">
        <f t="shared" si="521"/>
        <v>0.02687159184</v>
      </c>
      <c r="AT673" s="35">
        <f t="shared" si="15"/>
        <v>103.9764121</v>
      </c>
      <c r="AV673" s="32">
        <f t="shared" si="522"/>
        <v>13585.34561</v>
      </c>
    </row>
    <row r="674" ht="14.25" customHeight="1">
      <c r="A674" s="18"/>
      <c r="B674" s="73" t="s">
        <v>123</v>
      </c>
      <c r="C674" s="101" t="s">
        <v>46</v>
      </c>
      <c r="D674" s="74" t="s">
        <v>104</v>
      </c>
      <c r="E674" s="84" t="s">
        <v>75</v>
      </c>
      <c r="F674" s="75" t="s">
        <v>124</v>
      </c>
      <c r="G674" s="22">
        <v>44.18</v>
      </c>
      <c r="H674" s="22">
        <v>6.38</v>
      </c>
      <c r="I674" s="22">
        <v>49.32</v>
      </c>
      <c r="J674" s="22">
        <v>0.12</v>
      </c>
      <c r="K674" s="22">
        <v>0.0</v>
      </c>
      <c r="L674" s="22">
        <v>14.86</v>
      </c>
      <c r="M674" s="22">
        <v>76.86</v>
      </c>
      <c r="N674" s="22">
        <v>8.16</v>
      </c>
      <c r="O674" s="22">
        <v>0.12</v>
      </c>
      <c r="P674" s="76">
        <v>0.0</v>
      </c>
      <c r="Q674" s="89">
        <v>650.0</v>
      </c>
      <c r="R674" s="20" t="s">
        <v>50</v>
      </c>
      <c r="S674" s="25">
        <v>0.85</v>
      </c>
      <c r="T674" s="22">
        <v>19.45</v>
      </c>
      <c r="U674" s="25">
        <v>21.84</v>
      </c>
      <c r="V674" s="25">
        <v>45.0</v>
      </c>
      <c r="W674" s="25">
        <v>14.99</v>
      </c>
      <c r="X674" s="25">
        <v>13.61</v>
      </c>
      <c r="Y674" s="78">
        <f t="shared" si="512"/>
        <v>0.08560214336</v>
      </c>
      <c r="Z674" s="25">
        <f t="shared" ref="Z674:Z680" si="529">AF674*0.0224</f>
        <v>0.398048</v>
      </c>
      <c r="AA674" s="25">
        <v>33.37</v>
      </c>
      <c r="AB674" s="25">
        <v>73.63</v>
      </c>
      <c r="AC674" s="32">
        <f t="shared" si="513"/>
        <v>12919.64598</v>
      </c>
      <c r="AD674" s="22" t="s">
        <v>51</v>
      </c>
      <c r="AF674" s="22">
        <v>17.77</v>
      </c>
      <c r="AK674" s="33">
        <f t="shared" si="514"/>
        <v>0.004285714286</v>
      </c>
      <c r="AL674" s="33">
        <f t="shared" si="515"/>
        <v>5.002264493</v>
      </c>
      <c r="AM674" s="33">
        <f t="shared" si="516"/>
        <v>5.006550207</v>
      </c>
      <c r="AO674" s="34">
        <f t="shared" si="517"/>
        <v>21.82130449</v>
      </c>
      <c r="AP674" s="34">
        <f t="shared" si="518"/>
        <v>44.96147904</v>
      </c>
      <c r="AQ674" s="34">
        <f t="shared" si="519"/>
        <v>14.97716824</v>
      </c>
      <c r="AR674" s="34">
        <f t="shared" si="520"/>
        <v>13.59834955</v>
      </c>
      <c r="AS674" s="34">
        <f t="shared" si="521"/>
        <v>0.08560214336</v>
      </c>
      <c r="AT674" s="35">
        <f t="shared" si="15"/>
        <v>95.44390346</v>
      </c>
      <c r="AV674" s="32">
        <f t="shared" si="522"/>
        <v>12908.58649</v>
      </c>
    </row>
    <row r="675" ht="14.25" customHeight="1">
      <c r="B675" s="73"/>
      <c r="C675" s="101" t="s">
        <v>46</v>
      </c>
      <c r="D675" s="74"/>
      <c r="E675" s="84" t="s">
        <v>75</v>
      </c>
      <c r="F675" s="75"/>
      <c r="G675" s="22">
        <v>44.18</v>
      </c>
      <c r="H675" s="22">
        <v>6.38</v>
      </c>
      <c r="I675" s="22">
        <v>49.32</v>
      </c>
      <c r="J675" s="22">
        <v>0.12</v>
      </c>
      <c r="K675" s="22">
        <v>0.0</v>
      </c>
      <c r="L675" s="22">
        <v>14.86</v>
      </c>
      <c r="M675" s="22">
        <v>76.86</v>
      </c>
      <c r="N675" s="22">
        <v>8.16</v>
      </c>
      <c r="O675" s="22">
        <v>0.12</v>
      </c>
      <c r="P675" s="76">
        <v>0.0</v>
      </c>
      <c r="Q675" s="89">
        <v>650.0</v>
      </c>
      <c r="R675" s="20" t="s">
        <v>125</v>
      </c>
      <c r="S675" s="25">
        <v>0.85</v>
      </c>
      <c r="T675" s="22">
        <v>19.45</v>
      </c>
      <c r="U675" s="25">
        <v>63.56</v>
      </c>
      <c r="V675" s="25">
        <v>4.85</v>
      </c>
      <c r="W675" s="25">
        <v>24.75</v>
      </c>
      <c r="X675" s="25">
        <v>5.75</v>
      </c>
      <c r="Y675" s="78">
        <f t="shared" si="512"/>
        <v>0.04113291543</v>
      </c>
      <c r="Z675" s="25">
        <f t="shared" si="529"/>
        <v>1.045408</v>
      </c>
      <c r="AA675" s="25">
        <v>56.47</v>
      </c>
      <c r="AB675" s="25">
        <v>79.15</v>
      </c>
      <c r="AC675" s="32">
        <f t="shared" si="513"/>
        <v>9534.684911</v>
      </c>
      <c r="AD675" s="22" t="s">
        <v>51</v>
      </c>
      <c r="AF675" s="22">
        <v>46.67</v>
      </c>
      <c r="AK675" s="33">
        <f t="shared" si="514"/>
        <v>0.004285714286</v>
      </c>
      <c r="AL675" s="33">
        <f t="shared" si="515"/>
        <v>10.41489863</v>
      </c>
      <c r="AM675" s="33">
        <f t="shared" si="516"/>
        <v>10.41918435</v>
      </c>
      <c r="AO675" s="34">
        <f t="shared" si="517"/>
        <v>63.53385592</v>
      </c>
      <c r="AP675" s="34">
        <f t="shared" si="518"/>
        <v>4.848005054</v>
      </c>
      <c r="AQ675" s="34">
        <f t="shared" si="519"/>
        <v>24.7398196</v>
      </c>
      <c r="AR675" s="34">
        <f t="shared" si="520"/>
        <v>5.747634857</v>
      </c>
      <c r="AS675" s="34">
        <f t="shared" si="521"/>
        <v>0.04113291543</v>
      </c>
      <c r="AT675" s="35">
        <f t="shared" si="15"/>
        <v>98.91044835</v>
      </c>
      <c r="AV675" s="32">
        <f t="shared" si="522"/>
        <v>9530.763017</v>
      </c>
    </row>
    <row r="676" ht="14.25" customHeight="1">
      <c r="B676" s="73"/>
      <c r="C676" s="101" t="s">
        <v>46</v>
      </c>
      <c r="D676" s="74"/>
      <c r="E676" s="84" t="s">
        <v>75</v>
      </c>
      <c r="F676" s="75"/>
      <c r="G676" s="22">
        <v>44.18</v>
      </c>
      <c r="H676" s="22">
        <v>6.38</v>
      </c>
      <c r="I676" s="22">
        <v>49.32</v>
      </c>
      <c r="J676" s="22">
        <v>0.12</v>
      </c>
      <c r="K676" s="22">
        <v>0.0</v>
      </c>
      <c r="L676" s="22">
        <v>14.86</v>
      </c>
      <c r="M676" s="22">
        <v>76.86</v>
      </c>
      <c r="N676" s="22">
        <v>8.16</v>
      </c>
      <c r="O676" s="22">
        <v>0.12</v>
      </c>
      <c r="P676" s="76">
        <v>0.0</v>
      </c>
      <c r="Q676" s="22">
        <v>650.0</v>
      </c>
      <c r="R676" s="20" t="s">
        <v>126</v>
      </c>
      <c r="S676" s="25">
        <v>0.85</v>
      </c>
      <c r="T676" s="22">
        <v>19.45</v>
      </c>
      <c r="U676" s="25">
        <v>46.94</v>
      </c>
      <c r="V676" s="25">
        <v>14.18</v>
      </c>
      <c r="W676" s="25">
        <v>30.55</v>
      </c>
      <c r="X676" s="25">
        <v>6.81</v>
      </c>
      <c r="Y676" s="78">
        <f t="shared" si="512"/>
        <v>0.05996014601</v>
      </c>
      <c r="Z676" s="25">
        <f t="shared" si="529"/>
        <v>0.730016</v>
      </c>
      <c r="AA676" s="25">
        <v>39.4</v>
      </c>
      <c r="AB676" s="25">
        <v>76.13</v>
      </c>
      <c r="AC676" s="32">
        <f t="shared" si="513"/>
        <v>9299.023661</v>
      </c>
      <c r="AD676" s="22" t="s">
        <v>51</v>
      </c>
      <c r="AF676" s="22">
        <v>32.59</v>
      </c>
      <c r="AK676" s="33">
        <f t="shared" si="514"/>
        <v>0.004285714286</v>
      </c>
      <c r="AL676" s="33">
        <f t="shared" si="515"/>
        <v>7.143319105</v>
      </c>
      <c r="AM676" s="33">
        <f t="shared" si="516"/>
        <v>7.147604819</v>
      </c>
      <c r="AO676" s="34">
        <f t="shared" si="517"/>
        <v>46.91185471</v>
      </c>
      <c r="AP676" s="34">
        <f t="shared" si="518"/>
        <v>14.17149765</v>
      </c>
      <c r="AQ676" s="34">
        <f t="shared" si="519"/>
        <v>30.53168218</v>
      </c>
      <c r="AR676" s="34">
        <f t="shared" si="520"/>
        <v>6.805916714</v>
      </c>
      <c r="AS676" s="34">
        <f t="shared" si="521"/>
        <v>0.05996014601</v>
      </c>
      <c r="AT676" s="35">
        <f t="shared" si="15"/>
        <v>98.48091139</v>
      </c>
      <c r="AV676" s="32">
        <f t="shared" si="522"/>
        <v>9293.447953</v>
      </c>
    </row>
    <row r="677" ht="14.25" customHeight="1">
      <c r="B677" s="73"/>
      <c r="C677" s="101" t="s">
        <v>46</v>
      </c>
      <c r="D677" s="74"/>
      <c r="E677" s="84" t="s">
        <v>75</v>
      </c>
      <c r="F677" s="75"/>
      <c r="G677" s="22">
        <v>44.18</v>
      </c>
      <c r="H677" s="22">
        <v>6.38</v>
      </c>
      <c r="I677" s="22">
        <v>49.32</v>
      </c>
      <c r="J677" s="22">
        <v>0.12</v>
      </c>
      <c r="K677" s="22">
        <v>0.0</v>
      </c>
      <c r="L677" s="22">
        <v>14.86</v>
      </c>
      <c r="M677" s="22">
        <v>76.86</v>
      </c>
      <c r="N677" s="22">
        <v>8.16</v>
      </c>
      <c r="O677" s="22">
        <v>0.12</v>
      </c>
      <c r="P677" s="76">
        <v>0.0</v>
      </c>
      <c r="Q677" s="22">
        <v>750.0</v>
      </c>
      <c r="R677" s="20" t="s">
        <v>127</v>
      </c>
      <c r="S677" s="25">
        <v>0.85</v>
      </c>
      <c r="T677" s="22">
        <v>19.45</v>
      </c>
      <c r="U677" s="25">
        <v>38.03</v>
      </c>
      <c r="V677" s="25">
        <v>35.54</v>
      </c>
      <c r="W677" s="25">
        <v>12.16</v>
      </c>
      <c r="X677" s="25">
        <v>9.93</v>
      </c>
      <c r="Y677" s="78">
        <f t="shared" si="512"/>
        <v>0.06704032619</v>
      </c>
      <c r="Z677" s="25">
        <f t="shared" si="529"/>
        <v>0.71344</v>
      </c>
      <c r="AA677" s="25">
        <v>53.19</v>
      </c>
      <c r="AB677" s="25">
        <v>79.39</v>
      </c>
      <c r="AC677" s="32">
        <f t="shared" si="513"/>
        <v>12153.68357</v>
      </c>
      <c r="AD677" s="22" t="s">
        <v>51</v>
      </c>
      <c r="AF677" s="22">
        <v>31.85</v>
      </c>
      <c r="AK677" s="33">
        <f t="shared" si="514"/>
        <v>0.004285714286</v>
      </c>
      <c r="AL677" s="33">
        <f t="shared" si="515"/>
        <v>6.388455087</v>
      </c>
      <c r="AM677" s="33">
        <f t="shared" si="516"/>
        <v>6.392740801</v>
      </c>
      <c r="AO677" s="34">
        <f t="shared" si="517"/>
        <v>38.00450456</v>
      </c>
      <c r="AP677" s="34">
        <f t="shared" si="518"/>
        <v>35.51617387</v>
      </c>
      <c r="AQ677" s="34">
        <f t="shared" si="519"/>
        <v>12.1518479</v>
      </c>
      <c r="AR677" s="34">
        <f t="shared" si="520"/>
        <v>9.923342896</v>
      </c>
      <c r="AS677" s="34">
        <f t="shared" si="521"/>
        <v>0.06704032619</v>
      </c>
      <c r="AT677" s="35">
        <f t="shared" si="15"/>
        <v>95.66290955</v>
      </c>
      <c r="AV677" s="32">
        <f t="shared" si="522"/>
        <v>12145.5357</v>
      </c>
    </row>
    <row r="678" ht="14.25" customHeight="1">
      <c r="B678" s="73"/>
      <c r="C678" s="101" t="s">
        <v>46</v>
      </c>
      <c r="D678" s="74"/>
      <c r="E678" s="84" t="s">
        <v>75</v>
      </c>
      <c r="F678" s="75"/>
      <c r="G678" s="22">
        <v>44.18</v>
      </c>
      <c r="H678" s="22">
        <v>6.38</v>
      </c>
      <c r="I678" s="22">
        <v>49.32</v>
      </c>
      <c r="J678" s="22">
        <v>0.12</v>
      </c>
      <c r="K678" s="22">
        <v>0.0</v>
      </c>
      <c r="L678" s="22">
        <v>14.86</v>
      </c>
      <c r="M678" s="22">
        <v>76.86</v>
      </c>
      <c r="N678" s="22">
        <v>8.16</v>
      </c>
      <c r="O678" s="22">
        <v>0.12</v>
      </c>
      <c r="P678" s="76">
        <v>0.0</v>
      </c>
      <c r="Q678" s="22">
        <v>750.0</v>
      </c>
      <c r="R678" s="20" t="s">
        <v>125</v>
      </c>
      <c r="S678" s="25">
        <v>0.85</v>
      </c>
      <c r="T678" s="22">
        <v>19.45</v>
      </c>
      <c r="U678" s="25">
        <v>55.97</v>
      </c>
      <c r="V678" s="25">
        <v>7.71</v>
      </c>
      <c r="W678" s="25">
        <v>29.23</v>
      </c>
      <c r="X678" s="25">
        <v>5.72</v>
      </c>
      <c r="Y678" s="78">
        <f t="shared" si="512"/>
        <v>0.04963453834</v>
      </c>
      <c r="Z678" s="25">
        <f t="shared" si="529"/>
        <v>1.531936</v>
      </c>
      <c r="AA678" s="25">
        <v>79.61</v>
      </c>
      <c r="AB678" s="25">
        <v>96.95</v>
      </c>
      <c r="AC678" s="32">
        <f t="shared" si="513"/>
        <v>9065.884732</v>
      </c>
      <c r="AD678" s="22" t="s">
        <v>51</v>
      </c>
      <c r="AF678" s="22">
        <v>68.39</v>
      </c>
      <c r="AK678" s="33">
        <f t="shared" si="514"/>
        <v>0.004285714286</v>
      </c>
      <c r="AL678" s="33">
        <f t="shared" si="515"/>
        <v>8.630254727</v>
      </c>
      <c r="AM678" s="33">
        <f t="shared" si="516"/>
        <v>8.634540442</v>
      </c>
      <c r="AO678" s="34">
        <f t="shared" si="517"/>
        <v>55.94221955</v>
      </c>
      <c r="AP678" s="34">
        <f t="shared" si="518"/>
        <v>7.706173177</v>
      </c>
      <c r="AQ678" s="34">
        <f t="shared" si="519"/>
        <v>29.21549182</v>
      </c>
      <c r="AR678" s="34">
        <f t="shared" si="520"/>
        <v>5.717160904</v>
      </c>
      <c r="AS678" s="34">
        <f t="shared" si="521"/>
        <v>0.04963453834</v>
      </c>
      <c r="AT678" s="35">
        <f t="shared" si="15"/>
        <v>98.63067999</v>
      </c>
      <c r="AV678" s="32">
        <f t="shared" si="522"/>
        <v>9061.384922</v>
      </c>
    </row>
    <row r="679" ht="14.25" customHeight="1">
      <c r="B679" s="73"/>
      <c r="C679" s="101" t="s">
        <v>46</v>
      </c>
      <c r="D679" s="74"/>
      <c r="E679" s="84" t="s">
        <v>75</v>
      </c>
      <c r="F679" s="75"/>
      <c r="G679" s="22">
        <v>44.18</v>
      </c>
      <c r="H679" s="22">
        <v>6.38</v>
      </c>
      <c r="I679" s="22">
        <v>49.32</v>
      </c>
      <c r="J679" s="22">
        <v>0.12</v>
      </c>
      <c r="K679" s="22">
        <v>0.0</v>
      </c>
      <c r="L679" s="22">
        <v>14.86</v>
      </c>
      <c r="M679" s="22">
        <v>76.86</v>
      </c>
      <c r="N679" s="22">
        <v>8.16</v>
      </c>
      <c r="O679" s="22">
        <v>0.12</v>
      </c>
      <c r="P679" s="76">
        <v>0.0</v>
      </c>
      <c r="Q679" s="22">
        <v>750.0</v>
      </c>
      <c r="R679" s="20" t="s">
        <v>126</v>
      </c>
      <c r="S679" s="25">
        <v>0.85</v>
      </c>
      <c r="T679" s="22">
        <v>19.45</v>
      </c>
      <c r="U679" s="25">
        <v>48.26</v>
      </c>
      <c r="V679" s="25">
        <v>15.17</v>
      </c>
      <c r="W679" s="25">
        <v>27.14</v>
      </c>
      <c r="X679" s="25">
        <v>7.18</v>
      </c>
      <c r="Y679" s="78">
        <f t="shared" si="512"/>
        <v>0.05757660842</v>
      </c>
      <c r="Z679" s="25">
        <f t="shared" si="529"/>
        <v>1.18496</v>
      </c>
      <c r="AA679" s="25">
        <v>68.46</v>
      </c>
      <c r="AB679" s="25">
        <v>97.68</v>
      </c>
      <c r="AC679" s="32">
        <f t="shared" si="513"/>
        <v>9699.17625</v>
      </c>
      <c r="AD679" s="22" t="s">
        <v>51</v>
      </c>
      <c r="AF679" s="22">
        <v>52.9</v>
      </c>
      <c r="AK679" s="33">
        <f t="shared" si="514"/>
        <v>0.004285714286</v>
      </c>
      <c r="AL679" s="33">
        <f t="shared" si="515"/>
        <v>7.439213309</v>
      </c>
      <c r="AM679" s="33">
        <f t="shared" si="516"/>
        <v>7.443499023</v>
      </c>
      <c r="AO679" s="34">
        <f t="shared" si="517"/>
        <v>48.23221353</v>
      </c>
      <c r="AP679" s="34">
        <f t="shared" si="518"/>
        <v>15.16126563</v>
      </c>
      <c r="AQ679" s="34">
        <f t="shared" si="519"/>
        <v>27.12437371</v>
      </c>
      <c r="AR679" s="34">
        <f t="shared" si="520"/>
        <v>7.175866</v>
      </c>
      <c r="AS679" s="34">
        <f t="shared" si="521"/>
        <v>0.05757660842</v>
      </c>
      <c r="AT679" s="35">
        <f t="shared" si="15"/>
        <v>97.75129547</v>
      </c>
      <c r="AV679" s="32">
        <f t="shared" si="522"/>
        <v>9693.591793</v>
      </c>
    </row>
    <row r="680" ht="14.25" customHeight="1">
      <c r="B680" s="73"/>
      <c r="C680" s="101" t="s">
        <v>46</v>
      </c>
      <c r="D680" s="74"/>
      <c r="E680" s="84" t="s">
        <v>75</v>
      </c>
      <c r="F680" s="75"/>
      <c r="G680" s="22">
        <v>44.18</v>
      </c>
      <c r="H680" s="22">
        <v>6.38</v>
      </c>
      <c r="I680" s="22">
        <v>49.32</v>
      </c>
      <c r="J680" s="22">
        <v>0.12</v>
      </c>
      <c r="K680" s="22">
        <v>0.0</v>
      </c>
      <c r="L680" s="22">
        <v>14.86</v>
      </c>
      <c r="M680" s="22">
        <v>76.86</v>
      </c>
      <c r="N680" s="22">
        <v>8.16</v>
      </c>
      <c r="O680" s="22">
        <v>0.12</v>
      </c>
      <c r="P680" s="76">
        <v>0.0</v>
      </c>
      <c r="Q680" s="22">
        <v>750.0</v>
      </c>
      <c r="R680" s="20" t="s">
        <v>128</v>
      </c>
      <c r="S680" s="25">
        <v>0.85</v>
      </c>
      <c r="T680" s="22">
        <v>19.45</v>
      </c>
      <c r="U680" s="25">
        <v>55.68</v>
      </c>
      <c r="V680" s="25">
        <v>7.4</v>
      </c>
      <c r="W680" s="25">
        <v>29.57</v>
      </c>
      <c r="X680" s="25">
        <v>5.91</v>
      </c>
      <c r="Y680" s="78">
        <f t="shared" si="512"/>
        <v>0.04989037872</v>
      </c>
      <c r="Z680" s="25">
        <f t="shared" si="529"/>
        <v>1.488032</v>
      </c>
      <c r="AA680" s="25">
        <v>75.88</v>
      </c>
      <c r="AB680" s="25">
        <v>96.49</v>
      </c>
      <c r="AC680" s="32">
        <f t="shared" si="513"/>
        <v>9063.491875</v>
      </c>
      <c r="AD680" s="22" t="s">
        <v>51</v>
      </c>
      <c r="AF680" s="22">
        <v>66.43</v>
      </c>
      <c r="AK680" s="33">
        <f t="shared" si="514"/>
        <v>0.004285714286</v>
      </c>
      <c r="AL680" s="33">
        <f t="shared" si="515"/>
        <v>8.585976368</v>
      </c>
      <c r="AM680" s="33">
        <f t="shared" si="516"/>
        <v>8.590262082</v>
      </c>
      <c r="AO680" s="34">
        <f t="shared" si="517"/>
        <v>55.65222104</v>
      </c>
      <c r="AP680" s="34">
        <f t="shared" si="518"/>
        <v>7.396308112</v>
      </c>
      <c r="AQ680" s="34">
        <f t="shared" si="519"/>
        <v>29.55524742</v>
      </c>
      <c r="AR680" s="34">
        <f t="shared" si="520"/>
        <v>5.907051479</v>
      </c>
      <c r="AS680" s="34">
        <f t="shared" si="521"/>
        <v>0.04989037872</v>
      </c>
      <c r="AT680" s="35">
        <f t="shared" si="15"/>
        <v>98.56071842</v>
      </c>
      <c r="AV680" s="32">
        <f t="shared" si="522"/>
        <v>9058.970065</v>
      </c>
    </row>
    <row r="681" ht="14.25" customHeight="1">
      <c r="A681" s="18"/>
      <c r="B681" s="83" t="s">
        <v>129</v>
      </c>
      <c r="C681" s="100" t="s">
        <v>46</v>
      </c>
      <c r="D681" s="74" t="s">
        <v>130</v>
      </c>
      <c r="E681" s="84" t="s">
        <v>75</v>
      </c>
      <c r="F681" s="75" t="s">
        <v>131</v>
      </c>
      <c r="G681" s="22">
        <v>50.8</v>
      </c>
      <c r="H681" s="22">
        <v>5.4</v>
      </c>
      <c r="I681" s="22">
        <v>43.6</v>
      </c>
      <c r="J681" s="63">
        <f t="shared" ref="J681:J721" si="530">100-SUM(G681,H681,I681,K681)</f>
        <v>0.1938</v>
      </c>
      <c r="K681" s="22">
        <v>0.0062</v>
      </c>
      <c r="L681" s="22">
        <v>17.4</v>
      </c>
      <c r="M681" s="22">
        <v>75.9</v>
      </c>
      <c r="N681" s="22">
        <v>6.4</v>
      </c>
      <c r="O681" s="22">
        <v>0.3</v>
      </c>
      <c r="P681" s="76">
        <v>0.0</v>
      </c>
      <c r="Q681" s="25">
        <v>800.0</v>
      </c>
      <c r="R681" s="22" t="s">
        <v>51</v>
      </c>
      <c r="S681" s="25">
        <v>0.3</v>
      </c>
      <c r="T681" s="22" t="s">
        <v>51</v>
      </c>
      <c r="U681" s="25">
        <v>34.9432288160643</v>
      </c>
      <c r="V681" s="25">
        <v>27.8688760771124</v>
      </c>
      <c r="W681" s="25">
        <v>17.737945904054</v>
      </c>
      <c r="X681" s="25">
        <v>9.0044984735991</v>
      </c>
      <c r="Y681" s="78">
        <f t="shared" si="512"/>
        <v>0.0892089341</v>
      </c>
      <c r="Z681" s="22" t="s">
        <v>51</v>
      </c>
      <c r="AA681" s="22" t="s">
        <v>51</v>
      </c>
      <c r="AB681" s="22" t="s">
        <v>51</v>
      </c>
      <c r="AC681" s="32">
        <f t="shared" si="513"/>
        <v>10519.667</v>
      </c>
      <c r="AD681" s="22" t="s">
        <v>51</v>
      </c>
      <c r="AK681" s="33">
        <f t="shared" si="514"/>
        <v>0.006921428571</v>
      </c>
      <c r="AL681" s="33">
        <f t="shared" si="515"/>
        <v>7.751750549</v>
      </c>
      <c r="AM681" s="33">
        <f t="shared" si="516"/>
        <v>7.758671978</v>
      </c>
      <c r="AO681" s="34">
        <f t="shared" si="517"/>
        <v>34.91205633</v>
      </c>
      <c r="AP681" s="34">
        <f t="shared" si="518"/>
        <v>27.84401455</v>
      </c>
      <c r="AQ681" s="34">
        <f t="shared" si="519"/>
        <v>17.72212207</v>
      </c>
      <c r="AR681" s="34">
        <f t="shared" si="520"/>
        <v>8.996465656</v>
      </c>
      <c r="AS681" s="34">
        <f t="shared" si="521"/>
        <v>0.0892089341</v>
      </c>
      <c r="AT681" s="35">
        <f t="shared" si="15"/>
        <v>89.56386755</v>
      </c>
      <c r="AV681" s="32">
        <f t="shared" si="522"/>
        <v>10510.28252</v>
      </c>
    </row>
    <row r="682" ht="14.25" customHeight="1">
      <c r="B682" s="83"/>
      <c r="C682" s="100" t="s">
        <v>46</v>
      </c>
      <c r="D682" s="74"/>
      <c r="E682" s="84" t="s">
        <v>75</v>
      </c>
      <c r="F682" s="75"/>
      <c r="G682" s="22">
        <v>50.8</v>
      </c>
      <c r="H682" s="22">
        <v>5.4</v>
      </c>
      <c r="I682" s="22">
        <v>43.6</v>
      </c>
      <c r="J682" s="63">
        <f t="shared" si="530"/>
        <v>0.1938</v>
      </c>
      <c r="K682" s="22">
        <v>0.0062</v>
      </c>
      <c r="L682" s="22">
        <v>17.4</v>
      </c>
      <c r="M682" s="22">
        <v>75.9</v>
      </c>
      <c r="N682" s="22">
        <v>6.4</v>
      </c>
      <c r="O682" s="22">
        <v>0.3</v>
      </c>
      <c r="P682" s="76">
        <v>0.0</v>
      </c>
      <c r="Q682" s="25">
        <v>800.0</v>
      </c>
      <c r="R682" s="22" t="s">
        <v>51</v>
      </c>
      <c r="S682" s="25">
        <v>0.3</v>
      </c>
      <c r="T682" s="22" t="s">
        <v>51</v>
      </c>
      <c r="U682" s="25">
        <v>35.2083183260014</v>
      </c>
      <c r="V682" s="25">
        <v>30.0557651752069</v>
      </c>
      <c r="W682" s="25">
        <v>17.7410260295443</v>
      </c>
      <c r="X682" s="25">
        <v>9.44416154761402</v>
      </c>
      <c r="Y682" s="78">
        <f t="shared" si="512"/>
        <v>0.0935004867</v>
      </c>
      <c r="Z682" s="22" t="s">
        <v>51</v>
      </c>
      <c r="AA682" s="22" t="s">
        <v>51</v>
      </c>
      <c r="AB682" s="22" t="s">
        <v>51</v>
      </c>
      <c r="AC682" s="32">
        <f t="shared" si="513"/>
        <v>10982.11162</v>
      </c>
      <c r="AD682" s="22" t="s">
        <v>51</v>
      </c>
      <c r="AK682" s="33">
        <f t="shared" si="514"/>
        <v>0.006921428571</v>
      </c>
      <c r="AL682" s="33">
        <f t="shared" si="515"/>
        <v>7.395637441</v>
      </c>
      <c r="AM682" s="33">
        <f t="shared" si="516"/>
        <v>7.40255887</v>
      </c>
      <c r="AO682" s="34">
        <f t="shared" si="517"/>
        <v>35.17539838</v>
      </c>
      <c r="AP682" s="34">
        <f t="shared" si="518"/>
        <v>30.02766289</v>
      </c>
      <c r="AQ682" s="34">
        <f t="shared" si="519"/>
        <v>17.72443808</v>
      </c>
      <c r="AR682" s="34">
        <f t="shared" si="520"/>
        <v>9.435331211</v>
      </c>
      <c r="AS682" s="34">
        <f t="shared" si="521"/>
        <v>0.0935004867</v>
      </c>
      <c r="AT682" s="35">
        <f t="shared" si="15"/>
        <v>92.45633105</v>
      </c>
      <c r="AV682" s="32">
        <f t="shared" si="522"/>
        <v>10971.84329</v>
      </c>
    </row>
    <row r="683" ht="14.25" customHeight="1">
      <c r="B683" s="83"/>
      <c r="C683" s="100" t="s">
        <v>46</v>
      </c>
      <c r="D683" s="74"/>
      <c r="E683" s="84" t="s">
        <v>75</v>
      </c>
      <c r="F683" s="75"/>
      <c r="G683" s="22">
        <v>50.8</v>
      </c>
      <c r="H683" s="22">
        <v>5.4</v>
      </c>
      <c r="I683" s="22">
        <v>43.6</v>
      </c>
      <c r="J683" s="63">
        <f t="shared" si="530"/>
        <v>0.1938</v>
      </c>
      <c r="K683" s="22">
        <v>0.0062</v>
      </c>
      <c r="L683" s="22">
        <v>17.4</v>
      </c>
      <c r="M683" s="22">
        <v>75.9</v>
      </c>
      <c r="N683" s="22">
        <v>6.4</v>
      </c>
      <c r="O683" s="22">
        <v>0.3</v>
      </c>
      <c r="P683" s="76">
        <v>0.0</v>
      </c>
      <c r="Q683" s="25">
        <v>800.0</v>
      </c>
      <c r="R683" s="22" t="s">
        <v>51</v>
      </c>
      <c r="S683" s="25">
        <v>0.3</v>
      </c>
      <c r="T683" s="22" t="s">
        <v>51</v>
      </c>
      <c r="U683" s="25">
        <v>34.9491903492713</v>
      </c>
      <c r="V683" s="25">
        <v>30.7570401981216</v>
      </c>
      <c r="W683" s="25">
        <v>17.4815999761538</v>
      </c>
      <c r="X683" s="25">
        <v>9.70905233977758</v>
      </c>
      <c r="Y683" s="78">
        <f t="shared" si="512"/>
        <v>0.09465382117</v>
      </c>
      <c r="Z683" s="22" t="s">
        <v>51</v>
      </c>
      <c r="AA683" s="22" t="s">
        <v>51</v>
      </c>
      <c r="AB683" s="22" t="s">
        <v>51</v>
      </c>
      <c r="AC683" s="32">
        <f t="shared" si="513"/>
        <v>11137.64963</v>
      </c>
      <c r="AD683" s="22" t="s">
        <v>51</v>
      </c>
      <c r="AK683" s="33">
        <f t="shared" si="514"/>
        <v>0.006921428571</v>
      </c>
      <c r="AL683" s="33">
        <f t="shared" si="515"/>
        <v>7.305439008</v>
      </c>
      <c r="AM683" s="33">
        <f t="shared" si="516"/>
        <v>7.312360437</v>
      </c>
      <c r="AO683" s="34">
        <f t="shared" si="517"/>
        <v>34.91610961</v>
      </c>
      <c r="AP683" s="34">
        <f t="shared" si="518"/>
        <v>30.72792748</v>
      </c>
      <c r="AQ683" s="34">
        <f t="shared" si="519"/>
        <v>17.46505297</v>
      </c>
      <c r="AR683" s="34">
        <f t="shared" si="520"/>
        <v>9.699862351</v>
      </c>
      <c r="AS683" s="34">
        <f t="shared" si="521"/>
        <v>0.09465382117</v>
      </c>
      <c r="AT683" s="35">
        <f t="shared" si="15"/>
        <v>92.90360624</v>
      </c>
      <c r="AV683" s="32">
        <f t="shared" si="522"/>
        <v>11127.10742</v>
      </c>
    </row>
    <row r="684" ht="14.25" customHeight="1">
      <c r="B684" s="83"/>
      <c r="C684" s="100" t="s">
        <v>46</v>
      </c>
      <c r="D684" s="74"/>
      <c r="E684" s="84" t="s">
        <v>75</v>
      </c>
      <c r="F684" s="75"/>
      <c r="G684" s="22">
        <v>50.8</v>
      </c>
      <c r="H684" s="22">
        <v>5.4</v>
      </c>
      <c r="I684" s="22">
        <v>43.6</v>
      </c>
      <c r="J684" s="63">
        <f t="shared" si="530"/>
        <v>0.1938</v>
      </c>
      <c r="K684" s="22">
        <v>0.0062</v>
      </c>
      <c r="L684" s="22">
        <v>17.4</v>
      </c>
      <c r="M684" s="22">
        <v>75.9</v>
      </c>
      <c r="N684" s="22">
        <v>6.4</v>
      </c>
      <c r="O684" s="22">
        <v>0.3</v>
      </c>
      <c r="P684" s="76">
        <v>0.0</v>
      </c>
      <c r="Q684" s="25">
        <v>800.0</v>
      </c>
      <c r="R684" s="22" t="s">
        <v>51</v>
      </c>
      <c r="S684" s="25">
        <v>0.3</v>
      </c>
      <c r="T684" s="22" t="s">
        <v>51</v>
      </c>
      <c r="U684" s="25">
        <v>34.6027259110589</v>
      </c>
      <c r="V684" s="25">
        <v>31.4587126565833</v>
      </c>
      <c r="W684" s="25">
        <v>16.7859884097858</v>
      </c>
      <c r="X684" s="25">
        <v>9.97374441416758</v>
      </c>
      <c r="Y684" s="78">
        <f t="shared" si="512"/>
        <v>0.09509565813</v>
      </c>
      <c r="Z684" s="22" t="s">
        <v>51</v>
      </c>
      <c r="AA684" s="22" t="s">
        <v>51</v>
      </c>
      <c r="AB684" s="22" t="s">
        <v>51</v>
      </c>
      <c r="AC684" s="32">
        <f t="shared" si="513"/>
        <v>11283.73822</v>
      </c>
      <c r="AD684" s="22" t="s">
        <v>51</v>
      </c>
      <c r="AK684" s="33">
        <f t="shared" si="514"/>
        <v>0.006921428571</v>
      </c>
      <c r="AL684" s="33">
        <f t="shared" si="515"/>
        <v>7.27146405</v>
      </c>
      <c r="AM684" s="33">
        <f t="shared" si="516"/>
        <v>7.278385478</v>
      </c>
      <c r="AO684" s="34">
        <f t="shared" si="517"/>
        <v>34.56982022</v>
      </c>
      <c r="AP684" s="34">
        <f t="shared" si="518"/>
        <v>31.42879679</v>
      </c>
      <c r="AQ684" s="34">
        <f t="shared" si="519"/>
        <v>16.77002566</v>
      </c>
      <c r="AR684" s="34">
        <f t="shared" si="520"/>
        <v>9.964259816</v>
      </c>
      <c r="AS684" s="34">
        <f t="shared" si="521"/>
        <v>0.09509565813</v>
      </c>
      <c r="AT684" s="35">
        <f t="shared" si="15"/>
        <v>92.82799815</v>
      </c>
      <c r="AV684" s="32">
        <f t="shared" si="522"/>
        <v>11273.00787</v>
      </c>
    </row>
    <row r="685" ht="14.25" customHeight="1">
      <c r="B685" s="83"/>
      <c r="C685" s="100" t="s">
        <v>46</v>
      </c>
      <c r="D685" s="74"/>
      <c r="E685" s="84" t="s">
        <v>75</v>
      </c>
      <c r="F685" s="75"/>
      <c r="G685" s="22">
        <v>50.8</v>
      </c>
      <c r="H685" s="22">
        <v>5.4</v>
      </c>
      <c r="I685" s="22">
        <v>43.6</v>
      </c>
      <c r="J685" s="63">
        <f t="shared" si="530"/>
        <v>0.1938</v>
      </c>
      <c r="K685" s="22">
        <v>0.0062</v>
      </c>
      <c r="L685" s="22">
        <v>17.4</v>
      </c>
      <c r="M685" s="22">
        <v>75.9</v>
      </c>
      <c r="N685" s="22">
        <v>6.4</v>
      </c>
      <c r="O685" s="22">
        <v>0.3</v>
      </c>
      <c r="P685" s="76">
        <v>0.0</v>
      </c>
      <c r="Q685" s="25">
        <v>800.0</v>
      </c>
      <c r="R685" s="22" t="s">
        <v>51</v>
      </c>
      <c r="S685" s="25">
        <v>0.3</v>
      </c>
      <c r="T685" s="22" t="s">
        <v>51</v>
      </c>
      <c r="U685" s="25">
        <v>35.6537442154498</v>
      </c>
      <c r="V685" s="25">
        <v>30.3262200650303</v>
      </c>
      <c r="W685" s="25">
        <v>17.4005231245389</v>
      </c>
      <c r="X685" s="25">
        <v>9.8020522578065</v>
      </c>
      <c r="Y685" s="78">
        <f t="shared" si="512"/>
        <v>0.09397022279</v>
      </c>
      <c r="Z685" s="22" t="s">
        <v>51</v>
      </c>
      <c r="AA685" s="22" t="s">
        <v>51</v>
      </c>
      <c r="AB685" s="22" t="s">
        <v>51</v>
      </c>
      <c r="AC685" s="32">
        <f t="shared" si="513"/>
        <v>11192.60352</v>
      </c>
      <c r="AD685" s="22" t="s">
        <v>51</v>
      </c>
      <c r="AK685" s="33">
        <f t="shared" si="514"/>
        <v>0.006921428571</v>
      </c>
      <c r="AL685" s="33">
        <f t="shared" si="515"/>
        <v>7.358633708</v>
      </c>
      <c r="AM685" s="33">
        <f t="shared" si="516"/>
        <v>7.365555136</v>
      </c>
      <c r="AO685" s="34">
        <f t="shared" si="517"/>
        <v>35.62024031</v>
      </c>
      <c r="AP685" s="34">
        <f t="shared" si="518"/>
        <v>30.29772245</v>
      </c>
      <c r="AQ685" s="34">
        <f t="shared" si="519"/>
        <v>17.38417181</v>
      </c>
      <c r="AR685" s="34">
        <f t="shared" si="520"/>
        <v>9.792841247</v>
      </c>
      <c r="AS685" s="34">
        <f t="shared" si="521"/>
        <v>0.09397022279</v>
      </c>
      <c r="AT685" s="35">
        <f t="shared" si="15"/>
        <v>93.18894605</v>
      </c>
      <c r="AV685" s="32">
        <f t="shared" si="522"/>
        <v>11182.08581</v>
      </c>
    </row>
    <row r="686" ht="14.25" customHeight="1">
      <c r="B686" s="83"/>
      <c r="C686" s="100" t="s">
        <v>46</v>
      </c>
      <c r="D686" s="74"/>
      <c r="E686" s="84" t="s">
        <v>75</v>
      </c>
      <c r="F686" s="75"/>
      <c r="G686" s="22">
        <v>50.8</v>
      </c>
      <c r="H686" s="22">
        <v>5.4</v>
      </c>
      <c r="I686" s="22">
        <v>43.6</v>
      </c>
      <c r="J686" s="63">
        <f t="shared" si="530"/>
        <v>0.1938</v>
      </c>
      <c r="K686" s="22">
        <v>0.0062</v>
      </c>
      <c r="L686" s="22">
        <v>17.4</v>
      </c>
      <c r="M686" s="22">
        <v>75.9</v>
      </c>
      <c r="N686" s="22">
        <v>6.4</v>
      </c>
      <c r="O686" s="22">
        <v>0.3</v>
      </c>
      <c r="P686" s="76">
        <v>0.0</v>
      </c>
      <c r="Q686" s="25">
        <v>800.0</v>
      </c>
      <c r="R686" s="22" t="s">
        <v>51</v>
      </c>
      <c r="S686" s="25">
        <v>0.3</v>
      </c>
      <c r="T686" s="22" t="s">
        <v>51</v>
      </c>
      <c r="U686" s="25">
        <v>36.3551185972512</v>
      </c>
      <c r="V686" s="25">
        <v>29.4557368579242</v>
      </c>
      <c r="W686" s="25">
        <v>17.7524523015244</v>
      </c>
      <c r="X686" s="25">
        <v>9.36845007588534</v>
      </c>
      <c r="Y686" s="78">
        <f t="shared" si="512"/>
        <v>0.09241636369</v>
      </c>
      <c r="Z686" s="22" t="s">
        <v>51</v>
      </c>
      <c r="AA686" s="22" t="s">
        <v>51</v>
      </c>
      <c r="AB686" s="22" t="s">
        <v>51</v>
      </c>
      <c r="AC686" s="32">
        <f t="shared" si="513"/>
        <v>11002.97933</v>
      </c>
      <c r="AD686" s="22" t="s">
        <v>51</v>
      </c>
      <c r="AK686" s="33">
        <f t="shared" si="514"/>
        <v>0.006921428571</v>
      </c>
      <c r="AL686" s="33">
        <f t="shared" si="515"/>
        <v>7.48247579</v>
      </c>
      <c r="AM686" s="33">
        <f t="shared" si="516"/>
        <v>7.489397218</v>
      </c>
      <c r="AO686" s="34">
        <f t="shared" si="517"/>
        <v>36.32152052</v>
      </c>
      <c r="AP686" s="34">
        <f t="shared" si="518"/>
        <v>29.42851494</v>
      </c>
      <c r="AQ686" s="34">
        <f t="shared" si="519"/>
        <v>17.73604613</v>
      </c>
      <c r="AR686" s="34">
        <f t="shared" si="520"/>
        <v>9.359792095</v>
      </c>
      <c r="AS686" s="34">
        <f t="shared" si="521"/>
        <v>0.09241636369</v>
      </c>
      <c r="AT686" s="35">
        <f t="shared" si="15"/>
        <v>92.93829004</v>
      </c>
      <c r="AV686" s="32">
        <f t="shared" si="522"/>
        <v>10992.81078</v>
      </c>
    </row>
    <row r="687" ht="14.25" customHeight="1">
      <c r="B687" s="83"/>
      <c r="C687" s="100" t="s">
        <v>46</v>
      </c>
      <c r="D687" s="74"/>
      <c r="E687" s="84" t="s">
        <v>75</v>
      </c>
      <c r="F687" s="75"/>
      <c r="G687" s="22">
        <v>50.8</v>
      </c>
      <c r="H687" s="22">
        <v>5.4</v>
      </c>
      <c r="I687" s="22">
        <v>43.6</v>
      </c>
      <c r="J687" s="63">
        <f t="shared" si="530"/>
        <v>0.1938</v>
      </c>
      <c r="K687" s="22">
        <v>0.0062</v>
      </c>
      <c r="L687" s="22">
        <v>17.4</v>
      </c>
      <c r="M687" s="22">
        <v>75.9</v>
      </c>
      <c r="N687" s="22">
        <v>6.4</v>
      </c>
      <c r="O687" s="22">
        <v>0.3</v>
      </c>
      <c r="P687" s="76">
        <v>0.0</v>
      </c>
      <c r="Q687" s="25">
        <v>800.0</v>
      </c>
      <c r="R687" s="22" t="s">
        <v>51</v>
      </c>
      <c r="S687" s="25">
        <v>0.3</v>
      </c>
      <c r="T687" s="22" t="s">
        <v>51</v>
      </c>
      <c r="U687" s="25">
        <v>35.484635390145</v>
      </c>
      <c r="V687" s="25">
        <v>30.331883521577</v>
      </c>
      <c r="W687" s="25">
        <v>17.6681959655323</v>
      </c>
      <c r="X687" s="25">
        <v>9.45856858619756</v>
      </c>
      <c r="Y687" s="78">
        <f t="shared" si="512"/>
        <v>0.09385574834</v>
      </c>
      <c r="Z687" s="22" t="s">
        <v>51</v>
      </c>
      <c r="AA687" s="22" t="s">
        <v>51</v>
      </c>
      <c r="AB687" s="22" t="s">
        <v>51</v>
      </c>
      <c r="AC687" s="32">
        <f t="shared" si="513"/>
        <v>11051.98834</v>
      </c>
      <c r="AD687" s="22" t="s">
        <v>51</v>
      </c>
      <c r="AK687" s="33">
        <f t="shared" si="514"/>
        <v>0.006921428571</v>
      </c>
      <c r="AL687" s="33">
        <f t="shared" si="515"/>
        <v>7.367617365</v>
      </c>
      <c r="AM687" s="33">
        <f t="shared" si="516"/>
        <v>7.374538794</v>
      </c>
      <c r="AO687" s="34">
        <f t="shared" si="517"/>
        <v>35.45133102</v>
      </c>
      <c r="AP687" s="34">
        <f t="shared" si="518"/>
        <v>30.30341531</v>
      </c>
      <c r="AQ687" s="34">
        <f t="shared" si="519"/>
        <v>17.65161335</v>
      </c>
      <c r="AR687" s="34">
        <f t="shared" si="520"/>
        <v>9.449691176</v>
      </c>
      <c r="AS687" s="34">
        <f t="shared" si="521"/>
        <v>0.09385574834</v>
      </c>
      <c r="AT687" s="35">
        <f t="shared" si="15"/>
        <v>92.9499066</v>
      </c>
      <c r="AV687" s="32">
        <f t="shared" si="522"/>
        <v>11041.61542</v>
      </c>
    </row>
    <row r="688" ht="14.25" customHeight="1">
      <c r="B688" s="83"/>
      <c r="C688" s="100" t="s">
        <v>46</v>
      </c>
      <c r="D688" s="74"/>
      <c r="E688" s="84" t="s">
        <v>75</v>
      </c>
      <c r="F688" s="75"/>
      <c r="G688" s="22">
        <v>50.8</v>
      </c>
      <c r="H688" s="22">
        <v>5.4</v>
      </c>
      <c r="I688" s="22">
        <v>43.6</v>
      </c>
      <c r="J688" s="63">
        <f t="shared" si="530"/>
        <v>0.1938</v>
      </c>
      <c r="K688" s="22">
        <v>0.0062</v>
      </c>
      <c r="L688" s="22">
        <v>17.4</v>
      </c>
      <c r="M688" s="22">
        <v>75.9</v>
      </c>
      <c r="N688" s="22">
        <v>6.4</v>
      </c>
      <c r="O688" s="22">
        <v>0.3</v>
      </c>
      <c r="P688" s="76">
        <v>0.0</v>
      </c>
      <c r="Q688" s="25">
        <v>800.0</v>
      </c>
      <c r="R688" s="22" t="s">
        <v>51</v>
      </c>
      <c r="S688" s="25">
        <v>0.3</v>
      </c>
      <c r="T688" s="22" t="s">
        <v>51</v>
      </c>
      <c r="U688" s="25">
        <v>35.0512319259975</v>
      </c>
      <c r="V688" s="25">
        <v>30.7714472367051</v>
      </c>
      <c r="W688" s="25">
        <v>17.4092667065758</v>
      </c>
      <c r="X688" s="25">
        <v>9.72355873724791</v>
      </c>
      <c r="Y688" s="78">
        <f t="shared" si="512"/>
        <v>0.09458296475</v>
      </c>
      <c r="Z688" s="22" t="s">
        <v>51</v>
      </c>
      <c r="AA688" s="22" t="s">
        <v>51</v>
      </c>
      <c r="AB688" s="22" t="s">
        <v>51</v>
      </c>
      <c r="AC688" s="32">
        <f t="shared" si="513"/>
        <v>11155.68357</v>
      </c>
      <c r="AD688" s="22" t="s">
        <v>51</v>
      </c>
      <c r="AK688" s="33">
        <f t="shared" si="514"/>
        <v>0.006921428571</v>
      </c>
      <c r="AL688" s="33">
        <f t="shared" si="515"/>
        <v>7.310917031</v>
      </c>
      <c r="AM688" s="33">
        <f t="shared" si="516"/>
        <v>7.31783846</v>
      </c>
      <c r="AO688" s="34">
        <f t="shared" si="517"/>
        <v>35.01807943</v>
      </c>
      <c r="AP688" s="34">
        <f t="shared" si="518"/>
        <v>30.74234269</v>
      </c>
      <c r="AQ688" s="34">
        <f t="shared" si="519"/>
        <v>17.39280051</v>
      </c>
      <c r="AR688" s="34">
        <f t="shared" si="520"/>
        <v>9.714361907</v>
      </c>
      <c r="AS688" s="34">
        <f t="shared" si="521"/>
        <v>0.09458296475</v>
      </c>
      <c r="AT688" s="35">
        <f t="shared" si="15"/>
        <v>92.9621675</v>
      </c>
      <c r="AV688" s="32">
        <f t="shared" si="522"/>
        <v>11145.13219</v>
      </c>
    </row>
    <row r="689" ht="14.25" customHeight="1">
      <c r="B689" s="83"/>
      <c r="C689" s="100" t="s">
        <v>46</v>
      </c>
      <c r="D689" s="74"/>
      <c r="E689" s="84" t="s">
        <v>75</v>
      </c>
      <c r="F689" s="75"/>
      <c r="G689" s="22">
        <v>50.8</v>
      </c>
      <c r="H689" s="22">
        <v>5.4</v>
      </c>
      <c r="I689" s="22">
        <v>43.6</v>
      </c>
      <c r="J689" s="63">
        <f t="shared" si="530"/>
        <v>0.1938</v>
      </c>
      <c r="K689" s="22">
        <v>0.0062</v>
      </c>
      <c r="L689" s="22">
        <v>17.4</v>
      </c>
      <c r="M689" s="22">
        <v>75.9</v>
      </c>
      <c r="N689" s="22">
        <v>6.4</v>
      </c>
      <c r="O689" s="22">
        <v>0.3</v>
      </c>
      <c r="P689" s="76">
        <v>0.0</v>
      </c>
      <c r="Q689" s="25">
        <v>800.0</v>
      </c>
      <c r="R689" s="22" t="s">
        <v>51</v>
      </c>
      <c r="S689" s="25">
        <v>0.3</v>
      </c>
      <c r="T689" s="22" t="s">
        <v>51</v>
      </c>
      <c r="U689" s="25">
        <v>35.0541133337142</v>
      </c>
      <c r="V689" s="25">
        <v>30.8617644647909</v>
      </c>
      <c r="W689" s="25">
        <v>17.4120487554057</v>
      </c>
      <c r="X689" s="25">
        <v>9.81357788867333</v>
      </c>
      <c r="Y689" s="78">
        <f t="shared" si="512"/>
        <v>0.09488179331</v>
      </c>
      <c r="Z689" s="22" t="s">
        <v>51</v>
      </c>
      <c r="AA689" s="22" t="s">
        <v>51</v>
      </c>
      <c r="AB689" s="22" t="s">
        <v>51</v>
      </c>
      <c r="AC689" s="32">
        <f t="shared" si="513"/>
        <v>11199.66023</v>
      </c>
      <c r="AD689" s="22" t="s">
        <v>51</v>
      </c>
      <c r="AK689" s="33">
        <f t="shared" si="514"/>
        <v>0.006921428571</v>
      </c>
      <c r="AL689" s="33">
        <f t="shared" si="515"/>
        <v>7.287869626</v>
      </c>
      <c r="AM689" s="33">
        <f t="shared" si="516"/>
        <v>7.294791055</v>
      </c>
      <c r="AO689" s="34">
        <f t="shared" si="517"/>
        <v>35.02085336</v>
      </c>
      <c r="AP689" s="34">
        <f t="shared" si="518"/>
        <v>30.83248227</v>
      </c>
      <c r="AQ689" s="34">
        <f t="shared" si="519"/>
        <v>17.39552789</v>
      </c>
      <c r="AR689" s="34">
        <f t="shared" si="520"/>
        <v>9.80426659</v>
      </c>
      <c r="AS689" s="34">
        <f t="shared" si="521"/>
        <v>0.09488179331</v>
      </c>
      <c r="AT689" s="35">
        <f t="shared" si="15"/>
        <v>93.14801191</v>
      </c>
      <c r="AV689" s="32">
        <f t="shared" si="522"/>
        <v>11189.03379</v>
      </c>
    </row>
    <row r="690" ht="14.25" customHeight="1">
      <c r="B690" s="83"/>
      <c r="C690" s="100" t="s">
        <v>46</v>
      </c>
      <c r="D690" s="74"/>
      <c r="E690" s="84" t="s">
        <v>75</v>
      </c>
      <c r="F690" s="75"/>
      <c r="G690" s="22">
        <v>50.8</v>
      </c>
      <c r="H690" s="22">
        <v>5.4</v>
      </c>
      <c r="I690" s="22">
        <v>43.6</v>
      </c>
      <c r="J690" s="63">
        <f t="shared" si="530"/>
        <v>0.1938</v>
      </c>
      <c r="K690" s="22">
        <v>0.0062</v>
      </c>
      <c r="L690" s="22">
        <v>17.4</v>
      </c>
      <c r="M690" s="22">
        <v>75.9</v>
      </c>
      <c r="N690" s="22">
        <v>6.4</v>
      </c>
      <c r="O690" s="22">
        <v>0.3</v>
      </c>
      <c r="P690" s="76">
        <v>0.0</v>
      </c>
      <c r="Q690" s="25">
        <v>800.0</v>
      </c>
      <c r="R690" s="22" t="s">
        <v>51</v>
      </c>
      <c r="S690" s="25">
        <v>0.3</v>
      </c>
      <c r="T690" s="22" t="s">
        <v>51</v>
      </c>
      <c r="U690" s="25">
        <v>36.1047342025579</v>
      </c>
      <c r="V690" s="25">
        <v>29.816707693607</v>
      </c>
      <c r="W690" s="25">
        <v>17.851513111647</v>
      </c>
      <c r="X690" s="25">
        <v>9.4671134504609</v>
      </c>
      <c r="Y690" s="78">
        <f t="shared" si="512"/>
        <v>0.09332812472</v>
      </c>
      <c r="Z690" s="22" t="s">
        <v>51</v>
      </c>
      <c r="AA690" s="22" t="s">
        <v>51</v>
      </c>
      <c r="AB690" s="22" t="s">
        <v>51</v>
      </c>
      <c r="AC690" s="32">
        <f t="shared" si="513"/>
        <v>11056.90612</v>
      </c>
      <c r="AD690" s="22" t="s">
        <v>51</v>
      </c>
      <c r="AK690" s="33">
        <f t="shared" si="514"/>
        <v>0.006921428571</v>
      </c>
      <c r="AL690" s="33">
        <f t="shared" si="515"/>
        <v>7.409308773</v>
      </c>
      <c r="AM690" s="33">
        <f t="shared" si="516"/>
        <v>7.416230201</v>
      </c>
      <c r="AO690" s="34">
        <f t="shared" si="517"/>
        <v>36.07103833</v>
      </c>
      <c r="AP690" s="34">
        <f t="shared" si="518"/>
        <v>29.78888032</v>
      </c>
      <c r="AQ690" s="34">
        <f t="shared" si="519"/>
        <v>17.83485263</v>
      </c>
      <c r="AR690" s="34">
        <f t="shared" si="520"/>
        <v>9.458277971</v>
      </c>
      <c r="AS690" s="34">
        <f t="shared" si="521"/>
        <v>0.09332812472</v>
      </c>
      <c r="AT690" s="35">
        <f t="shared" si="15"/>
        <v>93.24637738</v>
      </c>
      <c r="AV690" s="32">
        <f t="shared" si="522"/>
        <v>11046.58691</v>
      </c>
    </row>
    <row r="691" ht="14.25" customHeight="1">
      <c r="B691" s="83"/>
      <c r="C691" s="100" t="s">
        <v>46</v>
      </c>
      <c r="D691" s="74"/>
      <c r="E691" s="84" t="s">
        <v>75</v>
      </c>
      <c r="F691" s="75"/>
      <c r="G691" s="22">
        <v>50.8</v>
      </c>
      <c r="H691" s="22">
        <v>5.4</v>
      </c>
      <c r="I691" s="22">
        <v>43.6</v>
      </c>
      <c r="J691" s="63">
        <f t="shared" si="530"/>
        <v>0.1938</v>
      </c>
      <c r="K691" s="22">
        <v>0.0062</v>
      </c>
      <c r="L691" s="22">
        <v>17.4</v>
      </c>
      <c r="M691" s="22">
        <v>75.9</v>
      </c>
      <c r="N691" s="22">
        <v>6.4</v>
      </c>
      <c r="O691" s="22">
        <v>0.3</v>
      </c>
      <c r="P691" s="76">
        <v>0.0</v>
      </c>
      <c r="Q691" s="25">
        <v>800.0</v>
      </c>
      <c r="R691" s="22" t="s">
        <v>51</v>
      </c>
      <c r="S691" s="25">
        <v>0.3</v>
      </c>
      <c r="T691" s="22" t="s">
        <v>51</v>
      </c>
      <c r="U691" s="25">
        <v>35.2343503543386</v>
      </c>
      <c r="V691" s="25">
        <v>30.0814991268837</v>
      </c>
      <c r="W691" s="25">
        <v>17.5926832115772</v>
      </c>
      <c r="X691" s="25">
        <v>9.55743067854667</v>
      </c>
      <c r="Y691" s="78">
        <f t="shared" si="512"/>
        <v>0.09348524493</v>
      </c>
      <c r="Z691" s="22" t="s">
        <v>51</v>
      </c>
      <c r="AA691" s="22" t="s">
        <v>51</v>
      </c>
      <c r="AB691" s="22" t="s">
        <v>51</v>
      </c>
      <c r="AC691" s="32">
        <f t="shared" si="513"/>
        <v>11028.75887</v>
      </c>
      <c r="AD691" s="22" t="s">
        <v>51</v>
      </c>
      <c r="AK691" s="33">
        <f t="shared" si="514"/>
        <v>0.006921428571</v>
      </c>
      <c r="AL691" s="33">
        <f t="shared" si="515"/>
        <v>7.396844349</v>
      </c>
      <c r="AM691" s="33">
        <f t="shared" si="516"/>
        <v>7.403765778</v>
      </c>
      <c r="AO691" s="34">
        <f t="shared" si="517"/>
        <v>35.20141144</v>
      </c>
      <c r="AP691" s="34">
        <f t="shared" si="518"/>
        <v>30.05337736</v>
      </c>
      <c r="AQ691" s="34">
        <f t="shared" si="519"/>
        <v>17.57623665</v>
      </c>
      <c r="AR691" s="34">
        <f t="shared" si="520"/>
        <v>9.548495891</v>
      </c>
      <c r="AS691" s="34">
        <f t="shared" si="521"/>
        <v>0.09348524493</v>
      </c>
      <c r="AT691" s="35">
        <f t="shared" si="15"/>
        <v>92.47300658</v>
      </c>
      <c r="AV691" s="32">
        <f t="shared" si="522"/>
        <v>11018.44861</v>
      </c>
    </row>
    <row r="692" ht="14.25" customHeight="1">
      <c r="B692" s="83"/>
      <c r="C692" s="100" t="s">
        <v>46</v>
      </c>
      <c r="D692" s="74"/>
      <c r="E692" s="84" t="s">
        <v>75</v>
      </c>
      <c r="F692" s="75"/>
      <c r="G692" s="22">
        <v>50.8</v>
      </c>
      <c r="H692" s="22">
        <v>5.4</v>
      </c>
      <c r="I692" s="22">
        <v>43.6</v>
      </c>
      <c r="J692" s="63">
        <f t="shared" si="530"/>
        <v>0.1938</v>
      </c>
      <c r="K692" s="22">
        <v>0.0062</v>
      </c>
      <c r="L692" s="22">
        <v>17.4</v>
      </c>
      <c r="M692" s="22">
        <v>75.9</v>
      </c>
      <c r="N692" s="22">
        <v>6.4</v>
      </c>
      <c r="O692" s="22">
        <v>0.3</v>
      </c>
      <c r="P692" s="76">
        <v>0.0</v>
      </c>
      <c r="Q692" s="25">
        <v>800.0</v>
      </c>
      <c r="R692" s="22" t="s">
        <v>51</v>
      </c>
      <c r="S692" s="25">
        <v>0.3</v>
      </c>
      <c r="T692" s="22" t="s">
        <v>51</v>
      </c>
      <c r="U692" s="25">
        <v>35.3248663001979</v>
      </c>
      <c r="V692" s="25">
        <v>30.1715182783092</v>
      </c>
      <c r="W692" s="25">
        <v>17.857474644854</v>
      </c>
      <c r="X692" s="25">
        <v>9.38583788107237</v>
      </c>
      <c r="Y692" s="78">
        <f t="shared" si="512"/>
        <v>0.0937842422</v>
      </c>
      <c r="Z692" s="22" t="s">
        <v>51</v>
      </c>
      <c r="AA692" s="22" t="s">
        <v>51</v>
      </c>
      <c r="AB692" s="22" t="s">
        <v>51</v>
      </c>
      <c r="AC692" s="32">
        <f t="shared" si="513"/>
        <v>10988.41966</v>
      </c>
      <c r="AD692" s="22" t="s">
        <v>51</v>
      </c>
      <c r="AK692" s="33">
        <f t="shared" si="514"/>
        <v>0.006921428571</v>
      </c>
      <c r="AL692" s="33">
        <f t="shared" si="515"/>
        <v>7.373240109</v>
      </c>
      <c r="AM692" s="33">
        <f t="shared" si="516"/>
        <v>7.380161538</v>
      </c>
      <c r="AO692" s="34">
        <f t="shared" si="517"/>
        <v>35.29173714</v>
      </c>
      <c r="AP692" s="34">
        <f t="shared" si="518"/>
        <v>30.14322215</v>
      </c>
      <c r="AQ692" s="34">
        <f t="shared" si="519"/>
        <v>17.84072715</v>
      </c>
      <c r="AR692" s="34">
        <f t="shared" si="520"/>
        <v>9.377035444</v>
      </c>
      <c r="AS692" s="34">
        <f t="shared" si="521"/>
        <v>0.0937842422</v>
      </c>
      <c r="AT692" s="35">
        <f t="shared" si="15"/>
        <v>92.74650612</v>
      </c>
      <c r="AV692" s="32">
        <f t="shared" si="522"/>
        <v>10978.11426</v>
      </c>
    </row>
    <row r="693" ht="14.25" customHeight="1">
      <c r="B693" s="83"/>
      <c r="C693" s="100" t="s">
        <v>46</v>
      </c>
      <c r="D693" s="74"/>
      <c r="E693" s="84" t="s">
        <v>75</v>
      </c>
      <c r="F693" s="75"/>
      <c r="G693" s="22">
        <v>50.8</v>
      </c>
      <c r="H693" s="22">
        <v>5.4</v>
      </c>
      <c r="I693" s="22">
        <v>43.6</v>
      </c>
      <c r="J693" s="63">
        <f t="shared" si="530"/>
        <v>0.1938</v>
      </c>
      <c r="K693" s="22">
        <v>0.0062</v>
      </c>
      <c r="L693" s="22">
        <v>17.4</v>
      </c>
      <c r="M693" s="22">
        <v>75.9</v>
      </c>
      <c r="N693" s="22">
        <v>6.4</v>
      </c>
      <c r="O693" s="22">
        <v>0.3</v>
      </c>
      <c r="P693" s="76">
        <v>0.0</v>
      </c>
      <c r="Q693" s="25">
        <v>800.0</v>
      </c>
      <c r="R693" s="22" t="s">
        <v>51</v>
      </c>
      <c r="S693" s="25">
        <v>0.3</v>
      </c>
      <c r="T693" s="22" t="s">
        <v>51</v>
      </c>
      <c r="U693" s="25">
        <v>34.8035302212474</v>
      </c>
      <c r="V693" s="25">
        <v>30.8734888134313</v>
      </c>
      <c r="W693" s="25">
        <v>17.3361385659035</v>
      </c>
      <c r="X693" s="25">
        <v>9.91263869879601</v>
      </c>
      <c r="Y693" s="78">
        <f t="shared" si="512"/>
        <v>0.09493870512</v>
      </c>
      <c r="Z693" s="22" t="s">
        <v>51</v>
      </c>
      <c r="AA693" s="22" t="s">
        <v>51</v>
      </c>
      <c r="AB693" s="22" t="s">
        <v>51</v>
      </c>
      <c r="AC693" s="32">
        <f t="shared" si="513"/>
        <v>11209.58441</v>
      </c>
      <c r="AD693" s="22" t="s">
        <v>51</v>
      </c>
      <c r="AK693" s="33">
        <f t="shared" si="514"/>
        <v>0.006921428571</v>
      </c>
      <c r="AL693" s="33">
        <f t="shared" si="515"/>
        <v>7.283496703</v>
      </c>
      <c r="AM693" s="33">
        <f t="shared" si="516"/>
        <v>7.290418131</v>
      </c>
      <c r="AO693" s="34">
        <f t="shared" si="517"/>
        <v>34.7704882</v>
      </c>
      <c r="AP693" s="34">
        <f t="shared" si="518"/>
        <v>30.84417792</v>
      </c>
      <c r="AQ693" s="34">
        <f t="shared" si="519"/>
        <v>17.31967986</v>
      </c>
      <c r="AR693" s="34">
        <f t="shared" si="520"/>
        <v>9.903227768</v>
      </c>
      <c r="AS693" s="34">
        <f t="shared" si="521"/>
        <v>0.09493870512</v>
      </c>
      <c r="AT693" s="35">
        <f t="shared" si="15"/>
        <v>92.93251246</v>
      </c>
      <c r="AV693" s="32">
        <f t="shared" si="522"/>
        <v>11198.94218</v>
      </c>
    </row>
    <row r="694" ht="14.25" customHeight="1">
      <c r="B694" s="83"/>
      <c r="C694" s="100" t="s">
        <v>46</v>
      </c>
      <c r="D694" s="74"/>
      <c r="E694" s="84" t="s">
        <v>75</v>
      </c>
      <c r="F694" s="75"/>
      <c r="G694" s="22">
        <v>50.8</v>
      </c>
      <c r="H694" s="22">
        <v>5.4</v>
      </c>
      <c r="I694" s="22">
        <v>43.6</v>
      </c>
      <c r="J694" s="63">
        <f t="shared" si="530"/>
        <v>0.1938</v>
      </c>
      <c r="K694" s="22">
        <v>0.0062</v>
      </c>
      <c r="L694" s="22">
        <v>17.4</v>
      </c>
      <c r="M694" s="22">
        <v>75.9</v>
      </c>
      <c r="N694" s="22">
        <v>6.4</v>
      </c>
      <c r="O694" s="22">
        <v>0.3</v>
      </c>
      <c r="P694" s="76">
        <v>0.0</v>
      </c>
      <c r="Q694" s="25">
        <v>800.0</v>
      </c>
      <c r="R694" s="22" t="s">
        <v>51</v>
      </c>
      <c r="S694" s="25">
        <v>0.3</v>
      </c>
      <c r="T694" s="22" t="s">
        <v>51</v>
      </c>
      <c r="U694" s="25">
        <v>34.7190751674818</v>
      </c>
      <c r="V694" s="25">
        <v>30.701896015957</v>
      </c>
      <c r="W694" s="25">
        <v>17.3393180502805</v>
      </c>
      <c r="X694" s="25">
        <v>9.74094654243494</v>
      </c>
      <c r="Y694" s="78">
        <f t="shared" si="512"/>
        <v>0.09438369067</v>
      </c>
      <c r="Z694" s="22" t="s">
        <v>51</v>
      </c>
      <c r="AA694" s="22" t="s">
        <v>51</v>
      </c>
      <c r="AB694" s="22" t="s">
        <v>51</v>
      </c>
      <c r="AC694" s="32">
        <f t="shared" si="513"/>
        <v>11117.26868</v>
      </c>
      <c r="AD694" s="22" t="s">
        <v>51</v>
      </c>
      <c r="AK694" s="33">
        <f t="shared" si="514"/>
        <v>0.006921428571</v>
      </c>
      <c r="AL694" s="33">
        <f t="shared" si="515"/>
        <v>7.326367323</v>
      </c>
      <c r="AM694" s="33">
        <f t="shared" si="516"/>
        <v>7.333288752</v>
      </c>
      <c r="AO694" s="34">
        <f t="shared" si="517"/>
        <v>34.68630602</v>
      </c>
      <c r="AP694" s="34">
        <f t="shared" si="518"/>
        <v>30.67291843</v>
      </c>
      <c r="AQ694" s="34">
        <f t="shared" si="519"/>
        <v>17.32295256</v>
      </c>
      <c r="AR694" s="34">
        <f t="shared" si="520"/>
        <v>9.731752678</v>
      </c>
      <c r="AS694" s="34">
        <f t="shared" si="521"/>
        <v>0.09438369067</v>
      </c>
      <c r="AT694" s="35">
        <f t="shared" si="15"/>
        <v>92.50831339</v>
      </c>
      <c r="AV694" s="32">
        <f t="shared" si="522"/>
        <v>11106.77579</v>
      </c>
    </row>
    <row r="695" ht="14.25" customHeight="1">
      <c r="B695" s="83"/>
      <c r="C695" s="100" t="s">
        <v>46</v>
      </c>
      <c r="D695" s="74"/>
      <c r="E695" s="84" t="s">
        <v>75</v>
      </c>
      <c r="F695" s="75"/>
      <c r="G695" s="22">
        <v>50.8</v>
      </c>
      <c r="H695" s="22">
        <v>5.4</v>
      </c>
      <c r="I695" s="22">
        <v>43.6</v>
      </c>
      <c r="J695" s="63">
        <f t="shared" si="530"/>
        <v>0.1938</v>
      </c>
      <c r="K695" s="22">
        <v>0.0062</v>
      </c>
      <c r="L695" s="22">
        <v>17.4</v>
      </c>
      <c r="M695" s="22">
        <v>75.9</v>
      </c>
      <c r="N695" s="22">
        <v>6.4</v>
      </c>
      <c r="O695" s="22">
        <v>0.3</v>
      </c>
      <c r="P695" s="76">
        <v>0.0</v>
      </c>
      <c r="Q695" s="25">
        <v>800.0</v>
      </c>
      <c r="R695" s="22" t="s">
        <v>51</v>
      </c>
      <c r="S695" s="25">
        <v>0.3</v>
      </c>
      <c r="T695" s="22" t="s">
        <v>51</v>
      </c>
      <c r="U695" s="25">
        <v>34.3727100881561</v>
      </c>
      <c r="V695" s="25">
        <v>30.6173416033046</v>
      </c>
      <c r="W695" s="25">
        <v>17.1674271761459</v>
      </c>
      <c r="X695" s="25">
        <v>9.83106505274715</v>
      </c>
      <c r="Y695" s="78">
        <f t="shared" si="512"/>
        <v>0.09411226156</v>
      </c>
      <c r="Z695" s="22" t="s">
        <v>51</v>
      </c>
      <c r="AA695" s="22" t="s">
        <v>51</v>
      </c>
      <c r="AB695" s="22" t="s">
        <v>51</v>
      </c>
      <c r="AC695" s="32">
        <f t="shared" si="513"/>
        <v>11101.48476</v>
      </c>
      <c r="AD695" s="22" t="s">
        <v>51</v>
      </c>
      <c r="AK695" s="33">
        <f t="shared" si="514"/>
        <v>0.006921428571</v>
      </c>
      <c r="AL695" s="33">
        <f t="shared" si="515"/>
        <v>7.347517257</v>
      </c>
      <c r="AM695" s="33">
        <f t="shared" si="516"/>
        <v>7.354438685</v>
      </c>
      <c r="AO695" s="34">
        <f t="shared" si="517"/>
        <v>34.34036115</v>
      </c>
      <c r="AP695" s="34">
        <f t="shared" si="518"/>
        <v>30.58852693</v>
      </c>
      <c r="AQ695" s="34">
        <f t="shared" si="519"/>
        <v>17.15127052</v>
      </c>
      <c r="AR695" s="34">
        <f t="shared" si="520"/>
        <v>9.821812815</v>
      </c>
      <c r="AS695" s="34">
        <f t="shared" si="521"/>
        <v>0.09411226156</v>
      </c>
      <c r="AT695" s="35">
        <f t="shared" si="15"/>
        <v>91.99608368</v>
      </c>
      <c r="AV695" s="32">
        <f t="shared" si="522"/>
        <v>11091.0369</v>
      </c>
    </row>
    <row r="696" ht="14.25" customHeight="1">
      <c r="B696" s="83"/>
      <c r="C696" s="100" t="s">
        <v>46</v>
      </c>
      <c r="D696" s="74"/>
      <c r="E696" s="84" t="s">
        <v>75</v>
      </c>
      <c r="F696" s="75"/>
      <c r="G696" s="22">
        <v>50.8</v>
      </c>
      <c r="H696" s="22">
        <v>5.4</v>
      </c>
      <c r="I696" s="22">
        <v>43.6</v>
      </c>
      <c r="J696" s="63">
        <f t="shared" si="530"/>
        <v>0.1938</v>
      </c>
      <c r="K696" s="22">
        <v>0.0062</v>
      </c>
      <c r="L696" s="22">
        <v>17.4</v>
      </c>
      <c r="M696" s="22">
        <v>75.9</v>
      </c>
      <c r="N696" s="22">
        <v>6.4</v>
      </c>
      <c r="O696" s="22">
        <v>0.3</v>
      </c>
      <c r="P696" s="76">
        <v>0.0</v>
      </c>
      <c r="Q696" s="25">
        <v>800.0</v>
      </c>
      <c r="R696" s="22" t="s">
        <v>51</v>
      </c>
      <c r="S696" s="25">
        <v>0.3</v>
      </c>
      <c r="T696" s="22" t="s">
        <v>51</v>
      </c>
      <c r="U696" s="25">
        <v>35.2489561106957</v>
      </c>
      <c r="V696" s="25">
        <v>29.4847496528648</v>
      </c>
      <c r="W696" s="25">
        <v>17.4320198916491</v>
      </c>
      <c r="X696" s="25">
        <v>9.48469997342149</v>
      </c>
      <c r="Y696" s="78">
        <f t="shared" si="512"/>
        <v>0.09213049246</v>
      </c>
      <c r="Z696" s="22" t="s">
        <v>51</v>
      </c>
      <c r="AA696" s="22" t="s">
        <v>51</v>
      </c>
      <c r="AB696" s="22" t="s">
        <v>51</v>
      </c>
      <c r="AC696" s="32">
        <f t="shared" si="513"/>
        <v>10928.88242</v>
      </c>
      <c r="AD696" s="22" t="s">
        <v>51</v>
      </c>
      <c r="AK696" s="33">
        <f t="shared" si="514"/>
        <v>0.006921428571</v>
      </c>
      <c r="AL696" s="33">
        <f t="shared" si="515"/>
        <v>7.505714602</v>
      </c>
      <c r="AM696" s="33">
        <f t="shared" si="516"/>
        <v>7.512636031</v>
      </c>
      <c r="AO696" s="34">
        <f t="shared" si="517"/>
        <v>35.21648107</v>
      </c>
      <c r="AP696" s="34">
        <f t="shared" si="518"/>
        <v>29.45758521</v>
      </c>
      <c r="AQ696" s="34">
        <f t="shared" si="519"/>
        <v>17.41595969</v>
      </c>
      <c r="AR696" s="34">
        <f t="shared" si="520"/>
        <v>9.475961673</v>
      </c>
      <c r="AS696" s="34">
        <f t="shared" si="521"/>
        <v>0.09213049246</v>
      </c>
      <c r="AT696" s="35">
        <f t="shared" si="15"/>
        <v>91.65811813</v>
      </c>
      <c r="AV696" s="32">
        <f t="shared" si="522"/>
        <v>10918.81358</v>
      </c>
    </row>
    <row r="697" ht="14.25" customHeight="1">
      <c r="B697" s="83"/>
      <c r="C697" s="100" t="s">
        <v>46</v>
      </c>
      <c r="D697" s="74"/>
      <c r="E697" s="84" t="s">
        <v>75</v>
      </c>
      <c r="F697" s="75"/>
      <c r="G697" s="22">
        <v>50.8</v>
      </c>
      <c r="H697" s="22">
        <v>5.4</v>
      </c>
      <c r="I697" s="22">
        <v>43.6</v>
      </c>
      <c r="J697" s="63">
        <f t="shared" si="530"/>
        <v>0.1938</v>
      </c>
      <c r="K697" s="22">
        <v>0.0062</v>
      </c>
      <c r="L697" s="22">
        <v>17.4</v>
      </c>
      <c r="M697" s="22">
        <v>75.9</v>
      </c>
      <c r="N697" s="22">
        <v>6.4</v>
      </c>
      <c r="O697" s="22">
        <v>0.3</v>
      </c>
      <c r="P697" s="76">
        <v>0.0</v>
      </c>
      <c r="Q697" s="25">
        <v>800.0</v>
      </c>
      <c r="R697" s="22" t="s">
        <v>51</v>
      </c>
      <c r="S697" s="25">
        <v>0.3</v>
      </c>
      <c r="T697" s="22" t="s">
        <v>51</v>
      </c>
      <c r="U697" s="25">
        <v>34.7278187495187</v>
      </c>
      <c r="V697" s="25">
        <v>30.1864221113266</v>
      </c>
      <c r="W697" s="25">
        <v>17.5222377608481</v>
      </c>
      <c r="X697" s="25">
        <v>9.57491784262048</v>
      </c>
      <c r="Y697" s="78">
        <f t="shared" si="512"/>
        <v>0.09357004749</v>
      </c>
      <c r="Z697" s="22" t="s">
        <v>51</v>
      </c>
      <c r="AA697" s="22" t="s">
        <v>51</v>
      </c>
      <c r="AB697" s="22" t="s">
        <v>51</v>
      </c>
      <c r="AC697" s="32">
        <f t="shared" si="513"/>
        <v>10993.59783</v>
      </c>
      <c r="AD697" s="22" t="s">
        <v>51</v>
      </c>
      <c r="AK697" s="33">
        <f t="shared" si="514"/>
        <v>0.006921428571</v>
      </c>
      <c r="AL697" s="33">
        <f t="shared" si="515"/>
        <v>7.390134315</v>
      </c>
      <c r="AM697" s="33">
        <f t="shared" si="516"/>
        <v>7.397055743</v>
      </c>
      <c r="AO697" s="34">
        <f t="shared" si="517"/>
        <v>34.69532391</v>
      </c>
      <c r="AP697" s="34">
        <f t="shared" si="518"/>
        <v>30.15817666</v>
      </c>
      <c r="AQ697" s="34">
        <f t="shared" si="519"/>
        <v>17.50584219</v>
      </c>
      <c r="AR697" s="34">
        <f t="shared" si="520"/>
        <v>9.565958587</v>
      </c>
      <c r="AS697" s="34">
        <f t="shared" si="521"/>
        <v>0.09357004749</v>
      </c>
      <c r="AT697" s="35">
        <f t="shared" si="15"/>
        <v>92.0188714</v>
      </c>
      <c r="AV697" s="32">
        <f t="shared" si="522"/>
        <v>10983.31112</v>
      </c>
    </row>
    <row r="698" ht="14.25" customHeight="1">
      <c r="B698" s="83"/>
      <c r="C698" s="100" t="s">
        <v>46</v>
      </c>
      <c r="D698" s="74"/>
      <c r="E698" s="84" t="s">
        <v>75</v>
      </c>
      <c r="F698" s="75"/>
      <c r="G698" s="22">
        <v>50.8</v>
      </c>
      <c r="H698" s="22">
        <v>5.4</v>
      </c>
      <c r="I698" s="22">
        <v>43.6</v>
      </c>
      <c r="J698" s="63">
        <f t="shared" si="530"/>
        <v>0.1938</v>
      </c>
      <c r="K698" s="22">
        <v>0.0062</v>
      </c>
      <c r="L698" s="22">
        <v>17.4</v>
      </c>
      <c r="M698" s="22">
        <v>75.9</v>
      </c>
      <c r="N698" s="22">
        <v>6.4</v>
      </c>
      <c r="O698" s="22">
        <v>0.3</v>
      </c>
      <c r="P698" s="76">
        <v>0.0</v>
      </c>
      <c r="Q698" s="25">
        <v>800.0</v>
      </c>
      <c r="R698" s="22" t="s">
        <v>51</v>
      </c>
      <c r="S698" s="25">
        <v>0.3</v>
      </c>
      <c r="T698" s="22" t="s">
        <v>51</v>
      </c>
      <c r="U698" s="25">
        <v>34.2939184909372</v>
      </c>
      <c r="V698" s="25">
        <v>29.7526212116319</v>
      </c>
      <c r="W698" s="25">
        <v>17.5255166041119</v>
      </c>
      <c r="X698" s="25">
        <v>9.66533442959305</v>
      </c>
      <c r="Y698" s="78">
        <f t="shared" si="512"/>
        <v>0.09301501784</v>
      </c>
      <c r="Z698" s="22" t="s">
        <v>51</v>
      </c>
      <c r="AA698" s="22" t="s">
        <v>51</v>
      </c>
      <c r="AB698" s="22" t="s">
        <v>51</v>
      </c>
      <c r="AC698" s="32">
        <f t="shared" si="513"/>
        <v>10924.34727</v>
      </c>
      <c r="AD698" s="22" t="s">
        <v>51</v>
      </c>
      <c r="AK698" s="33">
        <f t="shared" si="514"/>
        <v>0.006921428571</v>
      </c>
      <c r="AL698" s="33">
        <f t="shared" si="515"/>
        <v>7.434273265</v>
      </c>
      <c r="AM698" s="33">
        <f t="shared" si="516"/>
        <v>7.441194694</v>
      </c>
      <c r="AO698" s="34">
        <f t="shared" si="517"/>
        <v>34.26202</v>
      </c>
      <c r="AP698" s="34">
        <f t="shared" si="518"/>
        <v>29.72494681</v>
      </c>
      <c r="AQ698" s="34">
        <f t="shared" si="519"/>
        <v>17.50921524</v>
      </c>
      <c r="AR698" s="34">
        <f t="shared" si="520"/>
        <v>9.656344217</v>
      </c>
      <c r="AS698" s="34">
        <f t="shared" si="521"/>
        <v>0.09301501784</v>
      </c>
      <c r="AT698" s="35">
        <f t="shared" si="15"/>
        <v>91.24554128</v>
      </c>
      <c r="AV698" s="32">
        <f t="shared" si="522"/>
        <v>10914.18599</v>
      </c>
    </row>
    <row r="699" ht="14.25" customHeight="1">
      <c r="B699" s="83"/>
      <c r="C699" s="100" t="s">
        <v>46</v>
      </c>
      <c r="D699" s="74"/>
      <c r="E699" s="84" t="s">
        <v>75</v>
      </c>
      <c r="F699" s="75"/>
      <c r="G699" s="22">
        <v>50.8</v>
      </c>
      <c r="H699" s="22">
        <v>5.4</v>
      </c>
      <c r="I699" s="22">
        <v>43.6</v>
      </c>
      <c r="J699" s="63">
        <f t="shared" si="530"/>
        <v>0.1938</v>
      </c>
      <c r="K699" s="22">
        <v>0.0062</v>
      </c>
      <c r="L699" s="22">
        <v>17.4</v>
      </c>
      <c r="M699" s="22">
        <v>75.9</v>
      </c>
      <c r="N699" s="22">
        <v>6.4</v>
      </c>
      <c r="O699" s="22">
        <v>0.3</v>
      </c>
      <c r="P699" s="76">
        <v>0.0</v>
      </c>
      <c r="Q699" s="25">
        <v>800.0</v>
      </c>
      <c r="R699" s="22" t="s">
        <v>51</v>
      </c>
      <c r="S699" s="25">
        <v>0.3</v>
      </c>
      <c r="T699" s="22" t="s">
        <v>51</v>
      </c>
      <c r="U699" s="25">
        <v>34.2969986164275</v>
      </c>
      <c r="V699" s="25">
        <v>29.6682655167531</v>
      </c>
      <c r="W699" s="25">
        <v>17.2661899096082</v>
      </c>
      <c r="X699" s="25">
        <v>9.5806806580539</v>
      </c>
      <c r="Y699" s="78">
        <f t="shared" si="512"/>
        <v>0.09231599275</v>
      </c>
      <c r="Z699" s="22" t="s">
        <v>51</v>
      </c>
      <c r="AA699" s="22" t="s">
        <v>51</v>
      </c>
      <c r="AB699" s="22" t="s">
        <v>51</v>
      </c>
      <c r="AC699" s="32">
        <f t="shared" si="513"/>
        <v>10883.68985</v>
      </c>
      <c r="AD699" s="22" t="s">
        <v>51</v>
      </c>
      <c r="AK699" s="33">
        <f t="shared" si="514"/>
        <v>0.006921428571</v>
      </c>
      <c r="AL699" s="33">
        <f t="shared" si="515"/>
        <v>7.490618667</v>
      </c>
      <c r="AM699" s="33">
        <f t="shared" si="516"/>
        <v>7.497540096</v>
      </c>
      <c r="AO699" s="34">
        <f t="shared" si="517"/>
        <v>34.265337</v>
      </c>
      <c r="AP699" s="34">
        <f t="shared" si="518"/>
        <v>29.64087696</v>
      </c>
      <c r="AQ699" s="34">
        <f t="shared" si="519"/>
        <v>17.25025045</v>
      </c>
      <c r="AR699" s="34">
        <f t="shared" si="520"/>
        <v>9.571836158</v>
      </c>
      <c r="AS699" s="34">
        <f t="shared" si="521"/>
        <v>0.09231599275</v>
      </c>
      <c r="AT699" s="35">
        <f t="shared" si="15"/>
        <v>90.82061657</v>
      </c>
      <c r="AV699" s="32">
        <f t="shared" si="522"/>
        <v>10873.64246</v>
      </c>
    </row>
    <row r="700" ht="14.25" customHeight="1">
      <c r="B700" s="83"/>
      <c r="C700" s="100" t="s">
        <v>46</v>
      </c>
      <c r="D700" s="74"/>
      <c r="E700" s="84" t="s">
        <v>75</v>
      </c>
      <c r="F700" s="75"/>
      <c r="G700" s="22">
        <v>50.8</v>
      </c>
      <c r="H700" s="22">
        <v>5.4</v>
      </c>
      <c r="I700" s="22">
        <v>43.6</v>
      </c>
      <c r="J700" s="63">
        <f t="shared" si="530"/>
        <v>0.1938</v>
      </c>
      <c r="K700" s="22">
        <v>0.0062</v>
      </c>
      <c r="L700" s="22">
        <v>17.4</v>
      </c>
      <c r="M700" s="22">
        <v>75.9</v>
      </c>
      <c r="N700" s="22">
        <v>6.4</v>
      </c>
      <c r="O700" s="22">
        <v>0.3</v>
      </c>
      <c r="P700" s="76">
        <v>0.0</v>
      </c>
      <c r="Q700" s="25">
        <v>800.0</v>
      </c>
      <c r="R700" s="22" t="s">
        <v>51</v>
      </c>
      <c r="S700" s="25">
        <v>0.3</v>
      </c>
      <c r="T700" s="22" t="s">
        <v>51</v>
      </c>
      <c r="U700" s="25">
        <v>34.3871171267397</v>
      </c>
      <c r="V700" s="25">
        <v>29.409137540023</v>
      </c>
      <c r="W700" s="25">
        <v>17.2692700350985</v>
      </c>
      <c r="X700" s="25">
        <v>9.49642432206189</v>
      </c>
      <c r="Y700" s="78">
        <f t="shared" si="512"/>
        <v>0.09176062486</v>
      </c>
      <c r="Z700" s="22" t="s">
        <v>51</v>
      </c>
      <c r="AA700" s="22" t="s">
        <v>51</v>
      </c>
      <c r="AB700" s="22" t="s">
        <v>51</v>
      </c>
      <c r="AC700" s="32">
        <f t="shared" si="513"/>
        <v>10830.49048</v>
      </c>
      <c r="AD700" s="22" t="s">
        <v>51</v>
      </c>
      <c r="AK700" s="33">
        <f t="shared" si="514"/>
        <v>0.006921428571</v>
      </c>
      <c r="AL700" s="33">
        <f t="shared" si="515"/>
        <v>7.535996442</v>
      </c>
      <c r="AM700" s="33">
        <f t="shared" si="516"/>
        <v>7.542917871</v>
      </c>
      <c r="AO700" s="34">
        <f t="shared" si="517"/>
        <v>34.35556329</v>
      </c>
      <c r="AP700" s="34">
        <f t="shared" si="518"/>
        <v>29.38215153</v>
      </c>
      <c r="AQ700" s="34">
        <f t="shared" si="519"/>
        <v>17.25342365</v>
      </c>
      <c r="AR700" s="34">
        <f t="shared" si="520"/>
        <v>9.487710344</v>
      </c>
      <c r="AS700" s="34">
        <f t="shared" si="521"/>
        <v>0.09176062486</v>
      </c>
      <c r="AT700" s="35">
        <f t="shared" si="15"/>
        <v>90.57060944</v>
      </c>
      <c r="AV700" s="32">
        <f t="shared" si="522"/>
        <v>10820.55235</v>
      </c>
    </row>
    <row r="701" ht="14.25" customHeight="1">
      <c r="B701" s="83"/>
      <c r="C701" s="100" t="s">
        <v>46</v>
      </c>
      <c r="D701" s="74"/>
      <c r="E701" s="84" t="s">
        <v>75</v>
      </c>
      <c r="F701" s="75"/>
      <c r="G701" s="22">
        <v>50.8</v>
      </c>
      <c r="H701" s="22">
        <v>5.4</v>
      </c>
      <c r="I701" s="22">
        <v>43.6</v>
      </c>
      <c r="J701" s="63">
        <f t="shared" si="530"/>
        <v>0.1938</v>
      </c>
      <c r="K701" s="22">
        <v>0.0062</v>
      </c>
      <c r="L701" s="22">
        <v>17.4</v>
      </c>
      <c r="M701" s="22">
        <v>75.9</v>
      </c>
      <c r="N701" s="22">
        <v>6.4</v>
      </c>
      <c r="O701" s="22">
        <v>0.3</v>
      </c>
      <c r="P701" s="76">
        <v>0.0</v>
      </c>
      <c r="Q701" s="25">
        <v>800.0</v>
      </c>
      <c r="R701" s="22" t="s">
        <v>51</v>
      </c>
      <c r="S701" s="25">
        <v>0.3</v>
      </c>
      <c r="T701" s="22" t="s">
        <v>51</v>
      </c>
      <c r="U701" s="25">
        <v>34.5647708163077</v>
      </c>
      <c r="V701" s="25">
        <v>28.7132278969946</v>
      </c>
      <c r="W701" s="25">
        <v>17.2723501605888</v>
      </c>
      <c r="X701" s="25">
        <v>9.32463280681403</v>
      </c>
      <c r="Y701" s="78">
        <f t="shared" si="512"/>
        <v>0.09034955728</v>
      </c>
      <c r="Z701" s="22" t="s">
        <v>51</v>
      </c>
      <c r="AA701" s="22" t="s">
        <v>51</v>
      </c>
      <c r="AB701" s="22" t="s">
        <v>51</v>
      </c>
      <c r="AC701" s="32">
        <f t="shared" si="513"/>
        <v>10700.19337</v>
      </c>
      <c r="AD701" s="22" t="s">
        <v>51</v>
      </c>
      <c r="AK701" s="33">
        <f t="shared" si="514"/>
        <v>0.006921428571</v>
      </c>
      <c r="AL701" s="33">
        <f t="shared" si="515"/>
        <v>7.653800749</v>
      </c>
      <c r="AM701" s="33">
        <f t="shared" si="516"/>
        <v>7.660722177</v>
      </c>
      <c r="AO701" s="34">
        <f t="shared" si="517"/>
        <v>34.5335417</v>
      </c>
      <c r="AP701" s="34">
        <f t="shared" si="518"/>
        <v>28.68728562</v>
      </c>
      <c r="AQ701" s="34">
        <f t="shared" si="519"/>
        <v>17.25674467</v>
      </c>
      <c r="AR701" s="34">
        <f t="shared" si="520"/>
        <v>9.316208042</v>
      </c>
      <c r="AS701" s="34">
        <f t="shared" si="521"/>
        <v>0.09034955728</v>
      </c>
      <c r="AT701" s="35">
        <f t="shared" si="15"/>
        <v>89.88412959</v>
      </c>
      <c r="AV701" s="32">
        <f t="shared" si="522"/>
        <v>10690.5258</v>
      </c>
    </row>
    <row r="702" ht="14.25" customHeight="1">
      <c r="B702" s="83"/>
      <c r="C702" s="100" t="s">
        <v>46</v>
      </c>
      <c r="D702" s="74"/>
      <c r="E702" s="84" t="s">
        <v>75</v>
      </c>
      <c r="F702" s="75"/>
      <c r="G702" s="22">
        <v>50.8</v>
      </c>
      <c r="H702" s="22">
        <v>5.4</v>
      </c>
      <c r="I702" s="22">
        <v>43.6</v>
      </c>
      <c r="J702" s="63">
        <f t="shared" si="530"/>
        <v>0.1938</v>
      </c>
      <c r="K702" s="22">
        <v>0.0062</v>
      </c>
      <c r="L702" s="22">
        <v>17.4</v>
      </c>
      <c r="M702" s="22">
        <v>75.9</v>
      </c>
      <c r="N702" s="22">
        <v>6.4</v>
      </c>
      <c r="O702" s="22">
        <v>0.3</v>
      </c>
      <c r="P702" s="76">
        <v>0.0</v>
      </c>
      <c r="Q702" s="25">
        <v>800.0</v>
      </c>
      <c r="R702" s="22" t="s">
        <v>51</v>
      </c>
      <c r="S702" s="25">
        <v>0.3</v>
      </c>
      <c r="T702" s="22" t="s">
        <v>51</v>
      </c>
      <c r="U702" s="25">
        <v>33.5199127628974</v>
      </c>
      <c r="V702" s="25">
        <v>28.1047540743353</v>
      </c>
      <c r="W702" s="25">
        <v>16.751113440525</v>
      </c>
      <c r="X702" s="25">
        <v>9.15284129156616</v>
      </c>
      <c r="Y702" s="78">
        <f t="shared" si="512"/>
        <v>0.08822542163</v>
      </c>
      <c r="Z702" s="22" t="s">
        <v>51</v>
      </c>
      <c r="AA702" s="22" t="s">
        <v>51</v>
      </c>
      <c r="AB702" s="22" t="s">
        <v>51</v>
      </c>
      <c r="AC702" s="32">
        <f t="shared" si="513"/>
        <v>10448.96615</v>
      </c>
      <c r="AD702" s="22" t="s">
        <v>51</v>
      </c>
      <c r="AK702" s="33">
        <f t="shared" si="514"/>
        <v>0.006921428571</v>
      </c>
      <c r="AL702" s="33">
        <f t="shared" si="515"/>
        <v>7.838242067</v>
      </c>
      <c r="AM702" s="33">
        <f t="shared" si="516"/>
        <v>7.845163495</v>
      </c>
      <c r="AO702" s="34">
        <f t="shared" si="517"/>
        <v>33.49033968</v>
      </c>
      <c r="AP702" s="34">
        <f t="shared" si="518"/>
        <v>28.07995854</v>
      </c>
      <c r="AQ702" s="34">
        <f t="shared" si="519"/>
        <v>16.7363347</v>
      </c>
      <c r="AR702" s="34">
        <f t="shared" si="520"/>
        <v>9.144766159</v>
      </c>
      <c r="AS702" s="34">
        <f t="shared" si="521"/>
        <v>0.08822542163</v>
      </c>
      <c r="AT702" s="35">
        <f t="shared" si="15"/>
        <v>87.5396245</v>
      </c>
      <c r="AV702" s="32">
        <f t="shared" si="522"/>
        <v>10439.74751</v>
      </c>
    </row>
    <row r="703" ht="14.25" customHeight="1">
      <c r="B703" s="83"/>
      <c r="C703" s="100" t="s">
        <v>46</v>
      </c>
      <c r="D703" s="74"/>
      <c r="E703" s="84" t="s">
        <v>75</v>
      </c>
      <c r="F703" s="75"/>
      <c r="G703" s="22">
        <v>50.8</v>
      </c>
      <c r="H703" s="22">
        <v>5.4</v>
      </c>
      <c r="I703" s="22">
        <v>43.6</v>
      </c>
      <c r="J703" s="63">
        <f t="shared" si="530"/>
        <v>0.1938</v>
      </c>
      <c r="K703" s="22">
        <v>0.0062</v>
      </c>
      <c r="L703" s="22">
        <v>17.4</v>
      </c>
      <c r="M703" s="22">
        <v>75.9</v>
      </c>
      <c r="N703" s="22">
        <v>6.4</v>
      </c>
      <c r="O703" s="22">
        <v>0.3</v>
      </c>
      <c r="P703" s="76">
        <v>0.0</v>
      </c>
      <c r="Q703" s="25">
        <v>800.0</v>
      </c>
      <c r="R703" s="22" t="s">
        <v>51</v>
      </c>
      <c r="S703" s="25">
        <v>0.3</v>
      </c>
      <c r="T703" s="22" t="s">
        <v>51</v>
      </c>
      <c r="U703" s="25">
        <v>33.6974670935786</v>
      </c>
      <c r="V703" s="25">
        <v>27.496280251676</v>
      </c>
      <c r="W703" s="25">
        <v>16.9289658478666</v>
      </c>
      <c r="X703" s="25">
        <v>9.15572269928286</v>
      </c>
      <c r="Y703" s="78">
        <f t="shared" si="512"/>
        <v>0.08752730252</v>
      </c>
      <c r="Z703" s="22" t="s">
        <v>51</v>
      </c>
      <c r="AA703" s="22" t="s">
        <v>51</v>
      </c>
      <c r="AB703" s="22" t="s">
        <v>51</v>
      </c>
      <c r="AC703" s="32">
        <f t="shared" si="513"/>
        <v>10392.29239</v>
      </c>
      <c r="AD703" s="22" t="s">
        <v>51</v>
      </c>
      <c r="AK703" s="33">
        <f t="shared" si="514"/>
        <v>0.006921428571</v>
      </c>
      <c r="AL703" s="33">
        <f t="shared" si="515"/>
        <v>7.900815212</v>
      </c>
      <c r="AM703" s="33">
        <f t="shared" si="516"/>
        <v>7.90773664</v>
      </c>
      <c r="AO703" s="34">
        <f t="shared" si="517"/>
        <v>33.66797261</v>
      </c>
      <c r="AP703" s="34">
        <f t="shared" si="518"/>
        <v>27.4722135</v>
      </c>
      <c r="AQ703" s="34">
        <f t="shared" si="519"/>
        <v>16.91414838</v>
      </c>
      <c r="AR703" s="34">
        <f t="shared" si="520"/>
        <v>9.147708942</v>
      </c>
      <c r="AS703" s="34">
        <f t="shared" si="521"/>
        <v>0.08752730252</v>
      </c>
      <c r="AT703" s="35">
        <f t="shared" si="15"/>
        <v>87.28957073</v>
      </c>
      <c r="AV703" s="32">
        <f t="shared" si="522"/>
        <v>10383.1963</v>
      </c>
    </row>
    <row r="704" ht="14.25" customHeight="1">
      <c r="B704" s="83"/>
      <c r="C704" s="100" t="s">
        <v>46</v>
      </c>
      <c r="D704" s="74"/>
      <c r="E704" s="84" t="s">
        <v>75</v>
      </c>
      <c r="F704" s="75"/>
      <c r="G704" s="22">
        <v>50.8</v>
      </c>
      <c r="H704" s="22">
        <v>5.4</v>
      </c>
      <c r="I704" s="22">
        <v>43.6</v>
      </c>
      <c r="J704" s="63">
        <f t="shared" si="530"/>
        <v>0.1938</v>
      </c>
      <c r="K704" s="22">
        <v>0.0062</v>
      </c>
      <c r="L704" s="22">
        <v>17.4</v>
      </c>
      <c r="M704" s="22">
        <v>75.9</v>
      </c>
      <c r="N704" s="22">
        <v>6.4</v>
      </c>
      <c r="O704" s="22">
        <v>0.3</v>
      </c>
      <c r="P704" s="76">
        <v>0.0</v>
      </c>
      <c r="Q704" s="25">
        <v>800.0</v>
      </c>
      <c r="R704" s="22" t="s">
        <v>51</v>
      </c>
      <c r="S704" s="25">
        <v>0.3</v>
      </c>
      <c r="T704" s="22" t="s">
        <v>51</v>
      </c>
      <c r="U704" s="25">
        <v>33.0015574505503</v>
      </c>
      <c r="V704" s="25">
        <v>28.5473979149537</v>
      </c>
      <c r="W704" s="25">
        <v>16.8443120763274</v>
      </c>
      <c r="X704" s="25">
        <v>9.42041477367286</v>
      </c>
      <c r="Y704" s="78">
        <f t="shared" si="512"/>
        <v>0.08953665917</v>
      </c>
      <c r="Z704" s="22" t="s">
        <v>51</v>
      </c>
      <c r="AA704" s="22" t="s">
        <v>51</v>
      </c>
      <c r="AB704" s="22" t="s">
        <v>51</v>
      </c>
      <c r="AC704" s="32">
        <f t="shared" si="513"/>
        <v>10544.80515</v>
      </c>
      <c r="AD704" s="22" t="s">
        <v>51</v>
      </c>
      <c r="AK704" s="33">
        <f t="shared" si="514"/>
        <v>0.006921428571</v>
      </c>
      <c r="AL704" s="33">
        <f t="shared" si="515"/>
        <v>7.723351998</v>
      </c>
      <c r="AM704" s="33">
        <f t="shared" si="516"/>
        <v>7.730273427</v>
      </c>
      <c r="AO704" s="34">
        <f t="shared" si="517"/>
        <v>32.97200896</v>
      </c>
      <c r="AP704" s="34">
        <f t="shared" si="518"/>
        <v>28.52183753</v>
      </c>
      <c r="AQ704" s="34">
        <f t="shared" si="519"/>
        <v>16.82923024</v>
      </c>
      <c r="AR704" s="34">
        <f t="shared" si="520"/>
        <v>9.411980049</v>
      </c>
      <c r="AS704" s="34">
        <f t="shared" si="521"/>
        <v>0.08953665917</v>
      </c>
      <c r="AT704" s="35">
        <f t="shared" si="15"/>
        <v>87.82459344</v>
      </c>
      <c r="AV704" s="32">
        <f t="shared" si="522"/>
        <v>10535.36368</v>
      </c>
    </row>
    <row r="705" ht="14.25" customHeight="1">
      <c r="B705" s="83"/>
      <c r="C705" s="100" t="s">
        <v>46</v>
      </c>
      <c r="D705" s="74"/>
      <c r="E705" s="84" t="s">
        <v>75</v>
      </c>
      <c r="F705" s="75"/>
      <c r="G705" s="22">
        <v>50.8</v>
      </c>
      <c r="H705" s="22">
        <v>5.4</v>
      </c>
      <c r="I705" s="22">
        <v>43.6</v>
      </c>
      <c r="J705" s="63">
        <f t="shared" si="530"/>
        <v>0.1938</v>
      </c>
      <c r="K705" s="22">
        <v>0.0062</v>
      </c>
      <c r="L705" s="22">
        <v>17.4</v>
      </c>
      <c r="M705" s="22">
        <v>75.9</v>
      </c>
      <c r="N705" s="22">
        <v>6.4</v>
      </c>
      <c r="O705" s="22">
        <v>0.3</v>
      </c>
      <c r="P705" s="76">
        <v>0.0</v>
      </c>
      <c r="Q705" s="25">
        <v>800.0</v>
      </c>
      <c r="R705" s="22" t="s">
        <v>51</v>
      </c>
      <c r="S705" s="25">
        <v>0.3</v>
      </c>
      <c r="T705" s="22" t="s">
        <v>51</v>
      </c>
      <c r="U705" s="25">
        <v>31.6942925771459</v>
      </c>
      <c r="V705" s="25">
        <v>28.724952245635</v>
      </c>
      <c r="W705" s="25">
        <v>15.8865917666258</v>
      </c>
      <c r="X705" s="25">
        <v>9.1613861558295</v>
      </c>
      <c r="Y705" s="78">
        <f t="shared" si="512"/>
        <v>0.08784060596</v>
      </c>
      <c r="Z705" s="22" t="s">
        <v>51</v>
      </c>
      <c r="AA705" s="22" t="s">
        <v>51</v>
      </c>
      <c r="AB705" s="22" t="s">
        <v>51</v>
      </c>
      <c r="AC705" s="32">
        <f t="shared" si="513"/>
        <v>10333.2978</v>
      </c>
      <c r="AD705" s="22" t="s">
        <v>51</v>
      </c>
      <c r="AK705" s="33">
        <f t="shared" si="514"/>
        <v>0.006921428571</v>
      </c>
      <c r="AL705" s="33">
        <f t="shared" si="515"/>
        <v>7.872610475</v>
      </c>
      <c r="AM705" s="33">
        <f t="shared" si="516"/>
        <v>7.879531904</v>
      </c>
      <c r="AO705" s="34">
        <f t="shared" si="517"/>
        <v>31.66645212</v>
      </c>
      <c r="AP705" s="34">
        <f t="shared" si="518"/>
        <v>28.69972007</v>
      </c>
      <c r="AQ705" s="34">
        <f t="shared" si="519"/>
        <v>15.87263689</v>
      </c>
      <c r="AR705" s="34">
        <f t="shared" si="520"/>
        <v>9.153338739</v>
      </c>
      <c r="AS705" s="34">
        <f t="shared" si="521"/>
        <v>0.08784060596</v>
      </c>
      <c r="AT705" s="35">
        <f t="shared" si="15"/>
        <v>85.47998842</v>
      </c>
      <c r="AV705" s="32">
        <f t="shared" si="522"/>
        <v>10324.22097</v>
      </c>
    </row>
    <row r="706" ht="14.25" customHeight="1">
      <c r="B706" s="83"/>
      <c r="C706" s="100" t="s">
        <v>46</v>
      </c>
      <c r="D706" s="74"/>
      <c r="E706" s="84" t="s">
        <v>75</v>
      </c>
      <c r="F706" s="75"/>
      <c r="G706" s="22">
        <v>50.8</v>
      </c>
      <c r="H706" s="22">
        <v>5.4</v>
      </c>
      <c r="I706" s="22">
        <v>43.6</v>
      </c>
      <c r="J706" s="63">
        <f t="shared" si="530"/>
        <v>0.1938</v>
      </c>
      <c r="K706" s="22">
        <v>0.0062</v>
      </c>
      <c r="L706" s="22">
        <v>17.4</v>
      </c>
      <c r="M706" s="22">
        <v>75.9</v>
      </c>
      <c r="N706" s="22">
        <v>6.4</v>
      </c>
      <c r="O706" s="22">
        <v>0.3</v>
      </c>
      <c r="P706" s="76">
        <v>0.0</v>
      </c>
      <c r="Q706" s="25">
        <v>800.0</v>
      </c>
      <c r="R706" s="22" t="s">
        <v>51</v>
      </c>
      <c r="S706" s="25">
        <v>0.3</v>
      </c>
      <c r="T706" s="22" t="s">
        <v>51</v>
      </c>
      <c r="U706" s="25">
        <v>33.1817944711747</v>
      </c>
      <c r="V706" s="25">
        <v>27.8543696796421</v>
      </c>
      <c r="W706" s="25">
        <v>16.6753026099095</v>
      </c>
      <c r="X706" s="25">
        <v>8.90265561464649</v>
      </c>
      <c r="Y706" s="78">
        <f t="shared" si="512"/>
        <v>0.08728470182</v>
      </c>
      <c r="Z706" s="22" t="s">
        <v>51</v>
      </c>
      <c r="AA706" s="22" t="s">
        <v>51</v>
      </c>
      <c r="AB706" s="22" t="s">
        <v>51</v>
      </c>
      <c r="AC706" s="32">
        <f t="shared" si="513"/>
        <v>10291.18643</v>
      </c>
      <c r="AD706" s="22" t="s">
        <v>51</v>
      </c>
      <c r="AK706" s="33">
        <f t="shared" si="514"/>
        <v>0.006921428571</v>
      </c>
      <c r="AL706" s="33">
        <f t="shared" si="515"/>
        <v>7.92279412</v>
      </c>
      <c r="AM706" s="33">
        <f t="shared" si="516"/>
        <v>7.929715548</v>
      </c>
      <c r="AO706" s="34">
        <f t="shared" si="517"/>
        <v>33.15283184</v>
      </c>
      <c r="AP706" s="34">
        <f t="shared" si="518"/>
        <v>27.83005708</v>
      </c>
      <c r="AQ706" s="34">
        <f t="shared" si="519"/>
        <v>16.66074762</v>
      </c>
      <c r="AR706" s="34">
        <f t="shared" si="520"/>
        <v>8.894884958</v>
      </c>
      <c r="AS706" s="34">
        <f t="shared" si="521"/>
        <v>0.08728470182</v>
      </c>
      <c r="AT706" s="35">
        <f t="shared" si="15"/>
        <v>86.6258062</v>
      </c>
      <c r="AV706" s="32">
        <f t="shared" si="522"/>
        <v>10282.2038</v>
      </c>
    </row>
    <row r="707" ht="14.25" customHeight="1">
      <c r="B707" s="83"/>
      <c r="C707" s="100" t="s">
        <v>46</v>
      </c>
      <c r="D707" s="74"/>
      <c r="E707" s="84" t="s">
        <v>75</v>
      </c>
      <c r="F707" s="75"/>
      <c r="G707" s="22">
        <v>50.8</v>
      </c>
      <c r="H707" s="22">
        <v>5.4</v>
      </c>
      <c r="I707" s="22">
        <v>43.6</v>
      </c>
      <c r="J707" s="63">
        <f t="shared" si="530"/>
        <v>0.1938</v>
      </c>
      <c r="K707" s="22">
        <v>0.0062</v>
      </c>
      <c r="L707" s="22">
        <v>17.4</v>
      </c>
      <c r="M707" s="22">
        <v>75.9</v>
      </c>
      <c r="N707" s="22">
        <v>6.4</v>
      </c>
      <c r="O707" s="22">
        <v>0.3</v>
      </c>
      <c r="P707" s="76">
        <v>0.0</v>
      </c>
      <c r="Q707" s="25">
        <v>800.0</v>
      </c>
      <c r="R707" s="22" t="s">
        <v>51</v>
      </c>
      <c r="S707" s="25">
        <v>0.3</v>
      </c>
      <c r="T707" s="22" t="s">
        <v>51</v>
      </c>
      <c r="U707" s="25">
        <v>33.0975381351827</v>
      </c>
      <c r="V707" s="25">
        <v>26.9839858314227</v>
      </c>
      <c r="W707" s="25">
        <v>16.6784820942866</v>
      </c>
      <c r="X707" s="25">
        <v>8.81820056088091</v>
      </c>
      <c r="Y707" s="78">
        <f t="shared" si="512"/>
        <v>0.0857314456</v>
      </c>
      <c r="Z707" s="22" t="s">
        <v>51</v>
      </c>
      <c r="AA707" s="22" t="s">
        <v>51</v>
      </c>
      <c r="AB707" s="22" t="s">
        <v>51</v>
      </c>
      <c r="AC707" s="32">
        <f t="shared" si="513"/>
        <v>10141.86553</v>
      </c>
      <c r="AD707" s="22" t="s">
        <v>51</v>
      </c>
      <c r="AK707" s="33">
        <f t="shared" si="514"/>
        <v>0.006921428571</v>
      </c>
      <c r="AL707" s="33">
        <f t="shared" si="515"/>
        <v>8.066462291</v>
      </c>
      <c r="AM707" s="33">
        <f t="shared" si="516"/>
        <v>8.073383719</v>
      </c>
      <c r="AO707" s="34">
        <f t="shared" si="517"/>
        <v>33.06916314</v>
      </c>
      <c r="AP707" s="34">
        <f t="shared" si="518"/>
        <v>26.96085207</v>
      </c>
      <c r="AQ707" s="34">
        <f t="shared" si="519"/>
        <v>16.66418339</v>
      </c>
      <c r="AR707" s="34">
        <f t="shared" si="520"/>
        <v>8.81064059</v>
      </c>
      <c r="AS707" s="34">
        <f t="shared" si="521"/>
        <v>0.0857314456</v>
      </c>
      <c r="AT707" s="35">
        <f t="shared" si="15"/>
        <v>85.59057063</v>
      </c>
      <c r="AV707" s="32">
        <f t="shared" si="522"/>
        <v>10133.17077</v>
      </c>
    </row>
    <row r="708" ht="14.25" customHeight="1">
      <c r="B708" s="83"/>
      <c r="C708" s="100" t="s">
        <v>46</v>
      </c>
      <c r="D708" s="74"/>
      <c r="E708" s="84" t="s">
        <v>75</v>
      </c>
      <c r="F708" s="75"/>
      <c r="G708" s="22">
        <v>50.8</v>
      </c>
      <c r="H708" s="22">
        <v>5.4</v>
      </c>
      <c r="I708" s="22">
        <v>43.6</v>
      </c>
      <c r="J708" s="63">
        <f t="shared" si="530"/>
        <v>0.1938</v>
      </c>
      <c r="K708" s="22">
        <v>0.0062</v>
      </c>
      <c r="L708" s="22">
        <v>17.4</v>
      </c>
      <c r="M708" s="22">
        <v>75.9</v>
      </c>
      <c r="N708" s="22">
        <v>6.4</v>
      </c>
      <c r="O708" s="22">
        <v>0.3</v>
      </c>
      <c r="P708" s="76">
        <v>0.0</v>
      </c>
      <c r="Q708" s="25">
        <v>800.0</v>
      </c>
      <c r="R708" s="22" t="s">
        <v>51</v>
      </c>
      <c r="S708" s="25">
        <v>0.3</v>
      </c>
      <c r="T708" s="22" t="s">
        <v>51</v>
      </c>
      <c r="U708" s="25">
        <v>33.0132817991907</v>
      </c>
      <c r="V708" s="25">
        <v>26.9871653157998</v>
      </c>
      <c r="W708" s="25">
        <v>16.7686006045988</v>
      </c>
      <c r="X708" s="25">
        <v>8.90831907119312</v>
      </c>
      <c r="Y708" s="78">
        <f t="shared" si="512"/>
        <v>0.08603081363</v>
      </c>
      <c r="Z708" s="22" t="s">
        <v>51</v>
      </c>
      <c r="AA708" s="22" t="s">
        <v>51</v>
      </c>
      <c r="AB708" s="22" t="s">
        <v>51</v>
      </c>
      <c r="AC708" s="32">
        <f t="shared" si="513"/>
        <v>10165.46189</v>
      </c>
      <c r="AD708" s="22" t="s">
        <v>51</v>
      </c>
      <c r="AK708" s="33">
        <f t="shared" si="514"/>
        <v>0.006921428571</v>
      </c>
      <c r="AL708" s="33">
        <f t="shared" si="515"/>
        <v>8.038368718</v>
      </c>
      <c r="AM708" s="33">
        <f t="shared" si="516"/>
        <v>8.045290146</v>
      </c>
      <c r="AO708" s="34">
        <f t="shared" si="517"/>
        <v>32.9848802</v>
      </c>
      <c r="AP708" s="34">
        <f t="shared" si="518"/>
        <v>26.96394804</v>
      </c>
      <c r="AQ708" s="34">
        <f t="shared" si="519"/>
        <v>16.75417444</v>
      </c>
      <c r="AR708" s="34">
        <f t="shared" si="520"/>
        <v>8.900655172</v>
      </c>
      <c r="AS708" s="34">
        <f t="shared" si="521"/>
        <v>0.08603081363</v>
      </c>
      <c r="AT708" s="35">
        <f t="shared" si="15"/>
        <v>85.68968867</v>
      </c>
      <c r="AV708" s="32">
        <f t="shared" si="522"/>
        <v>10156.71646</v>
      </c>
    </row>
    <row r="709" ht="14.25" customHeight="1">
      <c r="B709" s="83"/>
      <c r="C709" s="100" t="s">
        <v>46</v>
      </c>
      <c r="D709" s="74"/>
      <c r="E709" s="84" t="s">
        <v>75</v>
      </c>
      <c r="F709" s="75"/>
      <c r="G709" s="22">
        <v>50.8</v>
      </c>
      <c r="H709" s="22">
        <v>5.4</v>
      </c>
      <c r="I709" s="22">
        <v>43.6</v>
      </c>
      <c r="J709" s="63">
        <f t="shared" si="530"/>
        <v>0.1938</v>
      </c>
      <c r="K709" s="22">
        <v>0.0062</v>
      </c>
      <c r="L709" s="22">
        <v>17.4</v>
      </c>
      <c r="M709" s="22">
        <v>75.9</v>
      </c>
      <c r="N709" s="22">
        <v>6.4</v>
      </c>
      <c r="O709" s="22">
        <v>0.3</v>
      </c>
      <c r="P709" s="76">
        <v>0.0</v>
      </c>
      <c r="Q709" s="25">
        <v>700.0</v>
      </c>
      <c r="R709" s="22" t="s">
        <v>51</v>
      </c>
      <c r="S709" s="25">
        <v>0.3</v>
      </c>
      <c r="T709" s="22" t="s">
        <v>51</v>
      </c>
      <c r="U709" s="25">
        <v>29.29</v>
      </c>
      <c r="V709" s="25">
        <v>40.59</v>
      </c>
      <c r="W709" s="25">
        <v>17.88</v>
      </c>
      <c r="X709" s="25">
        <v>12.39</v>
      </c>
      <c r="Y709" s="78">
        <f t="shared" si="512"/>
        <v>0.1157208361</v>
      </c>
      <c r="Z709" s="25">
        <v>0.35</v>
      </c>
      <c r="AA709" s="22" t="s">
        <v>51</v>
      </c>
      <c r="AB709" s="22" t="s">
        <v>51</v>
      </c>
      <c r="AC709" s="32">
        <f t="shared" si="513"/>
        <v>12729.61589</v>
      </c>
      <c r="AD709" s="25">
        <v>12400.0</v>
      </c>
      <c r="AK709" s="33">
        <f t="shared" si="514"/>
        <v>0.006921428571</v>
      </c>
      <c r="AL709" s="33">
        <f t="shared" si="515"/>
        <v>5.97422147</v>
      </c>
      <c r="AM709" s="33">
        <f t="shared" si="516"/>
        <v>5.981142898</v>
      </c>
      <c r="AO709" s="34">
        <f t="shared" si="517"/>
        <v>29.25610537</v>
      </c>
      <c r="AP709" s="34">
        <f t="shared" si="518"/>
        <v>40.54302891</v>
      </c>
      <c r="AQ709" s="34">
        <f t="shared" si="519"/>
        <v>17.85930911</v>
      </c>
      <c r="AR709" s="34">
        <f t="shared" si="520"/>
        <v>12.37566219</v>
      </c>
      <c r="AS709" s="34">
        <f t="shared" si="521"/>
        <v>0.1157208361</v>
      </c>
      <c r="AT709" s="35">
        <f t="shared" si="15"/>
        <v>100.1498264</v>
      </c>
      <c r="AV709" s="32">
        <f t="shared" si="522"/>
        <v>12714.88507</v>
      </c>
    </row>
    <row r="710" ht="14.25" customHeight="1">
      <c r="B710" s="83"/>
      <c r="C710" s="100" t="s">
        <v>46</v>
      </c>
      <c r="D710" s="74"/>
      <c r="E710" s="84" t="s">
        <v>75</v>
      </c>
      <c r="F710" s="75"/>
      <c r="G710" s="22">
        <v>50.8</v>
      </c>
      <c r="H710" s="22">
        <v>5.4</v>
      </c>
      <c r="I710" s="22">
        <v>43.6</v>
      </c>
      <c r="J710" s="63">
        <f t="shared" si="530"/>
        <v>0.1938</v>
      </c>
      <c r="K710" s="22">
        <v>0.0062</v>
      </c>
      <c r="L710" s="22">
        <v>17.4</v>
      </c>
      <c r="M710" s="22">
        <v>75.9</v>
      </c>
      <c r="N710" s="22">
        <v>6.4</v>
      </c>
      <c r="O710" s="22">
        <v>0.3</v>
      </c>
      <c r="P710" s="76">
        <v>0.0</v>
      </c>
      <c r="Q710" s="25">
        <v>800.0</v>
      </c>
      <c r="R710" s="22" t="s">
        <v>51</v>
      </c>
      <c r="S710" s="25">
        <v>0.3</v>
      </c>
      <c r="T710" s="22" t="s">
        <v>51</v>
      </c>
      <c r="U710" s="25">
        <v>37.96</v>
      </c>
      <c r="V710" s="25">
        <v>32.88</v>
      </c>
      <c r="W710" s="25">
        <v>18.73</v>
      </c>
      <c r="X710" s="25">
        <v>10.38</v>
      </c>
      <c r="Y710" s="78">
        <f t="shared" si="512"/>
        <v>0.1012499846</v>
      </c>
      <c r="Z710" s="25">
        <v>1.36</v>
      </c>
      <c r="AA710" s="22" t="s">
        <v>51</v>
      </c>
      <c r="AB710" s="22" t="s">
        <v>51</v>
      </c>
      <c r="AC710" s="32">
        <f t="shared" si="513"/>
        <v>11971.30482</v>
      </c>
      <c r="AD710" s="25">
        <v>12000.0</v>
      </c>
      <c r="AK710" s="33">
        <f t="shared" si="514"/>
        <v>0.006921428571</v>
      </c>
      <c r="AL710" s="33">
        <f t="shared" si="515"/>
        <v>6.82905845</v>
      </c>
      <c r="AM710" s="33">
        <f t="shared" si="516"/>
        <v>6.835979879</v>
      </c>
      <c r="AO710" s="34">
        <f t="shared" si="517"/>
        <v>37.92156551</v>
      </c>
      <c r="AP710" s="34">
        <f t="shared" si="518"/>
        <v>32.84670901</v>
      </c>
      <c r="AQ710" s="34">
        <f t="shared" si="519"/>
        <v>18.71103588</v>
      </c>
      <c r="AR710" s="34">
        <f t="shared" si="520"/>
        <v>10.36949025</v>
      </c>
      <c r="AS710" s="34">
        <f t="shared" si="521"/>
        <v>0.1012499846</v>
      </c>
      <c r="AT710" s="35">
        <f t="shared" si="15"/>
        <v>99.95005062</v>
      </c>
      <c r="AV710" s="32">
        <f t="shared" si="522"/>
        <v>11959.18388</v>
      </c>
    </row>
    <row r="711" ht="14.25" customHeight="1">
      <c r="B711" s="83"/>
      <c r="C711" s="100" t="s">
        <v>46</v>
      </c>
      <c r="D711" s="74"/>
      <c r="E711" s="84" t="s">
        <v>75</v>
      </c>
      <c r="F711" s="75"/>
      <c r="G711" s="22">
        <v>50.8</v>
      </c>
      <c r="H711" s="22">
        <v>5.4</v>
      </c>
      <c r="I711" s="22">
        <v>43.6</v>
      </c>
      <c r="J711" s="63">
        <f t="shared" si="530"/>
        <v>0.1938</v>
      </c>
      <c r="K711" s="22">
        <v>0.0062</v>
      </c>
      <c r="L711" s="22">
        <v>17.4</v>
      </c>
      <c r="M711" s="22">
        <v>75.9</v>
      </c>
      <c r="N711" s="22">
        <v>6.4</v>
      </c>
      <c r="O711" s="22">
        <v>0.3</v>
      </c>
      <c r="P711" s="76">
        <v>0.0</v>
      </c>
      <c r="Q711" s="25">
        <v>900.0</v>
      </c>
      <c r="R711" s="22" t="s">
        <v>51</v>
      </c>
      <c r="S711" s="25">
        <v>0.3</v>
      </c>
      <c r="T711" s="22" t="s">
        <v>51</v>
      </c>
      <c r="U711" s="25">
        <v>44.29</v>
      </c>
      <c r="V711" s="25">
        <v>26.88</v>
      </c>
      <c r="W711" s="25">
        <v>20.42</v>
      </c>
      <c r="X711" s="25">
        <v>8.38</v>
      </c>
      <c r="Y711" s="78">
        <f t="shared" si="512"/>
        <v>0.09095306062</v>
      </c>
      <c r="Z711" s="25">
        <v>1.1</v>
      </c>
      <c r="AA711" s="22" t="s">
        <v>51</v>
      </c>
      <c r="AB711" s="22" t="s">
        <v>51</v>
      </c>
      <c r="AC711" s="32">
        <f t="shared" si="513"/>
        <v>11180.00152</v>
      </c>
      <c r="AD711" s="25">
        <v>11700.0</v>
      </c>
      <c r="AK711" s="33">
        <f t="shared" si="514"/>
        <v>0.006921428571</v>
      </c>
      <c r="AL711" s="33">
        <f t="shared" si="515"/>
        <v>7.602969349</v>
      </c>
      <c r="AM711" s="33">
        <f t="shared" si="516"/>
        <v>7.609890777</v>
      </c>
      <c r="AO711" s="34">
        <f t="shared" si="517"/>
        <v>44.24971689</v>
      </c>
      <c r="AP711" s="34">
        <f t="shared" si="518"/>
        <v>26.85555182</v>
      </c>
      <c r="AQ711" s="34">
        <f t="shared" si="519"/>
        <v>20.40142739</v>
      </c>
      <c r="AR711" s="34">
        <f t="shared" si="520"/>
        <v>8.372378134</v>
      </c>
      <c r="AS711" s="34">
        <f t="shared" si="521"/>
        <v>0.09095306062</v>
      </c>
      <c r="AT711" s="35">
        <f t="shared" si="15"/>
        <v>99.97002729</v>
      </c>
      <c r="AV711" s="32">
        <f t="shared" si="522"/>
        <v>11169.83296</v>
      </c>
    </row>
    <row r="712" ht="14.25" customHeight="1">
      <c r="B712" s="83"/>
      <c r="C712" s="100" t="s">
        <v>46</v>
      </c>
      <c r="D712" s="74"/>
      <c r="E712" s="84" t="s">
        <v>75</v>
      </c>
      <c r="F712" s="75"/>
      <c r="G712" s="22">
        <v>50.8</v>
      </c>
      <c r="H712" s="22">
        <v>5.4</v>
      </c>
      <c r="I712" s="22">
        <v>43.6</v>
      </c>
      <c r="J712" s="63">
        <f t="shared" si="530"/>
        <v>0.1938</v>
      </c>
      <c r="K712" s="22">
        <v>0.0062</v>
      </c>
      <c r="L712" s="22">
        <v>17.4</v>
      </c>
      <c r="M712" s="22">
        <v>75.9</v>
      </c>
      <c r="N712" s="22">
        <v>6.4</v>
      </c>
      <c r="O712" s="22">
        <v>0.3</v>
      </c>
      <c r="P712" s="76">
        <v>0.0</v>
      </c>
      <c r="Q712" s="25">
        <v>750.0</v>
      </c>
      <c r="R712" s="22" t="s">
        <v>51</v>
      </c>
      <c r="S712" s="25">
        <v>0.6</v>
      </c>
      <c r="T712" s="22" t="s">
        <v>51</v>
      </c>
      <c r="U712" s="25">
        <v>50.64</v>
      </c>
      <c r="V712" s="25">
        <v>29.01</v>
      </c>
      <c r="W712" s="25">
        <v>18.96</v>
      </c>
      <c r="X712" s="25">
        <v>7.1</v>
      </c>
      <c r="Y712" s="78">
        <f t="shared" si="512"/>
        <v>0.08995752439</v>
      </c>
      <c r="Z712" s="22" t="s">
        <v>51</v>
      </c>
      <c r="AA712" s="22" t="s">
        <v>51</v>
      </c>
      <c r="AB712" s="22" t="s">
        <v>51</v>
      </c>
      <c r="AC712" s="32">
        <f t="shared" si="513"/>
        <v>11675.98071</v>
      </c>
      <c r="AD712" s="22" t="s">
        <v>51</v>
      </c>
      <c r="AK712" s="33">
        <f t="shared" si="514"/>
        <v>0.006921428571</v>
      </c>
      <c r="AL712" s="33">
        <f t="shared" si="515"/>
        <v>7.687186006</v>
      </c>
      <c r="AM712" s="33">
        <f t="shared" si="516"/>
        <v>7.694107434</v>
      </c>
      <c r="AO712" s="34">
        <f t="shared" si="517"/>
        <v>50.59444551</v>
      </c>
      <c r="AP712" s="34">
        <f t="shared" si="518"/>
        <v>28.98390332</v>
      </c>
      <c r="AQ712" s="34">
        <f t="shared" si="519"/>
        <v>18.94294405</v>
      </c>
      <c r="AR712" s="34">
        <f t="shared" si="520"/>
        <v>7.093613016</v>
      </c>
      <c r="AS712" s="34">
        <f t="shared" si="521"/>
        <v>0.08995752439</v>
      </c>
      <c r="AT712" s="35">
        <f t="shared" si="15"/>
        <v>105.7048634</v>
      </c>
      <c r="AV712" s="32">
        <f t="shared" si="522"/>
        <v>11665.47729</v>
      </c>
    </row>
    <row r="713" ht="14.25" customHeight="1">
      <c r="B713" s="83"/>
      <c r="C713" s="100" t="s">
        <v>46</v>
      </c>
      <c r="D713" s="74"/>
      <c r="E713" s="84" t="s">
        <v>75</v>
      </c>
      <c r="F713" s="75"/>
      <c r="G713" s="22">
        <v>50.8</v>
      </c>
      <c r="H713" s="22">
        <v>5.4</v>
      </c>
      <c r="I713" s="22">
        <v>43.6</v>
      </c>
      <c r="J713" s="63">
        <f t="shared" si="530"/>
        <v>0.1938</v>
      </c>
      <c r="K713" s="22">
        <v>0.0062</v>
      </c>
      <c r="L713" s="22">
        <v>17.4</v>
      </c>
      <c r="M713" s="22">
        <v>75.9</v>
      </c>
      <c r="N713" s="22">
        <v>6.4</v>
      </c>
      <c r="O713" s="22">
        <v>0.3</v>
      </c>
      <c r="P713" s="76">
        <v>0.0</v>
      </c>
      <c r="Q713" s="25">
        <v>750.0</v>
      </c>
      <c r="R713" s="22" t="s">
        <v>51</v>
      </c>
      <c r="S713" s="25">
        <v>1.0</v>
      </c>
      <c r="T713" s="22" t="s">
        <v>51</v>
      </c>
      <c r="U713" s="25">
        <v>51.57</v>
      </c>
      <c r="V713" s="25">
        <v>23.94</v>
      </c>
      <c r="W713" s="25">
        <v>23.38</v>
      </c>
      <c r="X713" s="25">
        <v>6.36</v>
      </c>
      <c r="Y713" s="78">
        <f t="shared" si="512"/>
        <v>0.08768893329</v>
      </c>
      <c r="Z713" s="22" t="s">
        <v>51</v>
      </c>
      <c r="AA713" s="22" t="s">
        <v>51</v>
      </c>
      <c r="AB713" s="22" t="s">
        <v>51</v>
      </c>
      <c r="AC713" s="32">
        <f t="shared" si="513"/>
        <v>10870.68777</v>
      </c>
      <c r="AD713" s="22" t="s">
        <v>51</v>
      </c>
      <c r="AK713" s="33">
        <f t="shared" si="514"/>
        <v>0.006921428571</v>
      </c>
      <c r="AL713" s="33">
        <f t="shared" si="515"/>
        <v>7.886239444</v>
      </c>
      <c r="AM713" s="33">
        <f t="shared" si="516"/>
        <v>7.893160872</v>
      </c>
      <c r="AO713" s="34">
        <f t="shared" si="517"/>
        <v>51.52477882</v>
      </c>
      <c r="AP713" s="34">
        <f t="shared" si="518"/>
        <v>23.91900727</v>
      </c>
      <c r="AQ713" s="34">
        <f t="shared" si="519"/>
        <v>23.35949833</v>
      </c>
      <c r="AR713" s="34">
        <f t="shared" si="520"/>
        <v>6.354422984</v>
      </c>
      <c r="AS713" s="34">
        <f t="shared" si="521"/>
        <v>0.08768893329</v>
      </c>
      <c r="AT713" s="35">
        <f t="shared" si="15"/>
        <v>105.2453963</v>
      </c>
      <c r="AV713" s="32">
        <f t="shared" si="522"/>
        <v>10861.15538</v>
      </c>
    </row>
    <row r="714" ht="14.25" customHeight="1">
      <c r="B714" s="83"/>
      <c r="C714" s="100" t="s">
        <v>46</v>
      </c>
      <c r="D714" s="74"/>
      <c r="E714" s="84" t="s">
        <v>75</v>
      </c>
      <c r="F714" s="75"/>
      <c r="G714" s="22">
        <v>50.8</v>
      </c>
      <c r="H714" s="22">
        <v>5.4</v>
      </c>
      <c r="I714" s="22">
        <v>43.6</v>
      </c>
      <c r="J714" s="63">
        <f t="shared" si="530"/>
        <v>0.1938</v>
      </c>
      <c r="K714" s="22">
        <v>0.0062</v>
      </c>
      <c r="L714" s="22">
        <v>17.4</v>
      </c>
      <c r="M714" s="22">
        <v>75.9</v>
      </c>
      <c r="N714" s="22">
        <v>6.4</v>
      </c>
      <c r="O714" s="22">
        <v>0.3</v>
      </c>
      <c r="P714" s="76">
        <v>0.0</v>
      </c>
      <c r="Q714" s="25">
        <v>750.0</v>
      </c>
      <c r="R714" s="22" t="s">
        <v>51</v>
      </c>
      <c r="S714" s="25">
        <v>1.3</v>
      </c>
      <c r="T714" s="22" t="s">
        <v>51</v>
      </c>
      <c r="U714" s="25">
        <v>54.04</v>
      </c>
      <c r="V714" s="25">
        <v>20.83</v>
      </c>
      <c r="W714" s="25">
        <v>24.32</v>
      </c>
      <c r="X714" s="25">
        <v>6.46</v>
      </c>
      <c r="Y714" s="78">
        <f t="shared" si="512"/>
        <v>0.08431033688</v>
      </c>
      <c r="Z714" s="22" t="s">
        <v>51</v>
      </c>
      <c r="AA714" s="22" t="s">
        <v>51</v>
      </c>
      <c r="AB714" s="22" t="s">
        <v>51</v>
      </c>
      <c r="AC714" s="32">
        <f t="shared" si="513"/>
        <v>10780.25357</v>
      </c>
      <c r="AD714" s="22" t="s">
        <v>51</v>
      </c>
      <c r="AK714" s="33">
        <f t="shared" si="514"/>
        <v>0.006921428571</v>
      </c>
      <c r="AL714" s="33">
        <f t="shared" si="515"/>
        <v>8.202544726</v>
      </c>
      <c r="AM714" s="33">
        <f t="shared" si="516"/>
        <v>8.209466155</v>
      </c>
      <c r="AO714" s="34">
        <f t="shared" si="517"/>
        <v>53.99443869</v>
      </c>
      <c r="AP714" s="34">
        <f t="shared" si="518"/>
        <v>20.81243816</v>
      </c>
      <c r="AQ714" s="34">
        <f t="shared" si="519"/>
        <v>24.29949573</v>
      </c>
      <c r="AR714" s="34">
        <f t="shared" si="520"/>
        <v>6.454553552</v>
      </c>
      <c r="AS714" s="34">
        <f t="shared" si="521"/>
        <v>0.08431033688</v>
      </c>
      <c r="AT714" s="35">
        <f t="shared" si="15"/>
        <v>105.6452365</v>
      </c>
      <c r="AV714" s="32">
        <f t="shared" si="522"/>
        <v>10771.1647</v>
      </c>
    </row>
    <row r="715" ht="14.25" customHeight="1">
      <c r="B715" s="83"/>
      <c r="C715" s="100" t="s">
        <v>46</v>
      </c>
      <c r="D715" s="74"/>
      <c r="E715" s="84" t="s">
        <v>75</v>
      </c>
      <c r="F715" s="75"/>
      <c r="G715" s="22">
        <v>50.8</v>
      </c>
      <c r="H715" s="22">
        <v>5.4</v>
      </c>
      <c r="I715" s="22">
        <v>43.6</v>
      </c>
      <c r="J715" s="63">
        <f t="shared" si="530"/>
        <v>0.1938</v>
      </c>
      <c r="K715" s="22">
        <v>0.0062</v>
      </c>
      <c r="L715" s="22">
        <v>17.4</v>
      </c>
      <c r="M715" s="22">
        <v>75.9</v>
      </c>
      <c r="N715" s="22">
        <v>6.4</v>
      </c>
      <c r="O715" s="22">
        <v>0.3</v>
      </c>
      <c r="P715" s="76">
        <v>0.0</v>
      </c>
      <c r="Q715" s="25">
        <v>750.0</v>
      </c>
      <c r="R715" s="22" t="s">
        <v>51</v>
      </c>
      <c r="S715" s="25">
        <v>1.7</v>
      </c>
      <c r="T715" s="22" t="s">
        <v>51</v>
      </c>
      <c r="U715" s="25">
        <v>54.69</v>
      </c>
      <c r="V715" s="25">
        <v>18.28</v>
      </c>
      <c r="W715" s="25">
        <v>26.09</v>
      </c>
      <c r="X715" s="25">
        <v>6.14</v>
      </c>
      <c r="Y715" s="78">
        <f t="shared" si="512"/>
        <v>0.08251485451</v>
      </c>
      <c r="Z715" s="22" t="s">
        <v>51</v>
      </c>
      <c r="AA715" s="22" t="s">
        <v>51</v>
      </c>
      <c r="AB715" s="22" t="s">
        <v>51</v>
      </c>
      <c r="AC715" s="32">
        <f t="shared" si="513"/>
        <v>10413.59938</v>
      </c>
      <c r="AD715" s="22" t="s">
        <v>51</v>
      </c>
      <c r="AK715" s="33">
        <f t="shared" si="514"/>
        <v>0.006921428571</v>
      </c>
      <c r="AL715" s="33">
        <f t="shared" si="515"/>
        <v>8.381178644</v>
      </c>
      <c r="AM715" s="33">
        <f t="shared" si="516"/>
        <v>8.388100073</v>
      </c>
      <c r="AO715" s="34">
        <f t="shared" si="517"/>
        <v>54.64487263</v>
      </c>
      <c r="AP715" s="34">
        <f t="shared" si="518"/>
        <v>18.26491628</v>
      </c>
      <c r="AQ715" s="34">
        <f t="shared" si="519"/>
        <v>26.06847187</v>
      </c>
      <c r="AR715" s="34">
        <f t="shared" si="520"/>
        <v>6.134933588</v>
      </c>
      <c r="AS715" s="34">
        <f t="shared" si="521"/>
        <v>0.08251485451</v>
      </c>
      <c r="AT715" s="35">
        <f t="shared" si="15"/>
        <v>105.1957092</v>
      </c>
      <c r="AV715" s="32">
        <f t="shared" si="522"/>
        <v>10405.00661</v>
      </c>
    </row>
    <row r="716" ht="14.25" customHeight="1">
      <c r="B716" s="83"/>
      <c r="C716" s="100" t="s">
        <v>46</v>
      </c>
      <c r="D716" s="74"/>
      <c r="E716" s="84" t="s">
        <v>75</v>
      </c>
      <c r="F716" s="75"/>
      <c r="G716" s="22">
        <v>50.8</v>
      </c>
      <c r="H716" s="22">
        <v>5.4</v>
      </c>
      <c r="I716" s="22">
        <v>43.6</v>
      </c>
      <c r="J716" s="63">
        <f t="shared" si="530"/>
        <v>0.1938</v>
      </c>
      <c r="K716" s="22">
        <v>0.0062</v>
      </c>
      <c r="L716" s="22">
        <v>17.4</v>
      </c>
      <c r="M716" s="22">
        <v>75.9</v>
      </c>
      <c r="N716" s="22">
        <v>6.4</v>
      </c>
      <c r="O716" s="22">
        <v>0.3</v>
      </c>
      <c r="P716" s="76">
        <v>0.0</v>
      </c>
      <c r="Q716" s="25">
        <v>750.0</v>
      </c>
      <c r="R716" s="22" t="s">
        <v>51</v>
      </c>
      <c r="S716" s="25">
        <v>0.5</v>
      </c>
      <c r="T716" s="22" t="s">
        <v>51</v>
      </c>
      <c r="U716" s="22">
        <v>39.63</v>
      </c>
      <c r="V716" s="22">
        <v>31.38</v>
      </c>
      <c r="W716" s="22">
        <v>12.66</v>
      </c>
      <c r="X716" s="22">
        <v>10.6</v>
      </c>
      <c r="Y716" s="78">
        <f t="shared" si="512"/>
        <v>0.08925574102</v>
      </c>
      <c r="Z716" s="22" t="s">
        <v>51</v>
      </c>
      <c r="AA716" s="22" t="s">
        <v>51</v>
      </c>
      <c r="AB716" s="22" t="s">
        <v>51</v>
      </c>
      <c r="AC716" s="25">
        <v>13922.59</v>
      </c>
      <c r="AD716" s="22" t="s">
        <v>51</v>
      </c>
      <c r="AK716" s="33">
        <f t="shared" si="514"/>
        <v>0.006921428571</v>
      </c>
      <c r="AL716" s="33">
        <f t="shared" si="515"/>
        <v>7.747681796</v>
      </c>
      <c r="AM716" s="33">
        <f t="shared" si="516"/>
        <v>7.754603225</v>
      </c>
      <c r="AO716" s="34">
        <f t="shared" si="517"/>
        <v>39.59462795</v>
      </c>
      <c r="AP716" s="34">
        <f t="shared" si="518"/>
        <v>31.35199155</v>
      </c>
      <c r="AQ716" s="34">
        <f t="shared" si="519"/>
        <v>12.64870022</v>
      </c>
      <c r="AR716" s="34">
        <f t="shared" si="520"/>
        <v>10.59053889</v>
      </c>
      <c r="AS716" s="34">
        <f t="shared" si="521"/>
        <v>0.08925574102</v>
      </c>
      <c r="AT716" s="35">
        <f t="shared" si="15"/>
        <v>94.27511435</v>
      </c>
      <c r="AV716" s="25">
        <f t="shared" ref="AV716:AV721" si="531">AC716</f>
        <v>13922.59</v>
      </c>
    </row>
    <row r="717" ht="14.25" customHeight="1">
      <c r="B717" s="83"/>
      <c r="C717" s="100" t="s">
        <v>46</v>
      </c>
      <c r="D717" s="74"/>
      <c r="E717" s="84" t="s">
        <v>75</v>
      </c>
      <c r="F717" s="75"/>
      <c r="G717" s="22">
        <v>50.8</v>
      </c>
      <c r="H717" s="22">
        <v>5.4</v>
      </c>
      <c r="I717" s="22">
        <v>43.6</v>
      </c>
      <c r="J717" s="63">
        <f t="shared" si="530"/>
        <v>0.1938</v>
      </c>
      <c r="K717" s="22">
        <v>0.0062</v>
      </c>
      <c r="L717" s="22">
        <v>17.4</v>
      </c>
      <c r="M717" s="22">
        <v>75.9</v>
      </c>
      <c r="N717" s="22">
        <v>6.4</v>
      </c>
      <c r="O717" s="22">
        <v>0.3</v>
      </c>
      <c r="P717" s="76">
        <v>0.0</v>
      </c>
      <c r="Q717" s="25">
        <v>750.0</v>
      </c>
      <c r="R717" s="22" t="s">
        <v>51</v>
      </c>
      <c r="S717" s="25">
        <v>0.8</v>
      </c>
      <c r="T717" s="22" t="s">
        <v>51</v>
      </c>
      <c r="U717" s="22">
        <v>55.21</v>
      </c>
      <c r="V717" s="22">
        <v>21.08</v>
      </c>
      <c r="W717" s="22">
        <v>13.51</v>
      </c>
      <c r="X717" s="22">
        <v>7.6</v>
      </c>
      <c r="Y717" s="78">
        <f t="shared" si="512"/>
        <v>0.06893238861</v>
      </c>
      <c r="Z717" s="22" t="s">
        <v>51</v>
      </c>
      <c r="AA717" s="22" t="s">
        <v>51</v>
      </c>
      <c r="AB717" s="22" t="s">
        <v>51</v>
      </c>
      <c r="AC717" s="25">
        <v>12321.37</v>
      </c>
      <c r="AD717" s="22" t="s">
        <v>51</v>
      </c>
      <c r="AK717" s="33">
        <f t="shared" si="514"/>
        <v>0.006921428571</v>
      </c>
      <c r="AL717" s="33">
        <f t="shared" si="515"/>
        <v>10.0339733</v>
      </c>
      <c r="AM717" s="33">
        <f t="shared" si="516"/>
        <v>10.04089472</v>
      </c>
      <c r="AO717" s="34">
        <f t="shared" si="517"/>
        <v>55.17194243</v>
      </c>
      <c r="AP717" s="34">
        <f t="shared" si="518"/>
        <v>21.06546905</v>
      </c>
      <c r="AQ717" s="34">
        <f t="shared" si="519"/>
        <v>13.50068723</v>
      </c>
      <c r="AR717" s="34">
        <f t="shared" si="520"/>
        <v>7.594761138</v>
      </c>
      <c r="AS717" s="34">
        <f t="shared" si="521"/>
        <v>0.06893238861</v>
      </c>
      <c r="AT717" s="35">
        <f t="shared" si="15"/>
        <v>97.40179224</v>
      </c>
      <c r="AV717" s="25">
        <f t="shared" si="531"/>
        <v>12321.37</v>
      </c>
    </row>
    <row r="718" ht="14.25" customHeight="1">
      <c r="B718" s="83"/>
      <c r="C718" s="100" t="s">
        <v>46</v>
      </c>
      <c r="D718" s="74"/>
      <c r="E718" s="84" t="s">
        <v>75</v>
      </c>
      <c r="F718" s="75"/>
      <c r="G718" s="22">
        <v>50.8</v>
      </c>
      <c r="H718" s="22">
        <v>5.4</v>
      </c>
      <c r="I718" s="22">
        <v>43.6</v>
      </c>
      <c r="J718" s="63">
        <f t="shared" si="530"/>
        <v>0.1938</v>
      </c>
      <c r="K718" s="22">
        <v>0.0062</v>
      </c>
      <c r="L718" s="22">
        <v>17.4</v>
      </c>
      <c r="M718" s="22">
        <v>75.9</v>
      </c>
      <c r="N718" s="22">
        <v>6.4</v>
      </c>
      <c r="O718" s="22">
        <v>0.3</v>
      </c>
      <c r="P718" s="76">
        <v>0.0</v>
      </c>
      <c r="Q718" s="25">
        <v>750.0</v>
      </c>
      <c r="R718" s="22" t="s">
        <v>51</v>
      </c>
      <c r="S718" s="25">
        <v>1.1</v>
      </c>
      <c r="T718" s="22" t="s">
        <v>51</v>
      </c>
      <c r="U718" s="22">
        <v>56.46</v>
      </c>
      <c r="V718" s="22">
        <v>17.66</v>
      </c>
      <c r="W718" s="22">
        <v>15.87</v>
      </c>
      <c r="X718" s="22">
        <v>6.92</v>
      </c>
      <c r="Y718" s="78">
        <f t="shared" si="512"/>
        <v>0.06609135793</v>
      </c>
      <c r="Z718" s="22" t="s">
        <v>51</v>
      </c>
      <c r="AA718" s="22" t="s">
        <v>51</v>
      </c>
      <c r="AB718" s="22" t="s">
        <v>51</v>
      </c>
      <c r="AC718" s="25">
        <v>11828.26</v>
      </c>
      <c r="AD718" s="22" t="s">
        <v>51</v>
      </c>
      <c r="AK718" s="33">
        <f t="shared" si="514"/>
        <v>0.006921428571</v>
      </c>
      <c r="AL718" s="33">
        <f t="shared" si="515"/>
        <v>10.46559539</v>
      </c>
      <c r="AM718" s="33">
        <f t="shared" si="516"/>
        <v>10.47251681</v>
      </c>
      <c r="AO718" s="34">
        <f t="shared" si="517"/>
        <v>56.42268482</v>
      </c>
      <c r="AP718" s="34">
        <f t="shared" si="518"/>
        <v>17.64832827</v>
      </c>
      <c r="AQ718" s="34">
        <f t="shared" si="519"/>
        <v>15.8595113</v>
      </c>
      <c r="AR718" s="34">
        <f t="shared" si="520"/>
        <v>6.915426478</v>
      </c>
      <c r="AS718" s="34">
        <f t="shared" si="521"/>
        <v>0.06609135793</v>
      </c>
      <c r="AT718" s="35">
        <f t="shared" si="15"/>
        <v>96.91204222</v>
      </c>
      <c r="AV718" s="25">
        <f t="shared" si="531"/>
        <v>11828.26</v>
      </c>
    </row>
    <row r="719" ht="14.25" customHeight="1">
      <c r="B719" s="83"/>
      <c r="C719" s="100" t="s">
        <v>46</v>
      </c>
      <c r="D719" s="74"/>
      <c r="E719" s="84" t="s">
        <v>75</v>
      </c>
      <c r="F719" s="75"/>
      <c r="G719" s="22">
        <v>50.8</v>
      </c>
      <c r="H719" s="22">
        <v>5.4</v>
      </c>
      <c r="I719" s="22">
        <v>43.6</v>
      </c>
      <c r="J719" s="63">
        <f t="shared" si="530"/>
        <v>0.1938</v>
      </c>
      <c r="K719" s="22">
        <v>0.0062</v>
      </c>
      <c r="L719" s="22">
        <v>17.4</v>
      </c>
      <c r="M719" s="22">
        <v>75.9</v>
      </c>
      <c r="N719" s="22">
        <v>6.4</v>
      </c>
      <c r="O719" s="22">
        <v>0.3</v>
      </c>
      <c r="P719" s="76">
        <v>0.0</v>
      </c>
      <c r="Q719" s="25">
        <v>750.0</v>
      </c>
      <c r="R719" s="22" t="s">
        <v>51</v>
      </c>
      <c r="S719" s="25">
        <v>1.6</v>
      </c>
      <c r="T719" s="22" t="s">
        <v>51</v>
      </c>
      <c r="U719" s="22">
        <v>59.11</v>
      </c>
      <c r="V719" s="22">
        <v>13.7</v>
      </c>
      <c r="W719" s="22">
        <v>18.11</v>
      </c>
      <c r="X719" s="22">
        <v>5.31</v>
      </c>
      <c r="Y719" s="78">
        <f t="shared" si="512"/>
        <v>0.06065376256</v>
      </c>
      <c r="Z719" s="22" t="s">
        <v>51</v>
      </c>
      <c r="AA719" s="22" t="s">
        <v>51</v>
      </c>
      <c r="AB719" s="22" t="s">
        <v>51</v>
      </c>
      <c r="AC719" s="25">
        <v>11130.32</v>
      </c>
      <c r="AD719" s="22" t="s">
        <v>51</v>
      </c>
      <c r="AK719" s="33">
        <f t="shared" si="514"/>
        <v>0.006921428571</v>
      </c>
      <c r="AL719" s="33">
        <f t="shared" si="515"/>
        <v>11.40445402</v>
      </c>
      <c r="AM719" s="33">
        <f t="shared" si="516"/>
        <v>11.41137545</v>
      </c>
      <c r="AO719" s="34">
        <f t="shared" si="517"/>
        <v>59.07414756</v>
      </c>
      <c r="AP719" s="34">
        <f t="shared" si="518"/>
        <v>13.69169043</v>
      </c>
      <c r="AQ719" s="34">
        <f t="shared" si="519"/>
        <v>18.0990156</v>
      </c>
      <c r="AR719" s="34">
        <f t="shared" si="520"/>
        <v>5.306779285</v>
      </c>
      <c r="AS719" s="34">
        <f t="shared" si="521"/>
        <v>0.06065376256</v>
      </c>
      <c r="AT719" s="35">
        <f t="shared" si="15"/>
        <v>96.23228665</v>
      </c>
      <c r="AV719" s="25">
        <f t="shared" si="531"/>
        <v>11130.32</v>
      </c>
    </row>
    <row r="720" ht="14.25" customHeight="1">
      <c r="B720" s="83"/>
      <c r="C720" s="100" t="s">
        <v>46</v>
      </c>
      <c r="D720" s="74"/>
      <c r="E720" s="84" t="s">
        <v>75</v>
      </c>
      <c r="F720" s="75"/>
      <c r="G720" s="22">
        <v>50.8</v>
      </c>
      <c r="H720" s="22">
        <v>5.4</v>
      </c>
      <c r="I720" s="22">
        <v>43.6</v>
      </c>
      <c r="J720" s="63">
        <f t="shared" si="530"/>
        <v>0.1938</v>
      </c>
      <c r="K720" s="22">
        <v>0.0062</v>
      </c>
      <c r="L720" s="22">
        <v>17.4</v>
      </c>
      <c r="M720" s="22">
        <v>75.9</v>
      </c>
      <c r="N720" s="22">
        <v>6.4</v>
      </c>
      <c r="O720" s="22">
        <v>0.3</v>
      </c>
      <c r="P720" s="76">
        <v>0.0</v>
      </c>
      <c r="Q720" s="25">
        <v>750.0</v>
      </c>
      <c r="R720" s="22" t="s">
        <v>51</v>
      </c>
      <c r="S720" s="25">
        <v>1.8</v>
      </c>
      <c r="T720" s="22" t="s">
        <v>51</v>
      </c>
      <c r="U720" s="22">
        <v>57.89</v>
      </c>
      <c r="V720" s="22">
        <v>14.4</v>
      </c>
      <c r="W720" s="22">
        <v>18.81</v>
      </c>
      <c r="X720" s="22">
        <v>4.91</v>
      </c>
      <c r="Y720" s="78">
        <f t="shared" si="512"/>
        <v>0.06228673625</v>
      </c>
      <c r="Z720" s="22" t="s">
        <v>51</v>
      </c>
      <c r="AA720" s="22" t="s">
        <v>51</v>
      </c>
      <c r="AB720" s="22" t="s">
        <v>51</v>
      </c>
      <c r="AC720" s="25">
        <v>10906.35</v>
      </c>
      <c r="AD720" s="22" t="s">
        <v>51</v>
      </c>
      <c r="AK720" s="33">
        <f t="shared" si="514"/>
        <v>0.006921428571</v>
      </c>
      <c r="AL720" s="33">
        <f t="shared" si="515"/>
        <v>11.10528157</v>
      </c>
      <c r="AM720" s="33">
        <f t="shared" si="516"/>
        <v>11.112203</v>
      </c>
      <c r="AO720" s="34">
        <f t="shared" si="517"/>
        <v>57.85394221</v>
      </c>
      <c r="AP720" s="34">
        <f t="shared" si="518"/>
        <v>14.39103071</v>
      </c>
      <c r="AQ720" s="34">
        <f t="shared" si="519"/>
        <v>18.79828386</v>
      </c>
      <c r="AR720" s="34">
        <f t="shared" si="520"/>
        <v>4.906941721</v>
      </c>
      <c r="AS720" s="34">
        <f t="shared" si="521"/>
        <v>0.06228673625</v>
      </c>
      <c r="AT720" s="35">
        <f t="shared" si="15"/>
        <v>96.01248524</v>
      </c>
      <c r="AV720" s="25">
        <f t="shared" si="531"/>
        <v>10906.35</v>
      </c>
    </row>
    <row r="721" ht="14.25" customHeight="1">
      <c r="B721" s="83"/>
      <c r="C721" s="100" t="s">
        <v>46</v>
      </c>
      <c r="D721" s="74"/>
      <c r="E721" s="84" t="s">
        <v>75</v>
      </c>
      <c r="F721" s="75"/>
      <c r="G721" s="22">
        <v>50.8</v>
      </c>
      <c r="H721" s="22">
        <v>5.4</v>
      </c>
      <c r="I721" s="22">
        <v>43.6</v>
      </c>
      <c r="J721" s="63">
        <f t="shared" si="530"/>
        <v>0.1938</v>
      </c>
      <c r="K721" s="22">
        <v>0.0062</v>
      </c>
      <c r="L721" s="22">
        <v>17.4</v>
      </c>
      <c r="M721" s="22">
        <v>75.9</v>
      </c>
      <c r="N721" s="22">
        <v>6.4</v>
      </c>
      <c r="O721" s="22">
        <v>0.3</v>
      </c>
      <c r="P721" s="76">
        <v>0.0</v>
      </c>
      <c r="Q721" s="25">
        <v>750.0</v>
      </c>
      <c r="R721" s="22" t="s">
        <v>51</v>
      </c>
      <c r="S721" s="25">
        <v>2.6</v>
      </c>
      <c r="T721" s="22" t="s">
        <v>51</v>
      </c>
      <c r="U721" s="22">
        <v>58.36</v>
      </c>
      <c r="V721" s="22">
        <v>10.06</v>
      </c>
      <c r="W721" s="22">
        <v>26.98</v>
      </c>
      <c r="X721" s="22">
        <v>3.04</v>
      </c>
      <c r="Y721" s="78">
        <f t="shared" si="512"/>
        <v>0.06548720988</v>
      </c>
      <c r="Z721" s="22" t="s">
        <v>51</v>
      </c>
      <c r="AA721" s="22" t="s">
        <v>51</v>
      </c>
      <c r="AB721" s="22" t="s">
        <v>51</v>
      </c>
      <c r="AC721" s="25">
        <v>9331.08</v>
      </c>
      <c r="AD721" s="22" t="s">
        <v>51</v>
      </c>
      <c r="AK721" s="33">
        <f t="shared" si="514"/>
        <v>0.006921428571</v>
      </c>
      <c r="AL721" s="33">
        <f t="shared" si="515"/>
        <v>10.56220892</v>
      </c>
      <c r="AM721" s="33">
        <f t="shared" si="516"/>
        <v>10.56913034</v>
      </c>
      <c r="AO721" s="34">
        <f t="shared" si="517"/>
        <v>58.32178166</v>
      </c>
      <c r="AP721" s="34">
        <f t="shared" si="518"/>
        <v>10.05341199</v>
      </c>
      <c r="AQ721" s="34">
        <f t="shared" si="519"/>
        <v>26.96233155</v>
      </c>
      <c r="AR721" s="34">
        <f t="shared" si="520"/>
        <v>3.038009189</v>
      </c>
      <c r="AS721" s="34">
        <f t="shared" si="521"/>
        <v>0.06548720988</v>
      </c>
      <c r="AT721" s="35">
        <f t="shared" si="15"/>
        <v>98.4410216</v>
      </c>
      <c r="AV721" s="25">
        <f t="shared" si="531"/>
        <v>9331.08</v>
      </c>
    </row>
  </sheetData>
  <autoFilter ref="$A$3:$AX$721"/>
  <mergeCells count="2">
    <mergeCell ref="G2:S2"/>
    <mergeCell ref="U2:AD2"/>
  </mergeCells>
  <printOptions/>
  <pageMargins bottom="0.787401575" footer="0.0" header="0.0" left="0.511811024" right="0.511811024" top="0.787401575"/>
  <pageSetup paperSize="9" orientation="portrait"/>
  <headerFooter>
    <oddHeader>&amp;RB00000CONFIDENTIAL#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10.0"/>
    <col customWidth="1" min="4" max="26" width="8.71"/>
  </cols>
  <sheetData>
    <row r="1" ht="14.25" customHeight="1"/>
    <row r="2" ht="14.25" customHeight="1"/>
    <row r="3" ht="14.25" customHeight="1"/>
    <row r="4" ht="14.25" customHeight="1">
      <c r="B4" s="102" t="s">
        <v>132</v>
      </c>
      <c r="C4" s="22" t="s">
        <v>133</v>
      </c>
    </row>
    <row r="5" ht="14.25" customHeight="1">
      <c r="B5" s="102" t="s">
        <v>134</v>
      </c>
      <c r="C5" s="22" t="s">
        <v>135</v>
      </c>
    </row>
    <row r="6" ht="14.25" customHeight="1">
      <c r="B6" s="102" t="s">
        <v>136</v>
      </c>
      <c r="C6" s="22" t="s">
        <v>137</v>
      </c>
    </row>
    <row r="7" ht="14.25" customHeight="1">
      <c r="B7" s="102" t="s">
        <v>138</v>
      </c>
      <c r="C7" s="22" t="s">
        <v>139</v>
      </c>
    </row>
    <row r="8" ht="14.25" customHeight="1">
      <c r="B8" s="102" t="s">
        <v>140</v>
      </c>
      <c r="C8" s="22" t="s">
        <v>141</v>
      </c>
    </row>
    <row r="9" ht="14.25" customHeight="1">
      <c r="B9" s="102" t="s">
        <v>142</v>
      </c>
      <c r="C9" s="22" t="s">
        <v>143</v>
      </c>
      <c r="D9" s="33" t="s">
        <v>144</v>
      </c>
    </row>
    <row r="10" ht="14.25" customHeight="1">
      <c r="B10" s="103" t="s">
        <v>145</v>
      </c>
      <c r="C10" s="89" t="s">
        <v>146</v>
      </c>
    </row>
    <row r="11" ht="14.25" customHeight="1">
      <c r="B11" s="104" t="s">
        <v>36</v>
      </c>
      <c r="C11" s="105" t="s">
        <v>147</v>
      </c>
    </row>
    <row r="12" ht="14.25" customHeight="1">
      <c r="B12" s="104" t="s">
        <v>148</v>
      </c>
      <c r="C12" s="105" t="s">
        <v>149</v>
      </c>
    </row>
    <row r="13" ht="14.25" customHeight="1">
      <c r="B13" s="106"/>
      <c r="C13" s="105" t="s">
        <v>150</v>
      </c>
    </row>
    <row r="14" ht="14.25" customHeight="1">
      <c r="B14" s="107"/>
      <c r="C14" s="22" t="s">
        <v>151</v>
      </c>
    </row>
    <row r="15" ht="14.25" customHeight="1">
      <c r="B15" s="108"/>
      <c r="C15" s="22" t="s">
        <v>152</v>
      </c>
    </row>
    <row r="16" ht="14.25" customHeight="1">
      <c r="B16" s="109"/>
      <c r="C16" s="22" t="s">
        <v>153</v>
      </c>
    </row>
    <row r="17" ht="14.25" customHeight="1">
      <c r="B17" s="110"/>
      <c r="C17" s="22" t="s">
        <v>154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headerFooter>
    <oddHeader>&amp;RB00000CONFIDENTIAL#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26" width="8.71"/>
  </cols>
  <sheetData>
    <row r="1" ht="14.25" customHeight="1"/>
    <row r="2" ht="14.25" customHeight="1">
      <c r="B2" s="111" t="s">
        <v>155</v>
      </c>
    </row>
    <row r="3" ht="14.25" customHeight="1">
      <c r="B3" s="33" t="s">
        <v>156</v>
      </c>
    </row>
    <row r="4" ht="14.25" customHeight="1">
      <c r="B4" s="33" t="s">
        <v>157</v>
      </c>
    </row>
    <row r="5" ht="14.25" customHeight="1">
      <c r="B5" s="33" t="s">
        <v>158</v>
      </c>
    </row>
    <row r="6" ht="14.25" customHeight="1">
      <c r="B6" s="33" t="s">
        <v>159</v>
      </c>
    </row>
    <row r="7" ht="14.25" customHeight="1">
      <c r="B7" s="33" t="s">
        <v>160</v>
      </c>
    </row>
    <row r="8" ht="14.25" customHeight="1">
      <c r="B8" s="33" t="s">
        <v>161</v>
      </c>
    </row>
    <row r="9" ht="14.25" customHeight="1">
      <c r="B9" s="33" t="s">
        <v>162</v>
      </c>
    </row>
    <row r="10" ht="14.25" customHeight="1">
      <c r="B10" s="33" t="s">
        <v>163</v>
      </c>
    </row>
    <row r="11" ht="14.25" customHeight="1">
      <c r="B11" s="112" t="s">
        <v>164</v>
      </c>
      <c r="W11" s="112"/>
    </row>
    <row r="12" ht="14.25" customHeight="1">
      <c r="B12" s="33" t="s">
        <v>165</v>
      </c>
    </row>
    <row r="13" ht="14.25" customHeight="1">
      <c r="B13" s="33" t="s">
        <v>166</v>
      </c>
    </row>
    <row r="14" ht="14.25" customHeight="1">
      <c r="B14" s="33" t="s">
        <v>167</v>
      </c>
    </row>
    <row r="15" ht="14.25" customHeight="1">
      <c r="B15" s="33" t="s">
        <v>168</v>
      </c>
    </row>
    <row r="16" ht="14.25" customHeight="1">
      <c r="B16" s="33" t="s">
        <v>169</v>
      </c>
    </row>
    <row r="17" ht="14.25" customHeight="1">
      <c r="B17" s="33" t="s">
        <v>170</v>
      </c>
    </row>
    <row r="18" ht="14.25" customHeight="1">
      <c r="D18" s="17"/>
      <c r="E18" s="17"/>
      <c r="F18" s="17"/>
      <c r="G18" s="17"/>
      <c r="H18" s="17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headerFooter>
    <oddHeader>&amp;RB00000CONFIDENTIAL#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2.0"/>
    <col customWidth="1" min="3" max="4" width="12.29"/>
    <col customWidth="1" min="5" max="5" width="22.43"/>
    <col customWidth="1" min="6" max="6" width="31.29"/>
    <col customWidth="1" min="7" max="7" width="11.29"/>
    <col customWidth="1" min="8" max="9" width="8.71"/>
    <col customWidth="1" min="10" max="10" width="14.86"/>
    <col customWidth="1" min="11" max="12" width="12.0"/>
    <col customWidth="1" min="13" max="13" width="12.29"/>
    <col customWidth="1" min="14" max="14" width="12.0"/>
    <col customWidth="1" min="15" max="26" width="8.71"/>
  </cols>
  <sheetData>
    <row r="1" ht="14.25" customHeight="1">
      <c r="A1" s="89" t="s">
        <v>7</v>
      </c>
      <c r="B1" s="89" t="s">
        <v>8</v>
      </c>
      <c r="C1" s="89" t="s">
        <v>9</v>
      </c>
      <c r="D1" s="89" t="s">
        <v>10</v>
      </c>
      <c r="E1" s="89" t="s">
        <v>13</v>
      </c>
      <c r="F1" s="89" t="s">
        <v>14</v>
      </c>
      <c r="G1" s="89" t="s">
        <v>15</v>
      </c>
      <c r="H1" s="89" t="s">
        <v>16</v>
      </c>
      <c r="I1" s="89" t="s">
        <v>17</v>
      </c>
      <c r="J1" s="89" t="s">
        <v>19</v>
      </c>
      <c r="K1" s="89" t="s">
        <v>22</v>
      </c>
      <c r="L1" s="89" t="s">
        <v>23</v>
      </c>
      <c r="M1" s="89" t="s">
        <v>24</v>
      </c>
      <c r="N1" s="89" t="s">
        <v>21</v>
      </c>
    </row>
    <row r="2" ht="14.25" customHeight="1">
      <c r="A2" s="90">
        <v>46.4</v>
      </c>
      <c r="B2" s="90">
        <v>5.7</v>
      </c>
      <c r="C2" s="90">
        <v>47.7</v>
      </c>
      <c r="D2" s="90">
        <v>0.2</v>
      </c>
      <c r="E2" s="90">
        <v>81.3435</v>
      </c>
      <c r="F2" s="90">
        <v>8.5</v>
      </c>
      <c r="G2" s="90">
        <v>1.0065</v>
      </c>
      <c r="H2" s="90">
        <v>0.32</v>
      </c>
      <c r="I2" s="90">
        <v>750.0</v>
      </c>
      <c r="J2" s="90">
        <v>0.0</v>
      </c>
      <c r="K2" s="90">
        <v>33.60790774299835</v>
      </c>
      <c r="L2" s="90">
        <v>40.12708872675923</v>
      </c>
      <c r="M2" s="90">
        <v>8.166627441751</v>
      </c>
      <c r="N2" s="90">
        <v>14.709343374911743</v>
      </c>
    </row>
    <row r="3" ht="14.25" customHeight="1">
      <c r="A3" s="90">
        <v>46.4</v>
      </c>
      <c r="B3" s="90">
        <v>5.7</v>
      </c>
      <c r="C3" s="90">
        <v>47.7</v>
      </c>
      <c r="D3" s="90">
        <v>0.2</v>
      </c>
      <c r="E3" s="90">
        <v>81.3435</v>
      </c>
      <c r="F3" s="90">
        <v>8.5</v>
      </c>
      <c r="G3" s="90">
        <v>1.0065</v>
      </c>
      <c r="H3" s="90">
        <v>0.36</v>
      </c>
      <c r="I3" s="90">
        <v>776.5</v>
      </c>
      <c r="J3" s="90">
        <v>0.0</v>
      </c>
      <c r="K3" s="90">
        <v>29.044614691302385</v>
      </c>
      <c r="L3" s="90">
        <v>38.19287967552952</v>
      </c>
      <c r="M3" s="90">
        <v>7.593510590356016</v>
      </c>
      <c r="N3" s="90">
        <v>16.53898152320865</v>
      </c>
    </row>
    <row r="4" ht="14.25" customHeight="1">
      <c r="A4" s="90">
        <v>46.4</v>
      </c>
      <c r="B4" s="90">
        <v>5.7</v>
      </c>
      <c r="C4" s="90">
        <v>47.7</v>
      </c>
      <c r="D4" s="90">
        <v>0.2</v>
      </c>
      <c r="E4" s="90">
        <v>81.3435</v>
      </c>
      <c r="F4" s="90">
        <v>8.5</v>
      </c>
      <c r="G4" s="90">
        <v>1.0065</v>
      </c>
      <c r="H4" s="90">
        <v>0.38</v>
      </c>
      <c r="I4" s="90">
        <v>790.5</v>
      </c>
      <c r="J4" s="90">
        <v>0.0</v>
      </c>
      <c r="K4" s="90">
        <v>29.645814167433304</v>
      </c>
      <c r="L4" s="90">
        <v>37.39650413983441</v>
      </c>
      <c r="M4" s="90">
        <v>7.98068077276909</v>
      </c>
      <c r="N4" s="90">
        <v>19.158233670653175</v>
      </c>
    </row>
    <row r="5" ht="14.25" customHeight="1">
      <c r="A5" s="90">
        <v>46.4</v>
      </c>
      <c r="B5" s="90">
        <v>5.7</v>
      </c>
      <c r="C5" s="90">
        <v>47.7</v>
      </c>
      <c r="D5" s="90">
        <v>0.2</v>
      </c>
      <c r="E5" s="90">
        <v>81.3435</v>
      </c>
      <c r="F5" s="90">
        <v>8.5</v>
      </c>
      <c r="G5" s="90">
        <v>1.0065</v>
      </c>
      <c r="H5" s="90">
        <v>0.41</v>
      </c>
      <c r="I5" s="90">
        <v>808.4</v>
      </c>
      <c r="J5" s="90">
        <v>0.0</v>
      </c>
      <c r="K5" s="90">
        <v>28.223844282238442</v>
      </c>
      <c r="L5" s="90">
        <v>40.778588807785894</v>
      </c>
      <c r="M5" s="90">
        <v>8.442822384428224</v>
      </c>
      <c r="N5" s="90">
        <v>16.642335766423358</v>
      </c>
    </row>
    <row r="6" ht="14.25" customHeight="1">
      <c r="A6" s="90">
        <v>46.4</v>
      </c>
      <c r="B6" s="90">
        <v>5.7</v>
      </c>
      <c r="C6" s="90">
        <v>47.7</v>
      </c>
      <c r="D6" s="90">
        <v>0.2</v>
      </c>
      <c r="E6" s="90">
        <v>81.3435</v>
      </c>
      <c r="F6" s="90">
        <v>8.5</v>
      </c>
      <c r="G6" s="90">
        <v>1.0065</v>
      </c>
      <c r="H6" s="90">
        <v>0.43</v>
      </c>
      <c r="I6" s="90">
        <v>834.2</v>
      </c>
      <c r="J6" s="90">
        <v>0.0</v>
      </c>
      <c r="K6" s="90">
        <v>25.95669687814703</v>
      </c>
      <c r="L6" s="90">
        <v>40.181268882175225</v>
      </c>
      <c r="M6" s="90">
        <v>7.98086606243706</v>
      </c>
      <c r="N6" s="90">
        <v>12.235649546827796</v>
      </c>
    </row>
    <row r="7" ht="14.25" customHeight="1">
      <c r="A7" s="90">
        <v>50.82</v>
      </c>
      <c r="B7" s="90">
        <v>7.12</v>
      </c>
      <c r="C7" s="90">
        <v>41.34</v>
      </c>
      <c r="D7" s="90">
        <v>0.15083</v>
      </c>
      <c r="E7" s="90">
        <v>75.7068</v>
      </c>
      <c r="F7" s="90">
        <v>8.0</v>
      </c>
      <c r="G7" s="90">
        <v>0.506</v>
      </c>
      <c r="H7" s="90">
        <v>0.22</v>
      </c>
      <c r="I7" s="90">
        <v>700.0</v>
      </c>
      <c r="J7" s="90">
        <v>2.7</v>
      </c>
      <c r="K7" s="90">
        <v>42.85</v>
      </c>
      <c r="L7" s="90">
        <v>20.48</v>
      </c>
      <c r="M7" s="90">
        <v>9.32</v>
      </c>
      <c r="N7" s="90">
        <v>21.4</v>
      </c>
    </row>
    <row r="8" ht="14.25" customHeight="1">
      <c r="A8" s="90">
        <v>50.82</v>
      </c>
      <c r="B8" s="90">
        <v>7.12</v>
      </c>
      <c r="C8" s="90">
        <v>41.34</v>
      </c>
      <c r="D8" s="90">
        <v>0.15083</v>
      </c>
      <c r="E8" s="90">
        <v>75.7068</v>
      </c>
      <c r="F8" s="90">
        <v>8.0</v>
      </c>
      <c r="G8" s="90">
        <v>0.506</v>
      </c>
      <c r="H8" s="90">
        <v>0.22</v>
      </c>
      <c r="I8" s="90">
        <v>750.0</v>
      </c>
      <c r="J8" s="90">
        <v>2.7</v>
      </c>
      <c r="K8" s="90">
        <v>39.3</v>
      </c>
      <c r="L8" s="90">
        <v>19.5</v>
      </c>
      <c r="M8" s="90">
        <v>8.28</v>
      </c>
      <c r="N8" s="90">
        <v>28.2</v>
      </c>
    </row>
    <row r="9" ht="14.25" customHeight="1">
      <c r="A9" s="90">
        <v>50.82</v>
      </c>
      <c r="B9" s="90">
        <v>7.12</v>
      </c>
      <c r="C9" s="90">
        <v>41.34</v>
      </c>
      <c r="D9" s="90">
        <v>0.15083</v>
      </c>
      <c r="E9" s="90">
        <v>75.7068</v>
      </c>
      <c r="F9" s="90">
        <v>8.0</v>
      </c>
      <c r="G9" s="90">
        <v>0.506</v>
      </c>
      <c r="H9" s="90">
        <v>0.22</v>
      </c>
      <c r="I9" s="90">
        <v>800.0</v>
      </c>
      <c r="J9" s="90">
        <v>2.7</v>
      </c>
      <c r="K9" s="90">
        <v>37.7</v>
      </c>
      <c r="L9" s="90">
        <v>18.64</v>
      </c>
      <c r="M9" s="90">
        <v>7.6</v>
      </c>
      <c r="N9" s="90">
        <v>32.19</v>
      </c>
    </row>
    <row r="10" ht="14.25" customHeight="1">
      <c r="A10" s="90">
        <v>50.82</v>
      </c>
      <c r="B10" s="90">
        <v>7.12</v>
      </c>
      <c r="C10" s="90">
        <v>41.34</v>
      </c>
      <c r="D10" s="90">
        <v>0.15083</v>
      </c>
      <c r="E10" s="90">
        <v>75.7068</v>
      </c>
      <c r="F10" s="90">
        <v>8.0</v>
      </c>
      <c r="G10" s="90">
        <v>0.506</v>
      </c>
      <c r="H10" s="90">
        <v>0.22</v>
      </c>
      <c r="I10" s="90">
        <v>850.0</v>
      </c>
      <c r="J10" s="90">
        <v>2.7</v>
      </c>
      <c r="K10" s="90">
        <v>34.56</v>
      </c>
      <c r="L10" s="90">
        <v>18.7</v>
      </c>
      <c r="M10" s="90">
        <v>7.3</v>
      </c>
      <c r="N10" s="90">
        <v>36.29</v>
      </c>
    </row>
    <row r="11" ht="14.25" customHeight="1">
      <c r="A11" s="90">
        <v>50.82</v>
      </c>
      <c r="B11" s="90">
        <v>7.12</v>
      </c>
      <c r="C11" s="90">
        <v>41.34</v>
      </c>
      <c r="D11" s="90">
        <v>0.15083</v>
      </c>
      <c r="E11" s="90">
        <v>75.7068</v>
      </c>
      <c r="F11" s="90">
        <v>8.0</v>
      </c>
      <c r="G11" s="90">
        <v>0.506</v>
      </c>
      <c r="H11" s="90">
        <v>0.22</v>
      </c>
      <c r="I11" s="90">
        <v>900.0</v>
      </c>
      <c r="J11" s="90">
        <v>2.7</v>
      </c>
      <c r="K11" s="90">
        <v>33.35</v>
      </c>
      <c r="L11" s="90">
        <v>19.25</v>
      </c>
      <c r="M11" s="90">
        <v>6.13</v>
      </c>
      <c r="N11" s="90">
        <v>39.42</v>
      </c>
    </row>
    <row r="12" ht="14.25" customHeight="1">
      <c r="A12" s="90">
        <v>50.82</v>
      </c>
      <c r="B12" s="90">
        <v>7.12</v>
      </c>
      <c r="C12" s="90">
        <v>41.34</v>
      </c>
      <c r="D12" s="90">
        <v>0.15083</v>
      </c>
      <c r="E12" s="90">
        <v>75.7068</v>
      </c>
      <c r="F12" s="90">
        <v>8.0</v>
      </c>
      <c r="G12" s="90">
        <v>0.506</v>
      </c>
      <c r="H12" s="90">
        <v>0.19</v>
      </c>
      <c r="I12" s="90">
        <v>800.0</v>
      </c>
      <c r="J12" s="90">
        <v>1.56</v>
      </c>
      <c r="K12" s="90">
        <v>37.92</v>
      </c>
      <c r="L12" s="90">
        <v>17.75</v>
      </c>
      <c r="M12" s="90">
        <v>7.79</v>
      </c>
      <c r="N12" s="90">
        <v>32.11</v>
      </c>
    </row>
    <row r="13" ht="14.25" customHeight="1">
      <c r="A13" s="90">
        <v>50.82</v>
      </c>
      <c r="B13" s="90">
        <v>7.12</v>
      </c>
      <c r="C13" s="90">
        <v>41.34</v>
      </c>
      <c r="D13" s="90">
        <v>0.15083</v>
      </c>
      <c r="E13" s="90">
        <v>75.7068</v>
      </c>
      <c r="F13" s="90">
        <v>8.0</v>
      </c>
      <c r="G13" s="90">
        <v>0.506</v>
      </c>
      <c r="H13" s="90">
        <v>0.21</v>
      </c>
      <c r="I13" s="90">
        <v>800.0</v>
      </c>
      <c r="J13" s="90">
        <v>1.56</v>
      </c>
      <c r="K13" s="90">
        <v>39.39</v>
      </c>
      <c r="L13" s="90">
        <v>16.9</v>
      </c>
      <c r="M13" s="90">
        <v>8.11</v>
      </c>
      <c r="N13" s="90">
        <v>31.34</v>
      </c>
    </row>
    <row r="14" ht="14.25" customHeight="1">
      <c r="A14" s="90">
        <v>50.82</v>
      </c>
      <c r="B14" s="90">
        <v>7.12</v>
      </c>
      <c r="C14" s="90">
        <v>41.34</v>
      </c>
      <c r="D14" s="90">
        <v>0.15083</v>
      </c>
      <c r="E14" s="90">
        <v>75.7068</v>
      </c>
      <c r="F14" s="90">
        <v>8.0</v>
      </c>
      <c r="G14" s="90">
        <v>0.506</v>
      </c>
      <c r="H14" s="90">
        <v>0.23</v>
      </c>
      <c r="I14" s="90">
        <v>800.0</v>
      </c>
      <c r="J14" s="90">
        <v>1.56</v>
      </c>
      <c r="K14" s="90">
        <v>39.96</v>
      </c>
      <c r="L14" s="90">
        <v>16.47</v>
      </c>
      <c r="M14" s="90">
        <v>7.59</v>
      </c>
      <c r="N14" s="90">
        <v>31.41</v>
      </c>
    </row>
    <row r="15" ht="14.25" customHeight="1">
      <c r="A15" s="90">
        <v>50.82</v>
      </c>
      <c r="B15" s="90">
        <v>7.12</v>
      </c>
      <c r="C15" s="90">
        <v>41.34</v>
      </c>
      <c r="D15" s="90">
        <v>0.15083</v>
      </c>
      <c r="E15" s="90">
        <v>75.7068</v>
      </c>
      <c r="F15" s="90">
        <v>8.0</v>
      </c>
      <c r="G15" s="90">
        <v>0.506</v>
      </c>
      <c r="H15" s="90">
        <v>0.25</v>
      </c>
      <c r="I15" s="90">
        <v>800.0</v>
      </c>
      <c r="J15" s="90">
        <v>1.56</v>
      </c>
      <c r="K15" s="90">
        <v>39.6</v>
      </c>
      <c r="L15" s="90">
        <v>18.03</v>
      </c>
      <c r="M15" s="90">
        <v>7.24</v>
      </c>
      <c r="N15" s="90">
        <v>30.98</v>
      </c>
    </row>
    <row r="16" ht="14.25" customHeight="1">
      <c r="A16" s="90">
        <v>50.82</v>
      </c>
      <c r="B16" s="90">
        <v>7.12</v>
      </c>
      <c r="C16" s="90">
        <v>41.34</v>
      </c>
      <c r="D16" s="90">
        <v>0.15083</v>
      </c>
      <c r="E16" s="90">
        <v>75.7068</v>
      </c>
      <c r="F16" s="90">
        <v>8.0</v>
      </c>
      <c r="G16" s="90">
        <v>0.506</v>
      </c>
      <c r="H16" s="90">
        <v>0.27</v>
      </c>
      <c r="I16" s="90">
        <v>800.0</v>
      </c>
      <c r="J16" s="90">
        <v>1.56</v>
      </c>
      <c r="K16" s="90">
        <v>38.02</v>
      </c>
      <c r="L16" s="90">
        <v>19.93</v>
      </c>
      <c r="M16" s="90">
        <v>6.56</v>
      </c>
      <c r="N16" s="90">
        <v>31.88</v>
      </c>
    </row>
    <row r="17" ht="14.25" customHeight="1">
      <c r="A17" s="90">
        <v>50.82</v>
      </c>
      <c r="B17" s="90">
        <v>7.12</v>
      </c>
      <c r="C17" s="90">
        <v>41.34</v>
      </c>
      <c r="D17" s="90">
        <v>0.15083</v>
      </c>
      <c r="E17" s="90">
        <v>75.7068</v>
      </c>
      <c r="F17" s="90">
        <v>8.0</v>
      </c>
      <c r="G17" s="90">
        <v>0.506</v>
      </c>
      <c r="H17" s="90">
        <v>0.22</v>
      </c>
      <c r="I17" s="90">
        <v>800.0</v>
      </c>
      <c r="J17" s="90">
        <v>0.0</v>
      </c>
      <c r="K17" s="90">
        <v>42.99</v>
      </c>
      <c r="L17" s="90">
        <v>15.97</v>
      </c>
      <c r="M17" s="90">
        <v>6.12</v>
      </c>
      <c r="N17" s="90">
        <v>33.5</v>
      </c>
    </row>
    <row r="18" ht="14.25" customHeight="1">
      <c r="A18" s="90">
        <v>50.82</v>
      </c>
      <c r="B18" s="90">
        <v>7.12</v>
      </c>
      <c r="C18" s="90">
        <v>41.34</v>
      </c>
      <c r="D18" s="90">
        <v>0.15083</v>
      </c>
      <c r="E18" s="90">
        <v>75.7068</v>
      </c>
      <c r="F18" s="90">
        <v>8.0</v>
      </c>
      <c r="G18" s="90">
        <v>0.506</v>
      </c>
      <c r="H18" s="90">
        <v>0.22</v>
      </c>
      <c r="I18" s="90">
        <v>800.0</v>
      </c>
      <c r="J18" s="90">
        <v>1.35</v>
      </c>
      <c r="K18" s="90">
        <v>40.53</v>
      </c>
      <c r="L18" s="90">
        <v>16.98</v>
      </c>
      <c r="M18" s="90">
        <v>8.49</v>
      </c>
      <c r="N18" s="90">
        <v>29.85</v>
      </c>
    </row>
    <row r="19" ht="14.25" customHeight="1">
      <c r="A19" s="90">
        <v>50.82</v>
      </c>
      <c r="B19" s="90">
        <v>7.12</v>
      </c>
      <c r="C19" s="90">
        <v>41.34</v>
      </c>
      <c r="D19" s="90">
        <v>0.15083</v>
      </c>
      <c r="E19" s="90">
        <v>75.7068</v>
      </c>
      <c r="F19" s="90">
        <v>8.0</v>
      </c>
      <c r="G19" s="90">
        <v>0.506</v>
      </c>
      <c r="H19" s="90">
        <v>0.22</v>
      </c>
      <c r="I19" s="90">
        <v>800.0</v>
      </c>
      <c r="J19" s="90">
        <v>2.02</v>
      </c>
      <c r="K19" s="90">
        <v>39.34</v>
      </c>
      <c r="L19" s="90">
        <v>17.34</v>
      </c>
      <c r="M19" s="90">
        <v>8.22</v>
      </c>
      <c r="N19" s="90">
        <v>30.94</v>
      </c>
    </row>
    <row r="20" ht="14.25" customHeight="1">
      <c r="A20" s="90">
        <v>50.82</v>
      </c>
      <c r="B20" s="90">
        <v>7.12</v>
      </c>
      <c r="C20" s="90">
        <v>41.34</v>
      </c>
      <c r="D20" s="90">
        <v>0.15083</v>
      </c>
      <c r="E20" s="90">
        <v>75.7068</v>
      </c>
      <c r="F20" s="90">
        <v>8.0</v>
      </c>
      <c r="G20" s="90">
        <v>0.506</v>
      </c>
      <c r="H20" s="90">
        <v>0.22</v>
      </c>
      <c r="I20" s="90">
        <v>800.0</v>
      </c>
      <c r="J20" s="90">
        <v>2.7</v>
      </c>
      <c r="K20" s="90">
        <v>37.7</v>
      </c>
      <c r="L20" s="90">
        <v>18.71</v>
      </c>
      <c r="M20" s="90">
        <v>7.76</v>
      </c>
      <c r="N20" s="90">
        <v>32.22</v>
      </c>
    </row>
    <row r="21" ht="14.25" customHeight="1">
      <c r="A21" s="90">
        <v>47.0</v>
      </c>
      <c r="B21" s="90">
        <v>6.78</v>
      </c>
      <c r="C21" s="90">
        <v>45.7</v>
      </c>
      <c r="D21" s="90">
        <v>0.475</v>
      </c>
      <c r="E21" s="90">
        <v>55.54</v>
      </c>
      <c r="F21" s="90">
        <v>9.95</v>
      </c>
      <c r="G21" s="90">
        <v>19.52</v>
      </c>
      <c r="H21" s="90">
        <v>0.35</v>
      </c>
      <c r="I21" s="90">
        <v>750.0</v>
      </c>
      <c r="J21" s="90">
        <v>0.5</v>
      </c>
      <c r="K21" s="90">
        <v>28.50779510022272</v>
      </c>
      <c r="L21" s="90">
        <v>46.32516703786192</v>
      </c>
      <c r="M21" s="90">
        <v>4.67706013363029</v>
      </c>
      <c r="N21" s="90">
        <v>20.489977728285076</v>
      </c>
    </row>
    <row r="22" ht="14.25" customHeight="1">
      <c r="A22" s="90">
        <v>47.0</v>
      </c>
      <c r="B22" s="90">
        <v>6.78</v>
      </c>
      <c r="C22" s="90">
        <v>45.7</v>
      </c>
      <c r="D22" s="90">
        <v>0.475</v>
      </c>
      <c r="E22" s="90">
        <v>55.54</v>
      </c>
      <c r="F22" s="90">
        <v>9.95</v>
      </c>
      <c r="G22" s="90">
        <v>19.52</v>
      </c>
      <c r="H22" s="90">
        <v>0.3</v>
      </c>
      <c r="I22" s="90">
        <v>800.0</v>
      </c>
      <c r="J22" s="90">
        <v>0.5</v>
      </c>
      <c r="K22" s="90">
        <v>30.94736842105263</v>
      </c>
      <c r="L22" s="90">
        <v>38.73684210526315</v>
      </c>
      <c r="M22" s="90">
        <v>5.894736842105263</v>
      </c>
      <c r="N22" s="90">
        <v>24.42105263157895</v>
      </c>
    </row>
    <row r="23" ht="14.25" customHeight="1">
      <c r="A23" s="90">
        <v>47.0</v>
      </c>
      <c r="B23" s="90">
        <v>6.78</v>
      </c>
      <c r="C23" s="90">
        <v>45.7</v>
      </c>
      <c r="D23" s="90">
        <v>0.475</v>
      </c>
      <c r="E23" s="90">
        <v>55.54</v>
      </c>
      <c r="F23" s="90">
        <v>9.95</v>
      </c>
      <c r="G23" s="90">
        <v>19.52</v>
      </c>
      <c r="H23" s="90">
        <v>0.35</v>
      </c>
      <c r="I23" s="90">
        <v>800.0</v>
      </c>
      <c r="J23" s="90">
        <v>0.2</v>
      </c>
      <c r="K23" s="90">
        <v>32.08430913348946</v>
      </c>
      <c r="L23" s="90">
        <v>43.559718969555036</v>
      </c>
      <c r="M23" s="90">
        <v>6.557377049180327</v>
      </c>
      <c r="N23" s="90">
        <v>17.798594847775174</v>
      </c>
    </row>
    <row r="24" ht="14.25" customHeight="1">
      <c r="A24" s="90">
        <v>47.0</v>
      </c>
      <c r="B24" s="90">
        <v>6.78</v>
      </c>
      <c r="C24" s="90">
        <v>45.7</v>
      </c>
      <c r="D24" s="90">
        <v>0.475</v>
      </c>
      <c r="E24" s="90">
        <v>55.54</v>
      </c>
      <c r="F24" s="90">
        <v>9.95</v>
      </c>
      <c r="G24" s="90">
        <v>19.52</v>
      </c>
      <c r="H24" s="90">
        <v>0.35</v>
      </c>
      <c r="I24" s="90">
        <v>800.0</v>
      </c>
      <c r="J24" s="90">
        <v>0.5</v>
      </c>
      <c r="K24" s="90">
        <v>28.693790149892934</v>
      </c>
      <c r="L24" s="90">
        <v>43.46895074946467</v>
      </c>
      <c r="M24" s="90">
        <v>5.567451820128479</v>
      </c>
      <c r="N24" s="90">
        <v>22.269807280513916</v>
      </c>
    </row>
    <row r="25" ht="14.25" customHeight="1">
      <c r="A25" s="90">
        <v>47.0</v>
      </c>
      <c r="B25" s="90">
        <v>6.78</v>
      </c>
      <c r="C25" s="90">
        <v>45.7</v>
      </c>
      <c r="D25" s="90">
        <v>0.475</v>
      </c>
      <c r="E25" s="90">
        <v>55.54</v>
      </c>
      <c r="F25" s="90">
        <v>9.95</v>
      </c>
      <c r="G25" s="90">
        <v>19.52</v>
      </c>
      <c r="H25" s="90">
        <v>0.4</v>
      </c>
      <c r="I25" s="90">
        <v>800.0</v>
      </c>
      <c r="J25" s="90">
        <v>0.5</v>
      </c>
      <c r="K25" s="90">
        <v>26.813186813186814</v>
      </c>
      <c r="L25" s="90">
        <v>47.252747252747255</v>
      </c>
      <c r="M25" s="90">
        <v>4.835164835164836</v>
      </c>
      <c r="N25" s="90">
        <v>21.0989010989011</v>
      </c>
    </row>
    <row r="26" ht="14.25" customHeight="1">
      <c r="A26" s="90">
        <v>47.0</v>
      </c>
      <c r="B26" s="90">
        <v>6.78</v>
      </c>
      <c r="C26" s="90">
        <v>45.7</v>
      </c>
      <c r="D26" s="90">
        <v>0.475</v>
      </c>
      <c r="E26" s="90">
        <v>55.54</v>
      </c>
      <c r="F26" s="90">
        <v>9.95</v>
      </c>
      <c r="G26" s="90">
        <v>19.52</v>
      </c>
      <c r="H26" s="90">
        <v>0.35</v>
      </c>
      <c r="I26" s="90">
        <v>850.0</v>
      </c>
      <c r="J26" s="90">
        <v>0.5</v>
      </c>
      <c r="K26" s="90">
        <v>30.08298755186722</v>
      </c>
      <c r="L26" s="90">
        <v>38.174273858921154</v>
      </c>
      <c r="M26" s="90">
        <v>6.224066390041493</v>
      </c>
      <c r="N26" s="90">
        <v>25.518672199170123</v>
      </c>
    </row>
    <row r="27" ht="14.25" customHeight="1">
      <c r="A27" s="90">
        <v>47.0</v>
      </c>
      <c r="B27" s="90">
        <v>6.78</v>
      </c>
      <c r="C27" s="90">
        <v>45.7</v>
      </c>
      <c r="D27" s="90">
        <v>0.475</v>
      </c>
      <c r="E27" s="90">
        <v>55.54</v>
      </c>
      <c r="F27" s="90">
        <v>9.95</v>
      </c>
      <c r="G27" s="90">
        <v>19.52</v>
      </c>
      <c r="H27" s="90">
        <v>0.35</v>
      </c>
      <c r="I27" s="90">
        <v>800.0</v>
      </c>
      <c r="J27" s="90">
        <v>0.8</v>
      </c>
      <c r="K27" s="90">
        <v>26.403326403326403</v>
      </c>
      <c r="L27" s="90">
        <v>43.86694386694386</v>
      </c>
      <c r="M27" s="90">
        <v>5.197505197505198</v>
      </c>
      <c r="N27" s="90">
        <v>24.532224532224532</v>
      </c>
    </row>
    <row r="28" ht="14.25" customHeight="1">
      <c r="A28" s="90">
        <v>47.0</v>
      </c>
      <c r="B28" s="90">
        <v>6.78</v>
      </c>
      <c r="C28" s="90">
        <v>45.7</v>
      </c>
      <c r="D28" s="90">
        <v>0.475</v>
      </c>
      <c r="E28" s="90">
        <v>55.54</v>
      </c>
      <c r="F28" s="90">
        <v>9.95</v>
      </c>
      <c r="G28" s="90">
        <v>19.52</v>
      </c>
      <c r="H28" s="90">
        <v>0.35</v>
      </c>
      <c r="I28" s="90">
        <v>850.0</v>
      </c>
      <c r="J28" s="90">
        <v>0.8</v>
      </c>
      <c r="K28" s="90">
        <v>28.063241106719367</v>
      </c>
      <c r="L28" s="90">
        <v>40.31620553359683</v>
      </c>
      <c r="M28" s="90">
        <v>5.7312252964426875</v>
      </c>
      <c r="N28" s="90">
        <v>25.889328063241106</v>
      </c>
    </row>
    <row r="29" ht="14.25" customHeight="1">
      <c r="A29" s="90">
        <v>43.52</v>
      </c>
      <c r="B29" s="90">
        <v>5.72</v>
      </c>
      <c r="C29" s="90">
        <v>48.9</v>
      </c>
      <c r="D29" s="90">
        <v>1.2</v>
      </c>
      <c r="E29" s="90">
        <v>79.34</v>
      </c>
      <c r="F29" s="90">
        <v>7.8</v>
      </c>
      <c r="G29" s="90">
        <v>4.5</v>
      </c>
      <c r="H29" s="90">
        <v>0.25</v>
      </c>
      <c r="I29" s="90">
        <v>650.0</v>
      </c>
      <c r="J29" s="90">
        <v>0.0</v>
      </c>
      <c r="K29" s="90">
        <v>30.687266915290362</v>
      </c>
      <c r="L29" s="90">
        <v>43.89984017048482</v>
      </c>
      <c r="M29" s="90">
        <v>5.913692061800748</v>
      </c>
      <c r="N29" s="90">
        <v>19.499200852424085</v>
      </c>
    </row>
    <row r="30" ht="14.25" customHeight="1">
      <c r="A30" s="90">
        <v>43.52</v>
      </c>
      <c r="B30" s="90">
        <v>5.72</v>
      </c>
      <c r="C30" s="90">
        <v>48.9</v>
      </c>
      <c r="D30" s="90">
        <v>1.2</v>
      </c>
      <c r="E30" s="90">
        <v>79.34</v>
      </c>
      <c r="F30" s="90">
        <v>7.8</v>
      </c>
      <c r="G30" s="90">
        <v>4.5</v>
      </c>
      <c r="H30" s="90">
        <v>0.25</v>
      </c>
      <c r="I30" s="90">
        <v>750.0</v>
      </c>
      <c r="J30" s="90">
        <v>0.0</v>
      </c>
      <c r="K30" s="90">
        <v>32.04067155355877</v>
      </c>
      <c r="L30" s="90">
        <v>44.45495388980847</v>
      </c>
      <c r="M30" s="90">
        <v>8.276188224166471</v>
      </c>
      <c r="N30" s="90">
        <v>15.228186332466308</v>
      </c>
    </row>
    <row r="31" ht="14.25" customHeight="1">
      <c r="A31" s="90">
        <v>43.52</v>
      </c>
      <c r="B31" s="90">
        <v>5.72</v>
      </c>
      <c r="C31" s="90">
        <v>48.9</v>
      </c>
      <c r="D31" s="90">
        <v>1.2</v>
      </c>
      <c r="E31" s="90">
        <v>79.34</v>
      </c>
      <c r="F31" s="90">
        <v>7.8</v>
      </c>
      <c r="G31" s="90">
        <v>4.5</v>
      </c>
      <c r="H31" s="90">
        <v>0.25</v>
      </c>
      <c r="I31" s="90">
        <v>850.0</v>
      </c>
      <c r="J31" s="90">
        <v>0.0</v>
      </c>
      <c r="K31" s="90">
        <v>36.39253921153031</v>
      </c>
      <c r="L31" s="90">
        <v>40.589232725731236</v>
      </c>
      <c r="M31" s="90">
        <v>6.994489190334888</v>
      </c>
      <c r="N31" s="90">
        <v>16.023738872403563</v>
      </c>
    </row>
    <row r="32" ht="14.25" customHeight="1">
      <c r="A32" s="90">
        <v>43.52</v>
      </c>
      <c r="B32" s="90">
        <v>5.72</v>
      </c>
      <c r="C32" s="90">
        <v>48.9</v>
      </c>
      <c r="D32" s="90">
        <v>1.2</v>
      </c>
      <c r="E32" s="90">
        <v>79.34</v>
      </c>
      <c r="F32" s="90">
        <v>7.8</v>
      </c>
      <c r="G32" s="90">
        <v>4.5</v>
      </c>
      <c r="H32" s="90">
        <v>0.17</v>
      </c>
      <c r="I32" s="90">
        <v>770.0</v>
      </c>
      <c r="J32" s="90">
        <v>0.0</v>
      </c>
      <c r="K32" s="90">
        <v>35.44985416199236</v>
      </c>
      <c r="L32" s="90">
        <v>40.90195198564056</v>
      </c>
      <c r="M32" s="90">
        <v>7.3592102310971494</v>
      </c>
      <c r="N32" s="90">
        <v>16.28898362126991</v>
      </c>
    </row>
    <row r="33" ht="14.25" customHeight="1">
      <c r="A33" s="90">
        <v>43.52</v>
      </c>
      <c r="B33" s="90">
        <v>5.72</v>
      </c>
      <c r="C33" s="90">
        <v>48.9</v>
      </c>
      <c r="D33" s="90">
        <v>1.2</v>
      </c>
      <c r="E33" s="90">
        <v>79.34</v>
      </c>
      <c r="F33" s="90">
        <v>7.8</v>
      </c>
      <c r="G33" s="90">
        <v>4.5</v>
      </c>
      <c r="H33" s="90">
        <v>0.21</v>
      </c>
      <c r="I33" s="90">
        <v>770.0</v>
      </c>
      <c r="J33" s="90">
        <v>0.0</v>
      </c>
      <c r="K33" s="90">
        <v>36.39947437582128</v>
      </c>
      <c r="L33" s="90">
        <v>42.18134034165571</v>
      </c>
      <c r="M33" s="90">
        <v>9.307928164695573</v>
      </c>
      <c r="N33" s="90">
        <v>12.111257117827417</v>
      </c>
    </row>
    <row r="34" ht="14.25" customHeight="1">
      <c r="A34" s="90">
        <v>43.52</v>
      </c>
      <c r="B34" s="90">
        <v>5.72</v>
      </c>
      <c r="C34" s="90">
        <v>48.9</v>
      </c>
      <c r="D34" s="90">
        <v>1.2</v>
      </c>
      <c r="E34" s="90">
        <v>79.34</v>
      </c>
      <c r="F34" s="90">
        <v>7.8</v>
      </c>
      <c r="G34" s="90">
        <v>4.5</v>
      </c>
      <c r="H34" s="90">
        <v>0.28</v>
      </c>
      <c r="I34" s="90">
        <v>770.0</v>
      </c>
      <c r="J34" s="90">
        <v>0.0</v>
      </c>
      <c r="K34" s="90">
        <v>34.652532391048304</v>
      </c>
      <c r="L34" s="90">
        <v>46.28975265017669</v>
      </c>
      <c r="M34" s="90">
        <v>7.373380447585396</v>
      </c>
      <c r="N34" s="90">
        <v>11.684334511189638</v>
      </c>
    </row>
    <row r="35" ht="14.25" customHeight="1">
      <c r="A35" s="90">
        <v>43.52</v>
      </c>
      <c r="B35" s="90">
        <v>5.72</v>
      </c>
      <c r="C35" s="90">
        <v>48.9</v>
      </c>
      <c r="D35" s="90">
        <v>1.2</v>
      </c>
      <c r="E35" s="90">
        <v>79.34</v>
      </c>
      <c r="F35" s="90">
        <v>7.8</v>
      </c>
      <c r="G35" s="90">
        <v>4.5</v>
      </c>
      <c r="H35" s="90">
        <v>0.32</v>
      </c>
      <c r="I35" s="90">
        <v>770.0</v>
      </c>
      <c r="J35" s="90">
        <v>0.0</v>
      </c>
      <c r="K35" s="90">
        <v>33.10129620739319</v>
      </c>
      <c r="L35" s="90">
        <v>50.45607297167548</v>
      </c>
      <c r="M35" s="90">
        <v>6.697071531445033</v>
      </c>
      <c r="N35" s="90">
        <v>9.74555928948632</v>
      </c>
    </row>
    <row r="36" ht="14.25" customHeight="1">
      <c r="A36" s="90">
        <v>44.96</v>
      </c>
      <c r="B36" s="90">
        <v>5.83</v>
      </c>
      <c r="C36" s="90">
        <v>45.5</v>
      </c>
      <c r="D36" s="90">
        <v>3.1</v>
      </c>
      <c r="E36" s="90">
        <v>76.1</v>
      </c>
      <c r="F36" s="90">
        <v>14.6</v>
      </c>
      <c r="G36" s="90">
        <v>0.4</v>
      </c>
      <c r="H36" s="90">
        <v>0.25</v>
      </c>
      <c r="I36" s="90">
        <v>650.0</v>
      </c>
      <c r="J36" s="90">
        <v>0.0</v>
      </c>
      <c r="K36" s="90">
        <v>38.06861499364676</v>
      </c>
      <c r="L36" s="90">
        <v>38.88182973316391</v>
      </c>
      <c r="M36" s="90">
        <v>7.674714104193138</v>
      </c>
      <c r="N36" s="90">
        <v>15.374841168996188</v>
      </c>
    </row>
    <row r="37" ht="14.25" customHeight="1">
      <c r="A37" s="90">
        <v>44.96</v>
      </c>
      <c r="B37" s="90">
        <v>5.83</v>
      </c>
      <c r="C37" s="90">
        <v>45.5</v>
      </c>
      <c r="D37" s="90">
        <v>3.1</v>
      </c>
      <c r="E37" s="90">
        <v>76.1</v>
      </c>
      <c r="F37" s="90">
        <v>14.6</v>
      </c>
      <c r="G37" s="90">
        <v>0.4</v>
      </c>
      <c r="H37" s="90">
        <v>0.25</v>
      </c>
      <c r="I37" s="90">
        <v>750.0</v>
      </c>
      <c r="J37" s="90">
        <v>0.0</v>
      </c>
      <c r="K37" s="90">
        <v>36.345776031434184</v>
      </c>
      <c r="L37" s="90">
        <v>43.344793713163064</v>
      </c>
      <c r="M37" s="90">
        <v>5.820235756385069</v>
      </c>
      <c r="N37" s="90">
        <v>14.489194499017682</v>
      </c>
    </row>
    <row r="38" ht="14.25" customHeight="1">
      <c r="A38" s="90">
        <v>44.96</v>
      </c>
      <c r="B38" s="90">
        <v>5.83</v>
      </c>
      <c r="C38" s="90">
        <v>45.5</v>
      </c>
      <c r="D38" s="90">
        <v>3.1</v>
      </c>
      <c r="E38" s="90">
        <v>76.1</v>
      </c>
      <c r="F38" s="90">
        <v>14.6</v>
      </c>
      <c r="G38" s="90">
        <v>0.4</v>
      </c>
      <c r="H38" s="90">
        <v>0.25</v>
      </c>
      <c r="I38" s="90">
        <v>850.0</v>
      </c>
      <c r="J38" s="90">
        <v>0.0</v>
      </c>
      <c r="K38" s="90">
        <v>33.052724856003536</v>
      </c>
      <c r="L38" s="90">
        <v>43.15463003987593</v>
      </c>
      <c r="M38" s="90">
        <v>6.180770934869295</v>
      </c>
      <c r="N38" s="90">
        <v>17.611874169251216</v>
      </c>
    </row>
    <row r="39" ht="14.25" customHeight="1">
      <c r="A39" s="90">
        <v>53.609341825902334</v>
      </c>
      <c r="B39" s="90">
        <v>6.900212314225053</v>
      </c>
      <c r="C39" s="90">
        <v>38.53503184713375</v>
      </c>
      <c r="D39" s="90">
        <v>0.8492569002123141</v>
      </c>
      <c r="E39" s="90">
        <v>66.9</v>
      </c>
      <c r="F39" s="90">
        <v>7.6</v>
      </c>
      <c r="G39" s="90">
        <v>5.8</v>
      </c>
      <c r="H39" s="90">
        <v>0.17</v>
      </c>
      <c r="I39" s="90">
        <v>700.0</v>
      </c>
      <c r="J39" s="90">
        <v>0.0</v>
      </c>
      <c r="K39" s="90">
        <v>28.0</v>
      </c>
      <c r="L39" s="90">
        <v>36.0</v>
      </c>
      <c r="M39" s="90">
        <v>12.0</v>
      </c>
      <c r="N39" s="90">
        <v>24.0</v>
      </c>
    </row>
    <row r="40" ht="14.25" customHeight="1">
      <c r="A40" s="90">
        <v>53.609341825902334</v>
      </c>
      <c r="B40" s="90">
        <v>6.900212314225053</v>
      </c>
      <c r="C40" s="90">
        <v>38.53503184713375</v>
      </c>
      <c r="D40" s="90">
        <v>0.8492569002123141</v>
      </c>
      <c r="E40" s="90">
        <v>66.9</v>
      </c>
      <c r="F40" s="90">
        <v>7.6</v>
      </c>
      <c r="G40" s="90">
        <v>5.8</v>
      </c>
      <c r="H40" s="90">
        <v>0.2</v>
      </c>
      <c r="I40" s="90">
        <v>740.0</v>
      </c>
      <c r="J40" s="90">
        <v>0.0</v>
      </c>
      <c r="K40" s="90">
        <v>26.08695652173913</v>
      </c>
      <c r="L40" s="90">
        <v>36.95652173913044</v>
      </c>
      <c r="M40" s="90">
        <v>13.043478260869565</v>
      </c>
      <c r="N40" s="90">
        <v>23.91304347826087</v>
      </c>
    </row>
    <row r="41" ht="14.25" customHeight="1">
      <c r="A41" s="90">
        <v>53.609341825902334</v>
      </c>
      <c r="B41" s="90">
        <v>6.900212314225053</v>
      </c>
      <c r="C41" s="90">
        <v>38.53503184713375</v>
      </c>
      <c r="D41" s="90">
        <v>0.8492569002123141</v>
      </c>
      <c r="E41" s="90">
        <v>66.9</v>
      </c>
      <c r="F41" s="90">
        <v>7.6</v>
      </c>
      <c r="G41" s="90">
        <v>5.8</v>
      </c>
      <c r="H41" s="90">
        <v>0.22</v>
      </c>
      <c r="I41" s="90">
        <v>750.0</v>
      </c>
      <c r="J41" s="90">
        <v>0.0</v>
      </c>
      <c r="K41" s="90">
        <v>23.529411764705884</v>
      </c>
      <c r="L41" s="90">
        <v>39.21568627450981</v>
      </c>
      <c r="M41" s="90">
        <v>13.72549019607843</v>
      </c>
      <c r="N41" s="90">
        <v>23.529411764705884</v>
      </c>
    </row>
    <row r="42" ht="14.25" customHeight="1">
      <c r="A42" s="90">
        <v>53.609341825902334</v>
      </c>
      <c r="B42" s="90">
        <v>6.900212314225053</v>
      </c>
      <c r="C42" s="90">
        <v>38.53503184713375</v>
      </c>
      <c r="D42" s="90">
        <v>0.8492569002123141</v>
      </c>
      <c r="E42" s="90">
        <v>66.9</v>
      </c>
      <c r="F42" s="90">
        <v>7.6</v>
      </c>
      <c r="G42" s="90">
        <v>5.8</v>
      </c>
      <c r="H42" s="90">
        <v>0.23</v>
      </c>
      <c r="I42" s="90">
        <v>760.0</v>
      </c>
      <c r="J42" s="90">
        <v>0.0</v>
      </c>
      <c r="K42" s="90">
        <v>20.0</v>
      </c>
      <c r="L42" s="90">
        <v>37.77777777777778</v>
      </c>
      <c r="M42" s="90">
        <v>15.555555555555555</v>
      </c>
      <c r="N42" s="90">
        <v>26.666666666666668</v>
      </c>
    </row>
    <row r="43" ht="14.25" customHeight="1">
      <c r="A43" s="90">
        <v>53.609341825902334</v>
      </c>
      <c r="B43" s="90">
        <v>6.900212314225053</v>
      </c>
      <c r="C43" s="90">
        <v>38.53503184713375</v>
      </c>
      <c r="D43" s="90">
        <v>0.8492569002123141</v>
      </c>
      <c r="E43" s="90">
        <v>66.9</v>
      </c>
      <c r="F43" s="90">
        <v>7.6</v>
      </c>
      <c r="G43" s="90">
        <v>5.8</v>
      </c>
      <c r="H43" s="90">
        <v>0.4</v>
      </c>
      <c r="I43" s="90">
        <v>785.0</v>
      </c>
      <c r="J43" s="90">
        <v>0.0</v>
      </c>
      <c r="K43" s="90">
        <v>23.80952380952381</v>
      </c>
      <c r="L43" s="90">
        <v>40.476190476190474</v>
      </c>
      <c r="M43" s="90">
        <v>16.666666666666668</v>
      </c>
      <c r="N43" s="90">
        <v>19.047619047619047</v>
      </c>
    </row>
    <row r="44" ht="14.25" customHeight="1">
      <c r="A44" s="90">
        <v>53.609341825902334</v>
      </c>
      <c r="B44" s="90">
        <v>6.900212314225053</v>
      </c>
      <c r="C44" s="90">
        <v>38.53503184713375</v>
      </c>
      <c r="D44" s="90">
        <v>0.8492569002123141</v>
      </c>
      <c r="E44" s="90">
        <v>66.9</v>
      </c>
      <c r="F44" s="90">
        <v>7.6</v>
      </c>
      <c r="G44" s="90">
        <v>5.8</v>
      </c>
      <c r="H44" s="90">
        <v>0.29</v>
      </c>
      <c r="I44" s="90">
        <v>780.0</v>
      </c>
      <c r="J44" s="90">
        <v>0.0</v>
      </c>
      <c r="K44" s="90">
        <v>29.545454545454547</v>
      </c>
      <c r="L44" s="90">
        <v>36.36363636363637</v>
      </c>
      <c r="M44" s="90">
        <v>11.363636363636363</v>
      </c>
      <c r="N44" s="90">
        <v>22.727272727272727</v>
      </c>
    </row>
    <row r="45" ht="14.25" customHeight="1">
      <c r="A45" s="90">
        <v>53.609341825902334</v>
      </c>
      <c r="B45" s="90">
        <v>6.900212314225053</v>
      </c>
      <c r="C45" s="90">
        <v>38.53503184713375</v>
      </c>
      <c r="D45" s="90">
        <v>0.8492569002123141</v>
      </c>
      <c r="E45" s="90">
        <v>66.9</v>
      </c>
      <c r="F45" s="90">
        <v>7.6</v>
      </c>
      <c r="G45" s="90">
        <v>5.8</v>
      </c>
      <c r="H45" s="90">
        <v>0.31</v>
      </c>
      <c r="I45" s="90">
        <v>820.0</v>
      </c>
      <c r="J45" s="90">
        <v>0.0</v>
      </c>
      <c r="K45" s="90">
        <v>31.818181818181817</v>
      </c>
      <c r="L45" s="90">
        <v>36.36363636363637</v>
      </c>
      <c r="M45" s="90">
        <v>11.363636363636363</v>
      </c>
      <c r="N45" s="90">
        <v>20.454545454545453</v>
      </c>
    </row>
    <row r="46" ht="14.25" customHeight="1">
      <c r="A46" s="90">
        <v>47.0</v>
      </c>
      <c r="B46" s="90">
        <v>6.775</v>
      </c>
      <c r="C46" s="90">
        <v>45.7</v>
      </c>
      <c r="D46" s="90">
        <v>0.475</v>
      </c>
      <c r="E46" s="90">
        <v>60.37088000000001</v>
      </c>
      <c r="F46" s="90">
        <v>9.08</v>
      </c>
      <c r="G46" s="90">
        <v>18.184</v>
      </c>
      <c r="H46" s="90">
        <v>0.25</v>
      </c>
      <c r="I46" s="90">
        <v>665.0</v>
      </c>
      <c r="J46" s="90">
        <v>0.0</v>
      </c>
      <c r="K46" s="90">
        <v>45.82086115588302</v>
      </c>
      <c r="L46" s="90">
        <v>33.27193184434723</v>
      </c>
      <c r="M46" s="90">
        <v>6.677411927239236</v>
      </c>
      <c r="N46" s="90">
        <v>9.210223347916187</v>
      </c>
    </row>
    <row r="47" ht="14.25" customHeight="1">
      <c r="A47" s="90">
        <v>47.0</v>
      </c>
      <c r="B47" s="90">
        <v>6.775</v>
      </c>
      <c r="C47" s="90">
        <v>45.7</v>
      </c>
      <c r="D47" s="90">
        <v>0.475</v>
      </c>
      <c r="E47" s="90">
        <v>60.37088000000001</v>
      </c>
      <c r="F47" s="90">
        <v>9.08</v>
      </c>
      <c r="G47" s="90">
        <v>18.184</v>
      </c>
      <c r="H47" s="90">
        <v>0.3</v>
      </c>
      <c r="I47" s="90">
        <v>744.0</v>
      </c>
      <c r="J47" s="90">
        <v>0.0</v>
      </c>
      <c r="K47" s="90">
        <v>38.63049095607235</v>
      </c>
      <c r="L47" s="90">
        <v>41.93798449612403</v>
      </c>
      <c r="M47" s="90">
        <v>6.124031007751937</v>
      </c>
      <c r="N47" s="90">
        <v>9.767441860465116</v>
      </c>
    </row>
    <row r="48" ht="14.25" customHeight="1">
      <c r="A48" s="90">
        <v>47.0</v>
      </c>
      <c r="B48" s="90">
        <v>6.775</v>
      </c>
      <c r="C48" s="90">
        <v>45.7</v>
      </c>
      <c r="D48" s="90">
        <v>0.475</v>
      </c>
      <c r="E48" s="90">
        <v>60.37088000000001</v>
      </c>
      <c r="F48" s="90">
        <v>9.08</v>
      </c>
      <c r="G48" s="90">
        <v>18.184</v>
      </c>
      <c r="H48" s="90">
        <v>0.35</v>
      </c>
      <c r="I48" s="90">
        <v>811.0</v>
      </c>
      <c r="J48" s="90">
        <v>0.0</v>
      </c>
      <c r="K48" s="90">
        <v>35.017852238396046</v>
      </c>
      <c r="L48" s="90">
        <v>47.07497940126339</v>
      </c>
      <c r="M48" s="90">
        <v>5.4380664652567985</v>
      </c>
      <c r="N48" s="90">
        <v>9.310628948091185</v>
      </c>
    </row>
    <row r="49" ht="14.25" customHeight="1">
      <c r="A49" s="90">
        <v>47.0</v>
      </c>
      <c r="B49" s="90">
        <v>6.775</v>
      </c>
      <c r="C49" s="90">
        <v>45.7</v>
      </c>
      <c r="D49" s="90">
        <v>0.475</v>
      </c>
      <c r="E49" s="90">
        <v>60.37088000000001</v>
      </c>
      <c r="F49" s="90">
        <v>9.08</v>
      </c>
      <c r="G49" s="90">
        <v>18.184</v>
      </c>
      <c r="H49" s="90">
        <v>0.35</v>
      </c>
      <c r="I49" s="90">
        <v>670.0</v>
      </c>
      <c r="J49" s="90">
        <v>0.0</v>
      </c>
      <c r="K49" s="90">
        <v>45.11593487913172</v>
      </c>
      <c r="L49" s="90">
        <v>35.76714356191416</v>
      </c>
      <c r="M49" s="90">
        <v>5.821410952146029</v>
      </c>
      <c r="N49" s="90">
        <v>9.29945732609768</v>
      </c>
    </row>
    <row r="50" ht="14.25" customHeight="1">
      <c r="A50" s="90">
        <v>47.0</v>
      </c>
      <c r="B50" s="90">
        <v>6.775</v>
      </c>
      <c r="C50" s="90">
        <v>45.7</v>
      </c>
      <c r="D50" s="90">
        <v>0.475</v>
      </c>
      <c r="E50" s="90">
        <v>60.37088000000001</v>
      </c>
      <c r="F50" s="90">
        <v>9.08</v>
      </c>
      <c r="G50" s="90">
        <v>18.184</v>
      </c>
      <c r="H50" s="90">
        <v>0.3</v>
      </c>
      <c r="I50" s="90">
        <v>750.0</v>
      </c>
      <c r="J50" s="90">
        <v>0.0</v>
      </c>
      <c r="K50" s="90">
        <v>38.39808408728047</v>
      </c>
      <c r="L50" s="90">
        <v>43.79989356040447</v>
      </c>
      <c r="M50" s="90">
        <v>5.32197977647685</v>
      </c>
      <c r="N50" s="90">
        <v>9.047365620010645</v>
      </c>
    </row>
    <row r="51" ht="14.25" customHeight="1">
      <c r="A51" s="90">
        <v>47.0</v>
      </c>
      <c r="B51" s="90">
        <v>6.775</v>
      </c>
      <c r="C51" s="90">
        <v>45.7</v>
      </c>
      <c r="D51" s="90">
        <v>0.475</v>
      </c>
      <c r="E51" s="90">
        <v>60.37088000000001</v>
      </c>
      <c r="F51" s="90">
        <v>9.08</v>
      </c>
      <c r="G51" s="90">
        <v>18.184</v>
      </c>
      <c r="H51" s="90">
        <v>0.35</v>
      </c>
      <c r="I51" s="90">
        <v>822.0</v>
      </c>
      <c r="J51" s="90">
        <v>0.0</v>
      </c>
      <c r="K51" s="90">
        <v>34.82864307606575</v>
      </c>
      <c r="L51" s="90">
        <v>48.007801616049036</v>
      </c>
      <c r="M51" s="90">
        <v>5.154639175257732</v>
      </c>
      <c r="N51" s="90">
        <v>9.08331011423795</v>
      </c>
    </row>
    <row r="52" ht="14.25" customHeight="1">
      <c r="A52" s="90">
        <v>47.0</v>
      </c>
      <c r="B52" s="90">
        <v>6.775</v>
      </c>
      <c r="C52" s="90">
        <v>45.7</v>
      </c>
      <c r="D52" s="90">
        <v>0.475</v>
      </c>
      <c r="E52" s="90">
        <v>60.37088000000001</v>
      </c>
      <c r="F52" s="90">
        <v>9.08</v>
      </c>
      <c r="G52" s="90">
        <v>18.184</v>
      </c>
      <c r="H52" s="90">
        <v>0.35</v>
      </c>
      <c r="I52" s="90">
        <v>700.0</v>
      </c>
      <c r="J52" s="90">
        <v>0.0</v>
      </c>
      <c r="K52" s="90">
        <v>41.03607268782208</v>
      </c>
      <c r="L52" s="90">
        <v>40.195280716029295</v>
      </c>
      <c r="M52" s="90">
        <v>5.424464334147004</v>
      </c>
      <c r="N52" s="90">
        <v>9.248711689720642</v>
      </c>
    </row>
    <row r="53" ht="14.25" customHeight="1">
      <c r="A53" s="90">
        <v>47.0</v>
      </c>
      <c r="B53" s="90">
        <v>6.775</v>
      </c>
      <c r="C53" s="90">
        <v>45.7</v>
      </c>
      <c r="D53" s="90">
        <v>0.475</v>
      </c>
      <c r="E53" s="90">
        <v>60.37088000000001</v>
      </c>
      <c r="F53" s="90">
        <v>9.08</v>
      </c>
      <c r="G53" s="90">
        <v>18.184</v>
      </c>
      <c r="H53" s="90">
        <v>0.3</v>
      </c>
      <c r="I53" s="90">
        <v>766.0</v>
      </c>
      <c r="J53" s="90">
        <v>0.0</v>
      </c>
      <c r="K53" s="90">
        <v>36.091060521932256</v>
      </c>
      <c r="L53" s="90">
        <v>46.14103275957801</v>
      </c>
      <c r="M53" s="90">
        <v>5.302609661299278</v>
      </c>
      <c r="N53" s="90">
        <v>9.217101610216545</v>
      </c>
    </row>
    <row r="54" ht="14.25" customHeight="1">
      <c r="A54" s="90">
        <v>47.0</v>
      </c>
      <c r="B54" s="90">
        <v>6.775</v>
      </c>
      <c r="C54" s="90">
        <v>45.7</v>
      </c>
      <c r="D54" s="90">
        <v>0.475</v>
      </c>
      <c r="E54" s="90">
        <v>60.37088000000001</v>
      </c>
      <c r="F54" s="90">
        <v>9.08</v>
      </c>
      <c r="G54" s="90">
        <v>18.184</v>
      </c>
      <c r="H54" s="90">
        <v>0.35</v>
      </c>
      <c r="I54" s="90">
        <v>828.0</v>
      </c>
      <c r="J54" s="90">
        <v>0.0</v>
      </c>
      <c r="K54" s="90">
        <v>34.33920089410449</v>
      </c>
      <c r="L54" s="90">
        <v>48.6728136350936</v>
      </c>
      <c r="M54" s="90">
        <v>5.141100866163732</v>
      </c>
      <c r="N54" s="90">
        <v>9.080748812517461</v>
      </c>
    </row>
    <row r="55" ht="14.25" customHeight="1">
      <c r="A55" s="90">
        <v>51.001802183822754</v>
      </c>
      <c r="B55" s="90">
        <v>5.9154033711438565</v>
      </c>
      <c r="C55" s="90">
        <v>42.23470794020991</v>
      </c>
      <c r="D55" s="90">
        <v>0.848086504823492</v>
      </c>
      <c r="E55" s="90">
        <v>72.29</v>
      </c>
      <c r="F55" s="90">
        <v>7.03</v>
      </c>
      <c r="G55" s="90">
        <v>5.67</v>
      </c>
      <c r="H55" s="90">
        <v>0.3</v>
      </c>
      <c r="I55" s="90">
        <v>826.0</v>
      </c>
      <c r="J55" s="90">
        <v>0.0</v>
      </c>
      <c r="K55" s="90">
        <v>42.782805429864254</v>
      </c>
      <c r="L55" s="90">
        <v>28.30316742081448</v>
      </c>
      <c r="M55" s="90">
        <v>6.606334841628959</v>
      </c>
      <c r="N55" s="90">
        <v>19.547511312217193</v>
      </c>
    </row>
    <row r="56" ht="14.25" customHeight="1">
      <c r="A56" s="90">
        <v>51.001802183822754</v>
      </c>
      <c r="B56" s="90">
        <v>5.9154033711438565</v>
      </c>
      <c r="C56" s="90">
        <v>42.23470794020991</v>
      </c>
      <c r="D56" s="90">
        <v>0.848086504823492</v>
      </c>
      <c r="E56" s="90">
        <v>72.29</v>
      </c>
      <c r="F56" s="90">
        <v>7.03</v>
      </c>
      <c r="G56" s="90">
        <v>5.67</v>
      </c>
      <c r="H56" s="90">
        <v>0.29</v>
      </c>
      <c r="I56" s="90">
        <v>874.0</v>
      </c>
      <c r="J56" s="90">
        <v>0.0</v>
      </c>
      <c r="K56" s="90">
        <v>41.34389043441045</v>
      </c>
      <c r="L56" s="90">
        <v>26.621014337684574</v>
      </c>
      <c r="M56" s="90">
        <v>6.141664883372566</v>
      </c>
      <c r="N56" s="90">
        <v>23.47528354376204</v>
      </c>
    </row>
    <row r="57" ht="14.25" customHeight="1">
      <c r="A57" s="90">
        <v>54.49682380474757</v>
      </c>
      <c r="B57" s="90">
        <v>6.57528139975482</v>
      </c>
      <c r="C57" s="90">
        <v>38.23693302128608</v>
      </c>
      <c r="D57" s="90">
        <v>0.6352390504847876</v>
      </c>
      <c r="E57" s="90">
        <v>69.83</v>
      </c>
      <c r="F57" s="90">
        <v>9.69</v>
      </c>
      <c r="G57" s="90">
        <v>10.27</v>
      </c>
      <c r="H57" s="90">
        <v>0.2</v>
      </c>
      <c r="I57" s="90">
        <v>700.0</v>
      </c>
      <c r="J57" s="90">
        <v>0.0</v>
      </c>
      <c r="K57" s="90">
        <v>22.488945041061275</v>
      </c>
      <c r="L57" s="90">
        <v>35.75489576753</v>
      </c>
      <c r="M57" s="90">
        <v>10.275847546851969</v>
      </c>
      <c r="N57" s="90">
        <v>26.574015582227837</v>
      </c>
    </row>
    <row r="58" ht="14.25" customHeight="1">
      <c r="A58" s="90">
        <v>54.49682380474757</v>
      </c>
      <c r="B58" s="90">
        <v>6.57528139975482</v>
      </c>
      <c r="C58" s="90">
        <v>38.23693302128608</v>
      </c>
      <c r="D58" s="90">
        <v>0.6352390504847876</v>
      </c>
      <c r="E58" s="90">
        <v>69.83</v>
      </c>
      <c r="F58" s="90">
        <v>9.69</v>
      </c>
      <c r="G58" s="90">
        <v>10.27</v>
      </c>
      <c r="H58" s="90">
        <v>0.2</v>
      </c>
      <c r="I58" s="90">
        <v>760.0</v>
      </c>
      <c r="J58" s="90">
        <v>0.0</v>
      </c>
      <c r="K58" s="90">
        <v>26.79398148148148</v>
      </c>
      <c r="L58" s="90">
        <v>32.46527777777777</v>
      </c>
      <c r="M58" s="90">
        <v>10.204475308641975</v>
      </c>
      <c r="N58" s="90">
        <v>26.311728395061728</v>
      </c>
    </row>
    <row r="59" ht="14.25" customHeight="1">
      <c r="A59" s="90">
        <v>54.49682380474757</v>
      </c>
      <c r="B59" s="90">
        <v>6.57528139975482</v>
      </c>
      <c r="C59" s="90">
        <v>38.23693302128608</v>
      </c>
      <c r="D59" s="90">
        <v>0.6352390504847876</v>
      </c>
      <c r="E59" s="90">
        <v>69.83</v>
      </c>
      <c r="F59" s="90">
        <v>9.69</v>
      </c>
      <c r="G59" s="90">
        <v>10.27</v>
      </c>
      <c r="H59" s="90">
        <v>0.2</v>
      </c>
      <c r="I59" s="90">
        <v>800.0</v>
      </c>
      <c r="J59" s="90">
        <v>0.0</v>
      </c>
      <c r="K59" s="90">
        <v>29.502118644067796</v>
      </c>
      <c r="L59" s="90">
        <v>29.237288135593214</v>
      </c>
      <c r="M59" s="90">
        <v>8.59816384180791</v>
      </c>
      <c r="N59" s="90">
        <v>28.707627118644073</v>
      </c>
    </row>
    <row r="60" ht="14.25" customHeight="1">
      <c r="A60" s="90">
        <v>46.4</v>
      </c>
      <c r="B60" s="90">
        <v>5.7</v>
      </c>
      <c r="C60" s="90">
        <v>47.7</v>
      </c>
      <c r="D60" s="90">
        <v>0.2</v>
      </c>
      <c r="E60" s="90">
        <v>81.3435</v>
      </c>
      <c r="F60" s="90">
        <v>8.5</v>
      </c>
      <c r="G60" s="90">
        <v>1.0065</v>
      </c>
      <c r="H60" s="90">
        <v>0.38</v>
      </c>
      <c r="I60" s="90">
        <v>761.0</v>
      </c>
      <c r="J60" s="90">
        <v>0.0</v>
      </c>
      <c r="K60" s="90">
        <v>31.6</v>
      </c>
      <c r="L60" s="90">
        <v>38.1</v>
      </c>
      <c r="M60" s="90">
        <v>8.4</v>
      </c>
      <c r="N60" s="90">
        <v>15.5</v>
      </c>
    </row>
    <row r="61" ht="14.25" customHeight="1">
      <c r="A61" s="90">
        <v>46.4</v>
      </c>
      <c r="B61" s="90">
        <v>5.7</v>
      </c>
      <c r="C61" s="90">
        <v>47.7</v>
      </c>
      <c r="D61" s="90">
        <v>0.2</v>
      </c>
      <c r="E61" s="90">
        <v>81.3435</v>
      </c>
      <c r="F61" s="90">
        <v>8.5</v>
      </c>
      <c r="G61" s="90">
        <v>1.0065</v>
      </c>
      <c r="H61" s="90">
        <v>0.38</v>
      </c>
      <c r="I61" s="90">
        <v>730.0</v>
      </c>
      <c r="J61" s="90">
        <v>0.0</v>
      </c>
      <c r="K61" s="90">
        <v>28.7</v>
      </c>
      <c r="L61" s="90">
        <v>43.8</v>
      </c>
      <c r="M61" s="90">
        <v>8.7</v>
      </c>
      <c r="N61" s="90">
        <v>13.9</v>
      </c>
    </row>
    <row r="62" ht="14.25" customHeight="1">
      <c r="A62" s="90">
        <v>46.4</v>
      </c>
      <c r="B62" s="90">
        <v>5.7</v>
      </c>
      <c r="C62" s="90">
        <v>47.7</v>
      </c>
      <c r="D62" s="90">
        <v>0.2</v>
      </c>
      <c r="E62" s="90">
        <v>81.3435</v>
      </c>
      <c r="F62" s="90">
        <v>8.5</v>
      </c>
      <c r="G62" s="90">
        <v>1.0065</v>
      </c>
      <c r="H62" s="90">
        <v>0.38</v>
      </c>
      <c r="I62" s="90">
        <v>699.0</v>
      </c>
      <c r="J62" s="90">
        <v>0.0</v>
      </c>
      <c r="K62" s="90">
        <v>27.0</v>
      </c>
      <c r="L62" s="90">
        <v>45.8</v>
      </c>
      <c r="M62" s="90">
        <v>8.3</v>
      </c>
      <c r="N62" s="90">
        <v>14.1</v>
      </c>
    </row>
    <row r="63" ht="14.25" customHeight="1">
      <c r="A63" s="90">
        <v>46.4</v>
      </c>
      <c r="B63" s="90">
        <v>5.7</v>
      </c>
      <c r="C63" s="90">
        <v>47.7</v>
      </c>
      <c r="D63" s="90">
        <v>0.2</v>
      </c>
      <c r="E63" s="90">
        <v>81.3435</v>
      </c>
      <c r="F63" s="90">
        <v>8.5</v>
      </c>
      <c r="G63" s="90">
        <v>1.0065</v>
      </c>
      <c r="H63" s="90">
        <v>0.36</v>
      </c>
      <c r="I63" s="90">
        <v>703.5</v>
      </c>
      <c r="J63" s="90">
        <v>0.0</v>
      </c>
      <c r="K63" s="90">
        <v>27.57</v>
      </c>
      <c r="L63" s="90">
        <v>45.46</v>
      </c>
      <c r="M63" s="90">
        <v>8.26</v>
      </c>
      <c r="N63" s="90">
        <v>13.57</v>
      </c>
    </row>
    <row r="64" ht="14.25" customHeight="1">
      <c r="A64" s="90">
        <v>46.4</v>
      </c>
      <c r="B64" s="90">
        <v>5.7</v>
      </c>
      <c r="C64" s="90">
        <v>47.7</v>
      </c>
      <c r="D64" s="90">
        <v>0.2</v>
      </c>
      <c r="E64" s="90">
        <v>81.3435</v>
      </c>
      <c r="F64" s="90">
        <v>8.5</v>
      </c>
      <c r="G64" s="90">
        <v>1.0065</v>
      </c>
      <c r="H64" s="90">
        <v>0.39</v>
      </c>
      <c r="I64" s="90">
        <v>729.9</v>
      </c>
      <c r="J64" s="90">
        <v>0.0</v>
      </c>
      <c r="K64" s="90">
        <v>27.64</v>
      </c>
      <c r="L64" s="90">
        <v>45.79</v>
      </c>
      <c r="M64" s="90">
        <v>8.07</v>
      </c>
      <c r="N64" s="90">
        <v>13.9</v>
      </c>
    </row>
    <row r="65" ht="14.25" customHeight="1">
      <c r="A65" s="90">
        <v>46.4</v>
      </c>
      <c r="B65" s="90">
        <v>5.7</v>
      </c>
      <c r="C65" s="90">
        <v>47.7</v>
      </c>
      <c r="D65" s="90">
        <v>0.2</v>
      </c>
      <c r="E65" s="90">
        <v>81.3435</v>
      </c>
      <c r="F65" s="90">
        <v>8.5</v>
      </c>
      <c r="G65" s="90">
        <v>1.0065</v>
      </c>
      <c r="H65" s="90">
        <v>0.45</v>
      </c>
      <c r="I65" s="90">
        <v>738.2</v>
      </c>
      <c r="J65" s="90">
        <v>0.0</v>
      </c>
      <c r="K65" s="90">
        <v>27.34</v>
      </c>
      <c r="L65" s="90">
        <v>46.03</v>
      </c>
      <c r="M65" s="90">
        <v>7.93</v>
      </c>
      <c r="N65" s="90">
        <v>14.29</v>
      </c>
    </row>
    <row r="66" ht="14.25" customHeight="1">
      <c r="A66" s="90">
        <v>46.4</v>
      </c>
      <c r="B66" s="90">
        <v>5.7</v>
      </c>
      <c r="C66" s="90">
        <v>47.7</v>
      </c>
      <c r="D66" s="90">
        <v>0.2</v>
      </c>
      <c r="E66" s="90">
        <v>81.3435</v>
      </c>
      <c r="F66" s="90">
        <v>8.5</v>
      </c>
      <c r="G66" s="90">
        <v>1.0065</v>
      </c>
      <c r="H66" s="90">
        <v>0.49</v>
      </c>
      <c r="I66" s="90">
        <v>765.4</v>
      </c>
      <c r="J66" s="90">
        <v>0.0</v>
      </c>
      <c r="K66" s="90">
        <v>26.8</v>
      </c>
      <c r="L66" s="90">
        <v>47.16</v>
      </c>
      <c r="M66" s="90">
        <v>7.82</v>
      </c>
      <c r="N66" s="90">
        <v>14.06</v>
      </c>
    </row>
    <row r="67" ht="14.25" customHeight="1">
      <c r="A67" s="90">
        <v>46.4</v>
      </c>
      <c r="B67" s="90">
        <v>5.7</v>
      </c>
      <c r="C67" s="90">
        <v>47.7</v>
      </c>
      <c r="D67" s="90">
        <v>0.2</v>
      </c>
      <c r="E67" s="90">
        <v>81.3435</v>
      </c>
      <c r="F67" s="90">
        <v>8.5</v>
      </c>
      <c r="G67" s="90">
        <v>1.0065</v>
      </c>
      <c r="H67" s="90">
        <v>0.3</v>
      </c>
      <c r="I67" s="90">
        <v>726.3</v>
      </c>
      <c r="J67" s="90">
        <v>0.0</v>
      </c>
      <c r="K67" s="90">
        <v>33.25</v>
      </c>
      <c r="L67" s="90">
        <v>40.99</v>
      </c>
      <c r="M67" s="90">
        <v>7.85</v>
      </c>
      <c r="N67" s="90">
        <v>14.06</v>
      </c>
    </row>
    <row r="68" ht="14.25" customHeight="1">
      <c r="A68" s="90">
        <v>46.4</v>
      </c>
      <c r="B68" s="90">
        <v>5.7</v>
      </c>
      <c r="C68" s="90">
        <v>47.7</v>
      </c>
      <c r="D68" s="90">
        <v>0.2</v>
      </c>
      <c r="E68" s="90">
        <v>81.3435</v>
      </c>
      <c r="F68" s="90">
        <v>8.5</v>
      </c>
      <c r="G68" s="90">
        <v>1.0065</v>
      </c>
      <c r="H68" s="90">
        <v>0.38</v>
      </c>
      <c r="I68" s="90">
        <v>767.2</v>
      </c>
      <c r="J68" s="90">
        <v>0.0</v>
      </c>
      <c r="K68" s="90">
        <v>32.44</v>
      </c>
      <c r="L68" s="90">
        <v>41.26</v>
      </c>
      <c r="M68" s="90">
        <v>8.01</v>
      </c>
      <c r="N68" s="90">
        <v>14.58</v>
      </c>
    </row>
    <row r="69" ht="14.25" customHeight="1">
      <c r="A69" s="90">
        <v>46.4</v>
      </c>
      <c r="B69" s="90">
        <v>5.7</v>
      </c>
      <c r="C69" s="90">
        <v>47.7</v>
      </c>
      <c r="D69" s="90">
        <v>0.2</v>
      </c>
      <c r="E69" s="90">
        <v>81.3435</v>
      </c>
      <c r="F69" s="90">
        <v>8.5</v>
      </c>
      <c r="G69" s="90">
        <v>1.0065</v>
      </c>
      <c r="H69" s="90">
        <v>0.43</v>
      </c>
      <c r="I69" s="90">
        <v>783.1</v>
      </c>
      <c r="J69" s="90">
        <v>0.0</v>
      </c>
      <c r="K69" s="90">
        <v>32.14</v>
      </c>
      <c r="L69" s="90">
        <v>41.19</v>
      </c>
      <c r="M69" s="90">
        <v>7.93</v>
      </c>
      <c r="N69" s="90">
        <v>15.48</v>
      </c>
    </row>
    <row r="70" ht="14.25" customHeight="1">
      <c r="A70" s="90">
        <v>46.4</v>
      </c>
      <c r="B70" s="90">
        <v>5.7</v>
      </c>
      <c r="C70" s="90">
        <v>47.7</v>
      </c>
      <c r="D70" s="90">
        <v>0.2</v>
      </c>
      <c r="E70" s="90">
        <v>81.3435</v>
      </c>
      <c r="F70" s="90">
        <v>8.5</v>
      </c>
      <c r="G70" s="90">
        <v>1.0065</v>
      </c>
      <c r="H70" s="90">
        <v>0.46</v>
      </c>
      <c r="I70" s="90">
        <v>806.6</v>
      </c>
      <c r="J70" s="90">
        <v>0.0</v>
      </c>
      <c r="K70" s="90">
        <v>32.68</v>
      </c>
      <c r="L70" s="90">
        <v>41.72</v>
      </c>
      <c r="M70" s="90">
        <v>8.07</v>
      </c>
      <c r="N70" s="90">
        <v>14.66</v>
      </c>
    </row>
    <row r="71" ht="14.25" customHeight="1">
      <c r="A71" s="90">
        <v>46.4</v>
      </c>
      <c r="B71" s="90">
        <v>5.7</v>
      </c>
      <c r="C71" s="90">
        <v>47.7</v>
      </c>
      <c r="D71" s="90">
        <v>0.2</v>
      </c>
      <c r="E71" s="90">
        <v>81.3435</v>
      </c>
      <c r="F71" s="90">
        <v>8.5</v>
      </c>
      <c r="G71" s="90">
        <v>1.0065</v>
      </c>
      <c r="H71" s="90">
        <v>0.3</v>
      </c>
      <c r="I71" s="90">
        <v>747.3</v>
      </c>
      <c r="J71" s="90">
        <v>0.0</v>
      </c>
      <c r="K71" s="90">
        <v>34.65</v>
      </c>
      <c r="L71" s="90">
        <v>38.49</v>
      </c>
      <c r="M71" s="90">
        <v>8.83</v>
      </c>
      <c r="N71" s="90">
        <v>13.43</v>
      </c>
    </row>
    <row r="72" ht="14.25" customHeight="1">
      <c r="A72" s="90">
        <v>46.4</v>
      </c>
      <c r="B72" s="90">
        <v>5.7</v>
      </c>
      <c r="C72" s="90">
        <v>47.7</v>
      </c>
      <c r="D72" s="90">
        <v>0.2</v>
      </c>
      <c r="E72" s="90">
        <v>81.3435</v>
      </c>
      <c r="F72" s="90">
        <v>8.5</v>
      </c>
      <c r="G72" s="90">
        <v>1.0065</v>
      </c>
      <c r="H72" s="90">
        <v>0.34</v>
      </c>
      <c r="I72" s="90">
        <v>769.0</v>
      </c>
      <c r="J72" s="90">
        <v>0.0</v>
      </c>
      <c r="K72" s="90">
        <v>33.61</v>
      </c>
      <c r="L72" s="90">
        <v>38.18</v>
      </c>
      <c r="M72" s="90">
        <v>8.47</v>
      </c>
      <c r="N72" s="90">
        <v>14.96</v>
      </c>
    </row>
    <row r="73" ht="14.25" customHeight="1">
      <c r="A73" s="90">
        <v>46.4</v>
      </c>
      <c r="B73" s="90">
        <v>5.7</v>
      </c>
      <c r="C73" s="90">
        <v>47.7</v>
      </c>
      <c r="D73" s="90">
        <v>0.2</v>
      </c>
      <c r="E73" s="90">
        <v>81.3435</v>
      </c>
      <c r="F73" s="90">
        <v>8.5</v>
      </c>
      <c r="G73" s="90">
        <v>1.0065</v>
      </c>
      <c r="H73" s="90">
        <v>0.38</v>
      </c>
      <c r="I73" s="90">
        <v>779.5</v>
      </c>
      <c r="J73" s="90">
        <v>0.0</v>
      </c>
      <c r="K73" s="90">
        <v>33.21</v>
      </c>
      <c r="L73" s="90">
        <v>38.49</v>
      </c>
      <c r="M73" s="90">
        <v>8.61</v>
      </c>
      <c r="N73" s="90">
        <v>15.97</v>
      </c>
    </row>
    <row r="74" ht="14.25" customHeight="1">
      <c r="A74" s="90">
        <v>46.4</v>
      </c>
      <c r="B74" s="90">
        <v>5.7</v>
      </c>
      <c r="C74" s="90">
        <v>47.7</v>
      </c>
      <c r="D74" s="90">
        <v>0.2</v>
      </c>
      <c r="E74" s="90">
        <v>81.3435</v>
      </c>
      <c r="F74" s="90">
        <v>8.5</v>
      </c>
      <c r="G74" s="90">
        <v>1.0065</v>
      </c>
      <c r="H74" s="90">
        <v>0.4</v>
      </c>
      <c r="I74" s="90">
        <v>791.8</v>
      </c>
      <c r="J74" s="90">
        <v>0.0</v>
      </c>
      <c r="K74" s="90">
        <v>33.08</v>
      </c>
      <c r="L74" s="90">
        <v>38.82</v>
      </c>
      <c r="M74" s="90">
        <v>8.64</v>
      </c>
      <c r="N74" s="90">
        <v>15.45</v>
      </c>
    </row>
    <row r="75" ht="14.25" customHeight="1">
      <c r="A75" s="90">
        <v>46.4</v>
      </c>
      <c r="B75" s="90">
        <v>5.7</v>
      </c>
      <c r="C75" s="90">
        <v>47.7</v>
      </c>
      <c r="D75" s="90">
        <v>0.2</v>
      </c>
      <c r="E75" s="90">
        <v>81.3435</v>
      </c>
      <c r="F75" s="90">
        <v>8.5</v>
      </c>
      <c r="G75" s="90">
        <v>1.0065</v>
      </c>
      <c r="H75" s="90">
        <v>0.45</v>
      </c>
      <c r="I75" s="90">
        <v>829.1</v>
      </c>
      <c r="J75" s="90">
        <v>0.0</v>
      </c>
      <c r="K75" s="90">
        <v>33.28</v>
      </c>
      <c r="L75" s="90">
        <v>39.92</v>
      </c>
      <c r="M75" s="90">
        <v>8.69</v>
      </c>
      <c r="N75" s="90">
        <v>14.39</v>
      </c>
    </row>
    <row r="76" ht="14.25" customHeight="1">
      <c r="A76" s="90">
        <v>47.52</v>
      </c>
      <c r="B76" s="90">
        <v>6.5</v>
      </c>
      <c r="C76" s="90">
        <v>45.92</v>
      </c>
      <c r="D76" s="90">
        <v>0.05</v>
      </c>
      <c r="E76" s="90">
        <v>74.0</v>
      </c>
      <c r="F76" s="90">
        <v>8.9</v>
      </c>
      <c r="G76" s="90">
        <v>0.44</v>
      </c>
      <c r="H76" s="90">
        <v>0.19</v>
      </c>
      <c r="I76" s="90">
        <v>800.0</v>
      </c>
      <c r="J76" s="90">
        <v>0.0</v>
      </c>
      <c r="K76" s="90">
        <v>25.964176214297243</v>
      </c>
      <c r="L76" s="90">
        <v>21.12312409230273</v>
      </c>
      <c r="M76" s="90">
        <v>8.875262223656609</v>
      </c>
      <c r="N76" s="90">
        <v>15.281587865096018</v>
      </c>
    </row>
    <row r="77" ht="14.25" customHeight="1">
      <c r="A77" s="90">
        <v>47.47</v>
      </c>
      <c r="B77" s="90">
        <v>6.24</v>
      </c>
      <c r="C77" s="90">
        <v>46.13</v>
      </c>
      <c r="D77" s="90">
        <v>0.14</v>
      </c>
      <c r="E77" s="90">
        <v>75.11</v>
      </c>
      <c r="F77" s="90">
        <v>6.25</v>
      </c>
      <c r="G77" s="90">
        <v>1.83</v>
      </c>
      <c r="H77" s="90">
        <v>0.2</v>
      </c>
      <c r="I77" s="90">
        <v>800.0</v>
      </c>
      <c r="J77" s="90">
        <v>0.0</v>
      </c>
      <c r="K77" s="90">
        <v>27.730403410954416</v>
      </c>
      <c r="L77" s="90">
        <v>22.23679895047557</v>
      </c>
      <c r="M77" s="90">
        <v>8.642177763201051</v>
      </c>
      <c r="N77" s="90">
        <v>18.57986224991801</v>
      </c>
    </row>
    <row r="78" ht="14.25" customHeight="1">
      <c r="A78" s="90">
        <v>40.83</v>
      </c>
      <c r="B78" s="90">
        <v>7.1</v>
      </c>
      <c r="C78" s="90">
        <v>50.5</v>
      </c>
      <c r="D78" s="90">
        <v>1.4</v>
      </c>
      <c r="E78" s="90">
        <v>66.43</v>
      </c>
      <c r="F78" s="90">
        <v>15.02</v>
      </c>
      <c r="G78" s="90">
        <v>1.4</v>
      </c>
      <c r="H78" s="90">
        <v>0.22</v>
      </c>
      <c r="I78" s="90">
        <v>800.0</v>
      </c>
      <c r="J78" s="90">
        <v>0.0</v>
      </c>
      <c r="K78" s="90">
        <v>21.267123287671232</v>
      </c>
      <c r="L78" s="90">
        <v>18.68150684931507</v>
      </c>
      <c r="M78" s="90">
        <v>6.147260273972603</v>
      </c>
      <c r="N78" s="90">
        <v>7.585616438356165</v>
      </c>
    </row>
    <row r="79" ht="14.25" customHeight="1">
      <c r="A79" s="90">
        <v>50.9</v>
      </c>
      <c r="B79" s="90">
        <v>6.64</v>
      </c>
      <c r="C79" s="90">
        <v>41.5</v>
      </c>
      <c r="D79" s="90">
        <v>0.96271</v>
      </c>
      <c r="E79" s="90">
        <v>72.55505000000001</v>
      </c>
      <c r="F79" s="90">
        <v>8.1</v>
      </c>
      <c r="G79" s="90">
        <v>8.84997</v>
      </c>
      <c r="H79" s="90">
        <v>0.3</v>
      </c>
      <c r="I79" s="90">
        <v>750.0</v>
      </c>
      <c r="J79" s="90">
        <v>0.0</v>
      </c>
      <c r="K79" s="90">
        <v>29.4</v>
      </c>
      <c r="L79" s="90">
        <v>35.1</v>
      </c>
      <c r="M79" s="90">
        <v>8.6</v>
      </c>
      <c r="N79" s="90">
        <v>26.8</v>
      </c>
    </row>
    <row r="80" ht="14.25" customHeight="1">
      <c r="A80" s="90">
        <v>50.9</v>
      </c>
      <c r="B80" s="90">
        <v>6.64</v>
      </c>
      <c r="C80" s="90">
        <v>41.5</v>
      </c>
      <c r="D80" s="90">
        <v>0.96271</v>
      </c>
      <c r="E80" s="90">
        <v>72.55505000000001</v>
      </c>
      <c r="F80" s="90">
        <v>8.1</v>
      </c>
      <c r="G80" s="90">
        <v>8.84997</v>
      </c>
      <c r="H80" s="90">
        <v>0.3</v>
      </c>
      <c r="I80" s="90">
        <v>800.0</v>
      </c>
      <c r="J80" s="90">
        <v>0.0</v>
      </c>
      <c r="K80" s="90">
        <v>33.1</v>
      </c>
      <c r="L80" s="90">
        <v>29.9</v>
      </c>
      <c r="M80" s="90">
        <v>8.2</v>
      </c>
      <c r="N80" s="90">
        <v>28.6</v>
      </c>
    </row>
    <row r="81" ht="14.25" customHeight="1">
      <c r="A81" s="90">
        <v>50.9</v>
      </c>
      <c r="B81" s="90">
        <v>6.64</v>
      </c>
      <c r="C81" s="90">
        <v>41.5</v>
      </c>
      <c r="D81" s="90">
        <v>0.96271</v>
      </c>
      <c r="E81" s="90">
        <v>72.55505000000001</v>
      </c>
      <c r="F81" s="90">
        <v>8.1</v>
      </c>
      <c r="G81" s="90">
        <v>8.84997</v>
      </c>
      <c r="H81" s="90">
        <v>0.3</v>
      </c>
      <c r="I81" s="90">
        <v>750.0</v>
      </c>
      <c r="J81" s="90">
        <v>0.0</v>
      </c>
      <c r="K81" s="90">
        <v>31.4</v>
      </c>
      <c r="L81" s="90">
        <v>34.2</v>
      </c>
      <c r="M81" s="90">
        <v>9.4</v>
      </c>
      <c r="N81" s="90">
        <v>25.0</v>
      </c>
    </row>
    <row r="82" ht="14.25" customHeight="1">
      <c r="A82" s="90">
        <v>50.9</v>
      </c>
      <c r="B82" s="90">
        <v>6.64</v>
      </c>
      <c r="C82" s="90">
        <v>41.5</v>
      </c>
      <c r="D82" s="90">
        <v>0.96271</v>
      </c>
      <c r="E82" s="90">
        <v>72.55505000000001</v>
      </c>
      <c r="F82" s="90">
        <v>8.1</v>
      </c>
      <c r="G82" s="90">
        <v>8.84997</v>
      </c>
      <c r="H82" s="90">
        <v>0.3</v>
      </c>
      <c r="I82" s="90">
        <v>800.0</v>
      </c>
      <c r="J82" s="90">
        <v>0.0</v>
      </c>
      <c r="K82" s="90">
        <v>34.0</v>
      </c>
      <c r="L82" s="90">
        <v>29.8</v>
      </c>
      <c r="M82" s="90">
        <v>8.4</v>
      </c>
      <c r="N82" s="90">
        <v>27.1</v>
      </c>
    </row>
    <row r="83" ht="14.25" customHeight="1">
      <c r="A83" s="90">
        <v>49.79</v>
      </c>
      <c r="B83" s="90">
        <v>6.79</v>
      </c>
      <c r="C83" s="90">
        <v>40.35</v>
      </c>
      <c r="D83" s="90">
        <v>3.07</v>
      </c>
      <c r="E83" s="90">
        <v>76.47858000000001</v>
      </c>
      <c r="F83" s="90">
        <v>8.2</v>
      </c>
      <c r="G83" s="90">
        <v>2.19402</v>
      </c>
      <c r="H83" s="90">
        <v>0.3</v>
      </c>
      <c r="I83" s="90">
        <v>750.0</v>
      </c>
      <c r="J83" s="90">
        <v>0.0</v>
      </c>
      <c r="K83" s="90">
        <v>29.5</v>
      </c>
      <c r="L83" s="90">
        <v>34.8</v>
      </c>
      <c r="M83" s="90">
        <v>8.5</v>
      </c>
      <c r="N83" s="90">
        <v>23.6</v>
      </c>
    </row>
    <row r="84" ht="14.25" customHeight="1">
      <c r="A84" s="90">
        <v>49.79</v>
      </c>
      <c r="B84" s="90">
        <v>6.79</v>
      </c>
      <c r="C84" s="90">
        <v>40.35</v>
      </c>
      <c r="D84" s="90">
        <v>3.07</v>
      </c>
      <c r="E84" s="90">
        <v>76.47858000000001</v>
      </c>
      <c r="F84" s="90">
        <v>8.2</v>
      </c>
      <c r="G84" s="90">
        <v>2.19402</v>
      </c>
      <c r="H84" s="90">
        <v>0.3</v>
      </c>
      <c r="I84" s="90">
        <v>800.0</v>
      </c>
      <c r="J84" s="90">
        <v>0.0</v>
      </c>
      <c r="K84" s="90">
        <v>35.1</v>
      </c>
      <c r="L84" s="90">
        <v>30.3</v>
      </c>
      <c r="M84" s="90">
        <v>7.8</v>
      </c>
      <c r="N84" s="90">
        <v>25.5</v>
      </c>
    </row>
    <row r="85" ht="14.25" customHeight="1">
      <c r="A85" s="90">
        <v>49.79</v>
      </c>
      <c r="B85" s="90">
        <v>6.79</v>
      </c>
      <c r="C85" s="90">
        <v>40.35</v>
      </c>
      <c r="D85" s="90">
        <v>3.07</v>
      </c>
      <c r="E85" s="90">
        <v>76.47858000000001</v>
      </c>
      <c r="F85" s="90">
        <v>8.2</v>
      </c>
      <c r="G85" s="90">
        <v>2.19402</v>
      </c>
      <c r="H85" s="90">
        <v>0.3</v>
      </c>
      <c r="I85" s="90">
        <v>750.0</v>
      </c>
      <c r="J85" s="90">
        <v>0.0</v>
      </c>
      <c r="K85" s="90">
        <v>31.7</v>
      </c>
      <c r="L85" s="90">
        <v>36.0</v>
      </c>
      <c r="M85" s="90">
        <v>7.8</v>
      </c>
      <c r="N85" s="90">
        <v>21.8</v>
      </c>
    </row>
    <row r="86" ht="14.25" customHeight="1">
      <c r="A86" s="90">
        <v>49.79</v>
      </c>
      <c r="B86" s="90">
        <v>6.79</v>
      </c>
      <c r="C86" s="90">
        <v>40.35</v>
      </c>
      <c r="D86" s="90">
        <v>3.07</v>
      </c>
      <c r="E86" s="90">
        <v>76.47858000000001</v>
      </c>
      <c r="F86" s="90">
        <v>8.2</v>
      </c>
      <c r="G86" s="90">
        <v>2.19402</v>
      </c>
      <c r="H86" s="90">
        <v>0.3</v>
      </c>
      <c r="I86" s="90">
        <v>800.0</v>
      </c>
      <c r="J86" s="90">
        <v>0.0</v>
      </c>
      <c r="K86" s="90">
        <v>33.7</v>
      </c>
      <c r="L86" s="90">
        <v>35.2</v>
      </c>
      <c r="M86" s="90">
        <v>7.7</v>
      </c>
      <c r="N86" s="90">
        <v>23.4</v>
      </c>
    </row>
    <row r="87" ht="14.25" customHeight="1">
      <c r="A87" s="90">
        <v>46.28601361969618</v>
      </c>
      <c r="B87" s="90">
        <v>5.594552121529596</v>
      </c>
      <c r="C87" s="90">
        <v>47.51178627553693</v>
      </c>
      <c r="D87" s="90">
        <v>0.5762179151388162</v>
      </c>
      <c r="E87" s="90">
        <v>69.32</v>
      </c>
      <c r="F87" s="90">
        <v>5.93</v>
      </c>
      <c r="G87" s="90">
        <v>4.55</v>
      </c>
      <c r="H87" s="90">
        <v>0.15</v>
      </c>
      <c r="I87" s="90">
        <v>650.0</v>
      </c>
      <c r="J87" s="90">
        <v>0.0</v>
      </c>
      <c r="K87" s="90">
        <v>42.96545914069082</v>
      </c>
      <c r="L87" s="90">
        <v>31.676495366470096</v>
      </c>
      <c r="M87" s="90">
        <v>10.551811288963775</v>
      </c>
      <c r="N87" s="90">
        <v>14.806234203875317</v>
      </c>
    </row>
    <row r="88" ht="14.25" customHeight="1">
      <c r="A88" s="90">
        <v>46.28601361969618</v>
      </c>
      <c r="B88" s="90">
        <v>5.594552121529596</v>
      </c>
      <c r="C88" s="90">
        <v>47.51178627553693</v>
      </c>
      <c r="D88" s="90">
        <v>0.5762179151388162</v>
      </c>
      <c r="E88" s="90">
        <v>69.32</v>
      </c>
      <c r="F88" s="90">
        <v>5.93</v>
      </c>
      <c r="G88" s="90">
        <v>4.55</v>
      </c>
      <c r="H88" s="90">
        <v>0.15</v>
      </c>
      <c r="I88" s="90">
        <v>700.0</v>
      </c>
      <c r="J88" s="90">
        <v>0.0</v>
      </c>
      <c r="K88" s="90">
        <v>43.44827586206897</v>
      </c>
      <c r="L88" s="90">
        <v>29.142857142857142</v>
      </c>
      <c r="M88" s="90">
        <v>12.571428571428571</v>
      </c>
      <c r="N88" s="90">
        <v>14.83743842364532</v>
      </c>
    </row>
    <row r="89" ht="14.25" customHeight="1">
      <c r="A89" s="90">
        <v>46.28601361969618</v>
      </c>
      <c r="B89" s="90">
        <v>5.594552121529596</v>
      </c>
      <c r="C89" s="90">
        <v>47.51178627553693</v>
      </c>
      <c r="D89" s="90">
        <v>0.5762179151388162</v>
      </c>
      <c r="E89" s="90">
        <v>69.32</v>
      </c>
      <c r="F89" s="90">
        <v>5.93</v>
      </c>
      <c r="G89" s="90">
        <v>4.55</v>
      </c>
      <c r="H89" s="90">
        <v>0.15</v>
      </c>
      <c r="I89" s="90">
        <v>750.0</v>
      </c>
      <c r="J89" s="90">
        <v>0.0</v>
      </c>
      <c r="K89" s="90">
        <v>43.81766381766382</v>
      </c>
      <c r="L89" s="90">
        <v>26.647673314339983</v>
      </c>
      <c r="M89" s="90">
        <v>13.447293447293447</v>
      </c>
      <c r="N89" s="90">
        <v>16.087369420702757</v>
      </c>
    </row>
    <row r="90" ht="14.25" customHeight="1">
      <c r="A90" s="90">
        <v>46.28601361969618</v>
      </c>
      <c r="B90" s="90">
        <v>5.594552121529596</v>
      </c>
      <c r="C90" s="90">
        <v>47.51178627553693</v>
      </c>
      <c r="D90" s="90">
        <v>0.5762179151388162</v>
      </c>
      <c r="E90" s="90">
        <v>69.32</v>
      </c>
      <c r="F90" s="90">
        <v>5.93</v>
      </c>
      <c r="G90" s="90">
        <v>4.55</v>
      </c>
      <c r="H90" s="90">
        <v>0.15</v>
      </c>
      <c r="I90" s="90">
        <v>800.0</v>
      </c>
      <c r="J90" s="90">
        <v>0.0</v>
      </c>
      <c r="K90" s="90">
        <v>46.46391938096095</v>
      </c>
      <c r="L90" s="90">
        <v>24.79755263631456</v>
      </c>
      <c r="M90" s="90">
        <v>12.236818427208926</v>
      </c>
      <c r="N90" s="90">
        <v>16.501709555515564</v>
      </c>
    </row>
    <row r="91" ht="14.25" customHeight="1">
      <c r="A91" s="90">
        <v>46.28601361969618</v>
      </c>
      <c r="B91" s="90">
        <v>5.594552121529596</v>
      </c>
      <c r="C91" s="90">
        <v>47.51178627553693</v>
      </c>
      <c r="D91" s="90">
        <v>0.5762179151388162</v>
      </c>
      <c r="E91" s="90">
        <v>69.32</v>
      </c>
      <c r="F91" s="90">
        <v>5.93</v>
      </c>
      <c r="G91" s="90">
        <v>4.55</v>
      </c>
      <c r="H91" s="90">
        <v>0.15</v>
      </c>
      <c r="I91" s="90">
        <v>850.0</v>
      </c>
      <c r="J91" s="90">
        <v>0.0</v>
      </c>
      <c r="K91" s="90">
        <v>47.28813559322034</v>
      </c>
      <c r="L91" s="90">
        <v>22.203389830508474</v>
      </c>
      <c r="M91" s="90">
        <v>11.847457627118644</v>
      </c>
      <c r="N91" s="90">
        <v>18.661016949152543</v>
      </c>
    </row>
    <row r="92" ht="14.25" customHeight="1">
      <c r="A92" s="90">
        <v>46.28601361969618</v>
      </c>
      <c r="B92" s="90">
        <v>5.594552121529596</v>
      </c>
      <c r="C92" s="90">
        <v>47.51178627553693</v>
      </c>
      <c r="D92" s="90">
        <v>0.5762179151388162</v>
      </c>
      <c r="E92" s="90">
        <v>69.32</v>
      </c>
      <c r="F92" s="90">
        <v>5.93</v>
      </c>
      <c r="G92" s="90">
        <v>4.55</v>
      </c>
      <c r="H92" s="90">
        <v>0.2</v>
      </c>
      <c r="I92" s="90">
        <v>650.0</v>
      </c>
      <c r="J92" s="90">
        <v>0.0</v>
      </c>
      <c r="K92" s="90">
        <v>30.719364282726893</v>
      </c>
      <c r="L92" s="90">
        <v>39.7323295692179</v>
      </c>
      <c r="M92" s="90">
        <v>10.434964450020912</v>
      </c>
      <c r="N92" s="90">
        <v>19.113341698034294</v>
      </c>
    </row>
    <row r="93" ht="14.25" customHeight="1">
      <c r="A93" s="90">
        <v>46.28601361969618</v>
      </c>
      <c r="B93" s="90">
        <v>5.594552121529596</v>
      </c>
      <c r="C93" s="90">
        <v>47.51178627553693</v>
      </c>
      <c r="D93" s="90">
        <v>0.5762179151388162</v>
      </c>
      <c r="E93" s="90">
        <v>69.32</v>
      </c>
      <c r="F93" s="90">
        <v>5.93</v>
      </c>
      <c r="G93" s="90">
        <v>4.55</v>
      </c>
      <c r="H93" s="90">
        <v>0.2</v>
      </c>
      <c r="I93" s="90">
        <v>700.0</v>
      </c>
      <c r="J93" s="90">
        <v>0.0</v>
      </c>
      <c r="K93" s="90">
        <v>30.533415082771306</v>
      </c>
      <c r="L93" s="90">
        <v>38.217862252197015</v>
      </c>
      <c r="M93" s="90">
        <v>12.241978336398937</v>
      </c>
      <c r="N93" s="90">
        <v>19.00674432863274</v>
      </c>
    </row>
    <row r="94" ht="14.25" customHeight="1">
      <c r="A94" s="90">
        <v>46.28601361969618</v>
      </c>
      <c r="B94" s="90">
        <v>5.594552121529596</v>
      </c>
      <c r="C94" s="90">
        <v>47.51178627553693</v>
      </c>
      <c r="D94" s="90">
        <v>0.5762179151388162</v>
      </c>
      <c r="E94" s="90">
        <v>69.32</v>
      </c>
      <c r="F94" s="90">
        <v>5.93</v>
      </c>
      <c r="G94" s="90">
        <v>4.55</v>
      </c>
      <c r="H94" s="90">
        <v>0.2</v>
      </c>
      <c r="I94" s="90">
        <v>750.0</v>
      </c>
      <c r="J94" s="90">
        <v>0.0</v>
      </c>
      <c r="K94" s="90">
        <v>32.45275350538508</v>
      </c>
      <c r="L94" s="90">
        <v>34.54582401950823</v>
      </c>
      <c r="M94" s="90">
        <v>12.883560251981304</v>
      </c>
      <c r="N94" s="90">
        <v>20.117862223125382</v>
      </c>
    </row>
    <row r="95" ht="14.25" customHeight="1">
      <c r="A95" s="90">
        <v>46.28601361969618</v>
      </c>
      <c r="B95" s="90">
        <v>5.594552121529596</v>
      </c>
      <c r="C95" s="90">
        <v>47.51178627553693</v>
      </c>
      <c r="D95" s="90">
        <v>0.5762179151388162</v>
      </c>
      <c r="E95" s="90">
        <v>69.32</v>
      </c>
      <c r="F95" s="90">
        <v>5.93</v>
      </c>
      <c r="G95" s="90">
        <v>4.55</v>
      </c>
      <c r="H95" s="90">
        <v>0.2</v>
      </c>
      <c r="I95" s="90">
        <v>800.0</v>
      </c>
      <c r="J95" s="90">
        <v>0.0</v>
      </c>
      <c r="K95" s="90">
        <v>34.853228962818</v>
      </c>
      <c r="L95" s="90">
        <v>31.487279843444227</v>
      </c>
      <c r="M95" s="90">
        <v>12.83757338551859</v>
      </c>
      <c r="N95" s="90">
        <v>20.821917808219176</v>
      </c>
    </row>
    <row r="96" ht="14.25" customHeight="1">
      <c r="A96" s="90">
        <v>46.28601361969618</v>
      </c>
      <c r="B96" s="90">
        <v>5.594552121529596</v>
      </c>
      <c r="C96" s="90">
        <v>47.51178627553693</v>
      </c>
      <c r="D96" s="90">
        <v>0.5762179151388162</v>
      </c>
      <c r="E96" s="90">
        <v>69.32</v>
      </c>
      <c r="F96" s="90">
        <v>5.93</v>
      </c>
      <c r="G96" s="90">
        <v>4.55</v>
      </c>
      <c r="H96" s="90">
        <v>0.2</v>
      </c>
      <c r="I96" s="90">
        <v>850.0</v>
      </c>
      <c r="J96" s="90">
        <v>0.0</v>
      </c>
      <c r="K96" s="90">
        <v>37.147130304729856</v>
      </c>
      <c r="L96" s="90">
        <v>28.192185455225275</v>
      </c>
      <c r="M96" s="90">
        <v>13.273509067115349</v>
      </c>
      <c r="N96" s="90">
        <v>21.387175172929517</v>
      </c>
    </row>
    <row r="97" ht="14.25" customHeight="1">
      <c r="A97" s="90">
        <v>46.28601361969618</v>
      </c>
      <c r="B97" s="90">
        <v>5.594552121529596</v>
      </c>
      <c r="C97" s="90">
        <v>47.51178627553693</v>
      </c>
      <c r="D97" s="90">
        <v>0.5762179151388162</v>
      </c>
      <c r="E97" s="90">
        <v>69.32</v>
      </c>
      <c r="F97" s="90">
        <v>5.93</v>
      </c>
      <c r="G97" s="90">
        <v>4.55</v>
      </c>
      <c r="H97" s="90">
        <v>0.25</v>
      </c>
      <c r="I97" s="90">
        <v>650.0</v>
      </c>
      <c r="J97" s="90">
        <v>0.0</v>
      </c>
      <c r="K97" s="90">
        <v>30.73798239675017</v>
      </c>
      <c r="L97" s="90">
        <v>42.42834574588129</v>
      </c>
      <c r="M97" s="90">
        <v>11.126156623786954</v>
      </c>
      <c r="N97" s="90">
        <v>15.707515233581583</v>
      </c>
    </row>
    <row r="98" ht="14.25" customHeight="1">
      <c r="A98" s="90">
        <v>46.28601361969618</v>
      </c>
      <c r="B98" s="90">
        <v>5.594552121529596</v>
      </c>
      <c r="C98" s="90">
        <v>47.51178627553693</v>
      </c>
      <c r="D98" s="90">
        <v>0.5762179151388162</v>
      </c>
      <c r="E98" s="90">
        <v>69.32</v>
      </c>
      <c r="F98" s="90">
        <v>5.93</v>
      </c>
      <c r="G98" s="90">
        <v>4.55</v>
      </c>
      <c r="H98" s="90">
        <v>0.25</v>
      </c>
      <c r="I98" s="90">
        <v>700.0</v>
      </c>
      <c r="J98" s="90">
        <v>0.0</v>
      </c>
      <c r="K98" s="90">
        <v>29.75567190226876</v>
      </c>
      <c r="L98" s="90">
        <v>40.27050610820244</v>
      </c>
      <c r="M98" s="90">
        <v>12.674520069808027</v>
      </c>
      <c r="N98" s="90">
        <v>17.299301919720765</v>
      </c>
    </row>
    <row r="99" ht="14.25" customHeight="1">
      <c r="A99" s="90">
        <v>46.28601361969618</v>
      </c>
      <c r="B99" s="90">
        <v>5.594552121529596</v>
      </c>
      <c r="C99" s="90">
        <v>47.51178627553693</v>
      </c>
      <c r="D99" s="90">
        <v>0.5762179151388162</v>
      </c>
      <c r="E99" s="90">
        <v>69.32</v>
      </c>
      <c r="F99" s="90">
        <v>5.93</v>
      </c>
      <c r="G99" s="90">
        <v>4.55</v>
      </c>
      <c r="H99" s="90">
        <v>0.25</v>
      </c>
      <c r="I99" s="90">
        <v>750.0</v>
      </c>
      <c r="J99" s="90">
        <v>0.0</v>
      </c>
      <c r="K99" s="90">
        <v>33.52527191298784</v>
      </c>
      <c r="L99" s="90">
        <v>35.956493921944976</v>
      </c>
      <c r="M99" s="90">
        <v>12.561313712945191</v>
      </c>
      <c r="N99" s="90">
        <v>17.956920452121988</v>
      </c>
    </row>
    <row r="100" ht="14.25" customHeight="1">
      <c r="A100" s="90">
        <v>46.28601361969618</v>
      </c>
      <c r="B100" s="90">
        <v>5.594552121529596</v>
      </c>
      <c r="C100" s="90">
        <v>47.51178627553693</v>
      </c>
      <c r="D100" s="90">
        <v>0.5762179151388162</v>
      </c>
      <c r="E100" s="90">
        <v>69.32</v>
      </c>
      <c r="F100" s="90">
        <v>5.93</v>
      </c>
      <c r="G100" s="90">
        <v>4.55</v>
      </c>
      <c r="H100" s="90">
        <v>0.25</v>
      </c>
      <c r="I100" s="90">
        <v>800.0</v>
      </c>
      <c r="J100" s="90">
        <v>0.0</v>
      </c>
      <c r="K100" s="90">
        <v>35.08047874535699</v>
      </c>
      <c r="L100" s="90">
        <v>31.159719356170037</v>
      </c>
      <c r="M100" s="90">
        <v>13.06231943871234</v>
      </c>
      <c r="N100" s="90">
        <v>20.697482459760625</v>
      </c>
    </row>
    <row r="101" ht="14.25" customHeight="1">
      <c r="A101" s="90">
        <v>46.28601361969618</v>
      </c>
      <c r="B101" s="90">
        <v>5.594552121529596</v>
      </c>
      <c r="C101" s="90">
        <v>47.51178627553693</v>
      </c>
      <c r="D101" s="90">
        <v>0.5762179151388162</v>
      </c>
      <c r="E101" s="90">
        <v>69.32</v>
      </c>
      <c r="F101" s="90">
        <v>5.93</v>
      </c>
      <c r="G101" s="90">
        <v>4.55</v>
      </c>
      <c r="H101" s="90">
        <v>0.25</v>
      </c>
      <c r="I101" s="90">
        <v>850.0</v>
      </c>
      <c r="J101" s="90">
        <v>0.0</v>
      </c>
      <c r="K101" s="90">
        <v>37.00587084148728</v>
      </c>
      <c r="L101" s="90">
        <v>27.240704500978474</v>
      </c>
      <c r="M101" s="90">
        <v>13.561643835616438</v>
      </c>
      <c r="N101" s="90">
        <v>22.191780821917806</v>
      </c>
    </row>
    <row r="102" ht="14.25" customHeight="1">
      <c r="A102" s="90">
        <v>46.28601361969618</v>
      </c>
      <c r="B102" s="90">
        <v>5.594552121529596</v>
      </c>
      <c r="C102" s="90">
        <v>47.51178627553693</v>
      </c>
      <c r="D102" s="90">
        <v>0.5762179151388162</v>
      </c>
      <c r="E102" s="90">
        <v>69.32</v>
      </c>
      <c r="F102" s="90">
        <v>5.93</v>
      </c>
      <c r="G102" s="90">
        <v>4.55</v>
      </c>
      <c r="H102" s="90">
        <v>0.15</v>
      </c>
      <c r="I102" s="90">
        <v>700.0</v>
      </c>
      <c r="J102" s="90">
        <v>0.0</v>
      </c>
      <c r="K102" s="90">
        <v>37.06677109849227</v>
      </c>
      <c r="L102" s="90">
        <v>30.135108674368514</v>
      </c>
      <c r="M102" s="90">
        <v>11.944390052868611</v>
      </c>
      <c r="N102" s="90">
        <v>20.85373017427061</v>
      </c>
    </row>
    <row r="103" ht="14.25" customHeight="1">
      <c r="A103" s="90">
        <v>46.28601361969618</v>
      </c>
      <c r="B103" s="90">
        <v>5.594552121529596</v>
      </c>
      <c r="C103" s="90">
        <v>47.51178627553693</v>
      </c>
      <c r="D103" s="90">
        <v>0.5762179151388162</v>
      </c>
      <c r="E103" s="90">
        <v>69.32</v>
      </c>
      <c r="F103" s="90">
        <v>5.93</v>
      </c>
      <c r="G103" s="90">
        <v>4.55</v>
      </c>
      <c r="H103" s="90">
        <v>0.18</v>
      </c>
      <c r="I103" s="90">
        <v>700.0</v>
      </c>
      <c r="J103" s="90">
        <v>0.0</v>
      </c>
      <c r="K103" s="90">
        <v>33.089005235602095</v>
      </c>
      <c r="L103" s="90">
        <v>35.1413612565445</v>
      </c>
      <c r="M103" s="90">
        <v>10.596858638743454</v>
      </c>
      <c r="N103" s="90">
        <v>21.172774869109947</v>
      </c>
    </row>
    <row r="104" ht="14.25" customHeight="1">
      <c r="A104" s="90">
        <v>46.28601361969618</v>
      </c>
      <c r="B104" s="90">
        <v>5.594552121529596</v>
      </c>
      <c r="C104" s="90">
        <v>47.51178627553693</v>
      </c>
      <c r="D104" s="90">
        <v>0.5762179151388162</v>
      </c>
      <c r="E104" s="90">
        <v>69.32</v>
      </c>
      <c r="F104" s="90">
        <v>5.93</v>
      </c>
      <c r="G104" s="90">
        <v>4.55</v>
      </c>
      <c r="H104" s="90">
        <v>0.21</v>
      </c>
      <c r="I104" s="90">
        <v>700.0</v>
      </c>
      <c r="J104" s="90">
        <v>0.0</v>
      </c>
      <c r="K104" s="90">
        <v>32.597771466025776</v>
      </c>
      <c r="L104" s="90">
        <v>40.94384968319859</v>
      </c>
      <c r="M104" s="90">
        <v>6.292331221324011</v>
      </c>
      <c r="N104" s="90">
        <v>20.166047629451604</v>
      </c>
    </row>
    <row r="105" ht="14.25" customHeight="1">
      <c r="A105" s="90">
        <v>46.28601361969618</v>
      </c>
      <c r="B105" s="90">
        <v>5.594552121529596</v>
      </c>
      <c r="C105" s="90">
        <v>47.51178627553693</v>
      </c>
      <c r="D105" s="90">
        <v>0.5762179151388162</v>
      </c>
      <c r="E105" s="90">
        <v>69.32</v>
      </c>
      <c r="F105" s="90">
        <v>5.93</v>
      </c>
      <c r="G105" s="90">
        <v>4.55</v>
      </c>
      <c r="H105" s="90">
        <v>0.24</v>
      </c>
      <c r="I105" s="90">
        <v>700.0</v>
      </c>
      <c r="J105" s="90">
        <v>0.0</v>
      </c>
      <c r="K105" s="90">
        <v>30.774518790100824</v>
      </c>
      <c r="L105" s="90">
        <v>45.76076993583868</v>
      </c>
      <c r="M105" s="90">
        <v>2.314390467461045</v>
      </c>
      <c r="N105" s="90">
        <v>21.15032080659945</v>
      </c>
    </row>
    <row r="106" ht="14.25" customHeight="1">
      <c r="A106" s="90">
        <v>46.28601361969618</v>
      </c>
      <c r="B106" s="90">
        <v>5.594552121529596</v>
      </c>
      <c r="C106" s="90">
        <v>47.51178627553693</v>
      </c>
      <c r="D106" s="90">
        <v>0.5762179151388162</v>
      </c>
      <c r="E106" s="90">
        <v>69.32</v>
      </c>
      <c r="F106" s="90">
        <v>5.93</v>
      </c>
      <c r="G106" s="90">
        <v>4.55</v>
      </c>
      <c r="H106" s="90">
        <v>0.15</v>
      </c>
      <c r="I106" s="90">
        <v>750.0</v>
      </c>
      <c r="J106" s="90">
        <v>0.0</v>
      </c>
      <c r="K106" s="90">
        <v>40.14585232452142</v>
      </c>
      <c r="L106" s="90">
        <v>27.657247037374656</v>
      </c>
      <c r="M106" s="90">
        <v>10.829535095715588</v>
      </c>
      <c r="N106" s="90">
        <v>21.36736554238833</v>
      </c>
    </row>
    <row r="107" ht="14.25" customHeight="1">
      <c r="A107" s="90">
        <v>46.28601361969618</v>
      </c>
      <c r="B107" s="90">
        <v>5.594552121529596</v>
      </c>
      <c r="C107" s="90">
        <v>47.51178627553693</v>
      </c>
      <c r="D107" s="90">
        <v>0.5762179151388162</v>
      </c>
      <c r="E107" s="90">
        <v>69.32</v>
      </c>
      <c r="F107" s="90">
        <v>5.93</v>
      </c>
      <c r="G107" s="90">
        <v>4.55</v>
      </c>
      <c r="H107" s="90">
        <v>0.18</v>
      </c>
      <c r="I107" s="90">
        <v>750.0</v>
      </c>
      <c r="J107" s="90">
        <v>0.0</v>
      </c>
      <c r="K107" s="90">
        <v>35.93906594507917</v>
      </c>
      <c r="L107" s="90">
        <v>33.09280416917218</v>
      </c>
      <c r="M107" s="90">
        <v>10.60332732010423</v>
      </c>
      <c r="N107" s="90">
        <v>20.364802565644418</v>
      </c>
    </row>
    <row r="108" ht="14.25" customHeight="1">
      <c r="A108" s="90">
        <v>46.28601361969618</v>
      </c>
      <c r="B108" s="90">
        <v>5.594552121529596</v>
      </c>
      <c r="C108" s="90">
        <v>47.51178627553693</v>
      </c>
      <c r="D108" s="90">
        <v>0.5762179151388162</v>
      </c>
      <c r="E108" s="90">
        <v>69.32</v>
      </c>
      <c r="F108" s="90">
        <v>5.93</v>
      </c>
      <c r="G108" s="90">
        <v>4.55</v>
      </c>
      <c r="H108" s="90">
        <v>0.21</v>
      </c>
      <c r="I108" s="90">
        <v>750.0</v>
      </c>
      <c r="J108" s="90">
        <v>0.0</v>
      </c>
      <c r="K108" s="90">
        <v>33.634214485278314</v>
      </c>
      <c r="L108" s="90">
        <v>40.03868471953578</v>
      </c>
      <c r="M108" s="90">
        <v>6.039114549752847</v>
      </c>
      <c r="N108" s="90">
        <v>20.287986245433054</v>
      </c>
    </row>
    <row r="109" ht="14.25" customHeight="1">
      <c r="A109" s="90">
        <v>46.28601361969618</v>
      </c>
      <c r="B109" s="90">
        <v>5.594552121529596</v>
      </c>
      <c r="C109" s="90">
        <v>47.51178627553693</v>
      </c>
      <c r="D109" s="90">
        <v>0.5762179151388162</v>
      </c>
      <c r="E109" s="90">
        <v>69.32</v>
      </c>
      <c r="F109" s="90">
        <v>5.93</v>
      </c>
      <c r="G109" s="90">
        <v>4.55</v>
      </c>
      <c r="H109" s="90">
        <v>0.24</v>
      </c>
      <c r="I109" s="90">
        <v>750.0</v>
      </c>
      <c r="J109" s="90">
        <v>0.0</v>
      </c>
      <c r="K109" s="90">
        <v>30.72248480756246</v>
      </c>
      <c r="L109" s="90">
        <v>44.47445419761423</v>
      </c>
      <c r="M109" s="90">
        <v>4.186360567184335</v>
      </c>
      <c r="N109" s="90">
        <v>20.616700427638982</v>
      </c>
    </row>
    <row r="110" ht="14.25" customHeight="1">
      <c r="A110" s="90">
        <v>46.28601361969618</v>
      </c>
      <c r="B110" s="90">
        <v>5.594552121529596</v>
      </c>
      <c r="C110" s="90">
        <v>47.51178627553693</v>
      </c>
      <c r="D110" s="90">
        <v>0.5762179151388162</v>
      </c>
      <c r="E110" s="90">
        <v>69.32</v>
      </c>
      <c r="F110" s="90">
        <v>5.93</v>
      </c>
      <c r="G110" s="90">
        <v>4.55</v>
      </c>
      <c r="H110" s="90">
        <v>0.15</v>
      </c>
      <c r="I110" s="90">
        <v>800.0</v>
      </c>
      <c r="J110" s="90">
        <v>0.0</v>
      </c>
      <c r="K110" s="90">
        <v>40.96650998824912</v>
      </c>
      <c r="L110" s="90">
        <v>28.275558166862517</v>
      </c>
      <c r="M110" s="90">
        <v>10.472972972972974</v>
      </c>
      <c r="N110" s="90">
        <v>20.284958871915393</v>
      </c>
    </row>
    <row r="111" ht="14.25" customHeight="1">
      <c r="A111" s="90">
        <v>46.28601361969618</v>
      </c>
      <c r="B111" s="90">
        <v>5.594552121529596</v>
      </c>
      <c r="C111" s="90">
        <v>47.51178627553693</v>
      </c>
      <c r="D111" s="90">
        <v>0.5762179151388162</v>
      </c>
      <c r="E111" s="90">
        <v>69.32</v>
      </c>
      <c r="F111" s="90">
        <v>5.93</v>
      </c>
      <c r="G111" s="90">
        <v>4.55</v>
      </c>
      <c r="H111" s="90">
        <v>0.18</v>
      </c>
      <c r="I111" s="90">
        <v>800.0</v>
      </c>
      <c r="J111" s="90">
        <v>0.0</v>
      </c>
      <c r="K111" s="90">
        <v>35.39426523297491</v>
      </c>
      <c r="L111" s="90">
        <v>32.15053763440861</v>
      </c>
      <c r="M111" s="90">
        <v>10.967741935483872</v>
      </c>
      <c r="N111" s="90">
        <v>21.48745519713262</v>
      </c>
    </row>
    <row r="112" ht="14.25" customHeight="1">
      <c r="A112" s="90">
        <v>46.28601361969618</v>
      </c>
      <c r="B112" s="90">
        <v>5.594552121529596</v>
      </c>
      <c r="C112" s="90">
        <v>47.51178627553693</v>
      </c>
      <c r="D112" s="90">
        <v>0.5762179151388162</v>
      </c>
      <c r="E112" s="90">
        <v>69.32</v>
      </c>
      <c r="F112" s="90">
        <v>5.93</v>
      </c>
      <c r="G112" s="90">
        <v>4.55</v>
      </c>
      <c r="H112" s="90">
        <v>0.21</v>
      </c>
      <c r="I112" s="90">
        <v>800.0</v>
      </c>
      <c r="J112" s="90">
        <v>0.0</v>
      </c>
      <c r="K112" s="90">
        <v>33.121376472788484</v>
      </c>
      <c r="L112" s="90">
        <v>41.0697587432205</v>
      </c>
      <c r="M112" s="90">
        <v>7.069384701701889</v>
      </c>
      <c r="N112" s="90">
        <v>18.739480082289134</v>
      </c>
    </row>
    <row r="113" ht="14.25" customHeight="1">
      <c r="A113" s="90">
        <v>46.28601361969618</v>
      </c>
      <c r="B113" s="90">
        <v>5.594552121529596</v>
      </c>
      <c r="C113" s="90">
        <v>47.51178627553693</v>
      </c>
      <c r="D113" s="90">
        <v>0.5762179151388162</v>
      </c>
      <c r="E113" s="90">
        <v>69.32</v>
      </c>
      <c r="F113" s="90">
        <v>5.93</v>
      </c>
      <c r="G113" s="90">
        <v>4.55</v>
      </c>
      <c r="H113" s="90">
        <v>0.24</v>
      </c>
      <c r="I113" s="90">
        <v>800.0</v>
      </c>
      <c r="J113" s="90">
        <v>0.0</v>
      </c>
      <c r="K113" s="90">
        <v>27.04855842185129</v>
      </c>
      <c r="L113" s="90">
        <v>48.7670713201821</v>
      </c>
      <c r="M113" s="90">
        <v>5.7473444613050075</v>
      </c>
      <c r="N113" s="90">
        <v>18.43702579666161</v>
      </c>
    </row>
    <row r="114" ht="14.25" customHeight="1">
      <c r="A114" s="90">
        <v>46.28601361969618</v>
      </c>
      <c r="B114" s="90">
        <v>5.594552121529596</v>
      </c>
      <c r="C114" s="90">
        <v>47.51178627553693</v>
      </c>
      <c r="D114" s="90">
        <v>0.5762179151388162</v>
      </c>
      <c r="E114" s="90">
        <v>69.32</v>
      </c>
      <c r="F114" s="90">
        <v>5.93</v>
      </c>
      <c r="G114" s="90">
        <v>4.55</v>
      </c>
      <c r="H114" s="90">
        <v>0.15</v>
      </c>
      <c r="I114" s="90">
        <v>750.0</v>
      </c>
      <c r="J114" s="90">
        <v>0.0</v>
      </c>
      <c r="K114" s="90">
        <v>38.35845896147404</v>
      </c>
      <c r="L114" s="90">
        <v>31.639679880885915</v>
      </c>
      <c r="M114" s="90">
        <v>11.836962590731435</v>
      </c>
      <c r="N114" s="90">
        <v>18.16489856690862</v>
      </c>
    </row>
    <row r="115" ht="14.25" customHeight="1">
      <c r="A115" s="90">
        <v>46.28601361969618</v>
      </c>
      <c r="B115" s="90">
        <v>5.594552121529596</v>
      </c>
      <c r="C115" s="90">
        <v>47.51178627553693</v>
      </c>
      <c r="D115" s="90">
        <v>0.5762179151388162</v>
      </c>
      <c r="E115" s="90">
        <v>69.32</v>
      </c>
      <c r="F115" s="90">
        <v>5.93</v>
      </c>
      <c r="G115" s="90">
        <v>4.55</v>
      </c>
      <c r="H115" s="90">
        <v>0.15</v>
      </c>
      <c r="I115" s="90">
        <v>850.0</v>
      </c>
      <c r="J115" s="90">
        <v>0.0</v>
      </c>
      <c r="K115" s="90">
        <v>37.59413396749901</v>
      </c>
      <c r="L115" s="90">
        <v>33.23424494649227</v>
      </c>
      <c r="M115" s="90">
        <v>7.827982560443916</v>
      </c>
      <c r="N115" s="90">
        <v>21.343638525564803</v>
      </c>
    </row>
    <row r="116" ht="14.25" customHeight="1">
      <c r="A116" s="90">
        <v>49.44834503510531</v>
      </c>
      <c r="B116" s="90">
        <v>5.947843530591775</v>
      </c>
      <c r="C116" s="90">
        <v>44.56369107321966</v>
      </c>
      <c r="D116" s="90">
        <v>0.13039117352056168</v>
      </c>
      <c r="E116" s="90">
        <v>74.2</v>
      </c>
      <c r="F116" s="90">
        <v>8.4</v>
      </c>
      <c r="G116" s="90">
        <v>0.3</v>
      </c>
      <c r="H116" s="90">
        <v>0.17</v>
      </c>
      <c r="I116" s="90">
        <v>780.0</v>
      </c>
      <c r="J116" s="90">
        <v>0.65</v>
      </c>
      <c r="K116" s="90">
        <v>15.2</v>
      </c>
      <c r="L116" s="90">
        <v>16.4</v>
      </c>
      <c r="M116" s="90">
        <v>4.7</v>
      </c>
      <c r="N116" s="90">
        <v>20.2</v>
      </c>
    </row>
    <row r="117" ht="14.25" customHeight="1">
      <c r="A117" s="90">
        <v>49.44834503510531</v>
      </c>
      <c r="B117" s="90">
        <v>5.947843530591775</v>
      </c>
      <c r="C117" s="90">
        <v>44.56369107321966</v>
      </c>
      <c r="D117" s="90">
        <v>0.13039117352056168</v>
      </c>
      <c r="E117" s="90">
        <v>74.2</v>
      </c>
      <c r="F117" s="90">
        <v>8.4</v>
      </c>
      <c r="G117" s="90">
        <v>0.3</v>
      </c>
      <c r="H117" s="90">
        <v>0.17</v>
      </c>
      <c r="I117" s="90">
        <v>780.0</v>
      </c>
      <c r="J117" s="90">
        <v>0.65</v>
      </c>
      <c r="K117" s="90">
        <v>16.4</v>
      </c>
      <c r="L117" s="90">
        <v>15.9</v>
      </c>
      <c r="M117" s="90">
        <v>4.9</v>
      </c>
      <c r="N117" s="90">
        <v>19.8</v>
      </c>
    </row>
    <row r="118" ht="14.25" customHeight="1">
      <c r="A118" s="90">
        <v>49.44834503510531</v>
      </c>
      <c r="B118" s="90">
        <v>5.947843530591775</v>
      </c>
      <c r="C118" s="90">
        <v>44.56369107321966</v>
      </c>
      <c r="D118" s="90">
        <v>0.13039117352056168</v>
      </c>
      <c r="E118" s="90">
        <v>74.2</v>
      </c>
      <c r="F118" s="90">
        <v>8.4</v>
      </c>
      <c r="G118" s="90">
        <v>0.3</v>
      </c>
      <c r="H118" s="90">
        <v>0.17</v>
      </c>
      <c r="I118" s="90">
        <v>780.0</v>
      </c>
      <c r="J118" s="90">
        <v>0.65</v>
      </c>
      <c r="K118" s="90">
        <v>13.8</v>
      </c>
      <c r="L118" s="90">
        <v>16.9</v>
      </c>
      <c r="M118" s="90">
        <v>4.4</v>
      </c>
      <c r="N118" s="90">
        <v>20.3</v>
      </c>
    </row>
    <row r="119" ht="14.25" customHeight="1">
      <c r="A119" s="90">
        <v>49.51527924130664</v>
      </c>
      <c r="B119" s="90">
        <v>6.048472075869336</v>
      </c>
      <c r="C119" s="90">
        <v>43.624868282402524</v>
      </c>
      <c r="D119" s="90">
        <v>0.6954689146469968</v>
      </c>
      <c r="E119" s="90">
        <v>72.15</v>
      </c>
      <c r="F119" s="90">
        <v>15.0</v>
      </c>
      <c r="G119" s="90">
        <v>5.1</v>
      </c>
      <c r="H119" s="90">
        <v>0.25</v>
      </c>
      <c r="I119" s="90">
        <v>750.0</v>
      </c>
      <c r="J119" s="90">
        <v>0.0</v>
      </c>
      <c r="K119" s="90">
        <v>38.3</v>
      </c>
      <c r="L119" s="90">
        <v>23.5</v>
      </c>
      <c r="M119" s="90">
        <v>0.4</v>
      </c>
      <c r="N119" s="90">
        <v>36.0</v>
      </c>
    </row>
    <row r="120" ht="14.25" customHeight="1">
      <c r="A120" s="90">
        <v>49.51527924130664</v>
      </c>
      <c r="B120" s="90">
        <v>6.048472075869336</v>
      </c>
      <c r="C120" s="90">
        <v>43.624868282402524</v>
      </c>
      <c r="D120" s="90">
        <v>0.6954689146469968</v>
      </c>
      <c r="E120" s="90">
        <v>72.15</v>
      </c>
      <c r="F120" s="90">
        <v>15.0</v>
      </c>
      <c r="G120" s="90">
        <v>5.1</v>
      </c>
      <c r="H120" s="90">
        <v>0.25</v>
      </c>
      <c r="I120" s="90">
        <v>750.0</v>
      </c>
      <c r="J120" s="90">
        <v>0.0</v>
      </c>
      <c r="K120" s="90">
        <v>38.3</v>
      </c>
      <c r="L120" s="90">
        <v>23.5</v>
      </c>
      <c r="M120" s="90">
        <v>0.6</v>
      </c>
      <c r="N120" s="90">
        <v>35.8</v>
      </c>
    </row>
    <row r="121" ht="14.25" customHeight="1">
      <c r="A121" s="90">
        <v>56.57597718902222</v>
      </c>
      <c r="B121" s="90">
        <v>5.488891529048354</v>
      </c>
      <c r="C121" s="90">
        <v>37.16288463823215</v>
      </c>
      <c r="D121" s="90">
        <v>0.5583937269811097</v>
      </c>
      <c r="E121" s="90">
        <v>60.01</v>
      </c>
      <c r="F121" s="90">
        <v>12.2</v>
      </c>
      <c r="G121" s="90">
        <v>15.83</v>
      </c>
      <c r="H121" s="90">
        <v>0.32</v>
      </c>
      <c r="I121" s="90">
        <v>800.0</v>
      </c>
      <c r="J121" s="90">
        <v>0.0</v>
      </c>
      <c r="K121" s="90">
        <v>18.5</v>
      </c>
      <c r="L121" s="90">
        <v>13.7</v>
      </c>
      <c r="M121" s="90">
        <v>5.8</v>
      </c>
      <c r="N121" s="90">
        <v>6.1</v>
      </c>
    </row>
    <row r="122" ht="14.25" customHeight="1">
      <c r="A122" s="90">
        <v>56.57597718902222</v>
      </c>
      <c r="B122" s="90">
        <v>5.488891529048354</v>
      </c>
      <c r="C122" s="90">
        <v>37.16288463823215</v>
      </c>
      <c r="D122" s="90">
        <v>0.5583937269811097</v>
      </c>
      <c r="E122" s="90">
        <v>60.01</v>
      </c>
      <c r="F122" s="90">
        <v>12.2</v>
      </c>
      <c r="G122" s="90">
        <v>15.83</v>
      </c>
      <c r="H122" s="90">
        <v>0.26</v>
      </c>
      <c r="I122" s="90">
        <v>800.0</v>
      </c>
      <c r="J122" s="90">
        <v>0.0</v>
      </c>
      <c r="K122" s="90">
        <v>18.9</v>
      </c>
      <c r="L122" s="90">
        <v>13.4</v>
      </c>
      <c r="M122" s="90">
        <v>6.8</v>
      </c>
      <c r="N122" s="90">
        <v>5.7</v>
      </c>
    </row>
    <row r="123" ht="14.25" customHeight="1">
      <c r="A123" s="90">
        <v>56.57597718902222</v>
      </c>
      <c r="B123" s="90">
        <v>5.488891529048354</v>
      </c>
      <c r="C123" s="90">
        <v>37.16288463823215</v>
      </c>
      <c r="D123" s="90">
        <v>0.5583937269811097</v>
      </c>
      <c r="E123" s="90">
        <v>60.01</v>
      </c>
      <c r="F123" s="90">
        <v>12.2</v>
      </c>
      <c r="G123" s="90">
        <v>15.83</v>
      </c>
      <c r="H123" s="90">
        <v>0.25</v>
      </c>
      <c r="I123" s="90">
        <v>800.0</v>
      </c>
      <c r="J123" s="90">
        <v>0.0</v>
      </c>
      <c r="K123" s="90">
        <v>21.7</v>
      </c>
      <c r="L123" s="90">
        <v>11.9</v>
      </c>
      <c r="M123" s="90">
        <v>5.4</v>
      </c>
      <c r="N123" s="90">
        <v>6.9</v>
      </c>
    </row>
    <row r="124" ht="14.25" customHeight="1">
      <c r="A124" s="90">
        <v>56.57597718902222</v>
      </c>
      <c r="B124" s="90">
        <v>5.488891529048354</v>
      </c>
      <c r="C124" s="90">
        <v>37.16288463823215</v>
      </c>
      <c r="D124" s="90">
        <v>0.5583937269811097</v>
      </c>
      <c r="E124" s="90">
        <v>60.01</v>
      </c>
      <c r="F124" s="90">
        <v>12.2</v>
      </c>
      <c r="G124" s="90">
        <v>15.83</v>
      </c>
      <c r="H124" s="90">
        <v>0.26</v>
      </c>
      <c r="I124" s="90">
        <v>800.0</v>
      </c>
      <c r="J124" s="90">
        <v>0.0</v>
      </c>
      <c r="K124" s="90">
        <v>16.1</v>
      </c>
      <c r="L124" s="90">
        <v>14.4</v>
      </c>
      <c r="M124" s="90">
        <v>6.3</v>
      </c>
      <c r="N124" s="90">
        <v>6.0</v>
      </c>
    </row>
    <row r="125" ht="14.25" customHeight="1">
      <c r="A125" s="90">
        <v>56.57597718902222</v>
      </c>
      <c r="B125" s="90">
        <v>5.488891529048354</v>
      </c>
      <c r="C125" s="90">
        <v>37.16288463823215</v>
      </c>
      <c r="D125" s="90">
        <v>0.5583937269811097</v>
      </c>
      <c r="E125" s="90">
        <v>60.01</v>
      </c>
      <c r="F125" s="90">
        <v>12.2</v>
      </c>
      <c r="G125" s="90">
        <v>15.83</v>
      </c>
      <c r="H125" s="90">
        <v>0.32</v>
      </c>
      <c r="I125" s="90">
        <v>850.0</v>
      </c>
      <c r="J125" s="90">
        <v>0.0</v>
      </c>
      <c r="K125" s="90">
        <v>12.9</v>
      </c>
      <c r="L125" s="90">
        <v>9.1</v>
      </c>
      <c r="M125" s="90">
        <v>0.6</v>
      </c>
      <c r="N125" s="90">
        <v>11.0</v>
      </c>
    </row>
    <row r="126" ht="14.25" customHeight="1">
      <c r="A126" s="90">
        <v>56.57597718902222</v>
      </c>
      <c r="B126" s="90">
        <v>5.488891529048354</v>
      </c>
      <c r="C126" s="90">
        <v>37.16288463823215</v>
      </c>
      <c r="D126" s="90">
        <v>0.5583937269811097</v>
      </c>
      <c r="E126" s="90">
        <v>60.01</v>
      </c>
      <c r="F126" s="90">
        <v>12.2</v>
      </c>
      <c r="G126" s="90">
        <v>15.83</v>
      </c>
      <c r="H126" s="90">
        <v>0.26</v>
      </c>
      <c r="I126" s="90">
        <v>850.0</v>
      </c>
      <c r="J126" s="90">
        <v>0.0</v>
      </c>
      <c r="K126" s="90">
        <v>13.9</v>
      </c>
      <c r="L126" s="90">
        <v>8.9</v>
      </c>
      <c r="M126" s="90">
        <v>1.2</v>
      </c>
      <c r="N126" s="90">
        <v>12.3</v>
      </c>
    </row>
    <row r="127" ht="14.25" customHeight="1">
      <c r="A127" s="90">
        <v>56.57597718902222</v>
      </c>
      <c r="B127" s="90">
        <v>5.488891529048354</v>
      </c>
      <c r="C127" s="90">
        <v>37.16288463823215</v>
      </c>
      <c r="D127" s="90">
        <v>0.5583937269811097</v>
      </c>
      <c r="E127" s="90">
        <v>60.01</v>
      </c>
      <c r="F127" s="90">
        <v>12.2</v>
      </c>
      <c r="G127" s="90">
        <v>15.83</v>
      </c>
      <c r="H127" s="90">
        <v>0.25</v>
      </c>
      <c r="I127" s="90">
        <v>850.0</v>
      </c>
      <c r="J127" s="90">
        <v>0.0</v>
      </c>
      <c r="K127" s="90">
        <v>15.5</v>
      </c>
      <c r="L127" s="90">
        <v>8.2</v>
      </c>
      <c r="M127" s="90">
        <v>13.7</v>
      </c>
      <c r="N127" s="90">
        <v>13.7</v>
      </c>
    </row>
    <row r="128" ht="14.25" customHeight="1">
      <c r="A128" s="90">
        <v>56.57597718902222</v>
      </c>
      <c r="B128" s="90">
        <v>5.488891529048354</v>
      </c>
      <c r="C128" s="90">
        <v>37.16288463823215</v>
      </c>
      <c r="D128" s="90">
        <v>0.5583937269811097</v>
      </c>
      <c r="E128" s="90">
        <v>60.01</v>
      </c>
      <c r="F128" s="90">
        <v>12.2</v>
      </c>
      <c r="G128" s="90">
        <v>15.83</v>
      </c>
      <c r="H128" s="90">
        <v>0.26</v>
      </c>
      <c r="I128" s="90">
        <v>850.0</v>
      </c>
      <c r="J128" s="90">
        <v>0.0</v>
      </c>
      <c r="K128" s="90">
        <v>35.8</v>
      </c>
      <c r="L128" s="90">
        <v>5.8</v>
      </c>
      <c r="M128" s="90">
        <v>19.1</v>
      </c>
      <c r="N128" s="90">
        <v>19.1</v>
      </c>
    </row>
    <row r="129" ht="14.25" customHeight="1">
      <c r="A129" s="90">
        <v>46.83887827922405</v>
      </c>
      <c r="B129" s="90">
        <v>5.095989546688109</v>
      </c>
      <c r="C129" s="90">
        <v>48.00482460548799</v>
      </c>
      <c r="D129" s="90">
        <v>0.040205045733239526</v>
      </c>
      <c r="E129" s="90">
        <v>78.69</v>
      </c>
      <c r="F129" s="90">
        <v>13.74</v>
      </c>
      <c r="G129" s="90">
        <v>0.51</v>
      </c>
      <c r="H129" s="90">
        <v>0.3</v>
      </c>
      <c r="I129" s="90">
        <v>900.0</v>
      </c>
      <c r="J129" s="90">
        <v>0.0</v>
      </c>
      <c r="K129" s="90">
        <v>12.5</v>
      </c>
      <c r="L129" s="90">
        <v>8.5</v>
      </c>
      <c r="M129" s="90">
        <v>1.0</v>
      </c>
      <c r="N129" s="90">
        <v>11.8</v>
      </c>
    </row>
    <row r="130" ht="14.25" customHeight="1">
      <c r="A130" s="90">
        <v>46.83887827922405</v>
      </c>
      <c r="B130" s="90">
        <v>5.095989546688109</v>
      </c>
      <c r="C130" s="90">
        <v>48.00482460548799</v>
      </c>
      <c r="D130" s="90">
        <v>0.040205045733239526</v>
      </c>
      <c r="E130" s="90">
        <v>78.69</v>
      </c>
      <c r="F130" s="90">
        <v>13.74</v>
      </c>
      <c r="G130" s="90">
        <v>0.51</v>
      </c>
      <c r="H130" s="90">
        <v>0.3</v>
      </c>
      <c r="I130" s="90">
        <v>900.0</v>
      </c>
      <c r="J130" s="90">
        <v>0.0</v>
      </c>
      <c r="K130" s="90">
        <v>14.1</v>
      </c>
      <c r="L130" s="90">
        <v>9.5</v>
      </c>
      <c r="M130" s="90">
        <v>1.2</v>
      </c>
      <c r="N130" s="90">
        <v>13.4</v>
      </c>
    </row>
    <row r="131" ht="14.25" customHeight="1">
      <c r="A131" s="90">
        <v>46.83887827922405</v>
      </c>
      <c r="B131" s="90">
        <v>5.095989546688109</v>
      </c>
      <c r="C131" s="90">
        <v>48.00482460548799</v>
      </c>
      <c r="D131" s="90">
        <v>0.040205045733239526</v>
      </c>
      <c r="E131" s="90">
        <v>78.69</v>
      </c>
      <c r="F131" s="90">
        <v>13.74</v>
      </c>
      <c r="G131" s="90">
        <v>0.51</v>
      </c>
      <c r="H131" s="90">
        <v>0.3</v>
      </c>
      <c r="I131" s="90">
        <v>900.0</v>
      </c>
      <c r="J131" s="90">
        <v>0.0</v>
      </c>
      <c r="K131" s="90">
        <v>14.2</v>
      </c>
      <c r="L131" s="90">
        <v>10.4</v>
      </c>
      <c r="M131" s="90">
        <v>1.5</v>
      </c>
      <c r="N131" s="90">
        <v>14.0</v>
      </c>
    </row>
    <row r="132" ht="14.25" customHeight="1">
      <c r="A132" s="90">
        <v>46.83887827922405</v>
      </c>
      <c r="B132" s="90">
        <v>5.095989546688109</v>
      </c>
      <c r="C132" s="90">
        <v>48.00482460548799</v>
      </c>
      <c r="D132" s="90">
        <v>0.040205045733239526</v>
      </c>
      <c r="E132" s="90">
        <v>78.69</v>
      </c>
      <c r="F132" s="90">
        <v>13.74</v>
      </c>
      <c r="G132" s="90">
        <v>0.51</v>
      </c>
      <c r="H132" s="90">
        <v>0.3</v>
      </c>
      <c r="I132" s="90">
        <v>900.0</v>
      </c>
      <c r="J132" s="90">
        <v>0.0</v>
      </c>
      <c r="K132" s="90">
        <v>15.1</v>
      </c>
      <c r="L132" s="90">
        <v>10.2</v>
      </c>
      <c r="M132" s="90">
        <v>1.5</v>
      </c>
      <c r="N132" s="90">
        <v>14.1</v>
      </c>
    </row>
    <row r="133" ht="14.25" customHeight="1">
      <c r="A133" s="90">
        <v>51.61063723030607</v>
      </c>
      <c r="B133" s="90">
        <v>6.121424987456096</v>
      </c>
      <c r="C133" s="90">
        <v>41.99698946312092</v>
      </c>
      <c r="D133" s="90">
        <v>0.26091319618665326</v>
      </c>
      <c r="E133" s="90">
        <v>86.44</v>
      </c>
      <c r="F133" s="90">
        <v>11.78</v>
      </c>
      <c r="G133" s="90">
        <v>0.35</v>
      </c>
      <c r="H133" s="90">
        <v>0.1</v>
      </c>
      <c r="I133" s="90">
        <v>900.0</v>
      </c>
      <c r="J133" s="90">
        <v>0.0</v>
      </c>
      <c r="K133" s="90">
        <v>38.7</v>
      </c>
      <c r="L133" s="90">
        <v>0.12</v>
      </c>
      <c r="M133" s="90">
        <v>0.0</v>
      </c>
      <c r="N133" s="90">
        <v>33.2</v>
      </c>
    </row>
    <row r="134" ht="14.25" customHeight="1">
      <c r="A134" s="90">
        <v>51.61063723030607</v>
      </c>
      <c r="B134" s="90">
        <v>6.121424987456096</v>
      </c>
      <c r="C134" s="90">
        <v>41.99698946312092</v>
      </c>
      <c r="D134" s="90">
        <v>0.26091319618665326</v>
      </c>
      <c r="E134" s="90">
        <v>86.44</v>
      </c>
      <c r="F134" s="90">
        <v>11.78</v>
      </c>
      <c r="G134" s="90">
        <v>0.35</v>
      </c>
      <c r="H134" s="90">
        <v>0.2</v>
      </c>
      <c r="I134" s="90">
        <v>900.0</v>
      </c>
      <c r="J134" s="90">
        <v>0.0</v>
      </c>
      <c r="K134" s="90">
        <v>39.4</v>
      </c>
      <c r="L134" s="90">
        <v>0.58</v>
      </c>
      <c r="M134" s="90">
        <v>0.0</v>
      </c>
      <c r="N134" s="90">
        <v>27.6</v>
      </c>
    </row>
    <row r="135" ht="14.25" customHeight="1">
      <c r="A135" s="90">
        <v>51.61063723030607</v>
      </c>
      <c r="B135" s="90">
        <v>6.121424987456096</v>
      </c>
      <c r="C135" s="90">
        <v>41.99698946312092</v>
      </c>
      <c r="D135" s="90">
        <v>0.26091319618665326</v>
      </c>
      <c r="E135" s="90">
        <v>86.44</v>
      </c>
      <c r="F135" s="90">
        <v>11.78</v>
      </c>
      <c r="G135" s="90">
        <v>0.35</v>
      </c>
      <c r="H135" s="90">
        <v>0.6</v>
      </c>
      <c r="I135" s="90">
        <v>900.0</v>
      </c>
      <c r="J135" s="90">
        <v>0.0</v>
      </c>
      <c r="K135" s="90">
        <v>13.3</v>
      </c>
      <c r="L135" s="90">
        <v>11.2</v>
      </c>
      <c r="M135" s="90">
        <v>0.0</v>
      </c>
      <c r="N135" s="90">
        <v>7.23</v>
      </c>
    </row>
    <row r="136" ht="14.25" customHeight="1">
      <c r="A136" s="90">
        <v>51.61063723030607</v>
      </c>
      <c r="B136" s="90">
        <v>6.121424987456096</v>
      </c>
      <c r="C136" s="90">
        <v>41.99698946312092</v>
      </c>
      <c r="D136" s="90">
        <v>0.26091319618665326</v>
      </c>
      <c r="E136" s="90">
        <v>86.44</v>
      </c>
      <c r="F136" s="90">
        <v>11.78</v>
      </c>
      <c r="G136" s="90">
        <v>0.35</v>
      </c>
      <c r="H136" s="90">
        <v>0.2</v>
      </c>
      <c r="I136" s="90">
        <v>900.0</v>
      </c>
      <c r="J136" s="90">
        <v>0.0</v>
      </c>
      <c r="K136" s="90">
        <v>34.8</v>
      </c>
      <c r="L136" s="90">
        <v>2.88</v>
      </c>
      <c r="M136" s="90">
        <v>0.0</v>
      </c>
      <c r="N136" s="90">
        <v>28.3</v>
      </c>
    </row>
    <row r="137" ht="14.25" customHeight="1">
      <c r="A137" s="90">
        <v>51.61063723030607</v>
      </c>
      <c r="B137" s="90">
        <v>6.121424987456096</v>
      </c>
      <c r="C137" s="90">
        <v>41.99698946312092</v>
      </c>
      <c r="D137" s="90">
        <v>0.26091319618665326</v>
      </c>
      <c r="E137" s="90">
        <v>86.44</v>
      </c>
      <c r="F137" s="90">
        <v>11.78</v>
      </c>
      <c r="G137" s="90">
        <v>0.35</v>
      </c>
      <c r="H137" s="90">
        <v>0.4</v>
      </c>
      <c r="I137" s="90">
        <v>900.0</v>
      </c>
      <c r="J137" s="90">
        <v>0.0</v>
      </c>
      <c r="K137" s="90">
        <v>21.0</v>
      </c>
      <c r="L137" s="90">
        <v>7.97</v>
      </c>
      <c r="M137" s="90">
        <v>0.0</v>
      </c>
      <c r="N137" s="90">
        <v>15.2</v>
      </c>
    </row>
    <row r="138" ht="14.25" customHeight="1">
      <c r="A138" s="90">
        <v>51.61063723030607</v>
      </c>
      <c r="B138" s="90">
        <v>6.121424987456096</v>
      </c>
      <c r="C138" s="90">
        <v>41.99698946312092</v>
      </c>
      <c r="D138" s="90">
        <v>0.26091319618665326</v>
      </c>
      <c r="E138" s="90">
        <v>86.44</v>
      </c>
      <c r="F138" s="90">
        <v>11.78</v>
      </c>
      <c r="G138" s="90">
        <v>0.35</v>
      </c>
      <c r="H138" s="90">
        <v>0.6</v>
      </c>
      <c r="I138" s="90">
        <v>900.0</v>
      </c>
      <c r="J138" s="90">
        <v>0.0</v>
      </c>
      <c r="K138" s="90">
        <v>11.8</v>
      </c>
      <c r="L138" s="90">
        <v>11.7</v>
      </c>
      <c r="M138" s="90">
        <v>0.0</v>
      </c>
      <c r="N138" s="90">
        <v>7.59</v>
      </c>
    </row>
    <row r="139" ht="14.25" customHeight="1">
      <c r="A139" s="90">
        <v>51.61063723030607</v>
      </c>
      <c r="B139" s="90">
        <v>6.121424987456096</v>
      </c>
      <c r="C139" s="90">
        <v>41.99698946312092</v>
      </c>
      <c r="D139" s="90">
        <v>0.26091319618665326</v>
      </c>
      <c r="E139" s="90">
        <v>86.44</v>
      </c>
      <c r="F139" s="90">
        <v>11.78</v>
      </c>
      <c r="G139" s="90">
        <v>0.35</v>
      </c>
      <c r="H139" s="90">
        <v>0.2</v>
      </c>
      <c r="I139" s="90">
        <v>900.0</v>
      </c>
      <c r="J139" s="90">
        <v>0.0</v>
      </c>
      <c r="K139" s="90">
        <v>29.9</v>
      </c>
      <c r="L139" s="90">
        <v>5.09</v>
      </c>
      <c r="M139" s="90">
        <v>0.0</v>
      </c>
      <c r="N139" s="90">
        <v>28.1</v>
      </c>
    </row>
    <row r="140" ht="14.25" customHeight="1">
      <c r="A140" s="90">
        <v>51.61063723030607</v>
      </c>
      <c r="B140" s="90">
        <v>6.121424987456096</v>
      </c>
      <c r="C140" s="90">
        <v>41.99698946312092</v>
      </c>
      <c r="D140" s="90">
        <v>0.26091319618665326</v>
      </c>
      <c r="E140" s="90">
        <v>86.44</v>
      </c>
      <c r="F140" s="90">
        <v>11.78</v>
      </c>
      <c r="G140" s="90">
        <v>0.35</v>
      </c>
      <c r="H140" s="90">
        <v>0.4</v>
      </c>
      <c r="I140" s="90">
        <v>900.0</v>
      </c>
      <c r="J140" s="90">
        <v>0.0</v>
      </c>
      <c r="K140" s="90">
        <v>18.0</v>
      </c>
      <c r="L140" s="90">
        <v>9.18</v>
      </c>
      <c r="M140" s="90">
        <v>0.0</v>
      </c>
      <c r="N140" s="90">
        <v>15.2</v>
      </c>
    </row>
    <row r="141" ht="14.25" customHeight="1">
      <c r="A141" s="90">
        <v>51.61063723030607</v>
      </c>
      <c r="B141" s="90">
        <v>6.121424987456096</v>
      </c>
      <c r="C141" s="90">
        <v>41.99698946312092</v>
      </c>
      <c r="D141" s="90">
        <v>0.26091319618665326</v>
      </c>
      <c r="E141" s="90">
        <v>86.44</v>
      </c>
      <c r="F141" s="90">
        <v>11.78</v>
      </c>
      <c r="G141" s="90">
        <v>0.35</v>
      </c>
      <c r="H141" s="90">
        <v>0.6</v>
      </c>
      <c r="I141" s="90">
        <v>900.0</v>
      </c>
      <c r="J141" s="90">
        <v>0.0</v>
      </c>
      <c r="K141" s="90">
        <v>9.93</v>
      </c>
      <c r="L141" s="90">
        <v>12.3</v>
      </c>
      <c r="M141" s="90">
        <v>0.0</v>
      </c>
      <c r="N141" s="90">
        <v>7.01</v>
      </c>
    </row>
    <row r="142" ht="14.25" customHeight="1">
      <c r="A142" s="90">
        <v>51.61063723030607</v>
      </c>
      <c r="B142" s="90">
        <v>6.121424987456096</v>
      </c>
      <c r="C142" s="90">
        <v>41.99698946312092</v>
      </c>
      <c r="D142" s="90">
        <v>0.26091319618665326</v>
      </c>
      <c r="E142" s="90">
        <v>86.44</v>
      </c>
      <c r="F142" s="90">
        <v>11.78</v>
      </c>
      <c r="G142" s="90">
        <v>0.35</v>
      </c>
      <c r="H142" s="90">
        <v>0.2</v>
      </c>
      <c r="I142" s="90">
        <v>900.0</v>
      </c>
      <c r="J142" s="90">
        <v>0.0</v>
      </c>
      <c r="K142" s="90">
        <v>19.7</v>
      </c>
      <c r="L142" s="90">
        <v>8.77</v>
      </c>
      <c r="M142" s="90">
        <v>0.0</v>
      </c>
      <c r="N142" s="90">
        <v>25.7</v>
      </c>
    </row>
    <row r="143" ht="14.25" customHeight="1">
      <c r="A143" s="90">
        <v>51.61063723030607</v>
      </c>
      <c r="B143" s="90">
        <v>6.121424987456096</v>
      </c>
      <c r="C143" s="90">
        <v>41.99698946312092</v>
      </c>
      <c r="D143" s="90">
        <v>0.26091319618665326</v>
      </c>
      <c r="E143" s="90">
        <v>86.44</v>
      </c>
      <c r="F143" s="90">
        <v>11.78</v>
      </c>
      <c r="G143" s="90">
        <v>0.35</v>
      </c>
      <c r="H143" s="90">
        <v>0.4</v>
      </c>
      <c r="I143" s="90">
        <v>900.0</v>
      </c>
      <c r="J143" s="90">
        <v>0.0</v>
      </c>
      <c r="K143" s="90">
        <v>11.3</v>
      </c>
      <c r="L143" s="90">
        <v>11.2</v>
      </c>
      <c r="M143" s="90">
        <v>0.0</v>
      </c>
      <c r="N143" s="90">
        <v>13.4</v>
      </c>
    </row>
    <row r="144" ht="14.25" customHeight="1">
      <c r="A144" s="90">
        <v>51.61063723030607</v>
      </c>
      <c r="B144" s="90">
        <v>6.121424987456096</v>
      </c>
      <c r="C144" s="90">
        <v>41.99698946312092</v>
      </c>
      <c r="D144" s="90">
        <v>0.26091319618665326</v>
      </c>
      <c r="E144" s="90">
        <v>86.44</v>
      </c>
      <c r="F144" s="90">
        <v>11.78</v>
      </c>
      <c r="G144" s="90">
        <v>0.35</v>
      </c>
      <c r="H144" s="90">
        <v>0.6</v>
      </c>
      <c r="I144" s="90">
        <v>900.0</v>
      </c>
      <c r="J144" s="90">
        <v>0.0</v>
      </c>
      <c r="K144" s="90">
        <v>15.36</v>
      </c>
      <c r="L144" s="90">
        <v>13.2</v>
      </c>
      <c r="M144" s="90">
        <v>0.0</v>
      </c>
      <c r="N144" s="90">
        <v>5.73</v>
      </c>
    </row>
    <row r="145" ht="14.25" customHeight="1">
      <c r="A145" s="90">
        <v>49.0</v>
      </c>
      <c r="B145" s="90">
        <v>6.3</v>
      </c>
      <c r="C145" s="90">
        <v>44.4</v>
      </c>
      <c r="D145" s="90">
        <v>0.2</v>
      </c>
      <c r="E145" s="90">
        <v>77.86</v>
      </c>
      <c r="F145" s="90">
        <v>8.15</v>
      </c>
      <c r="G145" s="90">
        <v>0.79</v>
      </c>
      <c r="H145" s="90">
        <v>0.4</v>
      </c>
      <c r="I145" s="90">
        <v>850.0</v>
      </c>
      <c r="J145" s="90">
        <v>0.0</v>
      </c>
      <c r="K145" s="90">
        <v>17.8</v>
      </c>
      <c r="L145" s="90">
        <v>4.0</v>
      </c>
      <c r="M145" s="90">
        <v>1.4</v>
      </c>
      <c r="N145" s="90">
        <v>17.0</v>
      </c>
    </row>
    <row r="146" ht="14.25" customHeight="1">
      <c r="A146" s="90">
        <v>49.0</v>
      </c>
      <c r="B146" s="90">
        <v>6.3</v>
      </c>
      <c r="C146" s="90">
        <v>44.4</v>
      </c>
      <c r="D146" s="90">
        <v>0.2</v>
      </c>
      <c r="E146" s="90">
        <v>77.86</v>
      </c>
      <c r="F146" s="90">
        <v>8.15</v>
      </c>
      <c r="G146" s="90">
        <v>0.79</v>
      </c>
      <c r="H146" s="90">
        <v>0.4</v>
      </c>
      <c r="I146" s="90">
        <v>850.0</v>
      </c>
      <c r="J146" s="90">
        <v>0.0</v>
      </c>
      <c r="K146" s="90">
        <v>15.4</v>
      </c>
      <c r="L146" s="90">
        <v>4.0</v>
      </c>
      <c r="M146" s="90">
        <v>1.6</v>
      </c>
      <c r="N146" s="90">
        <v>16.2</v>
      </c>
    </row>
    <row r="147" ht="14.25" customHeight="1">
      <c r="A147" s="90">
        <v>49.0</v>
      </c>
      <c r="B147" s="90">
        <v>6.3</v>
      </c>
      <c r="C147" s="90">
        <v>44.4</v>
      </c>
      <c r="D147" s="90">
        <v>0.2</v>
      </c>
      <c r="E147" s="90">
        <v>77.86</v>
      </c>
      <c r="F147" s="90">
        <v>8.15</v>
      </c>
      <c r="G147" s="90">
        <v>0.79</v>
      </c>
      <c r="H147" s="90">
        <v>0.4</v>
      </c>
      <c r="I147" s="90">
        <v>850.0</v>
      </c>
      <c r="J147" s="90">
        <v>0.0</v>
      </c>
      <c r="K147" s="90">
        <v>21.0</v>
      </c>
      <c r="L147" s="90">
        <v>4.0</v>
      </c>
      <c r="M147" s="90">
        <v>1.7</v>
      </c>
      <c r="N147" s="90">
        <v>16.0</v>
      </c>
    </row>
    <row r="148" ht="14.25" customHeight="1">
      <c r="A148" s="90">
        <v>49.0</v>
      </c>
      <c r="B148" s="90">
        <v>6.3</v>
      </c>
      <c r="C148" s="90">
        <v>44.4</v>
      </c>
      <c r="D148" s="90">
        <v>0.2</v>
      </c>
      <c r="E148" s="90">
        <v>77.86</v>
      </c>
      <c r="F148" s="90">
        <v>8.15</v>
      </c>
      <c r="G148" s="90">
        <v>0.79</v>
      </c>
      <c r="H148" s="90">
        <v>0.4</v>
      </c>
      <c r="I148" s="90">
        <v>850.0</v>
      </c>
      <c r="J148" s="90">
        <v>0.0</v>
      </c>
      <c r="K148" s="90">
        <v>12.2</v>
      </c>
      <c r="L148" s="90">
        <v>4.0</v>
      </c>
      <c r="M148" s="90">
        <v>1.6</v>
      </c>
      <c r="N148" s="90">
        <v>19.0</v>
      </c>
    </row>
    <row r="149" ht="14.25" customHeight="1">
      <c r="A149" s="90">
        <v>49.0</v>
      </c>
      <c r="B149" s="90">
        <v>6.3</v>
      </c>
      <c r="C149" s="90">
        <v>44.4</v>
      </c>
      <c r="D149" s="90">
        <v>0.2</v>
      </c>
      <c r="E149" s="90">
        <v>77.86</v>
      </c>
      <c r="F149" s="90">
        <v>8.15</v>
      </c>
      <c r="G149" s="90">
        <v>0.79</v>
      </c>
      <c r="H149" s="90">
        <v>0.4</v>
      </c>
      <c r="I149" s="90">
        <v>850.0</v>
      </c>
      <c r="J149" s="90">
        <v>0.0</v>
      </c>
      <c r="K149" s="90">
        <v>8.7</v>
      </c>
      <c r="L149" s="90">
        <v>4.0</v>
      </c>
      <c r="M149" s="90">
        <v>1.4</v>
      </c>
      <c r="N149" s="90">
        <v>21.0</v>
      </c>
    </row>
    <row r="150" ht="14.25" customHeight="1">
      <c r="A150" s="90">
        <v>49.0</v>
      </c>
      <c r="B150" s="90">
        <v>6.3</v>
      </c>
      <c r="C150" s="90">
        <v>44.4</v>
      </c>
      <c r="D150" s="90">
        <v>0.2</v>
      </c>
      <c r="E150" s="90">
        <v>77.86</v>
      </c>
      <c r="F150" s="90">
        <v>8.15</v>
      </c>
      <c r="G150" s="90">
        <v>0.79</v>
      </c>
      <c r="H150" s="90">
        <v>0.4</v>
      </c>
      <c r="I150" s="90">
        <v>850.0</v>
      </c>
      <c r="J150" s="90">
        <v>0.0</v>
      </c>
      <c r="K150" s="90">
        <v>8.3</v>
      </c>
      <c r="L150" s="90">
        <v>4.0</v>
      </c>
      <c r="M150" s="90">
        <v>1.6</v>
      </c>
      <c r="N150" s="90">
        <v>18.0</v>
      </c>
    </row>
    <row r="151" ht="14.25" customHeight="1">
      <c r="A151" s="90">
        <v>49.0</v>
      </c>
      <c r="B151" s="90">
        <v>6.3</v>
      </c>
      <c r="C151" s="90">
        <v>44.4</v>
      </c>
      <c r="D151" s="90">
        <v>0.2</v>
      </c>
      <c r="E151" s="90">
        <v>77.86</v>
      </c>
      <c r="F151" s="90">
        <v>8.15</v>
      </c>
      <c r="G151" s="90">
        <v>0.79</v>
      </c>
      <c r="H151" s="90">
        <v>0.4</v>
      </c>
      <c r="I151" s="90">
        <v>850.0</v>
      </c>
      <c r="J151" s="90">
        <v>0.0</v>
      </c>
      <c r="K151" s="90">
        <v>7.2</v>
      </c>
      <c r="L151" s="90">
        <v>4.0</v>
      </c>
      <c r="M151" s="90">
        <v>1.6</v>
      </c>
      <c r="N151" s="90">
        <v>19.0</v>
      </c>
    </row>
    <row r="152" ht="14.25" customHeight="1">
      <c r="A152" s="90">
        <v>49.0</v>
      </c>
      <c r="B152" s="90">
        <v>6.3</v>
      </c>
      <c r="C152" s="90">
        <v>44.4</v>
      </c>
      <c r="D152" s="90">
        <v>0.2</v>
      </c>
      <c r="E152" s="90">
        <v>77.86</v>
      </c>
      <c r="F152" s="90">
        <v>8.15</v>
      </c>
      <c r="G152" s="90">
        <v>0.79</v>
      </c>
      <c r="H152" s="90">
        <v>0.4</v>
      </c>
      <c r="I152" s="90">
        <v>850.0</v>
      </c>
      <c r="J152" s="90">
        <v>0.0</v>
      </c>
      <c r="K152" s="90">
        <v>12.8</v>
      </c>
      <c r="L152" s="90">
        <v>4.0</v>
      </c>
      <c r="M152" s="90">
        <v>1.7</v>
      </c>
      <c r="N152" s="90">
        <v>18.0</v>
      </c>
    </row>
    <row r="153" ht="14.25" customHeight="1">
      <c r="A153" s="90">
        <v>49.0</v>
      </c>
      <c r="B153" s="90">
        <v>6.3</v>
      </c>
      <c r="C153" s="90">
        <v>44.4</v>
      </c>
      <c r="D153" s="90">
        <v>0.2</v>
      </c>
      <c r="E153" s="90">
        <v>77.86</v>
      </c>
      <c r="F153" s="90">
        <v>8.15</v>
      </c>
      <c r="G153" s="90">
        <v>0.79</v>
      </c>
      <c r="H153" s="90">
        <v>0.4</v>
      </c>
      <c r="I153" s="90">
        <v>850.0</v>
      </c>
      <c r="J153" s="90">
        <v>0.0</v>
      </c>
      <c r="K153" s="90">
        <v>11.1</v>
      </c>
      <c r="L153" s="90">
        <v>4.0</v>
      </c>
      <c r="M153" s="90">
        <v>1.7</v>
      </c>
      <c r="N153" s="90">
        <v>20.0</v>
      </c>
    </row>
    <row r="154" ht="14.25" customHeight="1">
      <c r="A154" s="90">
        <v>49.0</v>
      </c>
      <c r="B154" s="90">
        <v>6.3</v>
      </c>
      <c r="C154" s="90">
        <v>44.4</v>
      </c>
      <c r="D154" s="90">
        <v>0.2</v>
      </c>
      <c r="E154" s="90">
        <v>77.86</v>
      </c>
      <c r="F154" s="90">
        <v>8.15</v>
      </c>
      <c r="G154" s="90">
        <v>0.79</v>
      </c>
      <c r="H154" s="90">
        <v>0.4</v>
      </c>
      <c r="I154" s="90">
        <v>850.0</v>
      </c>
      <c r="J154" s="90">
        <v>0.0</v>
      </c>
      <c r="K154" s="90">
        <v>23.2</v>
      </c>
      <c r="L154" s="90">
        <v>4.0</v>
      </c>
      <c r="M154" s="90">
        <v>3.5</v>
      </c>
      <c r="N154" s="90">
        <v>34.1</v>
      </c>
    </row>
    <row r="155" ht="14.25" customHeight="1">
      <c r="A155" s="90">
        <v>49.0</v>
      </c>
      <c r="B155" s="90">
        <v>6.3</v>
      </c>
      <c r="C155" s="90">
        <v>44.4</v>
      </c>
      <c r="D155" s="90">
        <v>0.2</v>
      </c>
      <c r="E155" s="90">
        <v>77.86</v>
      </c>
      <c r="F155" s="90">
        <v>8.15</v>
      </c>
      <c r="G155" s="90">
        <v>0.79</v>
      </c>
      <c r="H155" s="90">
        <v>0.4</v>
      </c>
      <c r="I155" s="90">
        <v>850.0</v>
      </c>
      <c r="J155" s="90">
        <v>0.0</v>
      </c>
      <c r="K155" s="90">
        <v>20.8</v>
      </c>
      <c r="L155" s="90">
        <v>4.0</v>
      </c>
      <c r="M155" s="90">
        <v>3.2</v>
      </c>
      <c r="N155" s="90">
        <v>34.7</v>
      </c>
    </row>
    <row r="156" ht="14.25" customHeight="1">
      <c r="A156" s="90">
        <v>49.0</v>
      </c>
      <c r="B156" s="90">
        <v>6.3</v>
      </c>
      <c r="C156" s="90">
        <v>44.4</v>
      </c>
      <c r="D156" s="90">
        <v>0.2</v>
      </c>
      <c r="E156" s="90">
        <v>77.86</v>
      </c>
      <c r="F156" s="90">
        <v>8.15</v>
      </c>
      <c r="G156" s="90">
        <v>0.79</v>
      </c>
      <c r="H156" s="90">
        <v>0.4</v>
      </c>
      <c r="I156" s="90">
        <v>850.0</v>
      </c>
      <c r="J156" s="90">
        <v>0.0</v>
      </c>
      <c r="K156" s="90">
        <v>24.3</v>
      </c>
      <c r="L156" s="90">
        <v>4.0</v>
      </c>
      <c r="M156" s="90">
        <v>5.4</v>
      </c>
      <c r="N156" s="90">
        <v>27.4</v>
      </c>
    </row>
    <row r="157" ht="14.25" customHeight="1">
      <c r="A157" s="90">
        <v>49.0</v>
      </c>
      <c r="B157" s="90">
        <v>6.3</v>
      </c>
      <c r="C157" s="90">
        <v>44.4</v>
      </c>
      <c r="D157" s="90">
        <v>0.2</v>
      </c>
      <c r="E157" s="90">
        <v>77.86</v>
      </c>
      <c r="F157" s="90">
        <v>8.15</v>
      </c>
      <c r="G157" s="90">
        <v>0.79</v>
      </c>
      <c r="H157" s="90">
        <v>0.4</v>
      </c>
      <c r="I157" s="90">
        <v>850.0</v>
      </c>
      <c r="J157" s="90">
        <v>0.0</v>
      </c>
      <c r="K157" s="90">
        <v>17.8</v>
      </c>
      <c r="L157" s="90">
        <v>4.0</v>
      </c>
      <c r="M157" s="90">
        <v>3.6</v>
      </c>
      <c r="N157" s="90">
        <v>32.6</v>
      </c>
    </row>
    <row r="158" ht="14.25" customHeight="1">
      <c r="A158" s="90">
        <v>49.0</v>
      </c>
      <c r="B158" s="90">
        <v>6.3</v>
      </c>
      <c r="C158" s="90">
        <v>44.4</v>
      </c>
      <c r="D158" s="90">
        <v>0.2</v>
      </c>
      <c r="E158" s="90">
        <v>77.86</v>
      </c>
      <c r="F158" s="90">
        <v>8.15</v>
      </c>
      <c r="G158" s="90">
        <v>0.79</v>
      </c>
      <c r="H158" s="90">
        <v>0.4</v>
      </c>
      <c r="I158" s="90">
        <v>850.0</v>
      </c>
      <c r="J158" s="90">
        <v>0.0</v>
      </c>
      <c r="K158" s="90">
        <v>24.8</v>
      </c>
      <c r="L158" s="90">
        <v>4.0</v>
      </c>
      <c r="M158" s="90">
        <v>4.5</v>
      </c>
      <c r="N158" s="90">
        <v>33.0</v>
      </c>
    </row>
    <row r="159" ht="14.25" customHeight="1">
      <c r="A159" s="90">
        <v>49.0</v>
      </c>
      <c r="B159" s="90">
        <v>6.3</v>
      </c>
      <c r="C159" s="90">
        <v>44.4</v>
      </c>
      <c r="D159" s="90">
        <v>0.2</v>
      </c>
      <c r="E159" s="90">
        <v>77.86</v>
      </c>
      <c r="F159" s="90">
        <v>8.15</v>
      </c>
      <c r="G159" s="90">
        <v>0.79</v>
      </c>
      <c r="H159" s="90">
        <v>0.4</v>
      </c>
      <c r="I159" s="90">
        <v>850.0</v>
      </c>
      <c r="J159" s="90">
        <v>0.0</v>
      </c>
      <c r="K159" s="90">
        <v>18.0</v>
      </c>
      <c r="L159" s="90">
        <v>4.0</v>
      </c>
      <c r="M159" s="90">
        <v>3.4</v>
      </c>
      <c r="N159" s="90">
        <v>33.3</v>
      </c>
    </row>
    <row r="160" ht="14.25" customHeight="1">
      <c r="A160" s="90">
        <v>50.81950729009552</v>
      </c>
      <c r="B160" s="90">
        <v>7.119155354449472</v>
      </c>
      <c r="C160" s="90">
        <v>41.337355455002516</v>
      </c>
      <c r="D160" s="90">
        <v>0.15082956259426847</v>
      </c>
      <c r="E160" s="90">
        <v>82.29</v>
      </c>
      <c r="F160" s="90">
        <v>8.0</v>
      </c>
      <c r="G160" s="90">
        <v>0.55</v>
      </c>
      <c r="H160" s="90">
        <v>0.22</v>
      </c>
      <c r="I160" s="90">
        <v>900.0</v>
      </c>
      <c r="J160" s="90">
        <v>0.0</v>
      </c>
      <c r="K160" s="90">
        <v>29.56</v>
      </c>
      <c r="L160" s="90">
        <v>30.02</v>
      </c>
      <c r="M160" s="90">
        <v>6.23</v>
      </c>
      <c r="N160" s="90">
        <v>31.4</v>
      </c>
    </row>
    <row r="161" ht="14.25" customHeight="1">
      <c r="A161" s="90">
        <v>50.81950729009552</v>
      </c>
      <c r="B161" s="90">
        <v>7.119155354449472</v>
      </c>
      <c r="C161" s="90">
        <v>41.337355455002516</v>
      </c>
      <c r="D161" s="90">
        <v>0.15082956259426847</v>
      </c>
      <c r="E161" s="90">
        <v>82.29</v>
      </c>
      <c r="F161" s="90">
        <v>8.0</v>
      </c>
      <c r="G161" s="90">
        <v>0.55</v>
      </c>
      <c r="H161" s="90">
        <v>0.25</v>
      </c>
      <c r="I161" s="90">
        <v>900.0</v>
      </c>
      <c r="J161" s="90">
        <v>0.0</v>
      </c>
      <c r="K161" s="90">
        <v>24.59</v>
      </c>
      <c r="L161" s="90">
        <v>36.41</v>
      </c>
      <c r="M161" s="90">
        <v>6.5</v>
      </c>
      <c r="N161" s="90">
        <v>28.44</v>
      </c>
    </row>
    <row r="162" ht="14.25" customHeight="1">
      <c r="A162" s="90">
        <v>50.81950729009552</v>
      </c>
      <c r="B162" s="90">
        <v>7.119155354449472</v>
      </c>
      <c r="C162" s="90">
        <v>41.337355455002516</v>
      </c>
      <c r="D162" s="90">
        <v>0.15082956259426847</v>
      </c>
      <c r="E162" s="90">
        <v>82.29</v>
      </c>
      <c r="F162" s="90">
        <v>8.0</v>
      </c>
      <c r="G162" s="90">
        <v>0.55</v>
      </c>
      <c r="H162" s="90">
        <v>0.24</v>
      </c>
      <c r="I162" s="90">
        <v>900.0</v>
      </c>
      <c r="J162" s="90">
        <v>0.0</v>
      </c>
      <c r="K162" s="90">
        <v>25.53</v>
      </c>
      <c r="L162" s="90">
        <v>34.88</v>
      </c>
      <c r="M162" s="90">
        <v>6.82</v>
      </c>
      <c r="N162" s="90">
        <v>28.93</v>
      </c>
    </row>
    <row r="163" ht="14.25" customHeight="1">
      <c r="A163" s="90">
        <v>50.81950729009552</v>
      </c>
      <c r="B163" s="90">
        <v>7.119155354449472</v>
      </c>
      <c r="C163" s="90">
        <v>41.337355455002516</v>
      </c>
      <c r="D163" s="90">
        <v>0.15082956259426847</v>
      </c>
      <c r="E163" s="90">
        <v>82.29</v>
      </c>
      <c r="F163" s="90">
        <v>8.0</v>
      </c>
      <c r="G163" s="90">
        <v>0.55</v>
      </c>
      <c r="H163" s="90">
        <v>0.26</v>
      </c>
      <c r="I163" s="90">
        <v>900.0</v>
      </c>
      <c r="J163" s="90">
        <v>0.0</v>
      </c>
      <c r="K163" s="90">
        <v>25.2</v>
      </c>
      <c r="L163" s="90">
        <v>34.36</v>
      </c>
      <c r="M163" s="90">
        <v>8.21</v>
      </c>
      <c r="N163" s="90">
        <v>29.16</v>
      </c>
    </row>
    <row r="164" ht="14.25" customHeight="1">
      <c r="A164" s="90">
        <v>50.81950729009552</v>
      </c>
      <c r="B164" s="90">
        <v>7.119155354449472</v>
      </c>
      <c r="C164" s="90">
        <v>41.337355455002516</v>
      </c>
      <c r="D164" s="90">
        <v>0.15082956259426847</v>
      </c>
      <c r="E164" s="90">
        <v>82.29</v>
      </c>
      <c r="F164" s="90">
        <v>8.0</v>
      </c>
      <c r="G164" s="90">
        <v>0.55</v>
      </c>
      <c r="H164" s="90">
        <v>0.25</v>
      </c>
      <c r="I164" s="90">
        <v>900.0</v>
      </c>
      <c r="J164" s="90">
        <v>0.0</v>
      </c>
      <c r="K164" s="90">
        <v>27.92</v>
      </c>
      <c r="L164" s="90">
        <v>30.11</v>
      </c>
      <c r="M164" s="90">
        <v>4.36</v>
      </c>
      <c r="N164" s="90">
        <v>35.39</v>
      </c>
    </row>
    <row r="165" ht="14.25" customHeight="1">
      <c r="A165" s="90">
        <v>50.81950729009552</v>
      </c>
      <c r="B165" s="90">
        <v>7.119155354449472</v>
      </c>
      <c r="C165" s="90">
        <v>41.337355455002516</v>
      </c>
      <c r="D165" s="90">
        <v>0.15082956259426847</v>
      </c>
      <c r="E165" s="90">
        <v>82.29</v>
      </c>
      <c r="F165" s="90">
        <v>8.0</v>
      </c>
      <c r="G165" s="90">
        <v>0.55</v>
      </c>
      <c r="H165" s="90">
        <v>0.25</v>
      </c>
      <c r="I165" s="90">
        <v>900.0</v>
      </c>
      <c r="J165" s="90">
        <v>0.0</v>
      </c>
      <c r="K165" s="90">
        <v>28.77</v>
      </c>
      <c r="L165" s="90">
        <v>31.76</v>
      </c>
      <c r="M165" s="90">
        <v>5.54</v>
      </c>
      <c r="N165" s="90">
        <v>31.88</v>
      </c>
    </row>
    <row r="166" ht="14.25" customHeight="1">
      <c r="A166" s="90">
        <v>50.81950729009552</v>
      </c>
      <c r="B166" s="90">
        <v>7.119155354449472</v>
      </c>
      <c r="C166" s="90">
        <v>41.337355455002516</v>
      </c>
      <c r="D166" s="90">
        <v>0.15082956259426847</v>
      </c>
      <c r="E166" s="90">
        <v>82.29</v>
      </c>
      <c r="F166" s="90">
        <v>8.0</v>
      </c>
      <c r="G166" s="90">
        <v>0.55</v>
      </c>
      <c r="H166" s="90">
        <v>0.25</v>
      </c>
      <c r="I166" s="90">
        <v>900.0</v>
      </c>
      <c r="J166" s="90">
        <v>0.0</v>
      </c>
      <c r="K166" s="90">
        <v>27.52</v>
      </c>
      <c r="L166" s="90">
        <v>33.39</v>
      </c>
      <c r="M166" s="90">
        <v>5.7</v>
      </c>
      <c r="N166" s="90">
        <v>31.47</v>
      </c>
    </row>
    <row r="167" ht="14.25" customHeight="1">
      <c r="A167" s="90">
        <v>50.81950729009552</v>
      </c>
      <c r="B167" s="90">
        <v>7.119155354449472</v>
      </c>
      <c r="C167" s="90">
        <v>41.337355455002516</v>
      </c>
      <c r="D167" s="90">
        <v>0.15082956259426847</v>
      </c>
      <c r="E167" s="90">
        <v>82.29</v>
      </c>
      <c r="F167" s="90">
        <v>8.0</v>
      </c>
      <c r="G167" s="90">
        <v>0.55</v>
      </c>
      <c r="H167" s="90">
        <v>0.28</v>
      </c>
      <c r="I167" s="90">
        <v>900.0</v>
      </c>
      <c r="J167" s="90">
        <v>0.0</v>
      </c>
      <c r="K167" s="90">
        <v>25.81</v>
      </c>
      <c r="L167" s="90">
        <v>33.32</v>
      </c>
      <c r="M167" s="90">
        <v>6.01</v>
      </c>
      <c r="N167" s="90">
        <v>31.17</v>
      </c>
    </row>
    <row r="168" ht="14.25" customHeight="1">
      <c r="A168" s="90">
        <v>50.81950729009552</v>
      </c>
      <c r="B168" s="90">
        <v>7.119155354449472</v>
      </c>
      <c r="C168" s="90">
        <v>41.337355455002516</v>
      </c>
      <c r="D168" s="90">
        <v>0.15082956259426847</v>
      </c>
      <c r="E168" s="90">
        <v>82.29</v>
      </c>
      <c r="F168" s="90">
        <v>8.0</v>
      </c>
      <c r="G168" s="90">
        <v>0.55</v>
      </c>
      <c r="H168" s="90">
        <v>0.27</v>
      </c>
      <c r="I168" s="90">
        <v>900.0</v>
      </c>
      <c r="J168" s="90">
        <v>0.0</v>
      </c>
      <c r="K168" s="90">
        <v>25.2</v>
      </c>
      <c r="L168" s="90">
        <v>34.36</v>
      </c>
      <c r="M168" s="90">
        <v>8.21</v>
      </c>
      <c r="N168" s="90">
        <v>29.16</v>
      </c>
    </row>
    <row r="169" ht="14.25" customHeight="1">
      <c r="A169" s="90">
        <v>50.81950729009552</v>
      </c>
      <c r="B169" s="90">
        <v>7.119155354449472</v>
      </c>
      <c r="C169" s="90">
        <v>41.337355455002516</v>
      </c>
      <c r="D169" s="90">
        <v>0.15082956259426847</v>
      </c>
      <c r="E169" s="90">
        <v>82.29</v>
      </c>
      <c r="F169" s="90">
        <v>8.0</v>
      </c>
      <c r="G169" s="90">
        <v>0.55</v>
      </c>
      <c r="H169" s="90">
        <v>0.24</v>
      </c>
      <c r="I169" s="90">
        <v>900.0</v>
      </c>
      <c r="J169" s="90">
        <v>0.0</v>
      </c>
      <c r="K169" s="90">
        <v>25.07</v>
      </c>
      <c r="L169" s="90">
        <v>35.62</v>
      </c>
      <c r="M169" s="90">
        <v>9.02</v>
      </c>
      <c r="N169" s="90">
        <v>27.12</v>
      </c>
    </row>
    <row r="170" ht="14.25" customHeight="1">
      <c r="A170" s="90">
        <v>50.81950729009552</v>
      </c>
      <c r="B170" s="90">
        <v>7.119155354449472</v>
      </c>
      <c r="C170" s="90">
        <v>41.337355455002516</v>
      </c>
      <c r="D170" s="90">
        <v>0.15082956259426847</v>
      </c>
      <c r="E170" s="90">
        <v>82.29</v>
      </c>
      <c r="F170" s="90">
        <v>8.0</v>
      </c>
      <c r="G170" s="90">
        <v>0.55</v>
      </c>
      <c r="H170" s="90">
        <v>0.27</v>
      </c>
      <c r="I170" s="90">
        <v>900.0</v>
      </c>
      <c r="J170" s="90">
        <v>0.0</v>
      </c>
      <c r="K170" s="90">
        <v>36.85</v>
      </c>
      <c r="L170" s="90">
        <v>31.96</v>
      </c>
      <c r="M170" s="90">
        <v>3.52</v>
      </c>
      <c r="N170" s="90">
        <v>26.42</v>
      </c>
    </row>
    <row r="171" ht="14.25" customHeight="1">
      <c r="A171" s="90">
        <v>50.81950729009552</v>
      </c>
      <c r="B171" s="90">
        <v>7.119155354449472</v>
      </c>
      <c r="C171" s="90">
        <v>41.337355455002516</v>
      </c>
      <c r="D171" s="90">
        <v>0.15082956259426847</v>
      </c>
      <c r="E171" s="90">
        <v>82.29</v>
      </c>
      <c r="F171" s="90">
        <v>8.0</v>
      </c>
      <c r="G171" s="90">
        <v>0.55</v>
      </c>
      <c r="H171" s="90">
        <v>0.27</v>
      </c>
      <c r="I171" s="90">
        <v>900.0</v>
      </c>
      <c r="J171" s="90">
        <v>0.0</v>
      </c>
      <c r="K171" s="90">
        <v>39.21</v>
      </c>
      <c r="L171" s="90">
        <v>25.75</v>
      </c>
      <c r="M171" s="90">
        <v>3.29</v>
      </c>
      <c r="N171" s="90">
        <v>30.51</v>
      </c>
    </row>
    <row r="172" ht="14.25" customHeight="1">
      <c r="A172" s="90">
        <v>50.81950729009552</v>
      </c>
      <c r="B172" s="90">
        <v>7.119155354449472</v>
      </c>
      <c r="C172" s="90">
        <v>41.337355455002516</v>
      </c>
      <c r="D172" s="90">
        <v>0.15082956259426847</v>
      </c>
      <c r="E172" s="90">
        <v>82.29</v>
      </c>
      <c r="F172" s="90">
        <v>8.0</v>
      </c>
      <c r="G172" s="90">
        <v>0.55</v>
      </c>
      <c r="H172" s="90">
        <v>0.27</v>
      </c>
      <c r="I172" s="90">
        <v>900.0</v>
      </c>
      <c r="J172" s="90">
        <v>0.0</v>
      </c>
      <c r="K172" s="90">
        <v>38.66</v>
      </c>
      <c r="L172" s="90">
        <v>24.45</v>
      </c>
      <c r="M172" s="90">
        <v>6.01</v>
      </c>
      <c r="N172" s="90">
        <v>28.58</v>
      </c>
    </row>
    <row r="173" ht="14.25" customHeight="1">
      <c r="A173" s="90">
        <v>50.81950729009552</v>
      </c>
      <c r="B173" s="90">
        <v>7.119155354449472</v>
      </c>
      <c r="C173" s="90">
        <v>41.337355455002516</v>
      </c>
      <c r="D173" s="90">
        <v>0.15082956259426847</v>
      </c>
      <c r="E173" s="90">
        <v>82.29</v>
      </c>
      <c r="F173" s="90">
        <v>8.0</v>
      </c>
      <c r="G173" s="90">
        <v>0.55</v>
      </c>
      <c r="H173" s="90">
        <v>0.27</v>
      </c>
      <c r="I173" s="90">
        <v>900.0</v>
      </c>
      <c r="J173" s="90">
        <v>0.0</v>
      </c>
      <c r="K173" s="90">
        <v>42.65</v>
      </c>
      <c r="L173" s="90">
        <v>22.29</v>
      </c>
      <c r="M173" s="90">
        <v>3.58</v>
      </c>
      <c r="N173" s="90">
        <v>29.91</v>
      </c>
    </row>
    <row r="174" ht="14.25" customHeight="1">
      <c r="A174" s="90">
        <v>50.81950729009552</v>
      </c>
      <c r="B174" s="90">
        <v>7.119155354449472</v>
      </c>
      <c r="C174" s="90">
        <v>41.337355455002516</v>
      </c>
      <c r="D174" s="90">
        <v>0.15082956259426847</v>
      </c>
      <c r="E174" s="90">
        <v>82.29</v>
      </c>
      <c r="F174" s="90">
        <v>8.0</v>
      </c>
      <c r="G174" s="90">
        <v>0.55</v>
      </c>
      <c r="H174" s="90">
        <v>0.27</v>
      </c>
      <c r="I174" s="90">
        <v>900.0</v>
      </c>
      <c r="J174" s="90">
        <v>0.0</v>
      </c>
      <c r="K174" s="90">
        <v>37.65</v>
      </c>
      <c r="L174" s="90">
        <v>28.89</v>
      </c>
      <c r="M174" s="90">
        <v>4.78</v>
      </c>
      <c r="N174" s="90">
        <v>27.17</v>
      </c>
    </row>
    <row r="175" ht="14.25" customHeight="1">
      <c r="A175" s="90">
        <v>51.3</v>
      </c>
      <c r="B175" s="90">
        <v>6.1</v>
      </c>
      <c r="C175" s="90">
        <v>42.59</v>
      </c>
      <c r="D175" s="90">
        <v>0.0</v>
      </c>
      <c r="E175" s="90">
        <v>79.67</v>
      </c>
      <c r="F175" s="90">
        <v>7.9</v>
      </c>
      <c r="G175" s="90">
        <v>1.16</v>
      </c>
      <c r="H175" s="90">
        <v>0.25</v>
      </c>
      <c r="I175" s="90">
        <v>770.0</v>
      </c>
      <c r="J175" s="90">
        <v>0.0</v>
      </c>
      <c r="K175" s="90">
        <v>33.2</v>
      </c>
      <c r="L175" s="90">
        <v>11.7</v>
      </c>
      <c r="M175" s="90">
        <v>11.5</v>
      </c>
      <c r="N175" s="90">
        <v>43.6</v>
      </c>
    </row>
    <row r="176" ht="14.25" customHeight="1">
      <c r="A176" s="90">
        <v>51.3</v>
      </c>
      <c r="B176" s="90">
        <v>6.1</v>
      </c>
      <c r="C176" s="90">
        <v>42.59</v>
      </c>
      <c r="D176" s="90">
        <v>0.0</v>
      </c>
      <c r="E176" s="90">
        <v>79.67</v>
      </c>
      <c r="F176" s="90">
        <v>7.9</v>
      </c>
      <c r="G176" s="90">
        <v>1.16</v>
      </c>
      <c r="H176" s="90">
        <v>0.25</v>
      </c>
      <c r="I176" s="90">
        <v>770.0</v>
      </c>
      <c r="J176" s="90">
        <v>0.0</v>
      </c>
      <c r="K176" s="90">
        <v>24.0</v>
      </c>
      <c r="L176" s="90">
        <v>14.1</v>
      </c>
      <c r="M176" s="90">
        <v>6.4</v>
      </c>
      <c r="N176" s="90">
        <v>55.5</v>
      </c>
    </row>
    <row r="177" ht="14.25" customHeight="1">
      <c r="A177" s="90">
        <v>51.3</v>
      </c>
      <c r="B177" s="90">
        <v>6.1</v>
      </c>
      <c r="C177" s="90">
        <v>42.59</v>
      </c>
      <c r="D177" s="90">
        <v>0.0</v>
      </c>
      <c r="E177" s="90">
        <v>79.67</v>
      </c>
      <c r="F177" s="90">
        <v>7.9</v>
      </c>
      <c r="G177" s="90">
        <v>1.16</v>
      </c>
      <c r="H177" s="90">
        <v>0.25</v>
      </c>
      <c r="I177" s="90">
        <v>770.0</v>
      </c>
      <c r="J177" s="90">
        <v>0.0</v>
      </c>
      <c r="K177" s="90">
        <v>23.0</v>
      </c>
      <c r="L177" s="90">
        <v>19.9</v>
      </c>
      <c r="M177" s="90">
        <v>7.9</v>
      </c>
      <c r="N177" s="90">
        <v>52.2</v>
      </c>
    </row>
    <row r="178" ht="14.25" customHeight="1">
      <c r="A178" s="90">
        <v>44.65823323057298</v>
      </c>
      <c r="B178" s="90">
        <v>6.325077070266823</v>
      </c>
      <c r="C178" s="90">
        <v>47.847347719783144</v>
      </c>
      <c r="D178" s="90">
        <v>1.0311470181779527</v>
      </c>
      <c r="E178" s="90">
        <v>75.95</v>
      </c>
      <c r="F178" s="90">
        <v>6.17</v>
      </c>
      <c r="G178" s="90">
        <v>5.93</v>
      </c>
      <c r="H178" s="90">
        <v>0.18</v>
      </c>
      <c r="I178" s="90">
        <v>700.0</v>
      </c>
      <c r="J178" s="90">
        <v>0.0</v>
      </c>
      <c r="K178" s="90">
        <v>11.35</v>
      </c>
      <c r="L178" s="90">
        <v>23.93</v>
      </c>
      <c r="M178" s="90">
        <v>1.27</v>
      </c>
      <c r="N178" s="90">
        <v>6.11</v>
      </c>
    </row>
    <row r="179" ht="14.25" customHeight="1">
      <c r="A179" s="90">
        <v>44.65823323057298</v>
      </c>
      <c r="B179" s="90">
        <v>6.325077070266823</v>
      </c>
      <c r="C179" s="90">
        <v>47.847347719783144</v>
      </c>
      <c r="D179" s="90">
        <v>1.0311470181779527</v>
      </c>
      <c r="E179" s="90">
        <v>75.95</v>
      </c>
      <c r="F179" s="90">
        <v>6.17</v>
      </c>
      <c r="G179" s="90">
        <v>5.93</v>
      </c>
      <c r="H179" s="90">
        <v>0.21</v>
      </c>
      <c r="I179" s="90">
        <v>800.0</v>
      </c>
      <c r="J179" s="90">
        <v>0.0</v>
      </c>
      <c r="K179" s="90">
        <v>13.55</v>
      </c>
      <c r="L179" s="90">
        <v>20.37</v>
      </c>
      <c r="M179" s="90">
        <v>1.84</v>
      </c>
      <c r="N179" s="90">
        <v>8.23</v>
      </c>
    </row>
    <row r="180" ht="14.25" customHeight="1">
      <c r="A180" s="90">
        <v>44.65823323057298</v>
      </c>
      <c r="B180" s="90">
        <v>6.325077070266823</v>
      </c>
      <c r="C180" s="90">
        <v>47.847347719783144</v>
      </c>
      <c r="D180" s="90">
        <v>1.0311470181779527</v>
      </c>
      <c r="E180" s="90">
        <v>75.95</v>
      </c>
      <c r="F180" s="90">
        <v>6.17</v>
      </c>
      <c r="G180" s="90">
        <v>5.93</v>
      </c>
      <c r="H180" s="90">
        <v>0.24</v>
      </c>
      <c r="I180" s="90">
        <v>800.0</v>
      </c>
      <c r="J180" s="90">
        <v>0.0</v>
      </c>
      <c r="K180" s="90">
        <v>16.72</v>
      </c>
      <c r="L180" s="90">
        <v>16.48</v>
      </c>
      <c r="M180" s="90">
        <v>2.98</v>
      </c>
      <c r="N180" s="90">
        <v>10.92</v>
      </c>
    </row>
    <row r="181" ht="14.25" customHeight="1">
      <c r="A181" s="90">
        <v>44.65823323057298</v>
      </c>
      <c r="B181" s="90">
        <v>6.325077070266823</v>
      </c>
      <c r="C181" s="90">
        <v>47.847347719783144</v>
      </c>
      <c r="D181" s="90">
        <v>1.0311470181779527</v>
      </c>
      <c r="E181" s="90">
        <v>75.95</v>
      </c>
      <c r="F181" s="90">
        <v>6.17</v>
      </c>
      <c r="G181" s="90">
        <v>5.93</v>
      </c>
      <c r="H181" s="90">
        <v>0.28</v>
      </c>
      <c r="I181" s="90">
        <v>800.0</v>
      </c>
      <c r="J181" s="90">
        <v>0.0</v>
      </c>
      <c r="K181" s="90">
        <v>18.99</v>
      </c>
      <c r="L181" s="90">
        <v>13.11</v>
      </c>
      <c r="M181" s="90">
        <v>3.96</v>
      </c>
      <c r="N181" s="90">
        <v>12.78</v>
      </c>
    </row>
    <row r="182" ht="14.25" customHeight="1">
      <c r="A182" s="90">
        <v>44.65823323057298</v>
      </c>
      <c r="B182" s="90">
        <v>6.325077070266823</v>
      </c>
      <c r="C182" s="90">
        <v>47.847347719783144</v>
      </c>
      <c r="D182" s="90">
        <v>1.0311470181779527</v>
      </c>
      <c r="E182" s="90">
        <v>75.95</v>
      </c>
      <c r="F182" s="90">
        <v>6.17</v>
      </c>
      <c r="G182" s="90">
        <v>5.93</v>
      </c>
      <c r="H182" s="90">
        <v>0.32</v>
      </c>
      <c r="I182" s="90">
        <v>800.0</v>
      </c>
      <c r="J182" s="90">
        <v>0.0</v>
      </c>
      <c r="K182" s="90">
        <v>14.81</v>
      </c>
      <c r="L182" s="90">
        <v>11.58</v>
      </c>
      <c r="M182" s="90">
        <v>3.72</v>
      </c>
      <c r="N182" s="90">
        <v>13.51</v>
      </c>
    </row>
    <row r="183" ht="14.25" customHeight="1">
      <c r="A183" s="90">
        <v>44.65823323057298</v>
      </c>
      <c r="B183" s="90">
        <v>6.325077070266823</v>
      </c>
      <c r="C183" s="90">
        <v>47.847347719783144</v>
      </c>
      <c r="D183" s="90">
        <v>1.0311470181779527</v>
      </c>
      <c r="E183" s="90">
        <v>75.95</v>
      </c>
      <c r="F183" s="90">
        <v>6.17</v>
      </c>
      <c r="G183" s="90">
        <v>5.93</v>
      </c>
      <c r="H183" s="90">
        <v>0.36</v>
      </c>
      <c r="I183" s="90">
        <v>800.0</v>
      </c>
      <c r="J183" s="90">
        <v>0.0</v>
      </c>
      <c r="K183" s="90">
        <v>17.97</v>
      </c>
      <c r="L183" s="90">
        <v>13.82</v>
      </c>
      <c r="M183" s="90">
        <v>3.65</v>
      </c>
      <c r="N183" s="90">
        <v>12.26</v>
      </c>
    </row>
    <row r="184" ht="14.25" customHeight="1">
      <c r="A184" s="90">
        <v>44.65823323057298</v>
      </c>
      <c r="B184" s="90">
        <v>6.325077070266823</v>
      </c>
      <c r="C184" s="90">
        <v>47.847347719783144</v>
      </c>
      <c r="D184" s="90">
        <v>1.0311470181779527</v>
      </c>
      <c r="E184" s="90">
        <v>75.95</v>
      </c>
      <c r="F184" s="90">
        <v>6.17</v>
      </c>
      <c r="G184" s="90">
        <v>5.93</v>
      </c>
      <c r="H184" s="90">
        <v>0.41</v>
      </c>
      <c r="I184" s="90">
        <v>800.0</v>
      </c>
      <c r="J184" s="90">
        <v>0.0</v>
      </c>
      <c r="K184" s="90">
        <v>15.16</v>
      </c>
      <c r="L184" s="90">
        <v>18.41</v>
      </c>
      <c r="M184" s="90">
        <v>1.57</v>
      </c>
      <c r="N184" s="90">
        <v>10.58</v>
      </c>
    </row>
    <row r="185" ht="14.25" customHeight="1">
      <c r="A185" s="90">
        <v>52.54</v>
      </c>
      <c r="B185" s="90">
        <v>5.37</v>
      </c>
      <c r="C185" s="90">
        <v>41.01</v>
      </c>
      <c r="D185" s="90">
        <v>0.59</v>
      </c>
      <c r="E185" s="90">
        <v>84.48</v>
      </c>
      <c r="F185" s="90">
        <v>10.12</v>
      </c>
      <c r="G185" s="90">
        <v>5.4</v>
      </c>
      <c r="H185" s="90">
        <v>0.4</v>
      </c>
      <c r="I185" s="90">
        <v>690.0</v>
      </c>
      <c r="J185" s="90">
        <v>0.0</v>
      </c>
      <c r="K185" s="90">
        <v>14.3</v>
      </c>
      <c r="L185" s="90">
        <v>26.6</v>
      </c>
      <c r="M185" s="90">
        <v>8.6</v>
      </c>
      <c r="N185" s="90">
        <v>50.5</v>
      </c>
    </row>
    <row r="186" ht="14.25" customHeight="1">
      <c r="A186" s="90">
        <v>52.54</v>
      </c>
      <c r="B186" s="90">
        <v>5.37</v>
      </c>
      <c r="C186" s="90">
        <v>41.01</v>
      </c>
      <c r="D186" s="90">
        <v>0.59</v>
      </c>
      <c r="E186" s="90">
        <v>84.48</v>
      </c>
      <c r="F186" s="90">
        <v>10.12</v>
      </c>
      <c r="G186" s="90">
        <v>5.4</v>
      </c>
      <c r="H186" s="90">
        <v>0.4</v>
      </c>
      <c r="I186" s="90">
        <v>730.0</v>
      </c>
      <c r="J186" s="90">
        <v>0.0</v>
      </c>
      <c r="K186" s="90">
        <v>16.3</v>
      </c>
      <c r="L186" s="90">
        <v>23.5</v>
      </c>
      <c r="M186" s="90">
        <v>7.9</v>
      </c>
      <c r="N186" s="90">
        <v>52.2</v>
      </c>
    </row>
    <row r="187" ht="14.25" customHeight="1">
      <c r="A187" s="90">
        <v>52.54</v>
      </c>
      <c r="B187" s="90">
        <v>5.37</v>
      </c>
      <c r="C187" s="90">
        <v>41.01</v>
      </c>
      <c r="D187" s="90">
        <v>0.59</v>
      </c>
      <c r="E187" s="90">
        <v>84.48</v>
      </c>
      <c r="F187" s="90">
        <v>10.12</v>
      </c>
      <c r="G187" s="90">
        <v>5.4</v>
      </c>
      <c r="H187" s="90">
        <v>0.4</v>
      </c>
      <c r="I187" s="90">
        <v>750.0</v>
      </c>
      <c r="J187" s="90">
        <v>0.0</v>
      </c>
      <c r="K187" s="90">
        <v>23.7</v>
      </c>
      <c r="L187" s="90">
        <v>21.2</v>
      </c>
      <c r="M187" s="90">
        <v>5.6</v>
      </c>
      <c r="N187" s="90">
        <v>49.5</v>
      </c>
    </row>
    <row r="188" ht="14.25" customHeight="1">
      <c r="A188" s="90">
        <v>52.54</v>
      </c>
      <c r="B188" s="90">
        <v>5.37</v>
      </c>
      <c r="C188" s="90">
        <v>41.01</v>
      </c>
      <c r="D188" s="90">
        <v>0.59</v>
      </c>
      <c r="E188" s="90">
        <v>84.48</v>
      </c>
      <c r="F188" s="90">
        <v>10.12</v>
      </c>
      <c r="G188" s="90">
        <v>5.4</v>
      </c>
      <c r="H188" s="90">
        <v>0.4</v>
      </c>
      <c r="I188" s="90">
        <v>750.0</v>
      </c>
      <c r="J188" s="90">
        <v>0.0</v>
      </c>
      <c r="K188" s="90">
        <v>17.75</v>
      </c>
      <c r="L188" s="90">
        <v>22.25</v>
      </c>
      <c r="M188" s="90">
        <v>7.4</v>
      </c>
      <c r="N188" s="90">
        <v>52.9</v>
      </c>
    </row>
    <row r="189" ht="14.25" customHeight="1">
      <c r="A189" s="90">
        <v>52.54</v>
      </c>
      <c r="B189" s="90">
        <v>5.37</v>
      </c>
      <c r="C189" s="90">
        <v>41.01</v>
      </c>
      <c r="D189" s="90">
        <v>0.59</v>
      </c>
      <c r="E189" s="90">
        <v>84.48</v>
      </c>
      <c r="F189" s="90">
        <v>10.12</v>
      </c>
      <c r="G189" s="90">
        <v>5.4</v>
      </c>
      <c r="H189" s="90">
        <v>0.4</v>
      </c>
      <c r="I189" s="90">
        <v>750.0</v>
      </c>
      <c r="J189" s="90">
        <v>0.0</v>
      </c>
      <c r="K189" s="90">
        <v>16.4</v>
      </c>
      <c r="L189" s="90">
        <v>22.9</v>
      </c>
      <c r="M189" s="90">
        <v>7.8</v>
      </c>
      <c r="N189" s="90">
        <v>52.9</v>
      </c>
    </row>
    <row r="190" ht="14.25" customHeight="1">
      <c r="A190" s="90">
        <v>52.54</v>
      </c>
      <c r="B190" s="90">
        <v>5.37</v>
      </c>
      <c r="C190" s="90">
        <v>41.01</v>
      </c>
      <c r="D190" s="90">
        <v>0.59</v>
      </c>
      <c r="E190" s="90">
        <v>84.48</v>
      </c>
      <c r="F190" s="90">
        <v>10.12</v>
      </c>
      <c r="G190" s="90">
        <v>5.4</v>
      </c>
      <c r="H190" s="90">
        <v>0.4</v>
      </c>
      <c r="I190" s="90">
        <v>770.0</v>
      </c>
      <c r="J190" s="90">
        <v>0.0</v>
      </c>
      <c r="K190" s="90">
        <v>18.0</v>
      </c>
      <c r="L190" s="90">
        <v>19.4</v>
      </c>
      <c r="M190" s="90">
        <v>7.7</v>
      </c>
      <c r="N190" s="90">
        <v>54.4</v>
      </c>
    </row>
    <row r="191" ht="14.25" customHeight="1">
      <c r="A191" s="90">
        <v>52.54</v>
      </c>
      <c r="B191" s="90">
        <v>5.37</v>
      </c>
      <c r="C191" s="90">
        <v>41.01</v>
      </c>
      <c r="D191" s="90">
        <v>0.59</v>
      </c>
      <c r="E191" s="90">
        <v>84.48</v>
      </c>
      <c r="F191" s="90">
        <v>10.12</v>
      </c>
      <c r="G191" s="90">
        <v>5.4</v>
      </c>
      <c r="H191" s="90">
        <v>0.35</v>
      </c>
      <c r="I191" s="90">
        <v>690.0</v>
      </c>
      <c r="J191" s="90">
        <v>0.0</v>
      </c>
      <c r="K191" s="90">
        <v>12.99</v>
      </c>
      <c r="L191" s="90">
        <v>31.21</v>
      </c>
      <c r="M191" s="90">
        <v>7.03</v>
      </c>
      <c r="N191" s="90">
        <v>48.76</v>
      </c>
    </row>
    <row r="192" ht="14.25" customHeight="1">
      <c r="A192" s="90">
        <v>52.54</v>
      </c>
      <c r="B192" s="90">
        <v>5.37</v>
      </c>
      <c r="C192" s="90">
        <v>41.01</v>
      </c>
      <c r="D192" s="90">
        <v>0.59</v>
      </c>
      <c r="E192" s="90">
        <v>84.48</v>
      </c>
      <c r="F192" s="90">
        <v>10.12</v>
      </c>
      <c r="G192" s="90">
        <v>5.4</v>
      </c>
      <c r="H192" s="90">
        <v>0.35</v>
      </c>
      <c r="I192" s="90">
        <v>730.0</v>
      </c>
      <c r="J192" s="90">
        <v>0.0</v>
      </c>
      <c r="K192" s="90">
        <v>15.45</v>
      </c>
      <c r="L192" s="90">
        <v>28.74</v>
      </c>
      <c r="M192" s="90">
        <v>5.06</v>
      </c>
      <c r="N192" s="90">
        <v>50.71</v>
      </c>
    </row>
    <row r="193" ht="14.25" customHeight="1">
      <c r="A193" s="90">
        <v>52.54</v>
      </c>
      <c r="B193" s="90">
        <v>5.37</v>
      </c>
      <c r="C193" s="90">
        <v>41.01</v>
      </c>
      <c r="D193" s="90">
        <v>0.59</v>
      </c>
      <c r="E193" s="90">
        <v>84.48</v>
      </c>
      <c r="F193" s="90">
        <v>10.12</v>
      </c>
      <c r="G193" s="90">
        <v>5.4</v>
      </c>
      <c r="H193" s="90">
        <v>0.35</v>
      </c>
      <c r="I193" s="90">
        <v>750.0</v>
      </c>
      <c r="J193" s="90">
        <v>0.0</v>
      </c>
      <c r="K193" s="90">
        <v>20.59</v>
      </c>
      <c r="L193" s="90">
        <v>25.01</v>
      </c>
      <c r="M193" s="90">
        <v>4.02</v>
      </c>
      <c r="N193" s="90">
        <v>50.37</v>
      </c>
    </row>
    <row r="194" ht="14.25" customHeight="1">
      <c r="A194" s="90">
        <v>52.54</v>
      </c>
      <c r="B194" s="90">
        <v>5.37</v>
      </c>
      <c r="C194" s="90">
        <v>41.01</v>
      </c>
      <c r="D194" s="90">
        <v>0.59</v>
      </c>
      <c r="E194" s="90">
        <v>84.48</v>
      </c>
      <c r="F194" s="90">
        <v>10.12</v>
      </c>
      <c r="G194" s="90">
        <v>5.4</v>
      </c>
      <c r="H194" s="90">
        <v>0.35</v>
      </c>
      <c r="I194" s="90">
        <v>750.0</v>
      </c>
      <c r="J194" s="90">
        <v>0.0</v>
      </c>
      <c r="K194" s="90">
        <v>16.64</v>
      </c>
      <c r="L194" s="90">
        <v>27.65</v>
      </c>
      <c r="M194" s="90">
        <v>4.28</v>
      </c>
      <c r="N194" s="90">
        <v>51.43</v>
      </c>
    </row>
    <row r="195" ht="14.25" customHeight="1">
      <c r="A195" s="90">
        <v>52.54</v>
      </c>
      <c r="B195" s="90">
        <v>5.37</v>
      </c>
      <c r="C195" s="90">
        <v>41.01</v>
      </c>
      <c r="D195" s="90">
        <v>0.59</v>
      </c>
      <c r="E195" s="90">
        <v>84.48</v>
      </c>
      <c r="F195" s="90">
        <v>10.12</v>
      </c>
      <c r="G195" s="90">
        <v>5.4</v>
      </c>
      <c r="H195" s="90">
        <v>0.35</v>
      </c>
      <c r="I195" s="90">
        <v>750.0</v>
      </c>
      <c r="J195" s="90">
        <v>0.0</v>
      </c>
      <c r="K195" s="90">
        <v>13.5</v>
      </c>
      <c r="L195" s="90">
        <v>29.74</v>
      </c>
      <c r="M195" s="90">
        <v>4.5</v>
      </c>
      <c r="N195" s="90">
        <v>52.26</v>
      </c>
    </row>
    <row r="196" ht="14.25" customHeight="1">
      <c r="A196" s="90">
        <v>52.54</v>
      </c>
      <c r="B196" s="90">
        <v>5.37</v>
      </c>
      <c r="C196" s="90">
        <v>41.01</v>
      </c>
      <c r="D196" s="90">
        <v>0.59</v>
      </c>
      <c r="E196" s="90">
        <v>84.48</v>
      </c>
      <c r="F196" s="90">
        <v>10.12</v>
      </c>
      <c r="G196" s="90">
        <v>5.4</v>
      </c>
      <c r="H196" s="90">
        <v>0.35</v>
      </c>
      <c r="I196" s="90">
        <v>770.0</v>
      </c>
      <c r="J196" s="90">
        <v>0.0</v>
      </c>
      <c r="K196" s="90">
        <v>17.72</v>
      </c>
      <c r="L196" s="90">
        <v>26.66</v>
      </c>
      <c r="M196" s="90">
        <v>3.62</v>
      </c>
      <c r="N196" s="90">
        <v>52.0</v>
      </c>
    </row>
    <row r="197" ht="14.25" customHeight="1">
      <c r="A197" s="90">
        <v>52.54</v>
      </c>
      <c r="B197" s="90">
        <v>5.37</v>
      </c>
      <c r="C197" s="90">
        <v>41.01</v>
      </c>
      <c r="D197" s="90">
        <v>0.59</v>
      </c>
      <c r="E197" s="90">
        <v>84.48</v>
      </c>
      <c r="F197" s="90">
        <v>10.12</v>
      </c>
      <c r="G197" s="90">
        <v>5.4</v>
      </c>
      <c r="H197" s="90">
        <v>0.35</v>
      </c>
      <c r="I197" s="90">
        <v>770.0</v>
      </c>
      <c r="J197" s="90">
        <v>0.0</v>
      </c>
      <c r="K197" s="90">
        <v>16.26</v>
      </c>
      <c r="L197" s="90">
        <v>28.88</v>
      </c>
      <c r="M197" s="90">
        <v>6.46</v>
      </c>
      <c r="N197" s="90">
        <v>48.4</v>
      </c>
    </row>
    <row r="198" ht="14.25" customHeight="1">
      <c r="A198" s="90">
        <v>52.54</v>
      </c>
      <c r="B198" s="90">
        <v>5.37</v>
      </c>
      <c r="C198" s="90">
        <v>41.01</v>
      </c>
      <c r="D198" s="90">
        <v>0.59</v>
      </c>
      <c r="E198" s="90">
        <v>84.48</v>
      </c>
      <c r="F198" s="90">
        <v>10.12</v>
      </c>
      <c r="G198" s="90">
        <v>5.4</v>
      </c>
      <c r="H198" s="90">
        <v>0.35</v>
      </c>
      <c r="I198" s="90">
        <v>770.0</v>
      </c>
      <c r="J198" s="90">
        <v>0.0</v>
      </c>
      <c r="K198" s="90">
        <v>18.94</v>
      </c>
      <c r="L198" s="90">
        <v>26.33</v>
      </c>
      <c r="M198" s="90">
        <v>4.6</v>
      </c>
      <c r="N198" s="90">
        <v>50.14</v>
      </c>
    </row>
    <row r="199" ht="14.25" customHeight="1">
      <c r="A199" s="90">
        <v>52.54</v>
      </c>
      <c r="B199" s="90">
        <v>5.37</v>
      </c>
      <c r="C199" s="90">
        <v>41.01</v>
      </c>
      <c r="D199" s="90">
        <v>0.59</v>
      </c>
      <c r="E199" s="90">
        <v>84.48</v>
      </c>
      <c r="F199" s="90">
        <v>10.12</v>
      </c>
      <c r="G199" s="90">
        <v>5.4</v>
      </c>
      <c r="H199" s="90">
        <v>0.35</v>
      </c>
      <c r="I199" s="90">
        <v>770.0</v>
      </c>
      <c r="J199" s="90">
        <v>0.0</v>
      </c>
      <c r="K199" s="90">
        <v>24.22</v>
      </c>
      <c r="L199" s="90">
        <v>22.52</v>
      </c>
      <c r="M199" s="90">
        <v>3.62</v>
      </c>
      <c r="N199" s="90">
        <v>49.64</v>
      </c>
    </row>
    <row r="200" ht="14.25" customHeight="1">
      <c r="A200" s="90">
        <v>52.54</v>
      </c>
      <c r="B200" s="90">
        <v>5.37</v>
      </c>
      <c r="C200" s="90">
        <v>41.01</v>
      </c>
      <c r="D200" s="90">
        <v>0.59</v>
      </c>
      <c r="E200" s="90">
        <v>84.48</v>
      </c>
      <c r="F200" s="90">
        <v>10.12</v>
      </c>
      <c r="G200" s="90">
        <v>5.4</v>
      </c>
      <c r="H200" s="90">
        <v>0.35</v>
      </c>
      <c r="I200" s="90">
        <v>770.0</v>
      </c>
      <c r="J200" s="90">
        <v>0.0</v>
      </c>
      <c r="K200" s="90">
        <v>20.15</v>
      </c>
      <c r="L200" s="90">
        <v>25.22</v>
      </c>
      <c r="M200" s="90">
        <v>3.82</v>
      </c>
      <c r="N200" s="90">
        <v>50.76</v>
      </c>
    </row>
    <row r="201" ht="14.25" customHeight="1">
      <c r="A201" s="90">
        <v>52.54</v>
      </c>
      <c r="B201" s="90">
        <v>5.37</v>
      </c>
      <c r="C201" s="90">
        <v>41.01</v>
      </c>
      <c r="D201" s="90">
        <v>0.59</v>
      </c>
      <c r="E201" s="90">
        <v>84.48</v>
      </c>
      <c r="F201" s="90">
        <v>10.12</v>
      </c>
      <c r="G201" s="90">
        <v>5.4</v>
      </c>
      <c r="H201" s="90">
        <v>0.35</v>
      </c>
      <c r="I201" s="90">
        <v>770.0</v>
      </c>
      <c r="J201" s="90">
        <v>0.0</v>
      </c>
      <c r="K201" s="90">
        <v>16.78</v>
      </c>
      <c r="L201" s="90">
        <v>27.47</v>
      </c>
      <c r="M201" s="90">
        <v>4.08</v>
      </c>
      <c r="N201" s="90">
        <v>51.67</v>
      </c>
    </row>
    <row r="202" ht="14.25" customHeight="1">
      <c r="A202" s="90">
        <v>52.54</v>
      </c>
      <c r="B202" s="90">
        <v>5.37</v>
      </c>
      <c r="C202" s="90">
        <v>41.01</v>
      </c>
      <c r="D202" s="90">
        <v>0.59</v>
      </c>
      <c r="E202" s="90">
        <v>84.48</v>
      </c>
      <c r="F202" s="90">
        <v>10.12</v>
      </c>
      <c r="G202" s="90">
        <v>5.4</v>
      </c>
      <c r="H202" s="90">
        <v>0.35</v>
      </c>
      <c r="I202" s="90">
        <v>770.0</v>
      </c>
      <c r="J202" s="90">
        <v>0.0</v>
      </c>
      <c r="K202" s="90">
        <v>21.28</v>
      </c>
      <c r="L202" s="90">
        <v>24.25</v>
      </c>
      <c r="M202" s="90">
        <v>3.25</v>
      </c>
      <c r="N202" s="90">
        <v>51.24</v>
      </c>
    </row>
    <row r="203" ht="14.25" customHeight="1">
      <c r="A203" s="90">
        <v>54.55762579493474</v>
      </c>
      <c r="B203" s="90">
        <v>6.582617427200715</v>
      </c>
      <c r="C203" s="90">
        <v>37.5878612071851</v>
      </c>
      <c r="D203" s="90">
        <v>0.63594778533973</v>
      </c>
      <c r="E203" s="90">
        <v>69.83</v>
      </c>
      <c r="F203" s="90">
        <v>8.69</v>
      </c>
      <c r="G203" s="90">
        <v>10.37</v>
      </c>
      <c r="H203" s="90">
        <v>0.2</v>
      </c>
      <c r="I203" s="90">
        <v>700.0</v>
      </c>
      <c r="J203" s="90">
        <v>0.0</v>
      </c>
      <c r="K203" s="90">
        <v>10.01</v>
      </c>
      <c r="L203" s="90">
        <v>17.37</v>
      </c>
      <c r="M203" s="90">
        <v>5.33</v>
      </c>
      <c r="N203" s="90">
        <v>13.38</v>
      </c>
    </row>
    <row r="204" ht="14.25" customHeight="1">
      <c r="A204" s="90">
        <v>54.55762579493474</v>
      </c>
      <c r="B204" s="90">
        <v>6.582617427200715</v>
      </c>
      <c r="C204" s="90">
        <v>37.5878612071851</v>
      </c>
      <c r="D204" s="90">
        <v>0.63594778533973</v>
      </c>
      <c r="E204" s="90">
        <v>69.83</v>
      </c>
      <c r="F204" s="90">
        <v>8.69</v>
      </c>
      <c r="G204" s="90">
        <v>10.37</v>
      </c>
      <c r="H204" s="90">
        <v>0.2</v>
      </c>
      <c r="I204" s="90">
        <v>750.0</v>
      </c>
      <c r="J204" s="90">
        <v>0.0</v>
      </c>
      <c r="K204" s="90">
        <v>15.05</v>
      </c>
      <c r="L204" s="90">
        <v>16.77</v>
      </c>
      <c r="M204" s="90">
        <v>4.89</v>
      </c>
      <c r="N204" s="90">
        <v>16.51</v>
      </c>
    </row>
    <row r="205" ht="14.25" customHeight="1">
      <c r="A205" s="90">
        <v>54.55762579493474</v>
      </c>
      <c r="B205" s="90">
        <v>6.582617427200715</v>
      </c>
      <c r="C205" s="90">
        <v>37.5878612071851</v>
      </c>
      <c r="D205" s="90">
        <v>0.63594778533973</v>
      </c>
      <c r="E205" s="90">
        <v>69.83</v>
      </c>
      <c r="F205" s="90">
        <v>8.69</v>
      </c>
      <c r="G205" s="90">
        <v>10.37</v>
      </c>
      <c r="H205" s="90">
        <v>0.2</v>
      </c>
      <c r="I205" s="90">
        <v>800.0</v>
      </c>
      <c r="J205" s="90">
        <v>0.0</v>
      </c>
      <c r="K205" s="90">
        <v>10.68</v>
      </c>
      <c r="L205" s="90">
        <v>16.98</v>
      </c>
      <c r="M205" s="90">
        <v>4.88</v>
      </c>
      <c r="N205" s="90">
        <v>12.62</v>
      </c>
    </row>
    <row r="206" ht="14.25" customHeight="1">
      <c r="A206" s="90">
        <v>54.55762579493474</v>
      </c>
      <c r="B206" s="90">
        <v>6.582617427200715</v>
      </c>
      <c r="C206" s="90">
        <v>37.5878612071851</v>
      </c>
      <c r="D206" s="90">
        <v>0.63594778533973</v>
      </c>
      <c r="E206" s="90">
        <v>69.83</v>
      </c>
      <c r="F206" s="90">
        <v>8.69</v>
      </c>
      <c r="G206" s="90">
        <v>10.37</v>
      </c>
      <c r="H206" s="90">
        <v>0.2</v>
      </c>
      <c r="I206" s="90">
        <v>800.0</v>
      </c>
      <c r="J206" s="90">
        <v>0.0</v>
      </c>
      <c r="K206" s="90">
        <v>13.89</v>
      </c>
      <c r="L206" s="90">
        <v>16.83</v>
      </c>
      <c r="M206" s="90">
        <v>5.29</v>
      </c>
      <c r="N206" s="90">
        <v>13.64</v>
      </c>
    </row>
    <row r="207" ht="14.25" customHeight="1">
      <c r="A207" s="90">
        <v>54.55762579493474</v>
      </c>
      <c r="B207" s="90">
        <v>6.582617427200715</v>
      </c>
      <c r="C207" s="90">
        <v>37.5878612071851</v>
      </c>
      <c r="D207" s="90">
        <v>0.63594778533973</v>
      </c>
      <c r="E207" s="90">
        <v>69.83</v>
      </c>
      <c r="F207" s="90">
        <v>8.69</v>
      </c>
      <c r="G207" s="90">
        <v>10.37</v>
      </c>
      <c r="H207" s="90">
        <v>0.2</v>
      </c>
      <c r="I207" s="90">
        <v>800.0</v>
      </c>
      <c r="J207" s="90">
        <v>0.0</v>
      </c>
      <c r="K207" s="90">
        <v>16.71</v>
      </c>
      <c r="L207" s="90">
        <v>16.56</v>
      </c>
      <c r="M207" s="90">
        <v>4.87</v>
      </c>
      <c r="N207" s="90">
        <v>16.26</v>
      </c>
    </row>
    <row r="208" ht="14.25" customHeight="1">
      <c r="A208" s="90">
        <v>46.779303062302006</v>
      </c>
      <c r="B208" s="90">
        <v>6.2302006335797255</v>
      </c>
      <c r="C208" s="90">
        <v>46.884899683210136</v>
      </c>
      <c r="D208" s="90">
        <v>0.10559662090813093</v>
      </c>
      <c r="E208" s="90">
        <v>74.2</v>
      </c>
      <c r="F208" s="90">
        <v>8.4</v>
      </c>
      <c r="G208" s="90">
        <v>5.3</v>
      </c>
      <c r="H208" s="90">
        <v>0.3</v>
      </c>
      <c r="I208" s="90">
        <v>780.0</v>
      </c>
      <c r="J208" s="90">
        <v>0.0</v>
      </c>
      <c r="K208" s="90">
        <v>15.2</v>
      </c>
      <c r="L208" s="90">
        <v>16.4</v>
      </c>
      <c r="M208" s="90">
        <v>4.7</v>
      </c>
      <c r="N208" s="90">
        <v>20.2</v>
      </c>
    </row>
    <row r="209" ht="14.25" customHeight="1">
      <c r="A209" s="90">
        <v>46.779303062302006</v>
      </c>
      <c r="B209" s="90">
        <v>6.2302006335797255</v>
      </c>
      <c r="C209" s="90">
        <v>46.884899683210136</v>
      </c>
      <c r="D209" s="90">
        <v>0.10559662090813093</v>
      </c>
      <c r="E209" s="90">
        <v>74.2</v>
      </c>
      <c r="F209" s="90">
        <v>8.4</v>
      </c>
      <c r="G209" s="90">
        <v>5.3</v>
      </c>
      <c r="H209" s="90">
        <v>0.3</v>
      </c>
      <c r="I209" s="90">
        <v>780.0</v>
      </c>
      <c r="J209" s="90">
        <v>0.0</v>
      </c>
      <c r="K209" s="90">
        <v>16.4</v>
      </c>
      <c r="L209" s="90">
        <v>15.9</v>
      </c>
      <c r="M209" s="90">
        <v>4.9</v>
      </c>
      <c r="N209" s="90">
        <v>19.8</v>
      </c>
    </row>
    <row r="210" ht="14.25" customHeight="1">
      <c r="A210" s="90">
        <v>46.779303062302006</v>
      </c>
      <c r="B210" s="90">
        <v>6.2302006335797255</v>
      </c>
      <c r="C210" s="90">
        <v>46.884899683210136</v>
      </c>
      <c r="D210" s="90">
        <v>0.10559662090813093</v>
      </c>
      <c r="E210" s="90">
        <v>74.2</v>
      </c>
      <c r="F210" s="90">
        <v>8.4</v>
      </c>
      <c r="G210" s="90">
        <v>5.3</v>
      </c>
      <c r="H210" s="90">
        <v>0.3</v>
      </c>
      <c r="I210" s="90">
        <v>780.0</v>
      </c>
      <c r="J210" s="90">
        <v>0.0</v>
      </c>
      <c r="K210" s="90">
        <v>13.8</v>
      </c>
      <c r="L210" s="90">
        <v>16.9</v>
      </c>
      <c r="M210" s="90">
        <v>4.4</v>
      </c>
      <c r="N210" s="90">
        <v>20.3</v>
      </c>
    </row>
    <row r="211" ht="14.25" customHeight="1">
      <c r="A211" s="90">
        <v>46.779303062302006</v>
      </c>
      <c r="B211" s="90">
        <v>6.2302006335797255</v>
      </c>
      <c r="C211" s="90">
        <v>46.884899683210136</v>
      </c>
      <c r="D211" s="90">
        <v>0.10559662090813093</v>
      </c>
      <c r="E211" s="90">
        <v>74.2</v>
      </c>
      <c r="F211" s="90">
        <v>8.4</v>
      </c>
      <c r="G211" s="90">
        <v>5.3</v>
      </c>
      <c r="H211" s="90">
        <v>0.3</v>
      </c>
      <c r="I211" s="90">
        <v>780.0</v>
      </c>
      <c r="J211" s="90">
        <v>0.0</v>
      </c>
      <c r="K211" s="90">
        <v>11.7</v>
      </c>
      <c r="L211" s="90">
        <v>17.7</v>
      </c>
      <c r="M211" s="90">
        <v>4.1</v>
      </c>
      <c r="N211" s="90">
        <v>22.8</v>
      </c>
    </row>
    <row r="212" ht="14.25" customHeight="1">
      <c r="A212" s="90">
        <v>46.779303062302006</v>
      </c>
      <c r="B212" s="90">
        <v>6.2302006335797255</v>
      </c>
      <c r="C212" s="90">
        <v>46.884899683210136</v>
      </c>
      <c r="D212" s="90">
        <v>0.10559662090813093</v>
      </c>
      <c r="E212" s="90">
        <v>74.2</v>
      </c>
      <c r="F212" s="90">
        <v>8.4</v>
      </c>
      <c r="G212" s="90">
        <v>5.3</v>
      </c>
      <c r="H212" s="90">
        <v>0.3</v>
      </c>
      <c r="I212" s="90">
        <v>780.0</v>
      </c>
      <c r="J212" s="90">
        <v>0.0</v>
      </c>
      <c r="K212" s="90">
        <v>16.7</v>
      </c>
      <c r="L212" s="90">
        <v>14.5</v>
      </c>
      <c r="M212" s="90">
        <v>2.02</v>
      </c>
      <c r="N212" s="90">
        <v>28.7</v>
      </c>
    </row>
    <row r="213" ht="14.25" customHeight="1">
      <c r="A213" s="90">
        <v>46.779303062302006</v>
      </c>
      <c r="B213" s="90">
        <v>6.2302006335797255</v>
      </c>
      <c r="C213" s="90">
        <v>46.884899683210136</v>
      </c>
      <c r="D213" s="90">
        <v>0.10559662090813093</v>
      </c>
      <c r="E213" s="90">
        <v>74.2</v>
      </c>
      <c r="F213" s="90">
        <v>8.4</v>
      </c>
      <c r="G213" s="90">
        <v>5.3</v>
      </c>
      <c r="H213" s="90">
        <v>0.3</v>
      </c>
      <c r="I213" s="90">
        <v>780.0</v>
      </c>
      <c r="J213" s="90">
        <v>0.0</v>
      </c>
      <c r="K213" s="90">
        <v>17.6</v>
      </c>
      <c r="L213" s="90">
        <v>14.3</v>
      </c>
      <c r="M213" s="90">
        <v>1.49</v>
      </c>
      <c r="N213" s="90">
        <v>30.3</v>
      </c>
    </row>
    <row r="214" ht="14.25" customHeight="1">
      <c r="A214" s="90">
        <v>47.7758449304175</v>
      </c>
      <c r="B214" s="90">
        <v>3.6903578528827037</v>
      </c>
      <c r="C214" s="90">
        <v>47.83797216699801</v>
      </c>
      <c r="D214" s="90">
        <v>0.6088469184890656</v>
      </c>
      <c r="E214" s="90">
        <v>55.54</v>
      </c>
      <c r="F214" s="90">
        <v>9.95</v>
      </c>
      <c r="G214" s="90">
        <v>19.52</v>
      </c>
      <c r="H214" s="90">
        <v>0.45</v>
      </c>
      <c r="I214" s="90">
        <v>650.0</v>
      </c>
      <c r="J214" s="90">
        <v>0.0</v>
      </c>
      <c r="K214" s="90">
        <v>11.25</v>
      </c>
      <c r="L214" s="90">
        <v>31.9</v>
      </c>
      <c r="M214" s="90">
        <v>9.6</v>
      </c>
      <c r="N214" s="90">
        <v>42.25</v>
      </c>
    </row>
    <row r="215" ht="14.25" customHeight="1">
      <c r="A215" s="90">
        <v>47.7758449304175</v>
      </c>
      <c r="B215" s="90">
        <v>3.6903578528827037</v>
      </c>
      <c r="C215" s="90">
        <v>47.83797216699801</v>
      </c>
      <c r="D215" s="90">
        <v>0.6088469184890656</v>
      </c>
      <c r="E215" s="90">
        <v>55.54</v>
      </c>
      <c r="F215" s="90">
        <v>9.95</v>
      </c>
      <c r="G215" s="90">
        <v>19.52</v>
      </c>
      <c r="H215" s="90">
        <v>0.45</v>
      </c>
      <c r="I215" s="90">
        <v>690.0</v>
      </c>
      <c r="J215" s="90">
        <v>0.0</v>
      </c>
      <c r="K215" s="90">
        <v>12.83</v>
      </c>
      <c r="L215" s="90">
        <v>28.51</v>
      </c>
      <c r="M215" s="90">
        <v>8.16</v>
      </c>
      <c r="N215" s="90">
        <v>50.5</v>
      </c>
    </row>
    <row r="216" ht="14.25" customHeight="1">
      <c r="A216" s="90">
        <v>47.7758449304175</v>
      </c>
      <c r="B216" s="90">
        <v>3.6903578528827037</v>
      </c>
      <c r="C216" s="90">
        <v>47.83797216699801</v>
      </c>
      <c r="D216" s="90">
        <v>0.6088469184890656</v>
      </c>
      <c r="E216" s="90">
        <v>55.54</v>
      </c>
      <c r="F216" s="90">
        <v>9.95</v>
      </c>
      <c r="G216" s="90">
        <v>19.52</v>
      </c>
      <c r="H216" s="90">
        <v>0.45</v>
      </c>
      <c r="I216" s="90">
        <v>730.0</v>
      </c>
      <c r="J216" s="90">
        <v>0.0</v>
      </c>
      <c r="K216" s="90">
        <v>15.9</v>
      </c>
      <c r="L216" s="90">
        <v>25.65</v>
      </c>
      <c r="M216" s="90">
        <v>6.25</v>
      </c>
      <c r="N216" s="90">
        <v>52.2</v>
      </c>
    </row>
    <row r="217" ht="14.25" customHeight="1">
      <c r="A217" s="90">
        <v>47.7758449304175</v>
      </c>
      <c r="B217" s="90">
        <v>3.6903578528827037</v>
      </c>
      <c r="C217" s="90">
        <v>47.83797216699801</v>
      </c>
      <c r="D217" s="90">
        <v>0.6088469184890656</v>
      </c>
      <c r="E217" s="90">
        <v>55.54</v>
      </c>
      <c r="F217" s="90">
        <v>9.95</v>
      </c>
      <c r="G217" s="90">
        <v>19.52</v>
      </c>
      <c r="H217" s="90">
        <v>0.45</v>
      </c>
      <c r="I217" s="90">
        <v>770.0</v>
      </c>
      <c r="J217" s="90">
        <v>0.0</v>
      </c>
      <c r="K217" s="90">
        <v>17.85</v>
      </c>
      <c r="L217" s="90">
        <v>23.9</v>
      </c>
      <c r="M217" s="90">
        <v>5.17</v>
      </c>
      <c r="N217" s="90">
        <v>53.08</v>
      </c>
    </row>
    <row r="218" ht="14.25" customHeight="1">
      <c r="A218" s="90">
        <v>47.7758449304175</v>
      </c>
      <c r="B218" s="90">
        <v>3.6903578528827037</v>
      </c>
      <c r="C218" s="90">
        <v>47.83797216699801</v>
      </c>
      <c r="D218" s="90">
        <v>0.6088469184890656</v>
      </c>
      <c r="E218" s="90">
        <v>55.54</v>
      </c>
      <c r="F218" s="90">
        <v>9.95</v>
      </c>
      <c r="G218" s="90">
        <v>19.52</v>
      </c>
      <c r="H218" s="90">
        <v>0.45</v>
      </c>
      <c r="I218" s="90">
        <v>750.0</v>
      </c>
      <c r="J218" s="90">
        <v>0.0</v>
      </c>
      <c r="K218" s="90">
        <v>27.48</v>
      </c>
      <c r="L218" s="90">
        <v>19.09</v>
      </c>
      <c r="M218" s="90">
        <v>6.62</v>
      </c>
      <c r="N218" s="90">
        <v>47.81</v>
      </c>
    </row>
    <row r="219" ht="14.25" customHeight="1">
      <c r="A219" s="90">
        <v>47.7758449304175</v>
      </c>
      <c r="B219" s="90">
        <v>3.6903578528827037</v>
      </c>
      <c r="C219" s="90">
        <v>47.83797216699801</v>
      </c>
      <c r="D219" s="90">
        <v>0.6088469184890656</v>
      </c>
      <c r="E219" s="90">
        <v>55.54</v>
      </c>
      <c r="F219" s="90">
        <v>9.95</v>
      </c>
      <c r="G219" s="90">
        <v>19.52</v>
      </c>
      <c r="H219" s="90">
        <v>0.45</v>
      </c>
      <c r="I219" s="90">
        <v>750.0</v>
      </c>
      <c r="J219" s="90">
        <v>0.0</v>
      </c>
      <c r="K219" s="90">
        <v>22.7</v>
      </c>
      <c r="L219" s="90">
        <v>22.2</v>
      </c>
      <c r="M219" s="90">
        <v>6.22</v>
      </c>
      <c r="N219" s="90">
        <v>48.88</v>
      </c>
    </row>
    <row r="220" ht="14.25" customHeight="1">
      <c r="A220" s="90">
        <v>47.7758449304175</v>
      </c>
      <c r="B220" s="90">
        <v>3.6903578528827037</v>
      </c>
      <c r="C220" s="90">
        <v>47.83797216699801</v>
      </c>
      <c r="D220" s="90">
        <v>0.6088469184890656</v>
      </c>
      <c r="E220" s="90">
        <v>55.54</v>
      </c>
      <c r="F220" s="90">
        <v>9.95</v>
      </c>
      <c r="G220" s="90">
        <v>19.52</v>
      </c>
      <c r="H220" s="90">
        <v>0.45</v>
      </c>
      <c r="I220" s="90">
        <v>750.0</v>
      </c>
      <c r="J220" s="90">
        <v>0.0</v>
      </c>
      <c r="K220" s="90">
        <v>19.65</v>
      </c>
      <c r="L220" s="90">
        <v>23.19</v>
      </c>
      <c r="M220" s="90">
        <v>6.03</v>
      </c>
      <c r="N220" s="90">
        <v>51.17</v>
      </c>
    </row>
    <row r="221" ht="14.25" customHeight="1">
      <c r="A221" s="90">
        <v>47.7758449304175</v>
      </c>
      <c r="B221" s="90">
        <v>3.6903578528827037</v>
      </c>
      <c r="C221" s="90">
        <v>47.83797216699801</v>
      </c>
      <c r="D221" s="90">
        <v>0.6088469184890656</v>
      </c>
      <c r="E221" s="90">
        <v>55.54</v>
      </c>
      <c r="F221" s="90">
        <v>9.95</v>
      </c>
      <c r="G221" s="90">
        <v>19.52</v>
      </c>
      <c r="H221" s="90">
        <v>0.45</v>
      </c>
      <c r="I221" s="90">
        <v>750.0</v>
      </c>
      <c r="J221" s="90">
        <v>0.0</v>
      </c>
      <c r="K221" s="90">
        <v>17.38</v>
      </c>
      <c r="L221" s="90">
        <v>14.81</v>
      </c>
      <c r="M221" s="90">
        <v>5.92</v>
      </c>
      <c r="N221" s="90">
        <v>51.89</v>
      </c>
    </row>
    <row r="222" ht="14.25" customHeight="1">
      <c r="A222" s="90">
        <v>47.18</v>
      </c>
      <c r="B222" s="90">
        <v>3.6</v>
      </c>
      <c r="C222" s="90">
        <v>48.2</v>
      </c>
      <c r="D222" s="90">
        <v>1.01</v>
      </c>
      <c r="E222" s="90">
        <v>73.4</v>
      </c>
      <c r="F222" s="90">
        <v>13.63</v>
      </c>
      <c r="G222" s="90">
        <v>6.0</v>
      </c>
      <c r="H222" s="90">
        <v>0.3</v>
      </c>
      <c r="I222" s="90">
        <v>880.0</v>
      </c>
      <c r="J222" s="90">
        <v>0.0</v>
      </c>
      <c r="K222" s="90">
        <v>8.71</v>
      </c>
      <c r="L222" s="90">
        <v>14.62</v>
      </c>
      <c r="M222" s="90">
        <v>1.52</v>
      </c>
      <c r="N222" s="90">
        <v>8.49</v>
      </c>
    </row>
    <row r="223" ht="14.25" customHeight="1">
      <c r="A223" s="90">
        <v>47.18</v>
      </c>
      <c r="B223" s="90">
        <v>3.6</v>
      </c>
      <c r="C223" s="90">
        <v>48.2</v>
      </c>
      <c r="D223" s="90">
        <v>1.01</v>
      </c>
      <c r="E223" s="90">
        <v>73.4</v>
      </c>
      <c r="F223" s="90">
        <v>13.63</v>
      </c>
      <c r="G223" s="90">
        <v>6.0</v>
      </c>
      <c r="H223" s="90">
        <v>0.3</v>
      </c>
      <c r="I223" s="90">
        <v>880.0</v>
      </c>
      <c r="J223" s="90">
        <v>0.0</v>
      </c>
      <c r="K223" s="90">
        <v>9.26</v>
      </c>
      <c r="L223" s="90">
        <v>14.88</v>
      </c>
      <c r="M223" s="90">
        <v>1.36</v>
      </c>
      <c r="N223" s="90">
        <v>7.89</v>
      </c>
    </row>
    <row r="224" ht="14.25" customHeight="1">
      <c r="A224" s="90">
        <v>47.18</v>
      </c>
      <c r="B224" s="90">
        <v>3.6</v>
      </c>
      <c r="C224" s="90">
        <v>48.2</v>
      </c>
      <c r="D224" s="90">
        <v>1.01</v>
      </c>
      <c r="E224" s="90">
        <v>73.4</v>
      </c>
      <c r="F224" s="90">
        <v>13.63</v>
      </c>
      <c r="G224" s="90">
        <v>6.0</v>
      </c>
      <c r="H224" s="90">
        <v>0.3</v>
      </c>
      <c r="I224" s="90">
        <v>880.0</v>
      </c>
      <c r="J224" s="90">
        <v>0.0</v>
      </c>
      <c r="K224" s="90">
        <v>10.12</v>
      </c>
      <c r="L224" s="90">
        <v>12.12</v>
      </c>
      <c r="M224" s="90">
        <v>1.89</v>
      </c>
      <c r="N224" s="90">
        <v>9.54</v>
      </c>
    </row>
    <row r="225" ht="14.25" customHeight="1">
      <c r="A225" s="90">
        <v>47.18</v>
      </c>
      <c r="B225" s="90">
        <v>3.6</v>
      </c>
      <c r="C225" s="90">
        <v>48.2</v>
      </c>
      <c r="D225" s="90">
        <v>1.01</v>
      </c>
      <c r="E225" s="90">
        <v>73.4</v>
      </c>
      <c r="F225" s="90">
        <v>13.63</v>
      </c>
      <c r="G225" s="90">
        <v>6.0</v>
      </c>
      <c r="H225" s="90">
        <v>0.3</v>
      </c>
      <c r="I225" s="90">
        <v>880.0</v>
      </c>
      <c r="J225" s="90">
        <v>0.0</v>
      </c>
      <c r="K225" s="90">
        <v>10.28</v>
      </c>
      <c r="L225" s="90">
        <v>11.63</v>
      </c>
      <c r="M225" s="90">
        <v>1.53</v>
      </c>
      <c r="N225" s="90">
        <v>10.17</v>
      </c>
    </row>
    <row r="226" ht="14.25" customHeight="1">
      <c r="A226" s="90">
        <v>47.18</v>
      </c>
      <c r="B226" s="90">
        <v>3.6</v>
      </c>
      <c r="C226" s="90">
        <v>48.2</v>
      </c>
      <c r="D226" s="90">
        <v>1.01</v>
      </c>
      <c r="E226" s="90">
        <v>73.4</v>
      </c>
      <c r="F226" s="90">
        <v>13.63</v>
      </c>
      <c r="G226" s="90">
        <v>6.0</v>
      </c>
      <c r="H226" s="90">
        <v>0.3</v>
      </c>
      <c r="I226" s="90">
        <v>880.0</v>
      </c>
      <c r="J226" s="90">
        <v>0.0</v>
      </c>
      <c r="K226" s="90">
        <v>11.53</v>
      </c>
      <c r="L226" s="90">
        <v>11.58</v>
      </c>
      <c r="M226" s="90">
        <v>2.67</v>
      </c>
      <c r="N226" s="90">
        <v>10.55</v>
      </c>
    </row>
    <row r="227" ht="14.25" customHeight="1">
      <c r="A227" s="90">
        <v>47.18</v>
      </c>
      <c r="B227" s="90">
        <v>3.6</v>
      </c>
      <c r="C227" s="90">
        <v>48.2</v>
      </c>
      <c r="D227" s="90">
        <v>1.01</v>
      </c>
      <c r="E227" s="90">
        <v>73.4</v>
      </c>
      <c r="F227" s="90">
        <v>13.63</v>
      </c>
      <c r="G227" s="90">
        <v>6.0</v>
      </c>
      <c r="H227" s="90">
        <v>0.3</v>
      </c>
      <c r="I227" s="90">
        <v>880.0</v>
      </c>
      <c r="J227" s="90">
        <v>0.0</v>
      </c>
      <c r="K227" s="90">
        <v>12.57</v>
      </c>
      <c r="L227" s="90">
        <v>11.05</v>
      </c>
      <c r="M227" s="90">
        <v>3.82</v>
      </c>
      <c r="N227" s="90">
        <v>10.61</v>
      </c>
    </row>
    <row r="228" ht="14.25" customHeight="1">
      <c r="A228" s="90">
        <v>47.18</v>
      </c>
      <c r="B228" s="90">
        <v>3.6</v>
      </c>
      <c r="C228" s="90">
        <v>48.2</v>
      </c>
      <c r="D228" s="90">
        <v>1.01</v>
      </c>
      <c r="E228" s="90">
        <v>73.4</v>
      </c>
      <c r="F228" s="90">
        <v>13.63</v>
      </c>
      <c r="G228" s="90">
        <v>6.0</v>
      </c>
      <c r="H228" s="90">
        <v>0.3</v>
      </c>
      <c r="I228" s="90">
        <v>880.0</v>
      </c>
      <c r="J228" s="90">
        <v>0.0</v>
      </c>
      <c r="K228" s="90">
        <v>8.24</v>
      </c>
      <c r="L228" s="90">
        <v>15.61</v>
      </c>
      <c r="M228" s="90">
        <v>1.08</v>
      </c>
      <c r="N228" s="90">
        <v>7.54</v>
      </c>
    </row>
    <row r="229" ht="14.25" customHeight="1">
      <c r="A229" s="90">
        <v>47.18</v>
      </c>
      <c r="B229" s="90">
        <v>3.6</v>
      </c>
      <c r="C229" s="90">
        <v>48.2</v>
      </c>
      <c r="D229" s="90">
        <v>1.01</v>
      </c>
      <c r="E229" s="90">
        <v>73.4</v>
      </c>
      <c r="F229" s="90">
        <v>13.63</v>
      </c>
      <c r="G229" s="90">
        <v>6.0</v>
      </c>
      <c r="H229" s="90">
        <v>0.3</v>
      </c>
      <c r="I229" s="90">
        <v>880.0</v>
      </c>
      <c r="J229" s="90">
        <v>0.0</v>
      </c>
      <c r="K229" s="90">
        <v>9.21</v>
      </c>
      <c r="L229" s="90">
        <v>15.22</v>
      </c>
      <c r="M229" s="90">
        <v>1.59</v>
      </c>
      <c r="N229" s="90">
        <v>8.62</v>
      </c>
    </row>
    <row r="230" ht="14.25" customHeight="1">
      <c r="A230" s="90">
        <v>47.18</v>
      </c>
      <c r="B230" s="90">
        <v>3.6</v>
      </c>
      <c r="C230" s="90">
        <v>48.2</v>
      </c>
      <c r="D230" s="90">
        <v>1.01</v>
      </c>
      <c r="E230" s="90">
        <v>73.4</v>
      </c>
      <c r="F230" s="90">
        <v>13.63</v>
      </c>
      <c r="G230" s="90">
        <v>6.0</v>
      </c>
      <c r="H230" s="90">
        <v>0.3</v>
      </c>
      <c r="I230" s="90">
        <v>880.0</v>
      </c>
      <c r="J230" s="90">
        <v>0.0</v>
      </c>
      <c r="K230" s="90">
        <v>10.52</v>
      </c>
      <c r="L230" s="90">
        <v>14.17</v>
      </c>
      <c r="M230" s="90">
        <v>1.32</v>
      </c>
      <c r="N230" s="90">
        <v>8.79</v>
      </c>
    </row>
    <row r="231" ht="14.25" customHeight="1">
      <c r="A231" s="90">
        <v>47.18</v>
      </c>
      <c r="B231" s="90">
        <v>3.6</v>
      </c>
      <c r="C231" s="90">
        <v>48.2</v>
      </c>
      <c r="D231" s="90">
        <v>1.01</v>
      </c>
      <c r="E231" s="90">
        <v>73.4</v>
      </c>
      <c r="F231" s="90">
        <v>13.63</v>
      </c>
      <c r="G231" s="90">
        <v>6.0</v>
      </c>
      <c r="H231" s="90">
        <v>0.3</v>
      </c>
      <c r="I231" s="90">
        <v>880.0</v>
      </c>
      <c r="J231" s="90">
        <v>0.0</v>
      </c>
      <c r="K231" s="90">
        <v>11.12</v>
      </c>
      <c r="L231" s="90">
        <v>12.83</v>
      </c>
      <c r="M231" s="90">
        <v>2.54</v>
      </c>
      <c r="N231" s="90">
        <v>9.53</v>
      </c>
    </row>
    <row r="232" ht="14.25" customHeight="1">
      <c r="A232" s="90">
        <v>47.18</v>
      </c>
      <c r="B232" s="90">
        <v>3.6</v>
      </c>
      <c r="C232" s="90">
        <v>48.2</v>
      </c>
      <c r="D232" s="90">
        <v>1.01</v>
      </c>
      <c r="E232" s="90">
        <v>73.4</v>
      </c>
      <c r="F232" s="90">
        <v>13.63</v>
      </c>
      <c r="G232" s="90">
        <v>6.0</v>
      </c>
      <c r="H232" s="90">
        <v>0.3</v>
      </c>
      <c r="I232" s="90">
        <v>880.0</v>
      </c>
      <c r="J232" s="90">
        <v>0.0</v>
      </c>
      <c r="K232" s="90">
        <v>10.91</v>
      </c>
      <c r="L232" s="90">
        <v>11.69</v>
      </c>
      <c r="M232" s="90">
        <v>2.5</v>
      </c>
      <c r="N232" s="90">
        <v>10.46</v>
      </c>
    </row>
    <row r="233" ht="14.25" customHeight="1">
      <c r="A233" s="90">
        <v>47.18</v>
      </c>
      <c r="B233" s="90">
        <v>3.6</v>
      </c>
      <c r="C233" s="90">
        <v>48.2</v>
      </c>
      <c r="D233" s="90">
        <v>1.01</v>
      </c>
      <c r="E233" s="90">
        <v>73.4</v>
      </c>
      <c r="F233" s="90">
        <v>13.63</v>
      </c>
      <c r="G233" s="90">
        <v>6.0</v>
      </c>
      <c r="H233" s="90">
        <v>0.3</v>
      </c>
      <c r="I233" s="90">
        <v>880.0</v>
      </c>
      <c r="J233" s="90">
        <v>0.0</v>
      </c>
      <c r="K233" s="90">
        <v>12.68</v>
      </c>
      <c r="L233" s="90">
        <v>11.83</v>
      </c>
      <c r="M233" s="90">
        <v>3.6</v>
      </c>
      <c r="N233" s="90">
        <v>10.57</v>
      </c>
    </row>
    <row r="234" ht="14.25" customHeight="1">
      <c r="A234" s="90">
        <v>47.18</v>
      </c>
      <c r="B234" s="90">
        <v>3.6</v>
      </c>
      <c r="C234" s="90">
        <v>48.2</v>
      </c>
      <c r="D234" s="90">
        <v>1.01</v>
      </c>
      <c r="E234" s="90">
        <v>73.4</v>
      </c>
      <c r="F234" s="90">
        <v>13.63</v>
      </c>
      <c r="G234" s="90">
        <v>6.0</v>
      </c>
      <c r="H234" s="90">
        <v>0.3</v>
      </c>
      <c r="I234" s="90">
        <v>880.0</v>
      </c>
      <c r="J234" s="90">
        <v>0.0</v>
      </c>
      <c r="K234" s="90">
        <v>6.54</v>
      </c>
      <c r="L234" s="90">
        <v>16.24</v>
      </c>
      <c r="M234" s="90">
        <v>1.91</v>
      </c>
      <c r="N234" s="90">
        <v>5.62</v>
      </c>
    </row>
    <row r="235" ht="14.25" customHeight="1">
      <c r="A235" s="90">
        <v>47.18</v>
      </c>
      <c r="B235" s="90">
        <v>3.6</v>
      </c>
      <c r="C235" s="90">
        <v>48.2</v>
      </c>
      <c r="D235" s="90">
        <v>1.01</v>
      </c>
      <c r="E235" s="90">
        <v>73.4</v>
      </c>
      <c r="F235" s="90">
        <v>13.63</v>
      </c>
      <c r="G235" s="90">
        <v>6.0</v>
      </c>
      <c r="H235" s="90">
        <v>0.3</v>
      </c>
      <c r="I235" s="90">
        <v>880.0</v>
      </c>
      <c r="J235" s="90">
        <v>0.0</v>
      </c>
      <c r="K235" s="90">
        <v>8.94</v>
      </c>
      <c r="L235" s="90">
        <v>15.48</v>
      </c>
      <c r="M235" s="90">
        <v>1.21</v>
      </c>
      <c r="N235" s="90">
        <v>6.87</v>
      </c>
    </row>
    <row r="236" ht="14.25" customHeight="1">
      <c r="A236" s="90">
        <v>47.18</v>
      </c>
      <c r="B236" s="90">
        <v>3.6</v>
      </c>
      <c r="C236" s="90">
        <v>48.2</v>
      </c>
      <c r="D236" s="90">
        <v>1.01</v>
      </c>
      <c r="E236" s="90">
        <v>73.4</v>
      </c>
      <c r="F236" s="90">
        <v>13.63</v>
      </c>
      <c r="G236" s="90">
        <v>6.0</v>
      </c>
      <c r="H236" s="90">
        <v>0.3</v>
      </c>
      <c r="I236" s="90">
        <v>880.0</v>
      </c>
      <c r="J236" s="90">
        <v>0.0</v>
      </c>
      <c r="K236" s="90">
        <v>8.31</v>
      </c>
      <c r="L236" s="90">
        <v>14.32</v>
      </c>
      <c r="M236" s="90">
        <v>1.86</v>
      </c>
      <c r="N236" s="90">
        <v>7.23</v>
      </c>
    </row>
    <row r="237" ht="14.25" customHeight="1">
      <c r="A237" s="90">
        <v>47.18</v>
      </c>
      <c r="B237" s="90">
        <v>3.6</v>
      </c>
      <c r="C237" s="90">
        <v>48.2</v>
      </c>
      <c r="D237" s="90">
        <v>1.01</v>
      </c>
      <c r="E237" s="90">
        <v>73.4</v>
      </c>
      <c r="F237" s="90">
        <v>13.63</v>
      </c>
      <c r="G237" s="90">
        <v>6.0</v>
      </c>
      <c r="H237" s="90">
        <v>0.3</v>
      </c>
      <c r="I237" s="90">
        <v>880.0</v>
      </c>
      <c r="J237" s="90">
        <v>0.0</v>
      </c>
      <c r="K237" s="90">
        <v>10.52</v>
      </c>
      <c r="L237" s="90">
        <v>13.67</v>
      </c>
      <c r="M237" s="90">
        <v>1.33</v>
      </c>
      <c r="N237" s="90">
        <v>9.61</v>
      </c>
    </row>
    <row r="238" ht="14.25" customHeight="1">
      <c r="A238" s="90">
        <v>47.18</v>
      </c>
      <c r="B238" s="90">
        <v>3.6</v>
      </c>
      <c r="C238" s="90">
        <v>48.2</v>
      </c>
      <c r="D238" s="90">
        <v>1.01</v>
      </c>
      <c r="E238" s="90">
        <v>73.4</v>
      </c>
      <c r="F238" s="90">
        <v>13.63</v>
      </c>
      <c r="G238" s="90">
        <v>6.0</v>
      </c>
      <c r="H238" s="90">
        <v>0.3</v>
      </c>
      <c r="I238" s="90">
        <v>880.0</v>
      </c>
      <c r="J238" s="90">
        <v>0.0</v>
      </c>
      <c r="K238" s="90">
        <v>11.61</v>
      </c>
      <c r="L238" s="90">
        <v>13.14</v>
      </c>
      <c r="M238" s="90">
        <v>2.42</v>
      </c>
      <c r="N238" s="90">
        <v>9.78</v>
      </c>
    </row>
    <row r="239" ht="14.25" customHeight="1">
      <c r="A239" s="90">
        <v>47.18</v>
      </c>
      <c r="B239" s="90">
        <v>3.6</v>
      </c>
      <c r="C239" s="90">
        <v>48.2</v>
      </c>
      <c r="D239" s="90">
        <v>1.01</v>
      </c>
      <c r="E239" s="90">
        <v>73.4</v>
      </c>
      <c r="F239" s="90">
        <v>13.63</v>
      </c>
      <c r="G239" s="90">
        <v>6.0</v>
      </c>
      <c r="H239" s="90">
        <v>0.3</v>
      </c>
      <c r="I239" s="90">
        <v>880.0</v>
      </c>
      <c r="J239" s="90">
        <v>0.0</v>
      </c>
      <c r="K239" s="90">
        <v>12.47</v>
      </c>
      <c r="L239" s="90">
        <v>12.68</v>
      </c>
      <c r="M239" s="90">
        <v>2.91</v>
      </c>
      <c r="N239" s="90">
        <v>9.64</v>
      </c>
    </row>
    <row r="240" ht="14.25" customHeight="1">
      <c r="A240" s="90">
        <v>38.92</v>
      </c>
      <c r="B240" s="90">
        <v>5.1</v>
      </c>
      <c r="C240" s="90">
        <v>53.69</v>
      </c>
      <c r="D240" s="90">
        <v>2.17</v>
      </c>
      <c r="E240" s="90">
        <v>63.8</v>
      </c>
      <c r="F240" s="90">
        <v>8.1</v>
      </c>
      <c r="G240" s="90">
        <v>19.33</v>
      </c>
      <c r="H240" s="90">
        <v>0.4</v>
      </c>
      <c r="I240" s="90">
        <v>880.0</v>
      </c>
      <c r="J240" s="90">
        <v>0.0</v>
      </c>
      <c r="K240" s="90">
        <v>10.54</v>
      </c>
      <c r="L240" s="90">
        <v>15.24</v>
      </c>
      <c r="M240" s="90">
        <v>1.04</v>
      </c>
      <c r="N240" s="90">
        <v>6.18</v>
      </c>
    </row>
    <row r="241" ht="14.25" customHeight="1">
      <c r="A241" s="90">
        <v>38.92</v>
      </c>
      <c r="B241" s="90">
        <v>5.1</v>
      </c>
      <c r="C241" s="90">
        <v>53.69</v>
      </c>
      <c r="D241" s="90">
        <v>2.17</v>
      </c>
      <c r="E241" s="90">
        <v>63.8</v>
      </c>
      <c r="F241" s="90">
        <v>8.1</v>
      </c>
      <c r="G241" s="90">
        <v>19.33</v>
      </c>
      <c r="H241" s="90">
        <v>0.4</v>
      </c>
      <c r="I241" s="90">
        <v>880.0</v>
      </c>
      <c r="J241" s="90">
        <v>0.0</v>
      </c>
      <c r="K241" s="90">
        <v>11.26</v>
      </c>
      <c r="L241" s="90">
        <v>14.31</v>
      </c>
      <c r="M241" s="90">
        <v>1.25</v>
      </c>
      <c r="N241" s="90">
        <v>7.54</v>
      </c>
    </row>
    <row r="242" ht="14.25" customHeight="1">
      <c r="A242" s="90">
        <v>38.92</v>
      </c>
      <c r="B242" s="90">
        <v>5.1</v>
      </c>
      <c r="C242" s="90">
        <v>53.69</v>
      </c>
      <c r="D242" s="90">
        <v>2.17</v>
      </c>
      <c r="E242" s="90">
        <v>63.8</v>
      </c>
      <c r="F242" s="90">
        <v>8.1</v>
      </c>
      <c r="G242" s="90">
        <v>19.33</v>
      </c>
      <c r="H242" s="90">
        <v>0.4</v>
      </c>
      <c r="I242" s="90">
        <v>880.0</v>
      </c>
      <c r="J242" s="90">
        <v>0.0</v>
      </c>
      <c r="K242" s="90">
        <v>10.12</v>
      </c>
      <c r="L242" s="90">
        <v>12.87</v>
      </c>
      <c r="M242" s="90">
        <v>1.49</v>
      </c>
      <c r="N242" s="90">
        <v>6.09</v>
      </c>
    </row>
    <row r="243" ht="14.25" customHeight="1">
      <c r="A243" s="90">
        <v>38.92</v>
      </c>
      <c r="B243" s="90">
        <v>5.1</v>
      </c>
      <c r="C243" s="90">
        <v>53.69</v>
      </c>
      <c r="D243" s="90">
        <v>2.17</v>
      </c>
      <c r="E243" s="90">
        <v>63.8</v>
      </c>
      <c r="F243" s="90">
        <v>8.1</v>
      </c>
      <c r="G243" s="90">
        <v>19.33</v>
      </c>
      <c r="H243" s="90">
        <v>0.4</v>
      </c>
      <c r="I243" s="90">
        <v>880.0</v>
      </c>
      <c r="J243" s="90">
        <v>0.0</v>
      </c>
      <c r="K243" s="90">
        <v>14.67</v>
      </c>
      <c r="L243" s="90">
        <v>12.19</v>
      </c>
      <c r="M243" s="90">
        <v>2.88</v>
      </c>
      <c r="N243" s="90">
        <v>7.46</v>
      </c>
    </row>
    <row r="244" ht="14.25" customHeight="1">
      <c r="A244" s="90">
        <v>38.92</v>
      </c>
      <c r="B244" s="90">
        <v>5.1</v>
      </c>
      <c r="C244" s="90">
        <v>53.69</v>
      </c>
      <c r="D244" s="90">
        <v>2.17</v>
      </c>
      <c r="E244" s="90">
        <v>63.8</v>
      </c>
      <c r="F244" s="90">
        <v>8.1</v>
      </c>
      <c r="G244" s="90">
        <v>19.33</v>
      </c>
      <c r="H244" s="90">
        <v>0.4</v>
      </c>
      <c r="I244" s="90">
        <v>880.0</v>
      </c>
      <c r="J244" s="90">
        <v>0.0</v>
      </c>
      <c r="K244" s="90">
        <v>15.42</v>
      </c>
      <c r="L244" s="90">
        <v>11.68</v>
      </c>
      <c r="M244" s="90">
        <v>3.21</v>
      </c>
      <c r="N244" s="90">
        <v>8.59</v>
      </c>
    </row>
    <row r="245" ht="14.25" customHeight="1">
      <c r="A245" s="90">
        <v>38.92</v>
      </c>
      <c r="B245" s="90">
        <v>5.1</v>
      </c>
      <c r="C245" s="90">
        <v>53.69</v>
      </c>
      <c r="D245" s="90">
        <v>2.17</v>
      </c>
      <c r="E245" s="90">
        <v>63.8</v>
      </c>
      <c r="F245" s="90">
        <v>8.1</v>
      </c>
      <c r="G245" s="90">
        <v>19.33</v>
      </c>
      <c r="H245" s="90">
        <v>0.4</v>
      </c>
      <c r="I245" s="90">
        <v>880.0</v>
      </c>
      <c r="J245" s="90">
        <v>0.0</v>
      </c>
      <c r="K245" s="90">
        <v>19.55</v>
      </c>
      <c r="L245" s="90">
        <v>10.21</v>
      </c>
      <c r="M245" s="90">
        <v>3.24</v>
      </c>
      <c r="N245" s="90">
        <v>8.62</v>
      </c>
    </row>
    <row r="246" ht="14.25" customHeight="1">
      <c r="A246" s="90">
        <v>38.92</v>
      </c>
      <c r="B246" s="90">
        <v>5.1</v>
      </c>
      <c r="C246" s="90">
        <v>53.69</v>
      </c>
      <c r="D246" s="90">
        <v>2.17</v>
      </c>
      <c r="E246" s="90">
        <v>63.8</v>
      </c>
      <c r="F246" s="90">
        <v>8.1</v>
      </c>
      <c r="G246" s="90">
        <v>19.33</v>
      </c>
      <c r="H246" s="90">
        <v>0.4</v>
      </c>
      <c r="I246" s="90">
        <v>880.0</v>
      </c>
      <c r="J246" s="90">
        <v>0.0</v>
      </c>
      <c r="K246" s="90">
        <v>10.11</v>
      </c>
      <c r="L246" s="90">
        <v>16.28</v>
      </c>
      <c r="M246" s="90">
        <v>1.08</v>
      </c>
      <c r="N246" s="90">
        <v>5.54</v>
      </c>
    </row>
    <row r="247" ht="14.25" customHeight="1">
      <c r="A247" s="90">
        <v>38.92</v>
      </c>
      <c r="B247" s="90">
        <v>5.1</v>
      </c>
      <c r="C247" s="90">
        <v>53.69</v>
      </c>
      <c r="D247" s="90">
        <v>2.17</v>
      </c>
      <c r="E247" s="90">
        <v>63.8</v>
      </c>
      <c r="F247" s="90">
        <v>8.1</v>
      </c>
      <c r="G247" s="90">
        <v>19.33</v>
      </c>
      <c r="H247" s="90">
        <v>0.4</v>
      </c>
      <c r="I247" s="90">
        <v>880.0</v>
      </c>
      <c r="J247" s="90">
        <v>0.0</v>
      </c>
      <c r="K247" s="90">
        <v>9.87</v>
      </c>
      <c r="L247" s="90">
        <v>15.44</v>
      </c>
      <c r="M247" s="90">
        <v>1.27</v>
      </c>
      <c r="N247" s="90">
        <v>6.65</v>
      </c>
    </row>
    <row r="248" ht="14.25" customHeight="1">
      <c r="A248" s="90">
        <v>38.92</v>
      </c>
      <c r="B248" s="90">
        <v>5.1</v>
      </c>
      <c r="C248" s="90">
        <v>53.69</v>
      </c>
      <c r="D248" s="90">
        <v>2.17</v>
      </c>
      <c r="E248" s="90">
        <v>63.8</v>
      </c>
      <c r="F248" s="90">
        <v>8.1</v>
      </c>
      <c r="G248" s="90">
        <v>19.33</v>
      </c>
      <c r="H248" s="90">
        <v>0.4</v>
      </c>
      <c r="I248" s="90">
        <v>880.0</v>
      </c>
      <c r="J248" s="90">
        <v>0.0</v>
      </c>
      <c r="K248" s="90">
        <v>10.53</v>
      </c>
      <c r="L248" s="90">
        <v>13.89</v>
      </c>
      <c r="M248" s="90">
        <v>1.66</v>
      </c>
      <c r="N248" s="90">
        <v>6.78</v>
      </c>
    </row>
    <row r="249" ht="14.25" customHeight="1">
      <c r="A249" s="90">
        <v>38.92</v>
      </c>
      <c r="B249" s="90">
        <v>5.1</v>
      </c>
      <c r="C249" s="90">
        <v>53.69</v>
      </c>
      <c r="D249" s="90">
        <v>2.17</v>
      </c>
      <c r="E249" s="90">
        <v>63.8</v>
      </c>
      <c r="F249" s="90">
        <v>8.1</v>
      </c>
      <c r="G249" s="90">
        <v>19.33</v>
      </c>
      <c r="H249" s="90">
        <v>0.4</v>
      </c>
      <c r="I249" s="90">
        <v>880.0</v>
      </c>
      <c r="J249" s="90">
        <v>0.0</v>
      </c>
      <c r="K249" s="90">
        <v>12.64</v>
      </c>
      <c r="L249" s="90">
        <v>12.17</v>
      </c>
      <c r="M249" s="90">
        <v>2.26</v>
      </c>
      <c r="N249" s="90">
        <v>6.59</v>
      </c>
    </row>
    <row r="250" ht="14.25" customHeight="1">
      <c r="A250" s="90">
        <v>38.92</v>
      </c>
      <c r="B250" s="90">
        <v>5.1</v>
      </c>
      <c r="C250" s="90">
        <v>53.69</v>
      </c>
      <c r="D250" s="90">
        <v>2.17</v>
      </c>
      <c r="E250" s="90">
        <v>63.8</v>
      </c>
      <c r="F250" s="90">
        <v>8.1</v>
      </c>
      <c r="G250" s="90">
        <v>19.33</v>
      </c>
      <c r="H250" s="90">
        <v>0.4</v>
      </c>
      <c r="I250" s="90">
        <v>880.0</v>
      </c>
      <c r="J250" s="90">
        <v>0.0</v>
      </c>
      <c r="K250" s="90">
        <v>14.78</v>
      </c>
      <c r="L250" s="90">
        <v>10.66</v>
      </c>
      <c r="M250" s="90">
        <v>2.01</v>
      </c>
      <c r="N250" s="90">
        <v>7.42</v>
      </c>
    </row>
    <row r="251" ht="14.25" customHeight="1">
      <c r="A251" s="90">
        <v>38.92</v>
      </c>
      <c r="B251" s="90">
        <v>5.1</v>
      </c>
      <c r="C251" s="90">
        <v>53.69</v>
      </c>
      <c r="D251" s="90">
        <v>2.17</v>
      </c>
      <c r="E251" s="90">
        <v>63.8</v>
      </c>
      <c r="F251" s="90">
        <v>8.1</v>
      </c>
      <c r="G251" s="90">
        <v>19.33</v>
      </c>
      <c r="H251" s="90">
        <v>0.4</v>
      </c>
      <c r="I251" s="90">
        <v>880.0</v>
      </c>
      <c r="J251" s="90">
        <v>0.0</v>
      </c>
      <c r="K251" s="90">
        <v>16.13</v>
      </c>
      <c r="L251" s="90">
        <v>10.68</v>
      </c>
      <c r="M251" s="90">
        <v>2.78</v>
      </c>
      <c r="N251" s="90">
        <v>7.77</v>
      </c>
    </row>
    <row r="252" ht="14.25" customHeight="1">
      <c r="A252" s="90">
        <v>38.92</v>
      </c>
      <c r="B252" s="90">
        <v>5.1</v>
      </c>
      <c r="C252" s="90">
        <v>53.69</v>
      </c>
      <c r="D252" s="90">
        <v>2.17</v>
      </c>
      <c r="E252" s="90">
        <v>63.8</v>
      </c>
      <c r="F252" s="90">
        <v>8.1</v>
      </c>
      <c r="G252" s="90">
        <v>19.33</v>
      </c>
      <c r="H252" s="90">
        <v>0.4</v>
      </c>
      <c r="I252" s="90">
        <v>880.0</v>
      </c>
      <c r="J252" s="90">
        <v>0.0</v>
      </c>
      <c r="K252" s="90">
        <v>9.32</v>
      </c>
      <c r="L252" s="90">
        <v>17.14</v>
      </c>
      <c r="M252" s="90">
        <v>1.03</v>
      </c>
      <c r="N252" s="90">
        <v>5.34</v>
      </c>
    </row>
    <row r="253" ht="14.25" customHeight="1">
      <c r="A253" s="90">
        <v>38.92</v>
      </c>
      <c r="B253" s="90">
        <v>5.1</v>
      </c>
      <c r="C253" s="90">
        <v>53.69</v>
      </c>
      <c r="D253" s="90">
        <v>2.17</v>
      </c>
      <c r="E253" s="90">
        <v>63.8</v>
      </c>
      <c r="F253" s="90">
        <v>8.1</v>
      </c>
      <c r="G253" s="90">
        <v>19.33</v>
      </c>
      <c r="H253" s="90">
        <v>0.4</v>
      </c>
      <c r="I253" s="90">
        <v>880.0</v>
      </c>
      <c r="J253" s="90">
        <v>0.0</v>
      </c>
      <c r="K253" s="90">
        <v>10.24</v>
      </c>
      <c r="L253" s="90">
        <v>16.82</v>
      </c>
      <c r="M253" s="90">
        <v>1.19</v>
      </c>
      <c r="N253" s="90">
        <v>5.88</v>
      </c>
    </row>
    <row r="254" ht="14.25" customHeight="1">
      <c r="A254" s="90">
        <v>38.92</v>
      </c>
      <c r="B254" s="90">
        <v>5.1</v>
      </c>
      <c r="C254" s="90">
        <v>53.69</v>
      </c>
      <c r="D254" s="90">
        <v>2.17</v>
      </c>
      <c r="E254" s="90">
        <v>63.8</v>
      </c>
      <c r="F254" s="90">
        <v>8.1</v>
      </c>
      <c r="G254" s="90">
        <v>19.33</v>
      </c>
      <c r="H254" s="90">
        <v>0.4</v>
      </c>
      <c r="I254" s="90">
        <v>880.0</v>
      </c>
      <c r="J254" s="90">
        <v>0.0</v>
      </c>
      <c r="K254" s="90">
        <v>10.11</v>
      </c>
      <c r="L254" s="90">
        <v>15.96</v>
      </c>
      <c r="M254" s="90">
        <v>1.57</v>
      </c>
      <c r="N254" s="90">
        <v>6.65</v>
      </c>
    </row>
    <row r="255" ht="14.25" customHeight="1">
      <c r="A255" s="90">
        <v>38.92</v>
      </c>
      <c r="B255" s="90">
        <v>5.1</v>
      </c>
      <c r="C255" s="90">
        <v>53.69</v>
      </c>
      <c r="D255" s="90">
        <v>2.17</v>
      </c>
      <c r="E255" s="90">
        <v>63.8</v>
      </c>
      <c r="F255" s="90">
        <v>8.1</v>
      </c>
      <c r="G255" s="90">
        <v>19.33</v>
      </c>
      <c r="H255" s="90">
        <v>0.4</v>
      </c>
      <c r="I255" s="90">
        <v>880.0</v>
      </c>
      <c r="J255" s="90">
        <v>0.0</v>
      </c>
      <c r="K255" s="90">
        <v>12.57</v>
      </c>
      <c r="L255" s="90">
        <v>14.56</v>
      </c>
      <c r="M255" s="90">
        <v>1.62</v>
      </c>
      <c r="N255" s="90">
        <v>7.49</v>
      </c>
    </row>
    <row r="256" ht="14.25" customHeight="1">
      <c r="A256" s="90">
        <v>38.92</v>
      </c>
      <c r="B256" s="90">
        <v>5.1</v>
      </c>
      <c r="C256" s="90">
        <v>53.69</v>
      </c>
      <c r="D256" s="90">
        <v>2.17</v>
      </c>
      <c r="E256" s="90">
        <v>63.8</v>
      </c>
      <c r="F256" s="90">
        <v>8.1</v>
      </c>
      <c r="G256" s="90">
        <v>19.33</v>
      </c>
      <c r="H256" s="90">
        <v>0.4</v>
      </c>
      <c r="I256" s="90">
        <v>880.0</v>
      </c>
      <c r="J256" s="90">
        <v>0.0</v>
      </c>
      <c r="K256" s="90">
        <v>15.48</v>
      </c>
      <c r="L256" s="90">
        <v>12.92</v>
      </c>
      <c r="M256" s="90">
        <v>1.71</v>
      </c>
      <c r="N256" s="90">
        <v>7.12</v>
      </c>
    </row>
    <row r="257" ht="14.25" customHeight="1">
      <c r="A257" s="90">
        <v>38.92</v>
      </c>
      <c r="B257" s="90">
        <v>5.1</v>
      </c>
      <c r="C257" s="90">
        <v>53.69</v>
      </c>
      <c r="D257" s="90">
        <v>2.17</v>
      </c>
      <c r="E257" s="90">
        <v>63.8</v>
      </c>
      <c r="F257" s="90">
        <v>8.1</v>
      </c>
      <c r="G257" s="90">
        <v>19.33</v>
      </c>
      <c r="H257" s="90">
        <v>0.4</v>
      </c>
      <c r="I257" s="90">
        <v>880.0</v>
      </c>
      <c r="J257" s="90">
        <v>0.0</v>
      </c>
      <c r="K257" s="90">
        <v>15.29</v>
      </c>
      <c r="L257" s="90">
        <v>11.76</v>
      </c>
      <c r="M257" s="90">
        <v>2.06</v>
      </c>
      <c r="N257" s="90">
        <v>7.42</v>
      </c>
    </row>
    <row r="258" ht="14.25" customHeight="1">
      <c r="A258" s="90">
        <v>51.53</v>
      </c>
      <c r="B258" s="90">
        <v>6.36</v>
      </c>
      <c r="C258" s="90">
        <v>41.97</v>
      </c>
      <c r="D258" s="90">
        <v>0.12</v>
      </c>
      <c r="E258" s="90">
        <v>77.76</v>
      </c>
      <c r="F258" s="90">
        <v>9.3</v>
      </c>
      <c r="G258" s="90">
        <v>1.8</v>
      </c>
      <c r="H258" s="90">
        <v>0.5</v>
      </c>
      <c r="I258" s="90">
        <v>880.0</v>
      </c>
      <c r="J258" s="90">
        <v>0.0</v>
      </c>
      <c r="K258" s="90">
        <v>14.23</v>
      </c>
      <c r="L258" s="90">
        <v>14.51</v>
      </c>
      <c r="M258" s="90">
        <v>1.02</v>
      </c>
      <c r="N258" s="90">
        <v>6.54</v>
      </c>
    </row>
    <row r="259" ht="14.25" customHeight="1">
      <c r="A259" s="90">
        <v>51.53</v>
      </c>
      <c r="B259" s="90">
        <v>6.36</v>
      </c>
      <c r="C259" s="90">
        <v>41.97</v>
      </c>
      <c r="D259" s="90">
        <v>0.12</v>
      </c>
      <c r="E259" s="90">
        <v>77.76</v>
      </c>
      <c r="F259" s="90">
        <v>9.3</v>
      </c>
      <c r="G259" s="90">
        <v>1.8</v>
      </c>
      <c r="H259" s="90">
        <v>0.5</v>
      </c>
      <c r="I259" s="90">
        <v>880.0</v>
      </c>
      <c r="J259" s="90">
        <v>0.0</v>
      </c>
      <c r="K259" s="90">
        <v>15.19</v>
      </c>
      <c r="L259" s="90">
        <v>12.62</v>
      </c>
      <c r="M259" s="90">
        <v>1.81</v>
      </c>
      <c r="N259" s="90">
        <v>7.54</v>
      </c>
    </row>
    <row r="260" ht="14.25" customHeight="1">
      <c r="A260" s="90">
        <v>51.53</v>
      </c>
      <c r="B260" s="90">
        <v>6.36</v>
      </c>
      <c r="C260" s="90">
        <v>41.97</v>
      </c>
      <c r="D260" s="90">
        <v>0.12</v>
      </c>
      <c r="E260" s="90">
        <v>77.76</v>
      </c>
      <c r="F260" s="90">
        <v>9.3</v>
      </c>
      <c r="G260" s="90">
        <v>1.8</v>
      </c>
      <c r="H260" s="90">
        <v>0.5</v>
      </c>
      <c r="I260" s="90">
        <v>880.0</v>
      </c>
      <c r="J260" s="90">
        <v>0.0</v>
      </c>
      <c r="K260" s="90">
        <v>16.28</v>
      </c>
      <c r="L260" s="90">
        <v>13.89</v>
      </c>
      <c r="M260" s="90">
        <v>2.04</v>
      </c>
      <c r="N260" s="90">
        <v>7.98</v>
      </c>
    </row>
    <row r="261" ht="14.25" customHeight="1">
      <c r="A261" s="90">
        <v>51.53</v>
      </c>
      <c r="B261" s="90">
        <v>6.36</v>
      </c>
      <c r="C261" s="90">
        <v>41.97</v>
      </c>
      <c r="D261" s="90">
        <v>0.12</v>
      </c>
      <c r="E261" s="90">
        <v>77.76</v>
      </c>
      <c r="F261" s="90">
        <v>9.3</v>
      </c>
      <c r="G261" s="90">
        <v>1.8</v>
      </c>
      <c r="H261" s="90">
        <v>0.5</v>
      </c>
      <c r="I261" s="90">
        <v>880.0</v>
      </c>
      <c r="J261" s="90">
        <v>0.0</v>
      </c>
      <c r="K261" s="90">
        <v>15.61</v>
      </c>
      <c r="L261" s="90">
        <v>12.18</v>
      </c>
      <c r="M261" s="90">
        <v>1.6</v>
      </c>
      <c r="N261" s="90">
        <v>8.23</v>
      </c>
    </row>
    <row r="262" ht="14.25" customHeight="1">
      <c r="A262" s="90">
        <v>51.53</v>
      </c>
      <c r="B262" s="90">
        <v>6.36</v>
      </c>
      <c r="C262" s="90">
        <v>41.97</v>
      </c>
      <c r="D262" s="90">
        <v>0.12</v>
      </c>
      <c r="E262" s="90">
        <v>77.76</v>
      </c>
      <c r="F262" s="90">
        <v>9.3</v>
      </c>
      <c r="G262" s="90">
        <v>1.8</v>
      </c>
      <c r="H262" s="90">
        <v>0.5</v>
      </c>
      <c r="I262" s="90">
        <v>880.0</v>
      </c>
      <c r="J262" s="90">
        <v>0.0</v>
      </c>
      <c r="K262" s="90">
        <v>17.38</v>
      </c>
      <c r="L262" s="90">
        <v>11.96</v>
      </c>
      <c r="M262" s="90">
        <v>2.45</v>
      </c>
      <c r="N262" s="90">
        <v>9.98</v>
      </c>
    </row>
    <row r="263" ht="14.25" customHeight="1">
      <c r="A263" s="90">
        <v>51.53</v>
      </c>
      <c r="B263" s="90">
        <v>6.36</v>
      </c>
      <c r="C263" s="90">
        <v>41.97</v>
      </c>
      <c r="D263" s="90">
        <v>0.12</v>
      </c>
      <c r="E263" s="90">
        <v>77.76</v>
      </c>
      <c r="F263" s="90">
        <v>9.3</v>
      </c>
      <c r="G263" s="90">
        <v>1.8</v>
      </c>
      <c r="H263" s="90">
        <v>0.5</v>
      </c>
      <c r="I263" s="90">
        <v>880.0</v>
      </c>
      <c r="J263" s="90">
        <v>0.0</v>
      </c>
      <c r="K263" s="90">
        <v>17.54</v>
      </c>
      <c r="L263" s="90">
        <v>10.78</v>
      </c>
      <c r="M263" s="90">
        <v>3.21</v>
      </c>
      <c r="N263" s="90">
        <v>10.14</v>
      </c>
    </row>
    <row r="264" ht="14.25" customHeight="1">
      <c r="A264" s="90">
        <v>51.53</v>
      </c>
      <c r="B264" s="90">
        <v>6.36</v>
      </c>
      <c r="C264" s="90">
        <v>41.97</v>
      </c>
      <c r="D264" s="90">
        <v>0.12</v>
      </c>
      <c r="E264" s="90">
        <v>77.76</v>
      </c>
      <c r="F264" s="90">
        <v>9.3</v>
      </c>
      <c r="G264" s="90">
        <v>1.8</v>
      </c>
      <c r="H264" s="90">
        <v>0.5</v>
      </c>
      <c r="I264" s="90">
        <v>880.0</v>
      </c>
      <c r="J264" s="90">
        <v>0.0</v>
      </c>
      <c r="K264" s="90">
        <v>13.55</v>
      </c>
      <c r="L264" s="90">
        <v>15.31</v>
      </c>
      <c r="M264" s="90">
        <v>1.06</v>
      </c>
      <c r="N264" s="90">
        <v>5.59</v>
      </c>
    </row>
    <row r="265" ht="14.25" customHeight="1">
      <c r="A265" s="90">
        <v>51.53</v>
      </c>
      <c r="B265" s="90">
        <v>6.36</v>
      </c>
      <c r="C265" s="90">
        <v>41.97</v>
      </c>
      <c r="D265" s="90">
        <v>0.12</v>
      </c>
      <c r="E265" s="90">
        <v>77.76</v>
      </c>
      <c r="F265" s="90">
        <v>9.3</v>
      </c>
      <c r="G265" s="90">
        <v>1.8</v>
      </c>
      <c r="H265" s="90">
        <v>0.5</v>
      </c>
      <c r="I265" s="90">
        <v>880.0</v>
      </c>
      <c r="J265" s="90">
        <v>0.0</v>
      </c>
      <c r="K265" s="90">
        <v>14.41</v>
      </c>
      <c r="L265" s="90">
        <v>14.87</v>
      </c>
      <c r="M265" s="90">
        <v>1.17</v>
      </c>
      <c r="N265" s="90">
        <v>6.78</v>
      </c>
    </row>
    <row r="266" ht="14.25" customHeight="1">
      <c r="A266" s="90">
        <v>51.53</v>
      </c>
      <c r="B266" s="90">
        <v>6.36</v>
      </c>
      <c r="C266" s="90">
        <v>41.97</v>
      </c>
      <c r="D266" s="90">
        <v>0.12</v>
      </c>
      <c r="E266" s="90">
        <v>77.76</v>
      </c>
      <c r="F266" s="90">
        <v>9.3</v>
      </c>
      <c r="G266" s="90">
        <v>1.8</v>
      </c>
      <c r="H266" s="90">
        <v>0.5</v>
      </c>
      <c r="I266" s="90">
        <v>880.0</v>
      </c>
      <c r="J266" s="90">
        <v>0.0</v>
      </c>
      <c r="K266" s="90">
        <v>15.82</v>
      </c>
      <c r="L266" s="90">
        <v>13.25</v>
      </c>
      <c r="M266" s="90">
        <v>1.24</v>
      </c>
      <c r="N266" s="90">
        <v>7.69</v>
      </c>
    </row>
    <row r="267" ht="14.25" customHeight="1">
      <c r="A267" s="90">
        <v>51.53</v>
      </c>
      <c r="B267" s="90">
        <v>6.36</v>
      </c>
      <c r="C267" s="90">
        <v>41.97</v>
      </c>
      <c r="D267" s="90">
        <v>0.12</v>
      </c>
      <c r="E267" s="90">
        <v>77.76</v>
      </c>
      <c r="F267" s="90">
        <v>9.3</v>
      </c>
      <c r="G267" s="90">
        <v>1.8</v>
      </c>
      <c r="H267" s="90">
        <v>0.5</v>
      </c>
      <c r="I267" s="90">
        <v>880.0</v>
      </c>
      <c r="J267" s="90">
        <v>0.0</v>
      </c>
      <c r="K267" s="90">
        <v>15.67</v>
      </c>
      <c r="L267" s="90">
        <v>12.55</v>
      </c>
      <c r="M267" s="90">
        <v>1.8</v>
      </c>
      <c r="N267" s="90">
        <v>7.82</v>
      </c>
    </row>
    <row r="268" ht="14.25" customHeight="1">
      <c r="A268" s="90">
        <v>51.53</v>
      </c>
      <c r="B268" s="90">
        <v>6.36</v>
      </c>
      <c r="C268" s="90">
        <v>41.97</v>
      </c>
      <c r="D268" s="90">
        <v>0.12</v>
      </c>
      <c r="E268" s="90">
        <v>77.76</v>
      </c>
      <c r="F268" s="90">
        <v>9.3</v>
      </c>
      <c r="G268" s="90">
        <v>1.8</v>
      </c>
      <c r="H268" s="90">
        <v>0.5</v>
      </c>
      <c r="I268" s="90">
        <v>880.0</v>
      </c>
      <c r="J268" s="90">
        <v>0.0</v>
      </c>
      <c r="K268" s="90">
        <v>16.32</v>
      </c>
      <c r="L268" s="90">
        <v>11.16</v>
      </c>
      <c r="M268" s="90">
        <v>2.14</v>
      </c>
      <c r="N268" s="90">
        <v>8.12</v>
      </c>
    </row>
    <row r="269" ht="14.25" customHeight="1">
      <c r="A269" s="90">
        <v>51.53</v>
      </c>
      <c r="B269" s="90">
        <v>6.36</v>
      </c>
      <c r="C269" s="90">
        <v>41.97</v>
      </c>
      <c r="D269" s="90">
        <v>0.12</v>
      </c>
      <c r="E269" s="90">
        <v>77.76</v>
      </c>
      <c r="F269" s="90">
        <v>9.3</v>
      </c>
      <c r="G269" s="90">
        <v>1.8</v>
      </c>
      <c r="H269" s="90">
        <v>0.5</v>
      </c>
      <c r="I269" s="90">
        <v>880.0</v>
      </c>
      <c r="J269" s="90">
        <v>0.0</v>
      </c>
      <c r="K269" s="90">
        <v>17.73</v>
      </c>
      <c r="L269" s="90">
        <v>11.87</v>
      </c>
      <c r="M269" s="90">
        <v>2.62</v>
      </c>
      <c r="N269" s="90">
        <v>9.35</v>
      </c>
    </row>
    <row r="270" ht="14.25" customHeight="1">
      <c r="A270" s="90">
        <v>51.53</v>
      </c>
      <c r="B270" s="90">
        <v>6.36</v>
      </c>
      <c r="C270" s="90">
        <v>41.97</v>
      </c>
      <c r="D270" s="90">
        <v>0.12</v>
      </c>
      <c r="E270" s="90">
        <v>77.76</v>
      </c>
      <c r="F270" s="90">
        <v>9.3</v>
      </c>
      <c r="G270" s="90">
        <v>1.8</v>
      </c>
      <c r="H270" s="90">
        <v>0.5</v>
      </c>
      <c r="I270" s="90">
        <v>880.0</v>
      </c>
      <c r="J270" s="90">
        <v>0.0</v>
      </c>
      <c r="K270" s="90">
        <v>12.62</v>
      </c>
      <c r="L270" s="90">
        <v>16.84</v>
      </c>
      <c r="M270" s="90">
        <v>0.98</v>
      </c>
      <c r="N270" s="90">
        <v>5.24</v>
      </c>
    </row>
    <row r="271" ht="14.25" customHeight="1">
      <c r="A271" s="90">
        <v>51.53</v>
      </c>
      <c r="B271" s="90">
        <v>6.36</v>
      </c>
      <c r="C271" s="90">
        <v>41.97</v>
      </c>
      <c r="D271" s="90">
        <v>0.12</v>
      </c>
      <c r="E271" s="90">
        <v>77.76</v>
      </c>
      <c r="F271" s="90">
        <v>9.3</v>
      </c>
      <c r="G271" s="90">
        <v>1.8</v>
      </c>
      <c r="H271" s="90">
        <v>0.5</v>
      </c>
      <c r="I271" s="90">
        <v>880.0</v>
      </c>
      <c r="J271" s="90">
        <v>0.0</v>
      </c>
      <c r="K271" s="90">
        <v>12.39</v>
      </c>
      <c r="L271" s="90">
        <v>15.56</v>
      </c>
      <c r="M271" s="90">
        <v>1.25</v>
      </c>
      <c r="N271" s="90">
        <v>5.63</v>
      </c>
    </row>
    <row r="272" ht="14.25" customHeight="1">
      <c r="A272" s="90">
        <v>51.53</v>
      </c>
      <c r="B272" s="90">
        <v>6.36</v>
      </c>
      <c r="C272" s="90">
        <v>41.97</v>
      </c>
      <c r="D272" s="90">
        <v>0.12</v>
      </c>
      <c r="E272" s="90">
        <v>77.76</v>
      </c>
      <c r="F272" s="90">
        <v>9.3</v>
      </c>
      <c r="G272" s="90">
        <v>1.8</v>
      </c>
      <c r="H272" s="90">
        <v>0.5</v>
      </c>
      <c r="I272" s="90">
        <v>880.0</v>
      </c>
      <c r="J272" s="90">
        <v>0.0</v>
      </c>
      <c r="K272" s="90">
        <v>13.42</v>
      </c>
      <c r="L272" s="90">
        <v>14.24</v>
      </c>
      <c r="M272" s="90">
        <v>1.62</v>
      </c>
      <c r="N272" s="90">
        <v>6.87</v>
      </c>
    </row>
    <row r="273" ht="14.25" customHeight="1">
      <c r="A273" s="90">
        <v>51.53</v>
      </c>
      <c r="B273" s="90">
        <v>6.36</v>
      </c>
      <c r="C273" s="90">
        <v>41.97</v>
      </c>
      <c r="D273" s="90">
        <v>0.12</v>
      </c>
      <c r="E273" s="90">
        <v>77.76</v>
      </c>
      <c r="F273" s="90">
        <v>9.3</v>
      </c>
      <c r="G273" s="90">
        <v>1.8</v>
      </c>
      <c r="H273" s="90">
        <v>0.5</v>
      </c>
      <c r="I273" s="90">
        <v>880.0</v>
      </c>
      <c r="J273" s="90">
        <v>0.0</v>
      </c>
      <c r="K273" s="90">
        <v>14.56</v>
      </c>
      <c r="L273" s="90">
        <v>12.63</v>
      </c>
      <c r="M273" s="90">
        <v>1.24</v>
      </c>
      <c r="N273" s="90">
        <v>7.29</v>
      </c>
    </row>
    <row r="274" ht="14.25" customHeight="1">
      <c r="A274" s="90">
        <v>51.53</v>
      </c>
      <c r="B274" s="90">
        <v>6.36</v>
      </c>
      <c r="C274" s="90">
        <v>41.97</v>
      </c>
      <c r="D274" s="90">
        <v>0.12</v>
      </c>
      <c r="E274" s="90">
        <v>77.76</v>
      </c>
      <c r="F274" s="90">
        <v>9.3</v>
      </c>
      <c r="G274" s="90">
        <v>1.8</v>
      </c>
      <c r="H274" s="90">
        <v>0.5</v>
      </c>
      <c r="I274" s="90">
        <v>880.0</v>
      </c>
      <c r="J274" s="90">
        <v>0.0</v>
      </c>
      <c r="K274" s="90">
        <v>15.85</v>
      </c>
      <c r="L274" s="90">
        <v>12.81</v>
      </c>
      <c r="M274" s="90">
        <v>1.82</v>
      </c>
      <c r="N274" s="90">
        <v>7.38</v>
      </c>
    </row>
    <row r="275" ht="14.25" customHeight="1">
      <c r="A275" s="90">
        <v>51.53</v>
      </c>
      <c r="B275" s="90">
        <v>6.36</v>
      </c>
      <c r="C275" s="90">
        <v>41.97</v>
      </c>
      <c r="D275" s="90">
        <v>0.12</v>
      </c>
      <c r="E275" s="90">
        <v>77.76</v>
      </c>
      <c r="F275" s="90">
        <v>9.3</v>
      </c>
      <c r="G275" s="90">
        <v>1.8</v>
      </c>
      <c r="H275" s="90">
        <v>0.5</v>
      </c>
      <c r="I275" s="90">
        <v>880.0</v>
      </c>
      <c r="J275" s="90">
        <v>0.0</v>
      </c>
      <c r="K275" s="90">
        <v>16.48</v>
      </c>
      <c r="L275" s="90">
        <v>12.33</v>
      </c>
      <c r="M275" s="90">
        <v>2.18</v>
      </c>
      <c r="N275" s="90">
        <v>8.42</v>
      </c>
    </row>
    <row r="276" ht="14.25" customHeight="1">
      <c r="A276" s="90">
        <v>44.48</v>
      </c>
      <c r="B276" s="90">
        <v>6.49</v>
      </c>
      <c r="C276" s="90">
        <v>48.23</v>
      </c>
      <c r="D276" s="90">
        <v>0.73</v>
      </c>
      <c r="E276" s="90">
        <v>75.23</v>
      </c>
      <c r="F276" s="90">
        <v>8.48</v>
      </c>
      <c r="G276" s="90">
        <v>1.23</v>
      </c>
      <c r="H276" s="90">
        <v>0.28</v>
      </c>
      <c r="I276" s="90">
        <v>702.0</v>
      </c>
      <c r="J276" s="90">
        <v>0.0</v>
      </c>
      <c r="K276" s="90">
        <v>25.75</v>
      </c>
      <c r="L276" s="90">
        <v>21.83</v>
      </c>
      <c r="M276" s="90">
        <v>8.14</v>
      </c>
      <c r="N276" s="90">
        <v>33.91</v>
      </c>
    </row>
    <row r="277" ht="14.25" customHeight="1">
      <c r="A277" s="90">
        <v>44.48</v>
      </c>
      <c r="B277" s="90">
        <v>6.49</v>
      </c>
      <c r="C277" s="90">
        <v>48.23</v>
      </c>
      <c r="D277" s="90">
        <v>0.73</v>
      </c>
      <c r="E277" s="90">
        <v>75.23</v>
      </c>
      <c r="F277" s="90">
        <v>8.48</v>
      </c>
      <c r="G277" s="90">
        <v>1.23</v>
      </c>
      <c r="H277" s="90">
        <v>0.28</v>
      </c>
      <c r="I277" s="90">
        <v>760.0</v>
      </c>
      <c r="J277" s="90">
        <v>0.0</v>
      </c>
      <c r="K277" s="90">
        <v>18.42</v>
      </c>
      <c r="L277" s="90">
        <v>25.36</v>
      </c>
      <c r="M277" s="90">
        <v>8.11</v>
      </c>
      <c r="N277" s="90">
        <v>40.23</v>
      </c>
    </row>
    <row r="278" ht="14.25" customHeight="1">
      <c r="A278" s="90">
        <v>44.48</v>
      </c>
      <c r="B278" s="90">
        <v>6.49</v>
      </c>
      <c r="C278" s="90">
        <v>48.23</v>
      </c>
      <c r="D278" s="90">
        <v>0.73</v>
      </c>
      <c r="E278" s="90">
        <v>75.23</v>
      </c>
      <c r="F278" s="90">
        <v>8.48</v>
      </c>
      <c r="G278" s="90">
        <v>1.23</v>
      </c>
      <c r="H278" s="90">
        <v>0.28</v>
      </c>
      <c r="I278" s="90">
        <v>846.0</v>
      </c>
      <c r="J278" s="90">
        <v>0.0</v>
      </c>
      <c r="K278" s="90">
        <v>26.9</v>
      </c>
      <c r="L278" s="90">
        <v>16.99</v>
      </c>
      <c r="M278" s="90">
        <v>6.41</v>
      </c>
      <c r="N278" s="90">
        <v>46.31</v>
      </c>
    </row>
    <row r="279" ht="14.25" customHeight="1">
      <c r="A279" s="90">
        <v>49.47</v>
      </c>
      <c r="B279" s="90">
        <v>7.82</v>
      </c>
      <c r="C279" s="90">
        <v>42.53</v>
      </c>
      <c r="D279" s="90">
        <v>0.12</v>
      </c>
      <c r="E279" s="90">
        <v>76.5</v>
      </c>
      <c r="F279" s="90">
        <v>8.61</v>
      </c>
      <c r="G279" s="90">
        <v>1.02</v>
      </c>
      <c r="H279" s="90">
        <v>0.28</v>
      </c>
      <c r="I279" s="90">
        <v>702.0</v>
      </c>
      <c r="J279" s="90">
        <v>0.0</v>
      </c>
      <c r="K279" s="90">
        <v>13.74</v>
      </c>
      <c r="L279" s="90">
        <v>33.18</v>
      </c>
      <c r="M279" s="90">
        <v>12.25</v>
      </c>
      <c r="N279" s="90">
        <v>21.31</v>
      </c>
    </row>
    <row r="280" ht="14.25" customHeight="1">
      <c r="A280" s="90">
        <v>49.47</v>
      </c>
      <c r="B280" s="90">
        <v>7.82</v>
      </c>
      <c r="C280" s="90">
        <v>42.53</v>
      </c>
      <c r="D280" s="90">
        <v>0.12</v>
      </c>
      <c r="E280" s="90">
        <v>76.5</v>
      </c>
      <c r="F280" s="90">
        <v>8.61</v>
      </c>
      <c r="G280" s="90">
        <v>1.02</v>
      </c>
      <c r="H280" s="90">
        <v>0.28</v>
      </c>
      <c r="I280" s="90">
        <v>760.0</v>
      </c>
      <c r="J280" s="90">
        <v>0.0</v>
      </c>
      <c r="K280" s="90">
        <v>17.57</v>
      </c>
      <c r="L280" s="90">
        <v>29.14</v>
      </c>
      <c r="M280" s="90">
        <v>11.13</v>
      </c>
      <c r="N280" s="90">
        <v>24.73</v>
      </c>
    </row>
    <row r="281" ht="14.25" customHeight="1">
      <c r="A281" s="90">
        <v>49.47</v>
      </c>
      <c r="B281" s="90">
        <v>7.82</v>
      </c>
      <c r="C281" s="90">
        <v>42.53</v>
      </c>
      <c r="D281" s="90">
        <v>0.12</v>
      </c>
      <c r="E281" s="90">
        <v>76.5</v>
      </c>
      <c r="F281" s="90">
        <v>8.61</v>
      </c>
      <c r="G281" s="90">
        <v>1.02</v>
      </c>
      <c r="H281" s="90">
        <v>0.28</v>
      </c>
      <c r="I281" s="90">
        <v>846.0</v>
      </c>
      <c r="J281" s="90">
        <v>0.0</v>
      </c>
      <c r="K281" s="90">
        <v>22.32</v>
      </c>
      <c r="L281" s="90">
        <v>25.43</v>
      </c>
      <c r="M281" s="90">
        <v>10.35</v>
      </c>
      <c r="N281" s="90">
        <v>27.14</v>
      </c>
    </row>
    <row r="282" ht="14.25" customHeight="1">
      <c r="A282" s="90">
        <v>49.47</v>
      </c>
      <c r="B282" s="90">
        <v>7.82</v>
      </c>
      <c r="C282" s="90">
        <v>42.53</v>
      </c>
      <c r="D282" s="90">
        <v>0.12</v>
      </c>
      <c r="E282" s="90">
        <v>76.5</v>
      </c>
      <c r="F282" s="90">
        <v>8.61</v>
      </c>
      <c r="G282" s="90">
        <v>1.02</v>
      </c>
      <c r="H282" s="90">
        <v>0.28</v>
      </c>
      <c r="I282" s="90">
        <v>846.0</v>
      </c>
      <c r="J282" s="90">
        <v>0.0</v>
      </c>
      <c r="K282" s="90">
        <v>17.31</v>
      </c>
      <c r="L282" s="90">
        <v>31.6</v>
      </c>
      <c r="M282" s="90">
        <v>11.37</v>
      </c>
      <c r="N282" s="90">
        <v>24.42</v>
      </c>
    </row>
    <row r="283" ht="14.25" customHeight="1">
      <c r="A283" s="90">
        <v>49.47</v>
      </c>
      <c r="B283" s="90">
        <v>7.82</v>
      </c>
      <c r="C283" s="90">
        <v>42.53</v>
      </c>
      <c r="D283" s="90">
        <v>0.12</v>
      </c>
      <c r="E283" s="90">
        <v>76.5</v>
      </c>
      <c r="F283" s="90">
        <v>8.61</v>
      </c>
      <c r="G283" s="90">
        <v>1.02</v>
      </c>
      <c r="H283" s="90">
        <v>0.28</v>
      </c>
      <c r="I283" s="90">
        <v>846.0</v>
      </c>
      <c r="J283" s="90">
        <v>0.0</v>
      </c>
      <c r="K283" s="90">
        <v>22.8</v>
      </c>
      <c r="L283" s="90">
        <v>25.91</v>
      </c>
      <c r="M283" s="90">
        <v>9.33</v>
      </c>
      <c r="N283" s="90">
        <v>28.92</v>
      </c>
    </row>
    <row r="284" ht="14.25" customHeight="1">
      <c r="A284" s="90">
        <v>49.47</v>
      </c>
      <c r="B284" s="90">
        <v>7.82</v>
      </c>
      <c r="C284" s="90">
        <v>42.53</v>
      </c>
      <c r="D284" s="90">
        <v>0.12</v>
      </c>
      <c r="E284" s="90">
        <v>76.5</v>
      </c>
      <c r="F284" s="90">
        <v>8.61</v>
      </c>
      <c r="G284" s="90">
        <v>1.02</v>
      </c>
      <c r="H284" s="90">
        <v>0.28</v>
      </c>
      <c r="I284" s="90">
        <v>846.0</v>
      </c>
      <c r="J284" s="90">
        <v>0.0</v>
      </c>
      <c r="K284" s="90">
        <v>25.73</v>
      </c>
      <c r="L284" s="90">
        <v>21.83</v>
      </c>
      <c r="M284" s="90">
        <v>9.14</v>
      </c>
      <c r="N284" s="90">
        <v>33.91</v>
      </c>
    </row>
    <row r="285" ht="14.25" customHeight="1">
      <c r="A285" s="90">
        <v>50.28</v>
      </c>
      <c r="B285" s="90">
        <v>6.14</v>
      </c>
      <c r="C285" s="90">
        <v>42.59</v>
      </c>
      <c r="D285" s="90">
        <v>0.96</v>
      </c>
      <c r="E285" s="90">
        <v>93.2</v>
      </c>
      <c r="F285" s="90">
        <v>6.3</v>
      </c>
      <c r="G285" s="90">
        <v>0.5</v>
      </c>
      <c r="H285" s="90">
        <v>0.2</v>
      </c>
      <c r="I285" s="90">
        <v>755.0</v>
      </c>
      <c r="J285" s="90">
        <v>0.0</v>
      </c>
      <c r="K285" s="90">
        <v>15.8</v>
      </c>
      <c r="L285" s="90">
        <v>1.03</v>
      </c>
      <c r="M285" s="90">
        <v>5.1</v>
      </c>
      <c r="N285" s="90">
        <v>8.7</v>
      </c>
    </row>
    <row r="286" ht="14.25" customHeight="1">
      <c r="A286" s="90">
        <v>50.28</v>
      </c>
      <c r="B286" s="90">
        <v>6.14</v>
      </c>
      <c r="C286" s="90">
        <v>42.59</v>
      </c>
      <c r="D286" s="90">
        <v>0.96</v>
      </c>
      <c r="E286" s="90">
        <v>93.2</v>
      </c>
      <c r="F286" s="90">
        <v>6.3</v>
      </c>
      <c r="G286" s="90">
        <v>0.5</v>
      </c>
      <c r="H286" s="90">
        <v>0.22</v>
      </c>
      <c r="I286" s="90">
        <v>840.0</v>
      </c>
      <c r="J286" s="90">
        <v>0.0</v>
      </c>
      <c r="K286" s="90">
        <v>15.4</v>
      </c>
      <c r="L286" s="90">
        <v>1.11</v>
      </c>
      <c r="M286" s="90">
        <v>4.8</v>
      </c>
      <c r="N286" s="90">
        <v>11.9</v>
      </c>
    </row>
    <row r="287" ht="14.25" customHeight="1">
      <c r="A287" s="90">
        <v>50.28</v>
      </c>
      <c r="B287" s="90">
        <v>6.14</v>
      </c>
      <c r="C287" s="90">
        <v>42.59</v>
      </c>
      <c r="D287" s="90">
        <v>0.96</v>
      </c>
      <c r="E287" s="90">
        <v>93.2</v>
      </c>
      <c r="F287" s="90">
        <v>6.3</v>
      </c>
      <c r="G287" s="90">
        <v>0.5</v>
      </c>
      <c r="H287" s="90">
        <v>0.45</v>
      </c>
      <c r="I287" s="90">
        <v>755.0</v>
      </c>
      <c r="J287" s="90">
        <v>0.0</v>
      </c>
      <c r="K287" s="90">
        <v>13.8</v>
      </c>
      <c r="L287" s="90">
        <v>1.14</v>
      </c>
      <c r="M287" s="90">
        <v>4.6</v>
      </c>
      <c r="N287" s="90">
        <v>13.3</v>
      </c>
    </row>
    <row r="288" ht="14.25" customHeight="1">
      <c r="A288" s="90">
        <v>50.28</v>
      </c>
      <c r="B288" s="90">
        <v>6.14</v>
      </c>
      <c r="C288" s="90">
        <v>42.59</v>
      </c>
      <c r="D288" s="90">
        <v>0.96</v>
      </c>
      <c r="E288" s="90">
        <v>93.2</v>
      </c>
      <c r="F288" s="90">
        <v>6.3</v>
      </c>
      <c r="G288" s="90">
        <v>0.5</v>
      </c>
      <c r="H288" s="90">
        <v>0.23</v>
      </c>
      <c r="I288" s="90">
        <v>840.0</v>
      </c>
      <c r="J288" s="90">
        <v>0.0</v>
      </c>
      <c r="K288" s="90">
        <v>15.0</v>
      </c>
      <c r="L288" s="90">
        <v>0.97</v>
      </c>
      <c r="M288" s="90">
        <v>4.7</v>
      </c>
      <c r="N288" s="90">
        <v>14.0</v>
      </c>
    </row>
    <row r="289" ht="14.25" customHeight="1">
      <c r="A289" s="90">
        <v>50.28</v>
      </c>
      <c r="B289" s="90">
        <v>6.14</v>
      </c>
      <c r="C289" s="90">
        <v>42.59</v>
      </c>
      <c r="D289" s="90">
        <v>0.96</v>
      </c>
      <c r="E289" s="90">
        <v>93.2</v>
      </c>
      <c r="F289" s="90">
        <v>6.3</v>
      </c>
      <c r="G289" s="90">
        <v>0.5</v>
      </c>
      <c r="H289" s="90">
        <v>0.42</v>
      </c>
      <c r="I289" s="90">
        <v>755.0</v>
      </c>
      <c r="J289" s="90">
        <v>0.0</v>
      </c>
      <c r="K289" s="90">
        <v>11.9</v>
      </c>
      <c r="L289" s="90">
        <v>1.06</v>
      </c>
      <c r="M289" s="90">
        <v>5.3</v>
      </c>
      <c r="N289" s="90">
        <v>16.2</v>
      </c>
    </row>
    <row r="290" ht="14.25" customHeight="1">
      <c r="A290" s="90">
        <v>50.28</v>
      </c>
      <c r="B290" s="90">
        <v>6.14</v>
      </c>
      <c r="C290" s="90">
        <v>42.59</v>
      </c>
      <c r="D290" s="90">
        <v>0.96</v>
      </c>
      <c r="E290" s="90">
        <v>93.2</v>
      </c>
      <c r="F290" s="90">
        <v>6.3</v>
      </c>
      <c r="G290" s="90">
        <v>0.5</v>
      </c>
      <c r="H290" s="90">
        <v>0.32</v>
      </c>
      <c r="I290" s="90">
        <v>840.0</v>
      </c>
      <c r="J290" s="90">
        <v>0.0</v>
      </c>
      <c r="K290" s="90">
        <v>18.9</v>
      </c>
      <c r="L290" s="90">
        <v>1.13</v>
      </c>
      <c r="M290" s="90">
        <v>5.55</v>
      </c>
      <c r="N290" s="90">
        <v>16.4</v>
      </c>
    </row>
    <row r="291" ht="14.25" customHeight="1">
      <c r="A291" s="90">
        <v>50.28</v>
      </c>
      <c r="B291" s="90">
        <v>6.14</v>
      </c>
      <c r="C291" s="90">
        <v>42.59</v>
      </c>
      <c r="D291" s="90">
        <v>0.96</v>
      </c>
      <c r="E291" s="90">
        <v>93.2</v>
      </c>
      <c r="F291" s="90">
        <v>6.3</v>
      </c>
      <c r="G291" s="90">
        <v>0.5</v>
      </c>
      <c r="H291" s="90">
        <v>0.6</v>
      </c>
      <c r="I291" s="90">
        <v>755.0</v>
      </c>
      <c r="J291" s="90">
        <v>0.0</v>
      </c>
      <c r="K291" s="90">
        <v>15.7</v>
      </c>
      <c r="L291" s="90">
        <v>1.08</v>
      </c>
      <c r="M291" s="90">
        <v>5.7</v>
      </c>
      <c r="N291" s="90">
        <v>18.3</v>
      </c>
    </row>
    <row r="292" ht="14.25" customHeight="1">
      <c r="A292" s="90">
        <v>50.28</v>
      </c>
      <c r="B292" s="90">
        <v>6.14</v>
      </c>
      <c r="C292" s="90">
        <v>42.59</v>
      </c>
      <c r="D292" s="90">
        <v>0.96</v>
      </c>
      <c r="E292" s="90">
        <v>93.2</v>
      </c>
      <c r="F292" s="90">
        <v>6.3</v>
      </c>
      <c r="G292" s="90">
        <v>0.5</v>
      </c>
      <c r="H292" s="90">
        <v>0.31</v>
      </c>
      <c r="I292" s="90">
        <v>840.0</v>
      </c>
      <c r="J292" s="90">
        <v>0.0</v>
      </c>
      <c r="K292" s="90">
        <v>20.8</v>
      </c>
      <c r="L292" s="90">
        <v>0.98</v>
      </c>
      <c r="M292" s="90">
        <v>6.7</v>
      </c>
      <c r="N292" s="90">
        <v>20.0</v>
      </c>
    </row>
    <row r="293" ht="14.25" customHeight="1">
      <c r="A293" s="90">
        <v>50.28</v>
      </c>
      <c r="B293" s="90">
        <v>6.14</v>
      </c>
      <c r="C293" s="90">
        <v>42.59</v>
      </c>
      <c r="D293" s="90">
        <v>0.96</v>
      </c>
      <c r="E293" s="90">
        <v>93.2</v>
      </c>
      <c r="F293" s="90">
        <v>6.3</v>
      </c>
      <c r="G293" s="90">
        <v>0.5</v>
      </c>
      <c r="H293" s="90">
        <v>0.58</v>
      </c>
      <c r="I293" s="90">
        <v>755.0</v>
      </c>
      <c r="J293" s="90">
        <v>0.0</v>
      </c>
      <c r="K293" s="90">
        <v>15.3</v>
      </c>
      <c r="L293" s="90">
        <v>20.3</v>
      </c>
      <c r="M293" s="90">
        <v>7.1</v>
      </c>
      <c r="N293" s="90">
        <v>17.5</v>
      </c>
    </row>
    <row r="294" ht="14.25" customHeight="1">
      <c r="A294" s="90">
        <v>50.28</v>
      </c>
      <c r="B294" s="90">
        <v>6.14</v>
      </c>
      <c r="C294" s="90">
        <v>42.59</v>
      </c>
      <c r="D294" s="90">
        <v>0.96</v>
      </c>
      <c r="E294" s="90">
        <v>93.2</v>
      </c>
      <c r="F294" s="90">
        <v>6.3</v>
      </c>
      <c r="G294" s="90">
        <v>0.5</v>
      </c>
      <c r="H294" s="90">
        <v>0.33</v>
      </c>
      <c r="I294" s="90">
        <v>840.0</v>
      </c>
      <c r="J294" s="90">
        <v>0.0</v>
      </c>
      <c r="K294" s="90">
        <v>20.0</v>
      </c>
      <c r="L294" s="90">
        <v>16.8</v>
      </c>
      <c r="M294" s="90">
        <v>5.6</v>
      </c>
      <c r="N294" s="90">
        <v>16.6</v>
      </c>
    </row>
    <row r="295" ht="14.25" customHeight="1">
      <c r="A295" s="90">
        <v>50.28</v>
      </c>
      <c r="B295" s="90">
        <v>6.14</v>
      </c>
      <c r="C295" s="90">
        <v>42.59</v>
      </c>
      <c r="D295" s="90">
        <v>0.96</v>
      </c>
      <c r="E295" s="90">
        <v>93.2</v>
      </c>
      <c r="F295" s="90">
        <v>6.3</v>
      </c>
      <c r="G295" s="90">
        <v>0.5</v>
      </c>
      <c r="H295" s="90">
        <v>0.56</v>
      </c>
      <c r="I295" s="90">
        <v>755.0</v>
      </c>
      <c r="J295" s="90">
        <v>0.0</v>
      </c>
      <c r="K295" s="90">
        <v>17.5</v>
      </c>
      <c r="L295" s="90">
        <v>18.0</v>
      </c>
      <c r="M295" s="90">
        <v>6.1</v>
      </c>
      <c r="N295" s="90">
        <v>21.8</v>
      </c>
    </row>
    <row r="296" ht="14.25" customHeight="1">
      <c r="A296" s="90">
        <v>50.28</v>
      </c>
      <c r="B296" s="90">
        <v>6.14</v>
      </c>
      <c r="C296" s="90">
        <v>42.59</v>
      </c>
      <c r="D296" s="90">
        <v>0.96</v>
      </c>
      <c r="E296" s="90">
        <v>93.2</v>
      </c>
      <c r="F296" s="90">
        <v>6.3</v>
      </c>
      <c r="G296" s="90">
        <v>0.5</v>
      </c>
      <c r="H296" s="90">
        <v>0.31</v>
      </c>
      <c r="I296" s="90">
        <v>840.0</v>
      </c>
      <c r="J296" s="90">
        <v>0.0</v>
      </c>
      <c r="K296" s="90">
        <v>23.9</v>
      </c>
      <c r="L296" s="90">
        <v>12.6</v>
      </c>
      <c r="M296" s="90">
        <v>7.3</v>
      </c>
      <c r="N296" s="90">
        <v>22.4</v>
      </c>
    </row>
    <row r="297" ht="14.25" customHeight="1">
      <c r="A297" s="90">
        <v>50.28</v>
      </c>
      <c r="B297" s="90">
        <v>6.14</v>
      </c>
      <c r="C297" s="90">
        <v>42.59</v>
      </c>
      <c r="D297" s="90">
        <v>0.96</v>
      </c>
      <c r="E297" s="90">
        <v>93.2</v>
      </c>
      <c r="F297" s="90">
        <v>6.3</v>
      </c>
      <c r="G297" s="90">
        <v>0.5</v>
      </c>
      <c r="H297" s="90">
        <v>0.61</v>
      </c>
      <c r="I297" s="90">
        <v>755.0</v>
      </c>
      <c r="J297" s="90">
        <v>0.0</v>
      </c>
      <c r="K297" s="90">
        <v>19.3</v>
      </c>
      <c r="L297" s="90">
        <v>16.2</v>
      </c>
      <c r="M297" s="90">
        <v>7.4</v>
      </c>
      <c r="N297" s="90">
        <v>25.1</v>
      </c>
    </row>
    <row r="298" ht="14.25" customHeight="1">
      <c r="A298" s="90">
        <v>50.28</v>
      </c>
      <c r="B298" s="90">
        <v>6.14</v>
      </c>
      <c r="C298" s="90">
        <v>42.59</v>
      </c>
      <c r="D298" s="90">
        <v>0.96</v>
      </c>
      <c r="E298" s="90">
        <v>93.2</v>
      </c>
      <c r="F298" s="90">
        <v>6.3</v>
      </c>
      <c r="G298" s="90">
        <v>0.5</v>
      </c>
      <c r="H298" s="90">
        <v>0.1</v>
      </c>
      <c r="I298" s="90">
        <v>840.0</v>
      </c>
      <c r="J298" s="90">
        <v>0.0</v>
      </c>
      <c r="K298" s="90">
        <v>27.4</v>
      </c>
      <c r="L298" s="90">
        <v>16.2</v>
      </c>
      <c r="M298" s="90">
        <v>7.3</v>
      </c>
      <c r="N298" s="90">
        <v>18.3</v>
      </c>
    </row>
    <row r="299" ht="14.25" customHeight="1">
      <c r="A299" s="90">
        <v>50.28</v>
      </c>
      <c r="B299" s="90">
        <v>6.14</v>
      </c>
      <c r="C299" s="90">
        <v>42.59</v>
      </c>
      <c r="D299" s="90">
        <v>0.96</v>
      </c>
      <c r="E299" s="90">
        <v>93.2</v>
      </c>
      <c r="F299" s="90">
        <v>6.3</v>
      </c>
      <c r="G299" s="90">
        <v>0.5</v>
      </c>
      <c r="H299" s="90">
        <v>0.29</v>
      </c>
      <c r="I299" s="90">
        <v>755.0</v>
      </c>
      <c r="J299" s="90">
        <v>0.0</v>
      </c>
      <c r="K299" s="90">
        <v>25.1</v>
      </c>
      <c r="L299" s="90">
        <v>13.7</v>
      </c>
      <c r="M299" s="90">
        <v>6.5</v>
      </c>
      <c r="N299" s="90">
        <v>23.1</v>
      </c>
    </row>
    <row r="300" ht="14.25" customHeight="1">
      <c r="A300" s="90">
        <v>50.28</v>
      </c>
      <c r="B300" s="90">
        <v>6.14</v>
      </c>
      <c r="C300" s="90">
        <v>42.59</v>
      </c>
      <c r="D300" s="90">
        <v>0.96</v>
      </c>
      <c r="E300" s="90">
        <v>93.2</v>
      </c>
      <c r="F300" s="90">
        <v>6.3</v>
      </c>
      <c r="G300" s="90">
        <v>0.5</v>
      </c>
      <c r="H300" s="90">
        <v>0.36</v>
      </c>
      <c r="I300" s="90">
        <v>840.0</v>
      </c>
      <c r="J300" s="90">
        <v>0.0</v>
      </c>
      <c r="K300" s="90">
        <v>23.9</v>
      </c>
      <c r="L300" s="90">
        <v>14.6</v>
      </c>
      <c r="M300" s="90">
        <v>6.7</v>
      </c>
      <c r="N300" s="90">
        <v>22.3</v>
      </c>
    </row>
    <row r="301" ht="14.25" customHeight="1">
      <c r="A301" s="90">
        <v>50.28</v>
      </c>
      <c r="B301" s="90">
        <v>6.14</v>
      </c>
      <c r="C301" s="90">
        <v>42.59</v>
      </c>
      <c r="D301" s="90">
        <v>0.96</v>
      </c>
      <c r="E301" s="90">
        <v>93.2</v>
      </c>
      <c r="F301" s="90">
        <v>6.3</v>
      </c>
      <c r="G301" s="90">
        <v>0.5</v>
      </c>
      <c r="H301" s="90">
        <v>0.54</v>
      </c>
      <c r="I301" s="90">
        <v>755.0</v>
      </c>
      <c r="J301" s="90">
        <v>0.0</v>
      </c>
      <c r="K301" s="90">
        <v>20.2</v>
      </c>
      <c r="L301" s="90">
        <v>16.7</v>
      </c>
      <c r="M301" s="90">
        <v>6.8</v>
      </c>
      <c r="N301" s="90">
        <v>24.5</v>
      </c>
    </row>
    <row r="302" ht="14.25" customHeight="1">
      <c r="A302" s="90">
        <v>50.28</v>
      </c>
      <c r="B302" s="90">
        <v>6.14</v>
      </c>
      <c r="C302" s="90">
        <v>42.59</v>
      </c>
      <c r="D302" s="90">
        <v>0.96</v>
      </c>
      <c r="E302" s="90">
        <v>93.2</v>
      </c>
      <c r="F302" s="90">
        <v>6.3</v>
      </c>
      <c r="G302" s="90">
        <v>0.5</v>
      </c>
      <c r="H302" s="90">
        <v>0.57</v>
      </c>
      <c r="I302" s="90">
        <v>840.0</v>
      </c>
      <c r="J302" s="90">
        <v>0.0</v>
      </c>
      <c r="K302" s="90">
        <v>19.3</v>
      </c>
      <c r="L302" s="90">
        <v>17.0</v>
      </c>
      <c r="M302" s="90">
        <v>6.7</v>
      </c>
      <c r="N302" s="90">
        <v>25.7</v>
      </c>
    </row>
    <row r="303" ht="14.25" customHeight="1">
      <c r="A303" s="90">
        <v>50.28</v>
      </c>
      <c r="B303" s="90">
        <v>6.14</v>
      </c>
      <c r="C303" s="90">
        <v>42.59</v>
      </c>
      <c r="D303" s="90">
        <v>0.96</v>
      </c>
      <c r="E303" s="90">
        <v>93.2</v>
      </c>
      <c r="F303" s="90">
        <v>6.3</v>
      </c>
      <c r="G303" s="90">
        <v>0.5</v>
      </c>
      <c r="H303" s="90">
        <v>0.3</v>
      </c>
      <c r="I303" s="90">
        <v>755.0</v>
      </c>
      <c r="J303" s="90">
        <v>0.0</v>
      </c>
      <c r="K303" s="90">
        <v>28.5</v>
      </c>
      <c r="L303" s="90">
        <v>9.2</v>
      </c>
      <c r="M303" s="90">
        <v>8.1</v>
      </c>
      <c r="N303" s="90">
        <v>25.7</v>
      </c>
    </row>
    <row r="304" ht="14.25" customHeight="1">
      <c r="A304" s="90">
        <v>50.28</v>
      </c>
      <c r="B304" s="90">
        <v>6.14</v>
      </c>
      <c r="C304" s="90">
        <v>42.59</v>
      </c>
      <c r="D304" s="90">
        <v>0.96</v>
      </c>
      <c r="E304" s="90">
        <v>93.2</v>
      </c>
      <c r="F304" s="90">
        <v>6.3</v>
      </c>
      <c r="G304" s="90">
        <v>0.5</v>
      </c>
      <c r="H304" s="90">
        <v>0.56</v>
      </c>
      <c r="I304" s="90">
        <v>840.0</v>
      </c>
      <c r="J304" s="90">
        <v>0.0</v>
      </c>
      <c r="K304" s="90">
        <v>23.5</v>
      </c>
      <c r="L304" s="90">
        <v>14.6</v>
      </c>
      <c r="M304" s="90">
        <v>7.7</v>
      </c>
      <c r="N304" s="90">
        <v>27.5</v>
      </c>
    </row>
    <row r="305" ht="14.25" customHeight="1">
      <c r="A305" s="90">
        <v>42.72</v>
      </c>
      <c r="B305" s="90">
        <v>6.07</v>
      </c>
      <c r="C305" s="90">
        <v>50.3</v>
      </c>
      <c r="D305" s="90">
        <v>0.77</v>
      </c>
      <c r="E305" s="90">
        <v>64.4</v>
      </c>
      <c r="F305" s="90">
        <v>10.4</v>
      </c>
      <c r="G305" s="90">
        <v>7.9</v>
      </c>
      <c r="H305" s="90">
        <v>0.36</v>
      </c>
      <c r="I305" s="90">
        <v>740.0</v>
      </c>
      <c r="J305" s="90">
        <v>0.0</v>
      </c>
      <c r="K305" s="90">
        <v>9.84</v>
      </c>
      <c r="L305" s="90">
        <v>7.1</v>
      </c>
      <c r="M305" s="90">
        <v>3.97</v>
      </c>
      <c r="N305" s="90">
        <v>8.74</v>
      </c>
    </row>
    <row r="306" ht="14.25" customHeight="1">
      <c r="A306" s="90">
        <v>42.72</v>
      </c>
      <c r="B306" s="90">
        <v>6.07</v>
      </c>
      <c r="C306" s="90">
        <v>50.3</v>
      </c>
      <c r="D306" s="90">
        <v>0.77</v>
      </c>
      <c r="E306" s="90">
        <v>64.4</v>
      </c>
      <c r="F306" s="90">
        <v>10.4</v>
      </c>
      <c r="G306" s="90">
        <v>7.9</v>
      </c>
      <c r="H306" s="90">
        <v>0.36</v>
      </c>
      <c r="I306" s="90">
        <v>700.0</v>
      </c>
      <c r="J306" s="90">
        <v>0.0</v>
      </c>
      <c r="K306" s="90">
        <v>9.49</v>
      </c>
      <c r="L306" s="90">
        <v>7.2</v>
      </c>
      <c r="M306" s="90">
        <v>3.89</v>
      </c>
      <c r="N306" s="90">
        <v>7.68</v>
      </c>
    </row>
    <row r="307" ht="14.25" customHeight="1">
      <c r="A307" s="90">
        <v>42.72</v>
      </c>
      <c r="B307" s="90">
        <v>6.07</v>
      </c>
      <c r="C307" s="90">
        <v>50.3</v>
      </c>
      <c r="D307" s="90">
        <v>0.77</v>
      </c>
      <c r="E307" s="90">
        <v>64.4</v>
      </c>
      <c r="F307" s="90">
        <v>10.4</v>
      </c>
      <c r="G307" s="90">
        <v>7.9</v>
      </c>
      <c r="H307" s="90">
        <v>0.36</v>
      </c>
      <c r="I307" s="90">
        <v>740.0</v>
      </c>
      <c r="J307" s="90">
        <v>0.0</v>
      </c>
      <c r="K307" s="90">
        <v>9.1</v>
      </c>
      <c r="L307" s="90">
        <v>7.8</v>
      </c>
      <c r="M307" s="90">
        <v>8.1</v>
      </c>
      <c r="N307" s="90">
        <v>6.9</v>
      </c>
    </row>
    <row r="308" ht="14.25" customHeight="1">
      <c r="A308" s="90">
        <v>42.72</v>
      </c>
      <c r="B308" s="90">
        <v>6.07</v>
      </c>
      <c r="C308" s="90">
        <v>50.3</v>
      </c>
      <c r="D308" s="90">
        <v>0.77</v>
      </c>
      <c r="E308" s="90">
        <v>64.4</v>
      </c>
      <c r="F308" s="90">
        <v>10.4</v>
      </c>
      <c r="G308" s="90">
        <v>7.9</v>
      </c>
      <c r="H308" s="90">
        <v>0.36</v>
      </c>
      <c r="I308" s="90">
        <v>700.0</v>
      </c>
      <c r="J308" s="90">
        <v>0.0</v>
      </c>
      <c r="K308" s="90">
        <v>7.6</v>
      </c>
      <c r="L308" s="90">
        <v>8.9</v>
      </c>
      <c r="M308" s="90">
        <v>5.4</v>
      </c>
      <c r="N308" s="90">
        <v>5.9</v>
      </c>
    </row>
    <row r="309" ht="14.25" customHeight="1">
      <c r="A309" s="90">
        <v>42.72</v>
      </c>
      <c r="B309" s="90">
        <v>6.07</v>
      </c>
      <c r="C309" s="90">
        <v>50.3</v>
      </c>
      <c r="D309" s="90">
        <v>0.77</v>
      </c>
      <c r="E309" s="90">
        <v>64.4</v>
      </c>
      <c r="F309" s="90">
        <v>10.4</v>
      </c>
      <c r="G309" s="90">
        <v>7.9</v>
      </c>
      <c r="H309" s="90">
        <v>0.36</v>
      </c>
      <c r="I309" s="90">
        <v>740.0</v>
      </c>
      <c r="J309" s="90">
        <v>0.0</v>
      </c>
      <c r="K309" s="90">
        <v>10.7</v>
      </c>
      <c r="L309" s="90">
        <v>9.2</v>
      </c>
      <c r="M309" s="90">
        <v>5.6</v>
      </c>
      <c r="N309" s="90">
        <v>7.46</v>
      </c>
    </row>
    <row r="310" ht="14.25" customHeight="1">
      <c r="A310" s="90">
        <v>42.72</v>
      </c>
      <c r="B310" s="90">
        <v>6.07</v>
      </c>
      <c r="C310" s="90">
        <v>50.3</v>
      </c>
      <c r="D310" s="90">
        <v>0.77</v>
      </c>
      <c r="E310" s="90">
        <v>64.4</v>
      </c>
      <c r="F310" s="90">
        <v>10.4</v>
      </c>
      <c r="G310" s="90">
        <v>7.9</v>
      </c>
      <c r="H310" s="90">
        <v>0.36</v>
      </c>
      <c r="I310" s="90">
        <v>700.0</v>
      </c>
      <c r="J310" s="90">
        <v>0.0</v>
      </c>
      <c r="K310" s="90">
        <v>9.84</v>
      </c>
      <c r="L310" s="90">
        <v>9.05</v>
      </c>
      <c r="M310" s="90">
        <v>4.6</v>
      </c>
      <c r="N310" s="90">
        <v>6.6</v>
      </c>
    </row>
    <row r="311" ht="14.25" customHeight="1">
      <c r="A311" s="90">
        <v>45.17048829749317</v>
      </c>
      <c r="B311" s="90">
        <v>7.15219199239634</v>
      </c>
      <c r="C311" s="90">
        <v>46.9050730664132</v>
      </c>
      <c r="D311" s="90">
        <v>0.5583937269811097</v>
      </c>
      <c r="E311" s="90">
        <v>60.01</v>
      </c>
      <c r="F311" s="90">
        <v>12.2</v>
      </c>
      <c r="G311" s="90">
        <v>15.83</v>
      </c>
      <c r="H311" s="90">
        <v>0.18</v>
      </c>
      <c r="I311" s="90">
        <v>620.0</v>
      </c>
      <c r="J311" s="90">
        <v>0.0</v>
      </c>
      <c r="K311" s="90">
        <v>9.1</v>
      </c>
      <c r="L311" s="90">
        <v>12.92</v>
      </c>
      <c r="M311" s="90">
        <v>0.6</v>
      </c>
      <c r="N311" s="90">
        <v>11.0</v>
      </c>
    </row>
    <row r="312" ht="14.25" customHeight="1">
      <c r="A312" s="90">
        <v>45.17048829749317</v>
      </c>
      <c r="B312" s="90">
        <v>7.15219199239634</v>
      </c>
      <c r="C312" s="90">
        <v>46.9050730664132</v>
      </c>
      <c r="D312" s="90">
        <v>0.5583937269811097</v>
      </c>
      <c r="E312" s="90">
        <v>60.01</v>
      </c>
      <c r="F312" s="90">
        <v>12.2</v>
      </c>
      <c r="G312" s="90">
        <v>15.83</v>
      </c>
      <c r="H312" s="90">
        <v>0.2</v>
      </c>
      <c r="I312" s="90">
        <v>720.0</v>
      </c>
      <c r="J312" s="90">
        <v>0.0</v>
      </c>
      <c r="K312" s="90">
        <v>8.9</v>
      </c>
      <c r="L312" s="90">
        <v>12.3</v>
      </c>
      <c r="M312" s="90">
        <v>1.2</v>
      </c>
      <c r="N312" s="90">
        <v>12.3</v>
      </c>
    </row>
    <row r="313" ht="14.25" customHeight="1">
      <c r="A313" s="90">
        <v>45.17048829749317</v>
      </c>
      <c r="B313" s="90">
        <v>7.15219199239634</v>
      </c>
      <c r="C313" s="90">
        <v>46.9050730664132</v>
      </c>
      <c r="D313" s="90">
        <v>0.5583937269811097</v>
      </c>
      <c r="E313" s="90">
        <v>60.01</v>
      </c>
      <c r="F313" s="90">
        <v>12.2</v>
      </c>
      <c r="G313" s="90">
        <v>15.83</v>
      </c>
      <c r="H313" s="90">
        <v>0.21</v>
      </c>
      <c r="I313" s="90">
        <v>620.0</v>
      </c>
      <c r="J313" s="90">
        <v>0.0</v>
      </c>
      <c r="K313" s="90">
        <v>8.2</v>
      </c>
      <c r="L313" s="90">
        <v>13.7</v>
      </c>
      <c r="M313" s="90">
        <v>0.9</v>
      </c>
      <c r="N313" s="90">
        <v>13.7</v>
      </c>
    </row>
    <row r="314" ht="14.25" customHeight="1">
      <c r="A314" s="90">
        <v>45.17048829749317</v>
      </c>
      <c r="B314" s="90">
        <v>7.15219199239634</v>
      </c>
      <c r="C314" s="90">
        <v>46.9050730664132</v>
      </c>
      <c r="D314" s="90">
        <v>0.5583937269811097</v>
      </c>
      <c r="E314" s="90">
        <v>60.01</v>
      </c>
      <c r="F314" s="90">
        <v>12.2</v>
      </c>
      <c r="G314" s="90">
        <v>15.83</v>
      </c>
      <c r="H314" s="90">
        <v>0.2</v>
      </c>
      <c r="I314" s="90">
        <v>720.0</v>
      </c>
      <c r="J314" s="90">
        <v>0.0</v>
      </c>
      <c r="K314" s="90">
        <v>5.8</v>
      </c>
      <c r="L314" s="90">
        <v>19.1</v>
      </c>
      <c r="M314" s="90">
        <v>0.4</v>
      </c>
      <c r="N314" s="90">
        <v>19.1</v>
      </c>
    </row>
    <row r="315" ht="14.25" customHeight="1">
      <c r="A315" s="90">
        <v>45.17048829749317</v>
      </c>
      <c r="B315" s="90">
        <v>7.15219199239634</v>
      </c>
      <c r="C315" s="90">
        <v>46.9050730664132</v>
      </c>
      <c r="D315" s="90">
        <v>0.5583937269811097</v>
      </c>
      <c r="E315" s="90">
        <v>60.01</v>
      </c>
      <c r="F315" s="90">
        <v>12.2</v>
      </c>
      <c r="G315" s="90">
        <v>15.83</v>
      </c>
      <c r="H315" s="90">
        <v>0.32</v>
      </c>
      <c r="I315" s="90">
        <v>850.0</v>
      </c>
      <c r="J315" s="90">
        <v>0.0</v>
      </c>
      <c r="K315" s="90">
        <v>13.7</v>
      </c>
      <c r="L315" s="90">
        <v>18.5</v>
      </c>
      <c r="M315" s="90">
        <v>5.8</v>
      </c>
      <c r="N315" s="90">
        <v>6.1</v>
      </c>
    </row>
    <row r="316" ht="14.25" customHeight="1">
      <c r="A316" s="90">
        <v>45.17048829749317</v>
      </c>
      <c r="B316" s="90">
        <v>7.15219199239634</v>
      </c>
      <c r="C316" s="90">
        <v>46.9050730664132</v>
      </c>
      <c r="D316" s="90">
        <v>0.5583937269811097</v>
      </c>
      <c r="E316" s="90">
        <v>60.01</v>
      </c>
      <c r="F316" s="90">
        <v>12.2</v>
      </c>
      <c r="G316" s="90">
        <v>15.83</v>
      </c>
      <c r="H316" s="90">
        <v>0.26</v>
      </c>
      <c r="I316" s="90">
        <v>850.0</v>
      </c>
      <c r="J316" s="90">
        <v>0.0</v>
      </c>
      <c r="K316" s="90">
        <v>13.4</v>
      </c>
      <c r="L316" s="90">
        <v>18.9</v>
      </c>
      <c r="M316" s="90">
        <v>6.8</v>
      </c>
      <c r="N316" s="90">
        <v>5.7</v>
      </c>
    </row>
    <row r="317" ht="14.25" customHeight="1">
      <c r="A317" s="90">
        <v>45.17048829749317</v>
      </c>
      <c r="B317" s="90">
        <v>7.15219199239634</v>
      </c>
      <c r="C317" s="90">
        <v>46.9050730664132</v>
      </c>
      <c r="D317" s="90">
        <v>0.5583937269811097</v>
      </c>
      <c r="E317" s="90">
        <v>60.01</v>
      </c>
      <c r="F317" s="90">
        <v>12.2</v>
      </c>
      <c r="G317" s="90">
        <v>15.83</v>
      </c>
      <c r="H317" s="90">
        <v>0.25</v>
      </c>
      <c r="I317" s="90">
        <v>850.0</v>
      </c>
      <c r="J317" s="90">
        <v>0.0</v>
      </c>
      <c r="K317" s="90">
        <v>11.9</v>
      </c>
      <c r="L317" s="90">
        <v>21.7</v>
      </c>
      <c r="M317" s="90">
        <v>5.4</v>
      </c>
      <c r="N317" s="90">
        <v>6.9</v>
      </c>
    </row>
    <row r="318" ht="14.25" customHeight="1">
      <c r="A318" s="90">
        <v>45.17048829749317</v>
      </c>
      <c r="B318" s="90">
        <v>7.15219199239634</v>
      </c>
      <c r="C318" s="90">
        <v>46.9050730664132</v>
      </c>
      <c r="D318" s="90">
        <v>0.5583937269811097</v>
      </c>
      <c r="E318" s="90">
        <v>60.01</v>
      </c>
      <c r="F318" s="90">
        <v>12.2</v>
      </c>
      <c r="G318" s="90">
        <v>15.83</v>
      </c>
      <c r="H318" s="90">
        <v>0.26</v>
      </c>
      <c r="I318" s="90">
        <v>850.0</v>
      </c>
      <c r="J318" s="90">
        <v>0.0</v>
      </c>
      <c r="K318" s="90">
        <v>14.4</v>
      </c>
      <c r="L318" s="90">
        <v>16.1</v>
      </c>
      <c r="M318" s="90">
        <v>6.3</v>
      </c>
      <c r="N318" s="90">
        <v>6.0</v>
      </c>
    </row>
    <row r="319" ht="14.25" customHeight="1">
      <c r="A319" s="90">
        <v>49.06792645556691</v>
      </c>
      <c r="B319" s="90">
        <v>3.7921348314606744</v>
      </c>
      <c r="C319" s="90">
        <v>46.42492339121553</v>
      </c>
      <c r="D319" s="90">
        <v>0.625638406537283</v>
      </c>
      <c r="E319" s="90">
        <v>55.54</v>
      </c>
      <c r="F319" s="90">
        <v>9.95</v>
      </c>
      <c r="G319" s="90">
        <v>19.52</v>
      </c>
      <c r="H319" s="90">
        <v>0.0</v>
      </c>
      <c r="I319" s="90">
        <v>690.0</v>
      </c>
      <c r="J319" s="90">
        <v>1.32</v>
      </c>
      <c r="K319" s="90">
        <v>14.3</v>
      </c>
      <c r="L319" s="90">
        <v>26.6</v>
      </c>
      <c r="M319" s="90">
        <v>8.6</v>
      </c>
      <c r="N319" s="90">
        <v>50.5</v>
      </c>
    </row>
    <row r="320" ht="14.25" customHeight="1">
      <c r="A320" s="90">
        <v>49.06792645556691</v>
      </c>
      <c r="B320" s="90">
        <v>3.7921348314606744</v>
      </c>
      <c r="C320" s="90">
        <v>46.42492339121553</v>
      </c>
      <c r="D320" s="90">
        <v>0.625638406537283</v>
      </c>
      <c r="E320" s="90">
        <v>55.54</v>
      </c>
      <c r="F320" s="90">
        <v>9.95</v>
      </c>
      <c r="G320" s="90">
        <v>19.52</v>
      </c>
      <c r="H320" s="90">
        <v>0.0</v>
      </c>
      <c r="I320" s="90">
        <v>730.0</v>
      </c>
      <c r="J320" s="90">
        <v>1.32</v>
      </c>
      <c r="K320" s="90">
        <v>16.4</v>
      </c>
      <c r="L320" s="90">
        <v>23.5</v>
      </c>
      <c r="M320" s="90">
        <v>7.9</v>
      </c>
      <c r="N320" s="90">
        <v>52.2</v>
      </c>
    </row>
    <row r="321" ht="14.25" customHeight="1">
      <c r="A321" s="90">
        <v>49.06792645556691</v>
      </c>
      <c r="B321" s="90">
        <v>3.7921348314606744</v>
      </c>
      <c r="C321" s="90">
        <v>46.42492339121553</v>
      </c>
      <c r="D321" s="90">
        <v>0.625638406537283</v>
      </c>
      <c r="E321" s="90">
        <v>55.54</v>
      </c>
      <c r="F321" s="90">
        <v>9.95</v>
      </c>
      <c r="G321" s="90">
        <v>19.52</v>
      </c>
      <c r="H321" s="90">
        <v>0.0</v>
      </c>
      <c r="I321" s="90">
        <v>750.0</v>
      </c>
      <c r="J321" s="90">
        <v>1.0</v>
      </c>
      <c r="K321" s="90">
        <v>23.7</v>
      </c>
      <c r="L321" s="90">
        <v>21.2</v>
      </c>
      <c r="M321" s="90">
        <v>5.6</v>
      </c>
      <c r="N321" s="90">
        <v>49.5</v>
      </c>
    </row>
    <row r="322" ht="14.25" customHeight="1">
      <c r="A322" s="90">
        <v>49.06792645556691</v>
      </c>
      <c r="B322" s="90">
        <v>3.7921348314606744</v>
      </c>
      <c r="C322" s="90">
        <v>46.42492339121553</v>
      </c>
      <c r="D322" s="90">
        <v>0.625638406537283</v>
      </c>
      <c r="E322" s="90">
        <v>55.54</v>
      </c>
      <c r="F322" s="90">
        <v>9.95</v>
      </c>
      <c r="G322" s="90">
        <v>19.52</v>
      </c>
      <c r="H322" s="90">
        <v>0.0</v>
      </c>
      <c r="I322" s="90">
        <v>750.0</v>
      </c>
      <c r="J322" s="90">
        <v>0.6</v>
      </c>
      <c r="K322" s="90">
        <v>27.5</v>
      </c>
      <c r="L322" s="90">
        <v>19.5</v>
      </c>
      <c r="M322" s="90">
        <v>4.2</v>
      </c>
      <c r="N322" s="90">
        <v>48.8</v>
      </c>
    </row>
    <row r="323" ht="14.25" customHeight="1">
      <c r="A323" s="90">
        <v>49.06792645556691</v>
      </c>
      <c r="B323" s="90">
        <v>3.7921348314606744</v>
      </c>
      <c r="C323" s="90">
        <v>46.42492339121553</v>
      </c>
      <c r="D323" s="90">
        <v>0.625638406537283</v>
      </c>
      <c r="E323" s="90">
        <v>55.54</v>
      </c>
      <c r="F323" s="90">
        <v>9.95</v>
      </c>
      <c r="G323" s="90">
        <v>19.52</v>
      </c>
      <c r="H323" s="90">
        <v>0.0</v>
      </c>
      <c r="I323" s="90">
        <v>750.0</v>
      </c>
      <c r="J323" s="90">
        <v>1.32</v>
      </c>
      <c r="K323" s="90">
        <v>17.75</v>
      </c>
      <c r="L323" s="90">
        <v>22.25</v>
      </c>
      <c r="M323" s="90">
        <v>7.4</v>
      </c>
      <c r="N323" s="90">
        <v>52.3</v>
      </c>
    </row>
    <row r="324" ht="14.25" customHeight="1">
      <c r="A324" s="90">
        <v>49.4</v>
      </c>
      <c r="B324" s="90">
        <v>5.8</v>
      </c>
      <c r="C324" s="90">
        <v>42.3</v>
      </c>
      <c r="D324" s="90">
        <v>1.2</v>
      </c>
      <c r="E324" s="90">
        <v>78.1</v>
      </c>
      <c r="F324" s="90">
        <v>5.0</v>
      </c>
      <c r="G324" s="90">
        <v>11.7</v>
      </c>
      <c r="H324" s="90">
        <v>0.0</v>
      </c>
      <c r="I324" s="90">
        <v>650.0</v>
      </c>
      <c r="J324" s="90">
        <v>1.5</v>
      </c>
      <c r="K324" s="90">
        <v>14.3021526440506</v>
      </c>
      <c r="L324" s="90">
        <v>28.2023563100384</v>
      </c>
      <c r="M324" s="90">
        <v>12.9121322774519</v>
      </c>
      <c r="N324" s="90">
        <v>50.7637474541751</v>
      </c>
    </row>
    <row r="325" ht="14.25" customHeight="1">
      <c r="A325" s="90">
        <v>49.4</v>
      </c>
      <c r="B325" s="90">
        <v>5.8</v>
      </c>
      <c r="C325" s="90">
        <v>42.3</v>
      </c>
      <c r="D325" s="90">
        <v>1.2</v>
      </c>
      <c r="E325" s="90">
        <v>78.1</v>
      </c>
      <c r="F325" s="90">
        <v>5.0</v>
      </c>
      <c r="G325" s="90">
        <v>11.7</v>
      </c>
      <c r="H325" s="90">
        <v>0.0</v>
      </c>
      <c r="I325" s="90">
        <v>675.0</v>
      </c>
      <c r="J325" s="90">
        <v>1.5</v>
      </c>
      <c r="K325" s="90">
        <v>16.1380808226552</v>
      </c>
      <c r="L325" s="90">
        <v>26.4027009328679</v>
      </c>
      <c r="M325" s="90">
        <v>11.2189645221618</v>
      </c>
      <c r="N325" s="90">
        <v>52.278464680322</v>
      </c>
    </row>
    <row r="326" ht="14.25" customHeight="1">
      <c r="A326" s="90">
        <v>49.4</v>
      </c>
      <c r="B326" s="90">
        <v>5.8</v>
      </c>
      <c r="C326" s="90">
        <v>42.3</v>
      </c>
      <c r="D326" s="90">
        <v>1.2</v>
      </c>
      <c r="E326" s="90">
        <v>78.1</v>
      </c>
      <c r="F326" s="90">
        <v>5.0</v>
      </c>
      <c r="G326" s="90">
        <v>11.7</v>
      </c>
      <c r="H326" s="90">
        <v>0.0</v>
      </c>
      <c r="I326" s="90">
        <v>700.0</v>
      </c>
      <c r="J326" s="90">
        <v>1.5</v>
      </c>
      <c r="K326" s="90">
        <v>17.8667930098725</v>
      </c>
      <c r="L326" s="90">
        <v>24.7099701992818</v>
      </c>
      <c r="M326" s="90">
        <v>9.84744474103342</v>
      </c>
      <c r="N326" s="90">
        <v>53.4726993235181</v>
      </c>
    </row>
    <row r="327" ht="14.25" customHeight="1">
      <c r="A327" s="90">
        <v>49.4</v>
      </c>
      <c r="B327" s="90">
        <v>5.8</v>
      </c>
      <c r="C327" s="90">
        <v>42.3</v>
      </c>
      <c r="D327" s="90">
        <v>1.2</v>
      </c>
      <c r="E327" s="90">
        <v>78.1</v>
      </c>
      <c r="F327" s="90">
        <v>5.0</v>
      </c>
      <c r="G327" s="90">
        <v>11.7</v>
      </c>
      <c r="H327" s="90">
        <v>0.0</v>
      </c>
      <c r="I327" s="90">
        <v>725.0</v>
      </c>
      <c r="J327" s="90">
        <v>1.5</v>
      </c>
      <c r="K327" s="90">
        <v>19.4882892057026</v>
      </c>
      <c r="L327" s="90">
        <v>23.337430700844</v>
      </c>
      <c r="M327" s="90">
        <v>8.90289516473637</v>
      </c>
      <c r="N327" s="90">
        <v>54.8807832538832</v>
      </c>
    </row>
    <row r="328" ht="14.25" customHeight="1">
      <c r="A328" s="90">
        <v>49.4</v>
      </c>
      <c r="B328" s="90">
        <v>5.8</v>
      </c>
      <c r="C328" s="90">
        <v>42.3</v>
      </c>
      <c r="D328" s="90">
        <v>1.2</v>
      </c>
      <c r="E328" s="90">
        <v>78.1</v>
      </c>
      <c r="F328" s="90">
        <v>5.0</v>
      </c>
      <c r="G328" s="90">
        <v>11.7</v>
      </c>
      <c r="H328" s="90">
        <v>0.0</v>
      </c>
      <c r="I328" s="90">
        <v>750.0</v>
      </c>
      <c r="J328" s="90">
        <v>1.5</v>
      </c>
      <c r="K328" s="90">
        <v>20.5755992053141</v>
      </c>
      <c r="L328" s="90">
        <v>21.7516246108425</v>
      </c>
      <c r="M328" s="90">
        <v>8.17219487560836</v>
      </c>
      <c r="N328" s="90">
        <v>55.5399576574526</v>
      </c>
    </row>
    <row r="329" ht="14.25" customHeight="1">
      <c r="A329" s="90">
        <v>49.4</v>
      </c>
      <c r="B329" s="90">
        <v>5.8</v>
      </c>
      <c r="C329" s="90">
        <v>42.3</v>
      </c>
      <c r="D329" s="90">
        <v>1.2</v>
      </c>
      <c r="E329" s="90">
        <v>78.1</v>
      </c>
      <c r="F329" s="90">
        <v>5.0</v>
      </c>
      <c r="G329" s="90">
        <v>11.7</v>
      </c>
      <c r="H329" s="90">
        <v>0.0</v>
      </c>
      <c r="I329" s="90">
        <v>775.0</v>
      </c>
      <c r="J329" s="90">
        <v>1.5</v>
      </c>
      <c r="K329" s="90">
        <v>21.9833917878766</v>
      </c>
      <c r="L329" s="90">
        <v>21.0212156695172</v>
      </c>
      <c r="M329" s="90">
        <v>7.01394168604361</v>
      </c>
      <c r="N329" s="90">
        <v>56.4134183698951</v>
      </c>
    </row>
    <row r="330" ht="14.25" customHeight="1">
      <c r="A330" s="90">
        <v>49.4</v>
      </c>
      <c r="B330" s="90">
        <v>5.8</v>
      </c>
      <c r="C330" s="90">
        <v>42.3</v>
      </c>
      <c r="D330" s="90">
        <v>1.2</v>
      </c>
      <c r="E330" s="90">
        <v>78.1</v>
      </c>
      <c r="F330" s="90">
        <v>5.0</v>
      </c>
      <c r="G330" s="90">
        <v>11.7</v>
      </c>
      <c r="H330" s="90">
        <v>0.0</v>
      </c>
      <c r="I330" s="90">
        <v>800.0</v>
      </c>
      <c r="J330" s="90">
        <v>1.5</v>
      </c>
      <c r="K330" s="90">
        <v>23.4982546879248</v>
      </c>
      <c r="L330" s="90">
        <v>19.9694501018329</v>
      </c>
      <c r="M330" s="90">
        <v>6.17631675333107</v>
      </c>
      <c r="N330" s="90">
        <v>57.0723014256619</v>
      </c>
    </row>
    <row r="331" ht="14.25" customHeight="1">
      <c r="A331" s="90">
        <v>49.4</v>
      </c>
      <c r="B331" s="90">
        <v>5.8</v>
      </c>
      <c r="C331" s="90">
        <v>42.3</v>
      </c>
      <c r="D331" s="90">
        <v>1.2</v>
      </c>
      <c r="E331" s="90">
        <v>78.1</v>
      </c>
      <c r="F331" s="90">
        <v>5.0</v>
      </c>
      <c r="G331" s="90">
        <v>11.7</v>
      </c>
      <c r="H331" s="90">
        <v>0.0</v>
      </c>
      <c r="I331" s="90">
        <v>800.0</v>
      </c>
      <c r="J331" s="90">
        <v>0.5</v>
      </c>
      <c r="K331" s="90">
        <v>27.7445571904165</v>
      </c>
      <c r="L331" s="90">
        <v>14.8941672634678</v>
      </c>
      <c r="M331" s="90">
        <v>3.15644871472595</v>
      </c>
      <c r="N331" s="90">
        <v>54.25</v>
      </c>
    </row>
    <row r="332" ht="14.25" customHeight="1">
      <c r="A332" s="90">
        <v>49.4</v>
      </c>
      <c r="B332" s="90">
        <v>5.8</v>
      </c>
      <c r="C332" s="90">
        <v>42.3</v>
      </c>
      <c r="D332" s="90">
        <v>1.2</v>
      </c>
      <c r="E332" s="90">
        <v>78.1</v>
      </c>
      <c r="F332" s="90">
        <v>5.0</v>
      </c>
      <c r="G332" s="90">
        <v>11.7</v>
      </c>
      <c r="H332" s="90">
        <v>0.0</v>
      </c>
      <c r="I332" s="90">
        <v>800.0</v>
      </c>
      <c r="J332" s="90">
        <v>0.75</v>
      </c>
      <c r="K332" s="90">
        <v>26.4252297276798</v>
      </c>
      <c r="L332" s="90">
        <v>15.8097596880719</v>
      </c>
      <c r="M332" s="90">
        <v>3.29077637814335</v>
      </c>
      <c r="N332" s="90">
        <v>54.75</v>
      </c>
    </row>
    <row r="333" ht="14.25" customHeight="1">
      <c r="A333" s="90">
        <v>49.4</v>
      </c>
      <c r="B333" s="90">
        <v>5.8</v>
      </c>
      <c r="C333" s="90">
        <v>42.3</v>
      </c>
      <c r="D333" s="90">
        <v>1.2</v>
      </c>
      <c r="E333" s="90">
        <v>78.1</v>
      </c>
      <c r="F333" s="90">
        <v>5.0</v>
      </c>
      <c r="G333" s="90">
        <v>11.7</v>
      </c>
      <c r="H333" s="90">
        <v>0.0</v>
      </c>
      <c r="I333" s="90">
        <v>800.0</v>
      </c>
      <c r="J333" s="90">
        <v>1.0</v>
      </c>
      <c r="K333" s="90">
        <v>24.7231691641984</v>
      </c>
      <c r="L333" s="90">
        <v>16.7255510463913</v>
      </c>
      <c r="M333" s="90">
        <v>3.45579048310662</v>
      </c>
      <c r="N333" s="90">
        <v>55.375</v>
      </c>
    </row>
    <row r="334" ht="14.25" customHeight="1">
      <c r="A334" s="90">
        <v>49.4</v>
      </c>
      <c r="B334" s="90">
        <v>5.8</v>
      </c>
      <c r="C334" s="90">
        <v>42.3</v>
      </c>
      <c r="D334" s="90">
        <v>1.2</v>
      </c>
      <c r="E334" s="90">
        <v>78.1</v>
      </c>
      <c r="F334" s="90">
        <v>5.0</v>
      </c>
      <c r="G334" s="90">
        <v>11.7</v>
      </c>
      <c r="H334" s="90">
        <v>0.0</v>
      </c>
      <c r="I334" s="90">
        <v>800.0</v>
      </c>
      <c r="J334" s="90">
        <v>1.25</v>
      </c>
      <c r="K334" s="90">
        <v>23.3402524409813</v>
      </c>
      <c r="L334" s="90">
        <v>17.5351118007479</v>
      </c>
      <c r="M334" s="90">
        <v>3.64113807967674</v>
      </c>
      <c r="N334" s="90">
        <v>55.75</v>
      </c>
    </row>
    <row r="335" ht="14.25" customHeight="1">
      <c r="A335" s="90">
        <v>49.4</v>
      </c>
      <c r="B335" s="90">
        <v>5.8</v>
      </c>
      <c r="C335" s="90">
        <v>42.3</v>
      </c>
      <c r="D335" s="90">
        <v>1.2</v>
      </c>
      <c r="E335" s="90">
        <v>78.1</v>
      </c>
      <c r="F335" s="90">
        <v>5.0</v>
      </c>
      <c r="G335" s="90">
        <v>11.7</v>
      </c>
      <c r="H335" s="90">
        <v>0.0</v>
      </c>
      <c r="I335" s="90">
        <v>800.0</v>
      </c>
      <c r="J335" s="90">
        <v>1.5</v>
      </c>
      <c r="K335" s="90">
        <v>21.9573357177642</v>
      </c>
      <c r="L335" s="90">
        <v>18.3448714888199</v>
      </c>
      <c r="M335" s="90">
        <v>3.80609632339934</v>
      </c>
      <c r="N335" s="90">
        <v>56.25</v>
      </c>
    </row>
    <row r="336" ht="14.25" customHeight="1">
      <c r="A336" s="90">
        <v>49.4</v>
      </c>
      <c r="B336" s="90">
        <v>5.8</v>
      </c>
      <c r="C336" s="90">
        <v>42.3</v>
      </c>
      <c r="D336" s="90">
        <v>1.2</v>
      </c>
      <c r="E336" s="90">
        <v>78.1</v>
      </c>
      <c r="F336" s="90">
        <v>5.0</v>
      </c>
      <c r="G336" s="90">
        <v>11.7</v>
      </c>
      <c r="H336" s="90">
        <v>0.0</v>
      </c>
      <c r="I336" s="90">
        <v>800.0</v>
      </c>
      <c r="J336" s="90">
        <v>1.75</v>
      </c>
      <c r="K336" s="90">
        <v>20.3826931828161</v>
      </c>
      <c r="L336" s="90">
        <v>19.4719304527731</v>
      </c>
      <c r="M336" s="90">
        <v>4.00168514742712</v>
      </c>
      <c r="N336" s="90">
        <v>56.375</v>
      </c>
    </row>
    <row r="337" ht="14.25" customHeight="1">
      <c r="A337" s="90">
        <v>49.4</v>
      </c>
      <c r="B337" s="90">
        <v>5.8</v>
      </c>
      <c r="C337" s="90">
        <v>42.3</v>
      </c>
      <c r="D337" s="90">
        <v>1.2</v>
      </c>
      <c r="E337" s="90">
        <v>78.1</v>
      </c>
      <c r="F337" s="90">
        <v>5.0</v>
      </c>
      <c r="G337" s="90">
        <v>11.7</v>
      </c>
      <c r="H337" s="90">
        <v>0.0</v>
      </c>
      <c r="I337" s="90">
        <v>800.0</v>
      </c>
      <c r="J337" s="90">
        <v>2.0</v>
      </c>
      <c r="K337" s="90">
        <v>18.5529750832288</v>
      </c>
      <c r="L337" s="90">
        <v>21.1267605633802</v>
      </c>
      <c r="M337" s="90">
        <v>4.19723673062778</v>
      </c>
      <c r="N337" s="90">
        <v>56.375</v>
      </c>
    </row>
    <row r="338" ht="14.25" customHeight="1">
      <c r="A338" s="90">
        <v>50.062434963579605</v>
      </c>
      <c r="B338" s="90">
        <v>6.014568158168575</v>
      </c>
      <c r="C338" s="90">
        <v>43.590010405827265</v>
      </c>
      <c r="D338" s="90">
        <v>0.22892819979188347</v>
      </c>
      <c r="E338" s="90">
        <v>73.8</v>
      </c>
      <c r="F338" s="90">
        <v>10.0</v>
      </c>
      <c r="G338" s="90">
        <v>3.9</v>
      </c>
      <c r="H338" s="90">
        <v>0.0</v>
      </c>
      <c r="I338" s="90">
        <v>659.85</v>
      </c>
      <c r="J338" s="90">
        <v>1.0</v>
      </c>
      <c r="K338" s="90">
        <v>52.0</v>
      </c>
      <c r="L338" s="90">
        <v>15.6</v>
      </c>
      <c r="M338" s="90">
        <v>18.7</v>
      </c>
      <c r="N338" s="90">
        <v>13.8</v>
      </c>
    </row>
    <row r="339" ht="14.25" customHeight="1">
      <c r="A339" s="90">
        <v>50.49445005045409</v>
      </c>
      <c r="B339" s="90">
        <v>6.004036326942483</v>
      </c>
      <c r="C339" s="90">
        <v>43.39051463168517</v>
      </c>
      <c r="D339" s="90">
        <v>0.11099899091826439</v>
      </c>
      <c r="E339" s="90">
        <v>75.7</v>
      </c>
      <c r="F339" s="90">
        <v>9.3</v>
      </c>
      <c r="G339" s="90">
        <v>0.9</v>
      </c>
      <c r="H339" s="90">
        <v>0.0</v>
      </c>
      <c r="I339" s="90">
        <v>749.85</v>
      </c>
      <c r="J339" s="90">
        <v>1.0</v>
      </c>
      <c r="K339" s="90">
        <v>25.4</v>
      </c>
      <c r="L339" s="90">
        <v>17.8</v>
      </c>
      <c r="M339" s="90">
        <v>13.7</v>
      </c>
      <c r="N339" s="90">
        <v>43.1</v>
      </c>
    </row>
    <row r="340" ht="14.25" customHeight="1">
      <c r="A340" s="90">
        <v>50.05045408678103</v>
      </c>
      <c r="B340" s="90">
        <v>5.953582240161453</v>
      </c>
      <c r="C340" s="90">
        <v>43.69323915237135</v>
      </c>
      <c r="D340" s="90">
        <v>0.20181634712411706</v>
      </c>
      <c r="E340" s="90">
        <v>80.3</v>
      </c>
      <c r="F340" s="90">
        <v>6.95</v>
      </c>
      <c r="G340" s="90">
        <v>0.9</v>
      </c>
      <c r="H340" s="90">
        <v>0.0</v>
      </c>
      <c r="I340" s="90">
        <v>749.85</v>
      </c>
      <c r="J340" s="90">
        <v>1.0</v>
      </c>
      <c r="K340" s="90">
        <v>44.7</v>
      </c>
      <c r="L340" s="90">
        <v>16.6</v>
      </c>
      <c r="M340" s="90">
        <v>15.6</v>
      </c>
      <c r="N340" s="90">
        <v>23.2</v>
      </c>
    </row>
    <row r="341" ht="14.25" customHeight="1">
      <c r="A341" s="90">
        <v>48.71473354231975</v>
      </c>
      <c r="B341" s="90">
        <v>6.238244514106583</v>
      </c>
      <c r="C341" s="90">
        <v>43.678160919540225</v>
      </c>
      <c r="D341" s="90">
        <v>1.1389759665621735</v>
      </c>
      <c r="E341" s="90">
        <v>72.3</v>
      </c>
      <c r="F341" s="90">
        <v>7.9</v>
      </c>
      <c r="G341" s="90">
        <v>4.3</v>
      </c>
      <c r="H341" s="90">
        <v>0.0</v>
      </c>
      <c r="I341" s="90">
        <v>749.85</v>
      </c>
      <c r="J341" s="90">
        <v>1.0</v>
      </c>
      <c r="K341" s="90">
        <v>33.0</v>
      </c>
      <c r="L341" s="90">
        <v>19.1</v>
      </c>
      <c r="M341" s="90">
        <v>14.2</v>
      </c>
      <c r="N341" s="90">
        <v>33.7</v>
      </c>
    </row>
    <row r="342" ht="14.25" customHeight="1">
      <c r="A342" s="90">
        <v>51.72</v>
      </c>
      <c r="B342" s="90">
        <v>6.0</v>
      </c>
      <c r="C342" s="90">
        <v>41.48</v>
      </c>
      <c r="D342" s="90">
        <v>0.62</v>
      </c>
      <c r="E342" s="90">
        <v>70.3</v>
      </c>
      <c r="F342" s="90">
        <v>11.2</v>
      </c>
      <c r="G342" s="90">
        <v>3.3</v>
      </c>
      <c r="H342" s="90">
        <v>0.424</v>
      </c>
      <c r="I342" s="90">
        <v>747.85</v>
      </c>
      <c r="J342" s="90">
        <v>0.0</v>
      </c>
      <c r="K342" s="90">
        <v>9.06382978723404</v>
      </c>
      <c r="L342" s="90">
        <v>20.6808510638297</v>
      </c>
      <c r="M342" s="90">
        <v>2.5531914893617</v>
      </c>
      <c r="N342" s="90">
        <v>10.595744680851</v>
      </c>
    </row>
    <row r="343" ht="14.25" customHeight="1">
      <c r="A343" s="90">
        <v>51.72</v>
      </c>
      <c r="B343" s="90">
        <v>6.0</v>
      </c>
      <c r="C343" s="90">
        <v>41.48</v>
      </c>
      <c r="D343" s="90">
        <v>0.62</v>
      </c>
      <c r="E343" s="90">
        <v>70.3</v>
      </c>
      <c r="F343" s="90">
        <v>11.2</v>
      </c>
      <c r="G343" s="90">
        <v>3.3</v>
      </c>
      <c r="H343" s="90">
        <v>0.424</v>
      </c>
      <c r="I343" s="90">
        <v>713.85</v>
      </c>
      <c r="J343" s="90">
        <v>0.62</v>
      </c>
      <c r="K343" s="90">
        <v>7.91489361702129</v>
      </c>
      <c r="L343" s="90">
        <v>21.3191489361702</v>
      </c>
      <c r="M343" s="90">
        <v>2.42553191489362</v>
      </c>
      <c r="N343" s="90">
        <v>12.7659574468085</v>
      </c>
    </row>
    <row r="344" ht="14.25" customHeight="1">
      <c r="A344" s="90">
        <v>51.72</v>
      </c>
      <c r="B344" s="90">
        <v>6.0</v>
      </c>
      <c r="C344" s="90">
        <v>41.48</v>
      </c>
      <c r="D344" s="90">
        <v>0.62</v>
      </c>
      <c r="E344" s="90">
        <v>70.3</v>
      </c>
      <c r="F344" s="90">
        <v>11.2</v>
      </c>
      <c r="G344" s="90">
        <v>3.3</v>
      </c>
      <c r="H344" s="90">
        <v>0.424</v>
      </c>
      <c r="I344" s="90">
        <v>670.85</v>
      </c>
      <c r="J344" s="90">
        <v>1.16</v>
      </c>
      <c r="K344" s="90">
        <v>6.51063829787234</v>
      </c>
      <c r="L344" s="90">
        <v>21.7021276595744</v>
      </c>
      <c r="M344" s="90">
        <v>2.17021276595745</v>
      </c>
      <c r="N344" s="90">
        <v>15.5744680851063</v>
      </c>
    </row>
    <row r="345" ht="14.25" customHeight="1">
      <c r="A345" s="90">
        <v>51.72</v>
      </c>
      <c r="B345" s="90">
        <v>6.0</v>
      </c>
      <c r="C345" s="90">
        <v>41.48</v>
      </c>
      <c r="D345" s="90">
        <v>0.62</v>
      </c>
      <c r="E345" s="90">
        <v>70.3</v>
      </c>
      <c r="F345" s="90">
        <v>11.2</v>
      </c>
      <c r="G345" s="90">
        <v>3.3</v>
      </c>
      <c r="H345" s="90">
        <v>0.424</v>
      </c>
      <c r="I345" s="90">
        <v>565.85</v>
      </c>
      <c r="J345" s="90">
        <v>1.78</v>
      </c>
      <c r="K345" s="90">
        <v>6.12765957446808</v>
      </c>
      <c r="L345" s="90">
        <v>22.7234042553191</v>
      </c>
      <c r="M345" s="90">
        <v>1.91489361702127</v>
      </c>
      <c r="N345" s="90">
        <v>16.3404255319149</v>
      </c>
    </row>
    <row r="346" ht="14.25" customHeight="1">
      <c r="A346" s="90">
        <v>44.44</v>
      </c>
      <c r="B346" s="90">
        <v>6.17</v>
      </c>
      <c r="C346" s="90">
        <v>49.38</v>
      </c>
      <c r="D346" s="90">
        <v>0.009999999999990905</v>
      </c>
      <c r="E346" s="90">
        <v>93.96</v>
      </c>
      <c r="F346" s="90">
        <v>5.97</v>
      </c>
      <c r="G346" s="90">
        <v>0.08</v>
      </c>
      <c r="H346" s="90">
        <v>0.2</v>
      </c>
      <c r="I346" s="90">
        <v>799.85</v>
      </c>
      <c r="J346" s="90">
        <v>0.0</v>
      </c>
      <c r="K346" s="90">
        <v>14.97</v>
      </c>
      <c r="L346" s="90">
        <v>24.35</v>
      </c>
      <c r="M346" s="90">
        <v>3.03</v>
      </c>
      <c r="N346" s="90">
        <v>18.29</v>
      </c>
    </row>
    <row r="347" ht="14.25" customHeight="1">
      <c r="A347" s="90">
        <v>44.44</v>
      </c>
      <c r="B347" s="90">
        <v>6.17</v>
      </c>
      <c r="C347" s="90">
        <v>49.38</v>
      </c>
      <c r="D347" s="90">
        <v>0.009999999999990905</v>
      </c>
      <c r="E347" s="90">
        <v>93.96</v>
      </c>
      <c r="F347" s="90">
        <v>5.97</v>
      </c>
      <c r="G347" s="90">
        <v>0.08</v>
      </c>
      <c r="H347" s="90">
        <v>0.27</v>
      </c>
      <c r="I347" s="90">
        <v>799.85</v>
      </c>
      <c r="J347" s="90">
        <v>0.0</v>
      </c>
      <c r="K347" s="90">
        <v>12.23</v>
      </c>
      <c r="L347" s="90">
        <v>25.82</v>
      </c>
      <c r="M347" s="90">
        <v>2.79</v>
      </c>
      <c r="N347" s="90">
        <v>15.26</v>
      </c>
    </row>
    <row r="348" ht="14.25" customHeight="1">
      <c r="A348" s="90">
        <v>44.44</v>
      </c>
      <c r="B348" s="90">
        <v>6.17</v>
      </c>
      <c r="C348" s="90">
        <v>49.38</v>
      </c>
      <c r="D348" s="90">
        <v>0.009999999999990905</v>
      </c>
      <c r="E348" s="90">
        <v>93.96</v>
      </c>
      <c r="F348" s="90">
        <v>5.97</v>
      </c>
      <c r="G348" s="90">
        <v>0.08</v>
      </c>
      <c r="H348" s="90">
        <v>0.34</v>
      </c>
      <c r="I348" s="90">
        <v>799.85</v>
      </c>
      <c r="J348" s="90">
        <v>0.0</v>
      </c>
      <c r="K348" s="90">
        <v>9.9</v>
      </c>
      <c r="L348" s="90">
        <v>24.46</v>
      </c>
      <c r="M348" s="90">
        <v>1.63</v>
      </c>
      <c r="N348" s="90">
        <v>13.05</v>
      </c>
    </row>
    <row r="349" ht="14.25" customHeight="1">
      <c r="A349" s="90">
        <v>44.44</v>
      </c>
      <c r="B349" s="90">
        <v>6.17</v>
      </c>
      <c r="C349" s="90">
        <v>49.38</v>
      </c>
      <c r="D349" s="90">
        <v>0.009999999999990905</v>
      </c>
      <c r="E349" s="90">
        <v>93.96</v>
      </c>
      <c r="F349" s="90">
        <v>5.97</v>
      </c>
      <c r="G349" s="90">
        <v>0.08</v>
      </c>
      <c r="H349" s="90">
        <v>0.27</v>
      </c>
      <c r="I349" s="90">
        <v>799.85</v>
      </c>
      <c r="J349" s="90">
        <v>0.5</v>
      </c>
      <c r="K349" s="90">
        <v>8.5</v>
      </c>
      <c r="L349" s="90">
        <v>27.14</v>
      </c>
      <c r="M349" s="90">
        <v>2.56</v>
      </c>
      <c r="N349" s="90">
        <v>16.19</v>
      </c>
    </row>
    <row r="350" ht="14.25" customHeight="1">
      <c r="A350" s="90">
        <v>44.44</v>
      </c>
      <c r="B350" s="90">
        <v>6.17</v>
      </c>
      <c r="C350" s="90">
        <v>49.38</v>
      </c>
      <c r="D350" s="90">
        <v>0.009999999999990905</v>
      </c>
      <c r="E350" s="90">
        <v>93.96</v>
      </c>
      <c r="F350" s="90">
        <v>5.97</v>
      </c>
      <c r="G350" s="90">
        <v>0.08</v>
      </c>
      <c r="H350" s="90">
        <v>0.27</v>
      </c>
      <c r="I350" s="90">
        <v>799.85</v>
      </c>
      <c r="J350" s="90">
        <v>1.0</v>
      </c>
      <c r="K350" s="90">
        <v>9.09</v>
      </c>
      <c r="L350" s="90">
        <v>26.33</v>
      </c>
      <c r="M350" s="90">
        <v>2.69</v>
      </c>
      <c r="N350" s="90">
        <v>19.57</v>
      </c>
    </row>
    <row r="351" ht="14.25" customHeight="1">
      <c r="A351" s="90">
        <v>44.44</v>
      </c>
      <c r="B351" s="90">
        <v>6.17</v>
      </c>
      <c r="C351" s="90">
        <v>49.38</v>
      </c>
      <c r="D351" s="90">
        <v>0.009999999999990905</v>
      </c>
      <c r="E351" s="90">
        <v>93.96</v>
      </c>
      <c r="F351" s="90">
        <v>5.97</v>
      </c>
      <c r="G351" s="90">
        <v>0.08</v>
      </c>
      <c r="H351" s="90">
        <v>0.2</v>
      </c>
      <c r="I351" s="90">
        <v>899.85</v>
      </c>
      <c r="J351" s="90">
        <v>0.0</v>
      </c>
      <c r="K351" s="90">
        <v>18.87</v>
      </c>
      <c r="L351" s="90">
        <v>21.08</v>
      </c>
      <c r="M351" s="90">
        <v>3.96</v>
      </c>
      <c r="N351" s="90">
        <v>22.37</v>
      </c>
    </row>
    <row r="352" ht="14.25" customHeight="1">
      <c r="A352" s="90">
        <v>48.78</v>
      </c>
      <c r="B352" s="90">
        <v>5.7</v>
      </c>
      <c r="C352" s="90">
        <v>44.3</v>
      </c>
      <c r="D352" s="90">
        <v>1.01</v>
      </c>
      <c r="E352" s="90">
        <v>72.97143</v>
      </c>
      <c r="F352" s="90">
        <v>9.7</v>
      </c>
      <c r="G352" s="90">
        <v>4.46082</v>
      </c>
      <c r="H352" s="90">
        <v>0.0</v>
      </c>
      <c r="I352" s="90">
        <v>692.0</v>
      </c>
      <c r="J352" s="90">
        <v>0.5</v>
      </c>
      <c r="K352" s="90">
        <v>25.55</v>
      </c>
      <c r="L352" s="90">
        <v>20.39</v>
      </c>
      <c r="M352" s="90">
        <v>18.31</v>
      </c>
      <c r="N352" s="90">
        <v>35.75</v>
      </c>
    </row>
    <row r="353" ht="14.25" customHeight="1">
      <c r="A353" s="90">
        <v>48.78</v>
      </c>
      <c r="B353" s="90">
        <v>5.7</v>
      </c>
      <c r="C353" s="90">
        <v>44.3</v>
      </c>
      <c r="D353" s="90">
        <v>1.01</v>
      </c>
      <c r="E353" s="90">
        <v>72.97143</v>
      </c>
      <c r="F353" s="90">
        <v>9.7</v>
      </c>
      <c r="G353" s="90">
        <v>4.46082</v>
      </c>
      <c r="H353" s="90">
        <v>0.0</v>
      </c>
      <c r="I353" s="90">
        <v>692.0</v>
      </c>
      <c r="J353" s="90">
        <v>1.0</v>
      </c>
      <c r="K353" s="90">
        <v>10.59</v>
      </c>
      <c r="L353" s="90">
        <v>12.06</v>
      </c>
      <c r="M353" s="90">
        <v>14.77</v>
      </c>
      <c r="N353" s="90">
        <v>62.56</v>
      </c>
    </row>
    <row r="354" ht="14.25" customHeight="1">
      <c r="A354" s="90">
        <v>48.78</v>
      </c>
      <c r="B354" s="90">
        <v>5.7</v>
      </c>
      <c r="C354" s="90">
        <v>44.3</v>
      </c>
      <c r="D354" s="90">
        <v>1.01</v>
      </c>
      <c r="E354" s="90">
        <v>72.97143</v>
      </c>
      <c r="F354" s="90">
        <v>9.7</v>
      </c>
      <c r="G354" s="90">
        <v>4.46082</v>
      </c>
      <c r="H354" s="90">
        <v>0.0</v>
      </c>
      <c r="I354" s="90">
        <v>692.0</v>
      </c>
      <c r="J354" s="90">
        <v>1.5</v>
      </c>
      <c r="K354" s="90">
        <v>5.93</v>
      </c>
      <c r="L354" s="90">
        <v>5.48</v>
      </c>
      <c r="M354" s="90">
        <v>8.81</v>
      </c>
      <c r="N354" s="90">
        <v>79.77</v>
      </c>
    </row>
    <row r="355" ht="14.25" customHeight="1">
      <c r="A355" s="90">
        <v>48.78</v>
      </c>
      <c r="B355" s="90">
        <v>5.7</v>
      </c>
      <c r="C355" s="90">
        <v>44.3</v>
      </c>
      <c r="D355" s="90">
        <v>1.01</v>
      </c>
      <c r="E355" s="90">
        <v>72.97143</v>
      </c>
      <c r="F355" s="90">
        <v>9.7</v>
      </c>
      <c r="G355" s="90">
        <v>4.46082</v>
      </c>
      <c r="H355" s="90">
        <v>0.0</v>
      </c>
      <c r="I355" s="90">
        <v>650.0</v>
      </c>
      <c r="J355" s="90">
        <v>1.5</v>
      </c>
      <c r="K355" s="90">
        <v>13.11</v>
      </c>
      <c r="L355" s="90">
        <v>7.83</v>
      </c>
      <c r="M355" s="90">
        <v>14.98</v>
      </c>
      <c r="N355" s="90">
        <v>66.67</v>
      </c>
    </row>
    <row r="356" ht="14.25" customHeight="1">
      <c r="A356" s="90">
        <v>48.78</v>
      </c>
      <c r="B356" s="90">
        <v>5.7</v>
      </c>
      <c r="C356" s="90">
        <v>44.3</v>
      </c>
      <c r="D356" s="90">
        <v>1.01</v>
      </c>
      <c r="E356" s="90">
        <v>72.97143</v>
      </c>
      <c r="F356" s="90">
        <v>9.7</v>
      </c>
      <c r="G356" s="90">
        <v>4.46082</v>
      </c>
      <c r="H356" s="90">
        <v>0.0</v>
      </c>
      <c r="I356" s="90">
        <v>750.0</v>
      </c>
      <c r="J356" s="90">
        <v>1.5</v>
      </c>
      <c r="K356" s="90">
        <v>10.35</v>
      </c>
      <c r="L356" s="90">
        <v>8.39</v>
      </c>
      <c r="M356" s="90">
        <v>10.94</v>
      </c>
      <c r="N356" s="90">
        <v>71.31</v>
      </c>
    </row>
    <row r="357" ht="14.25" customHeight="1">
      <c r="A357" s="90">
        <v>49.74</v>
      </c>
      <c r="B357" s="90">
        <v>5.68</v>
      </c>
      <c r="C357" s="90">
        <v>43.36</v>
      </c>
      <c r="D357" s="90">
        <v>1.02</v>
      </c>
      <c r="E357" s="90">
        <v>73.143588</v>
      </c>
      <c r="F357" s="90">
        <v>9.61</v>
      </c>
      <c r="G357" s="90">
        <v>3.895809</v>
      </c>
      <c r="H357" s="90">
        <v>0.0</v>
      </c>
      <c r="I357" s="90">
        <v>675.0</v>
      </c>
      <c r="J357" s="90">
        <v>2.0</v>
      </c>
      <c r="K357" s="90">
        <v>14.37</v>
      </c>
      <c r="L357" s="90">
        <v>11.52</v>
      </c>
      <c r="M357" s="90">
        <v>11.61</v>
      </c>
      <c r="N357" s="90">
        <v>65.52</v>
      </c>
    </row>
    <row r="358" ht="14.25" customHeight="1">
      <c r="A358" s="90">
        <v>49.74</v>
      </c>
      <c r="B358" s="90">
        <v>5.68</v>
      </c>
      <c r="C358" s="90">
        <v>43.36</v>
      </c>
      <c r="D358" s="90">
        <v>1.02</v>
      </c>
      <c r="E358" s="90">
        <v>73.143588</v>
      </c>
      <c r="F358" s="90">
        <v>9.61</v>
      </c>
      <c r="G358" s="90">
        <v>3.895809</v>
      </c>
      <c r="H358" s="90">
        <v>0.0</v>
      </c>
      <c r="I358" s="90">
        <v>675.0</v>
      </c>
      <c r="J358" s="90">
        <v>2.0</v>
      </c>
      <c r="K358" s="90">
        <v>6.45</v>
      </c>
      <c r="L358" s="90">
        <v>0.0</v>
      </c>
      <c r="M358" s="90">
        <v>11.43</v>
      </c>
      <c r="N358" s="90">
        <v>82.11</v>
      </c>
    </row>
    <row r="359" ht="14.25" customHeight="1">
      <c r="A359" s="90">
        <v>49.74</v>
      </c>
      <c r="B359" s="90">
        <v>5.68</v>
      </c>
      <c r="C359" s="90">
        <v>43.36</v>
      </c>
      <c r="D359" s="90">
        <v>1.02</v>
      </c>
      <c r="E359" s="90">
        <v>73.143588</v>
      </c>
      <c r="F359" s="90">
        <v>9.61</v>
      </c>
      <c r="G359" s="90">
        <v>3.895809</v>
      </c>
      <c r="H359" s="90">
        <v>0.0</v>
      </c>
      <c r="I359" s="90">
        <v>675.0</v>
      </c>
      <c r="J359" s="90">
        <v>2.0</v>
      </c>
      <c r="K359" s="90">
        <v>4.27</v>
      </c>
      <c r="L359" s="90">
        <v>1.15</v>
      </c>
      <c r="M359" s="90">
        <v>9.95</v>
      </c>
      <c r="N359" s="90">
        <v>84.62</v>
      </c>
    </row>
    <row r="360" ht="14.25" customHeight="1">
      <c r="A360" s="90">
        <v>49.74</v>
      </c>
      <c r="B360" s="90">
        <v>5.68</v>
      </c>
      <c r="C360" s="90">
        <v>43.36</v>
      </c>
      <c r="D360" s="90">
        <v>1.02</v>
      </c>
      <c r="E360" s="90">
        <v>73.143588</v>
      </c>
      <c r="F360" s="90">
        <v>9.61</v>
      </c>
      <c r="G360" s="90">
        <v>3.895809</v>
      </c>
      <c r="H360" s="90">
        <v>0.0</v>
      </c>
      <c r="I360" s="90">
        <v>675.0</v>
      </c>
      <c r="J360" s="90">
        <v>2.0</v>
      </c>
      <c r="K360" s="90">
        <v>8.45</v>
      </c>
      <c r="L360" s="90">
        <v>14.83</v>
      </c>
      <c r="M360" s="90">
        <v>13.22</v>
      </c>
      <c r="N360" s="90">
        <v>67.24</v>
      </c>
    </row>
    <row r="361" ht="14.25" customHeight="1">
      <c r="A361" s="90">
        <v>49.74</v>
      </c>
      <c r="B361" s="90">
        <v>5.68</v>
      </c>
      <c r="C361" s="90">
        <v>43.36</v>
      </c>
      <c r="D361" s="90">
        <v>1.02</v>
      </c>
      <c r="E361" s="90">
        <v>73.143588</v>
      </c>
      <c r="F361" s="90">
        <v>9.61</v>
      </c>
      <c r="G361" s="90">
        <v>3.895809</v>
      </c>
      <c r="H361" s="90">
        <v>0.0</v>
      </c>
      <c r="I361" s="90">
        <v>675.0</v>
      </c>
      <c r="J361" s="90">
        <v>2.0</v>
      </c>
      <c r="K361" s="90">
        <v>15.93</v>
      </c>
      <c r="L361" s="90">
        <v>2.19</v>
      </c>
      <c r="M361" s="90">
        <v>24.1</v>
      </c>
      <c r="N361" s="90">
        <v>57.77</v>
      </c>
    </row>
    <row r="362" ht="14.25" customHeight="1">
      <c r="A362" s="90">
        <v>49.74</v>
      </c>
      <c r="B362" s="90">
        <v>5.68</v>
      </c>
      <c r="C362" s="90">
        <v>43.36</v>
      </c>
      <c r="D362" s="90">
        <v>1.02</v>
      </c>
      <c r="E362" s="90">
        <v>73.143588</v>
      </c>
      <c r="F362" s="90">
        <v>9.61</v>
      </c>
      <c r="G362" s="90">
        <v>3.895809</v>
      </c>
      <c r="H362" s="90">
        <v>0.0</v>
      </c>
      <c r="I362" s="90">
        <v>675.0</v>
      </c>
      <c r="J362" s="90">
        <v>2.0</v>
      </c>
      <c r="K362" s="90">
        <v>12.37</v>
      </c>
      <c r="L362" s="90">
        <v>3.91</v>
      </c>
      <c r="M362" s="90">
        <v>1.33</v>
      </c>
      <c r="N362" s="90">
        <v>82.42</v>
      </c>
    </row>
    <row r="363" ht="14.25" customHeight="1">
      <c r="A363" s="90">
        <v>50.9</v>
      </c>
      <c r="B363" s="90">
        <v>3.76</v>
      </c>
      <c r="C363" s="90">
        <v>45.03</v>
      </c>
      <c r="D363" s="90">
        <v>0.266</v>
      </c>
      <c r="E363" s="90">
        <v>68.41</v>
      </c>
      <c r="F363" s="90">
        <v>14.85</v>
      </c>
      <c r="G363" s="90">
        <v>0.45</v>
      </c>
      <c r="H363" s="90">
        <v>0.0</v>
      </c>
      <c r="I363" s="90">
        <v>570.0</v>
      </c>
      <c r="J363" s="90">
        <v>1.7</v>
      </c>
      <c r="K363" s="90">
        <v>19.86</v>
      </c>
      <c r="L363" s="90">
        <v>3.36</v>
      </c>
      <c r="M363" s="90">
        <v>19.57</v>
      </c>
      <c r="N363" s="90">
        <v>47.18</v>
      </c>
    </row>
    <row r="364" ht="14.25" customHeight="1">
      <c r="A364" s="90">
        <v>50.9</v>
      </c>
      <c r="B364" s="90">
        <v>3.76</v>
      </c>
      <c r="C364" s="90">
        <v>45.03</v>
      </c>
      <c r="D364" s="90">
        <v>0.266</v>
      </c>
      <c r="E364" s="90">
        <v>68.41</v>
      </c>
      <c r="F364" s="90">
        <v>14.85</v>
      </c>
      <c r="G364" s="90">
        <v>0.45</v>
      </c>
      <c r="H364" s="90">
        <v>0.0</v>
      </c>
      <c r="I364" s="90">
        <v>630.0</v>
      </c>
      <c r="J364" s="90">
        <v>1.7</v>
      </c>
      <c r="K364" s="90">
        <v>16.07</v>
      </c>
      <c r="L364" s="90">
        <v>6.86</v>
      </c>
      <c r="M364" s="90">
        <v>18.55</v>
      </c>
      <c r="N364" s="90">
        <v>49.37</v>
      </c>
    </row>
    <row r="365" ht="14.25" customHeight="1">
      <c r="A365" s="90">
        <v>50.9</v>
      </c>
      <c r="B365" s="90">
        <v>3.76</v>
      </c>
      <c r="C365" s="90">
        <v>45.03</v>
      </c>
      <c r="D365" s="90">
        <v>0.266</v>
      </c>
      <c r="E365" s="90">
        <v>68.41</v>
      </c>
      <c r="F365" s="90">
        <v>14.85</v>
      </c>
      <c r="G365" s="90">
        <v>0.45</v>
      </c>
      <c r="H365" s="90">
        <v>0.0</v>
      </c>
      <c r="I365" s="90">
        <v>684.0</v>
      </c>
      <c r="J365" s="90">
        <v>1.7</v>
      </c>
      <c r="K365" s="90">
        <v>13.44</v>
      </c>
      <c r="L365" s="90">
        <v>7.45</v>
      </c>
      <c r="M365" s="90">
        <v>15.77</v>
      </c>
      <c r="N365" s="90">
        <v>56.67</v>
      </c>
    </row>
    <row r="366" ht="14.25" customHeight="1">
      <c r="A366" s="90">
        <v>50.9</v>
      </c>
      <c r="B366" s="90">
        <v>3.76</v>
      </c>
      <c r="C366" s="90">
        <v>45.03</v>
      </c>
      <c r="D366" s="90">
        <v>0.266</v>
      </c>
      <c r="E366" s="90">
        <v>68.41</v>
      </c>
      <c r="F366" s="90">
        <v>14.85</v>
      </c>
      <c r="G366" s="90">
        <v>0.45</v>
      </c>
      <c r="H366" s="90">
        <v>0.0</v>
      </c>
      <c r="I366" s="90">
        <v>740.0</v>
      </c>
      <c r="J366" s="90">
        <v>1.7</v>
      </c>
      <c r="K366" s="90">
        <v>13.58</v>
      </c>
      <c r="L366" s="90">
        <v>14.6</v>
      </c>
      <c r="M366" s="90">
        <v>9.93</v>
      </c>
      <c r="N366" s="90">
        <v>57.99</v>
      </c>
    </row>
    <row r="367" ht="14.25" customHeight="1">
      <c r="A367" s="90">
        <v>54.995398302484915</v>
      </c>
      <c r="B367" s="90">
        <v>7.362716024133347</v>
      </c>
      <c r="C367" s="90">
        <v>37.12035995500562</v>
      </c>
      <c r="D367" s="90">
        <v>0.0</v>
      </c>
      <c r="E367" s="90">
        <v>73.74</v>
      </c>
      <c r="F367" s="90">
        <v>5.73</v>
      </c>
      <c r="G367" s="90">
        <v>2.21</v>
      </c>
      <c r="H367" s="90">
        <v>0.0</v>
      </c>
      <c r="I367" s="90">
        <v>800.0</v>
      </c>
      <c r="J367" s="90">
        <v>1.33</v>
      </c>
      <c r="K367" s="90">
        <v>25.8</v>
      </c>
      <c r="L367" s="90">
        <v>24.5</v>
      </c>
      <c r="M367" s="90">
        <v>10.2</v>
      </c>
      <c r="N367" s="90">
        <v>36.5</v>
      </c>
    </row>
    <row r="368" ht="14.25" customHeight="1">
      <c r="A368" s="90">
        <v>53.10024294919193</v>
      </c>
      <c r="B368" s="90">
        <v>7.46804689975705</v>
      </c>
      <c r="C368" s="90">
        <v>38.32259427484948</v>
      </c>
      <c r="D368" s="90">
        <v>0.44364635048061685</v>
      </c>
      <c r="E368" s="90">
        <v>75.99</v>
      </c>
      <c r="F368" s="90">
        <v>6.56</v>
      </c>
      <c r="G368" s="90">
        <v>5.33</v>
      </c>
      <c r="H368" s="90">
        <v>0.0</v>
      </c>
      <c r="I368" s="90">
        <v>800.0</v>
      </c>
      <c r="J368" s="90">
        <v>1.33</v>
      </c>
      <c r="K368" s="90">
        <v>25.8</v>
      </c>
      <c r="L368" s="90">
        <v>24.5</v>
      </c>
      <c r="M368" s="90">
        <v>10.2</v>
      </c>
      <c r="N368" s="90">
        <v>36.5</v>
      </c>
    </row>
    <row r="369" ht="14.25" customHeight="1">
      <c r="A369" s="90">
        <v>50.30934213239843</v>
      </c>
      <c r="B369" s="90">
        <v>7.558259434935038</v>
      </c>
      <c r="C369" s="90">
        <v>41.431222932563415</v>
      </c>
      <c r="D369" s="90">
        <v>0.0</v>
      </c>
      <c r="E369" s="90">
        <v>79.67</v>
      </c>
      <c r="F369" s="90">
        <v>8.75</v>
      </c>
      <c r="G369" s="90">
        <v>3.02</v>
      </c>
      <c r="H369" s="90">
        <v>0.0</v>
      </c>
      <c r="I369" s="90">
        <v>800.0</v>
      </c>
      <c r="J369" s="90">
        <v>1.33</v>
      </c>
      <c r="K369" s="90">
        <v>25.8</v>
      </c>
      <c r="L369" s="90">
        <v>24.5</v>
      </c>
      <c r="M369" s="90">
        <v>10.2</v>
      </c>
      <c r="N369" s="90">
        <v>36.5</v>
      </c>
    </row>
    <row r="370" ht="14.25" customHeight="1">
      <c r="A370" s="90">
        <v>54.995398302484915</v>
      </c>
      <c r="B370" s="90">
        <v>7.362716024133347</v>
      </c>
      <c r="C370" s="90">
        <v>37.12035995500562</v>
      </c>
      <c r="D370" s="90">
        <v>0.0</v>
      </c>
      <c r="E370" s="90">
        <v>73.74</v>
      </c>
      <c r="F370" s="90">
        <v>5.73</v>
      </c>
      <c r="G370" s="90">
        <v>2.21</v>
      </c>
      <c r="H370" s="90">
        <v>0.0</v>
      </c>
      <c r="I370" s="90">
        <v>800.0</v>
      </c>
      <c r="J370" s="90">
        <v>1.33</v>
      </c>
      <c r="K370" s="90">
        <v>12.7</v>
      </c>
      <c r="L370" s="90">
        <v>26.6</v>
      </c>
      <c r="M370" s="90">
        <v>14.9</v>
      </c>
      <c r="N370" s="90">
        <v>40.6</v>
      </c>
    </row>
    <row r="371" ht="14.25" customHeight="1">
      <c r="A371" s="90">
        <v>53.10024294919193</v>
      </c>
      <c r="B371" s="90">
        <v>7.46804689975705</v>
      </c>
      <c r="C371" s="90">
        <v>38.32259427484948</v>
      </c>
      <c r="D371" s="90">
        <v>0.44364635048061685</v>
      </c>
      <c r="E371" s="90">
        <v>75.99</v>
      </c>
      <c r="F371" s="90">
        <v>6.56</v>
      </c>
      <c r="G371" s="90">
        <v>5.33</v>
      </c>
      <c r="H371" s="90">
        <v>0.0</v>
      </c>
      <c r="I371" s="90">
        <v>800.0</v>
      </c>
      <c r="J371" s="90">
        <v>1.33</v>
      </c>
      <c r="K371" s="90">
        <v>12.7</v>
      </c>
      <c r="L371" s="90">
        <v>26.6</v>
      </c>
      <c r="M371" s="90">
        <v>14.9</v>
      </c>
      <c r="N371" s="90">
        <v>40.6</v>
      </c>
    </row>
    <row r="372" ht="14.25" customHeight="1">
      <c r="A372" s="90">
        <v>50.30934213239843</v>
      </c>
      <c r="B372" s="90">
        <v>7.558259434935038</v>
      </c>
      <c r="C372" s="90">
        <v>41.431222932563415</v>
      </c>
      <c r="D372" s="90">
        <v>0.0</v>
      </c>
      <c r="E372" s="90">
        <v>79.67</v>
      </c>
      <c r="F372" s="90">
        <v>8.75</v>
      </c>
      <c r="G372" s="90">
        <v>3.02</v>
      </c>
      <c r="H372" s="90">
        <v>0.0</v>
      </c>
      <c r="I372" s="90">
        <v>800.0</v>
      </c>
      <c r="J372" s="90">
        <v>1.33</v>
      </c>
      <c r="K372" s="90">
        <v>12.7</v>
      </c>
      <c r="L372" s="90">
        <v>26.6</v>
      </c>
      <c r="M372" s="90">
        <v>14.9</v>
      </c>
      <c r="N372" s="90">
        <v>40.6</v>
      </c>
    </row>
    <row r="373" ht="14.25" customHeight="1">
      <c r="A373" s="90">
        <v>54.995398302484915</v>
      </c>
      <c r="B373" s="90">
        <v>7.362716024133347</v>
      </c>
      <c r="C373" s="90">
        <v>37.12035995500562</v>
      </c>
      <c r="D373" s="90">
        <v>0.0</v>
      </c>
      <c r="E373" s="90">
        <v>73.74</v>
      </c>
      <c r="F373" s="90">
        <v>5.73</v>
      </c>
      <c r="G373" s="90">
        <v>2.21</v>
      </c>
      <c r="H373" s="90">
        <v>0.0</v>
      </c>
      <c r="I373" s="90">
        <v>800.0</v>
      </c>
      <c r="J373" s="90">
        <v>1.33</v>
      </c>
      <c r="K373" s="90">
        <v>20.5</v>
      </c>
      <c r="L373" s="90">
        <v>20.9</v>
      </c>
      <c r="M373" s="90">
        <v>4.4</v>
      </c>
      <c r="N373" s="90">
        <v>53.6</v>
      </c>
    </row>
    <row r="374" ht="14.25" customHeight="1">
      <c r="A374" s="90">
        <v>53.10024294919193</v>
      </c>
      <c r="B374" s="90">
        <v>7.46804689975705</v>
      </c>
      <c r="C374" s="90">
        <v>38.32259427484948</v>
      </c>
      <c r="D374" s="90">
        <v>0.44364635048061685</v>
      </c>
      <c r="E374" s="90">
        <v>75.99</v>
      </c>
      <c r="F374" s="90">
        <v>6.56</v>
      </c>
      <c r="G374" s="90">
        <v>5.33</v>
      </c>
      <c r="H374" s="90">
        <v>0.0</v>
      </c>
      <c r="I374" s="90">
        <v>800.0</v>
      </c>
      <c r="J374" s="90">
        <v>1.33</v>
      </c>
      <c r="K374" s="90">
        <v>20.5</v>
      </c>
      <c r="L374" s="90">
        <v>20.9</v>
      </c>
      <c r="M374" s="90">
        <v>4.4</v>
      </c>
      <c r="N374" s="90">
        <v>53.6</v>
      </c>
    </row>
    <row r="375" ht="14.25" customHeight="1">
      <c r="A375" s="90">
        <v>50.30934213239843</v>
      </c>
      <c r="B375" s="90">
        <v>7.558259434935038</v>
      </c>
      <c r="C375" s="90">
        <v>41.431222932563415</v>
      </c>
      <c r="D375" s="90">
        <v>0.0</v>
      </c>
      <c r="E375" s="90">
        <v>79.67</v>
      </c>
      <c r="F375" s="90">
        <v>8.75</v>
      </c>
      <c r="G375" s="90">
        <v>3.02</v>
      </c>
      <c r="H375" s="90">
        <v>0.0</v>
      </c>
      <c r="I375" s="90">
        <v>800.0</v>
      </c>
      <c r="J375" s="90">
        <v>1.33</v>
      </c>
      <c r="K375" s="90">
        <v>20.5</v>
      </c>
      <c r="L375" s="90">
        <v>20.9</v>
      </c>
      <c r="M375" s="90">
        <v>4.4</v>
      </c>
      <c r="N375" s="90">
        <v>53.6</v>
      </c>
    </row>
    <row r="376" ht="14.25" customHeight="1">
      <c r="A376" s="90">
        <v>54.995398302484915</v>
      </c>
      <c r="B376" s="90">
        <v>7.362716024133347</v>
      </c>
      <c r="C376" s="90">
        <v>37.12035995500562</v>
      </c>
      <c r="D376" s="90">
        <v>0.0</v>
      </c>
      <c r="E376" s="90">
        <v>73.74</v>
      </c>
      <c r="F376" s="90">
        <v>5.73</v>
      </c>
      <c r="G376" s="90">
        <v>2.21</v>
      </c>
      <c r="H376" s="90">
        <v>0.0</v>
      </c>
      <c r="I376" s="90">
        <v>800.0</v>
      </c>
      <c r="J376" s="90">
        <v>1.33</v>
      </c>
      <c r="K376" s="90">
        <v>24.79</v>
      </c>
      <c r="L376" s="90">
        <v>19.64</v>
      </c>
      <c r="M376" s="90">
        <v>6.8</v>
      </c>
      <c r="N376" s="90">
        <v>48.23</v>
      </c>
    </row>
    <row r="377" ht="14.25" customHeight="1">
      <c r="A377" s="90">
        <v>53.10024294919193</v>
      </c>
      <c r="B377" s="90">
        <v>7.46804689975705</v>
      </c>
      <c r="C377" s="90">
        <v>38.32259427484948</v>
      </c>
      <c r="D377" s="90">
        <v>0.44364635048061685</v>
      </c>
      <c r="E377" s="90">
        <v>75.99</v>
      </c>
      <c r="F377" s="90">
        <v>6.56</v>
      </c>
      <c r="G377" s="90">
        <v>5.33</v>
      </c>
      <c r="H377" s="90">
        <v>0.0</v>
      </c>
      <c r="I377" s="90">
        <v>800.0</v>
      </c>
      <c r="J377" s="90">
        <v>1.33</v>
      </c>
      <c r="K377" s="90">
        <v>24.79</v>
      </c>
      <c r="L377" s="90">
        <v>19.64</v>
      </c>
      <c r="M377" s="90">
        <v>6.8</v>
      </c>
      <c r="N377" s="90">
        <v>48.23</v>
      </c>
    </row>
    <row r="378" ht="14.25" customHeight="1">
      <c r="A378" s="90">
        <v>50.30934213239843</v>
      </c>
      <c r="B378" s="90">
        <v>7.558259434935038</v>
      </c>
      <c r="C378" s="90">
        <v>41.431222932563415</v>
      </c>
      <c r="D378" s="90">
        <v>0.0</v>
      </c>
      <c r="E378" s="90">
        <v>79.67</v>
      </c>
      <c r="F378" s="90">
        <v>8.75</v>
      </c>
      <c r="G378" s="90">
        <v>3.02</v>
      </c>
      <c r="H378" s="90">
        <v>0.0</v>
      </c>
      <c r="I378" s="90">
        <v>800.0</v>
      </c>
      <c r="J378" s="90">
        <v>1.33</v>
      </c>
      <c r="K378" s="90">
        <v>24.79</v>
      </c>
      <c r="L378" s="90">
        <v>19.64</v>
      </c>
      <c r="M378" s="90">
        <v>6.8</v>
      </c>
      <c r="N378" s="90">
        <v>48.23</v>
      </c>
    </row>
    <row r="379" ht="14.25" customHeight="1">
      <c r="A379" s="90">
        <v>54.995398302484915</v>
      </c>
      <c r="B379" s="90">
        <v>7.362716024133347</v>
      </c>
      <c r="C379" s="90">
        <v>37.12035995500562</v>
      </c>
      <c r="D379" s="90">
        <v>0.0</v>
      </c>
      <c r="E379" s="90">
        <v>73.74</v>
      </c>
      <c r="F379" s="90">
        <v>5.73</v>
      </c>
      <c r="G379" s="90">
        <v>2.21</v>
      </c>
      <c r="H379" s="90">
        <v>0.0</v>
      </c>
      <c r="I379" s="90">
        <v>800.0</v>
      </c>
      <c r="J379" s="90">
        <v>1.33</v>
      </c>
      <c r="K379" s="90">
        <v>20.77</v>
      </c>
      <c r="L379" s="90">
        <v>21.06</v>
      </c>
      <c r="M379" s="90">
        <v>4.53</v>
      </c>
      <c r="N379" s="90">
        <v>53.54</v>
      </c>
    </row>
    <row r="380" ht="14.25" customHeight="1">
      <c r="A380" s="90">
        <v>53.10024294919193</v>
      </c>
      <c r="B380" s="90">
        <v>7.46804689975705</v>
      </c>
      <c r="C380" s="90">
        <v>38.32259427484948</v>
      </c>
      <c r="D380" s="90">
        <v>0.44364635048061685</v>
      </c>
      <c r="E380" s="90">
        <v>75.99</v>
      </c>
      <c r="F380" s="90">
        <v>6.56</v>
      </c>
      <c r="G380" s="90">
        <v>5.33</v>
      </c>
      <c r="H380" s="90">
        <v>0.0</v>
      </c>
      <c r="I380" s="90">
        <v>800.0</v>
      </c>
      <c r="J380" s="90">
        <v>1.33</v>
      </c>
      <c r="K380" s="90">
        <v>20.77</v>
      </c>
      <c r="L380" s="90">
        <v>21.06</v>
      </c>
      <c r="M380" s="90">
        <v>4.53</v>
      </c>
      <c r="N380" s="90">
        <v>53.54</v>
      </c>
    </row>
    <row r="381" ht="14.25" customHeight="1">
      <c r="A381" s="90">
        <v>50.30934213239843</v>
      </c>
      <c r="B381" s="90">
        <v>7.558259434935038</v>
      </c>
      <c r="C381" s="90">
        <v>41.431222932563415</v>
      </c>
      <c r="D381" s="90">
        <v>0.0</v>
      </c>
      <c r="E381" s="90">
        <v>79.67</v>
      </c>
      <c r="F381" s="90">
        <v>8.75</v>
      </c>
      <c r="G381" s="90">
        <v>3.02</v>
      </c>
      <c r="H381" s="90">
        <v>0.0</v>
      </c>
      <c r="I381" s="90">
        <v>800.0</v>
      </c>
      <c r="J381" s="90">
        <v>1.33</v>
      </c>
      <c r="K381" s="90">
        <v>20.77</v>
      </c>
      <c r="L381" s="90">
        <v>21.06</v>
      </c>
      <c r="M381" s="90">
        <v>4.53</v>
      </c>
      <c r="N381" s="90">
        <v>53.54</v>
      </c>
    </row>
    <row r="382" ht="14.25" customHeight="1">
      <c r="A382" s="90">
        <v>54.995398302484915</v>
      </c>
      <c r="B382" s="90">
        <v>7.362716024133347</v>
      </c>
      <c r="C382" s="90">
        <v>37.12035995500562</v>
      </c>
      <c r="D382" s="90">
        <v>0.0</v>
      </c>
      <c r="E382" s="90">
        <v>73.74</v>
      </c>
      <c r="F382" s="90">
        <v>5.73</v>
      </c>
      <c r="G382" s="90">
        <v>2.21</v>
      </c>
      <c r="H382" s="90">
        <v>0.0</v>
      </c>
      <c r="I382" s="90">
        <v>800.0</v>
      </c>
      <c r="J382" s="90">
        <v>1.33</v>
      </c>
      <c r="K382" s="90">
        <v>17.34</v>
      </c>
      <c r="L382" s="90">
        <v>22.5</v>
      </c>
      <c r="M382" s="90">
        <v>2.85</v>
      </c>
      <c r="N382" s="90">
        <v>56.9</v>
      </c>
    </row>
    <row r="383" ht="14.25" customHeight="1">
      <c r="A383" s="90">
        <v>53.10024294919193</v>
      </c>
      <c r="B383" s="90">
        <v>7.46804689975705</v>
      </c>
      <c r="C383" s="90">
        <v>38.32259427484948</v>
      </c>
      <c r="D383" s="90">
        <v>0.44364635048061685</v>
      </c>
      <c r="E383" s="90">
        <v>75.99</v>
      </c>
      <c r="F383" s="90">
        <v>6.56</v>
      </c>
      <c r="G383" s="90">
        <v>5.33</v>
      </c>
      <c r="H383" s="90">
        <v>0.0</v>
      </c>
      <c r="I383" s="90">
        <v>800.0</v>
      </c>
      <c r="J383" s="90">
        <v>1.33</v>
      </c>
      <c r="K383" s="90">
        <v>17.34</v>
      </c>
      <c r="L383" s="90">
        <v>22.5</v>
      </c>
      <c r="M383" s="90">
        <v>2.85</v>
      </c>
      <c r="N383" s="90">
        <v>56.9</v>
      </c>
    </row>
    <row r="384" ht="14.25" customHeight="1">
      <c r="A384" s="90">
        <v>50.30934213239843</v>
      </c>
      <c r="B384" s="90">
        <v>7.558259434935038</v>
      </c>
      <c r="C384" s="90">
        <v>41.431222932563415</v>
      </c>
      <c r="D384" s="90">
        <v>0.0</v>
      </c>
      <c r="E384" s="90">
        <v>79.67</v>
      </c>
      <c r="F384" s="90">
        <v>8.75</v>
      </c>
      <c r="G384" s="90">
        <v>3.02</v>
      </c>
      <c r="H384" s="90">
        <v>0.0</v>
      </c>
      <c r="I384" s="90">
        <v>800.0</v>
      </c>
      <c r="J384" s="90">
        <v>1.33</v>
      </c>
      <c r="K384" s="90">
        <v>17.34</v>
      </c>
      <c r="L384" s="90">
        <v>22.5</v>
      </c>
      <c r="M384" s="90">
        <v>2.85</v>
      </c>
      <c r="N384" s="90">
        <v>56.9</v>
      </c>
    </row>
    <row r="385" ht="14.25" customHeight="1">
      <c r="A385" s="90">
        <v>54.995398302484915</v>
      </c>
      <c r="B385" s="90">
        <v>7.362716024133347</v>
      </c>
      <c r="C385" s="90">
        <v>37.12035995500562</v>
      </c>
      <c r="D385" s="90">
        <v>0.0</v>
      </c>
      <c r="E385" s="90">
        <v>73.74</v>
      </c>
      <c r="F385" s="90">
        <v>5.73</v>
      </c>
      <c r="G385" s="90">
        <v>2.21</v>
      </c>
      <c r="H385" s="90">
        <v>0.0</v>
      </c>
      <c r="I385" s="90">
        <v>800.0</v>
      </c>
      <c r="J385" s="90">
        <v>1.33</v>
      </c>
      <c r="K385" s="90">
        <v>14.87</v>
      </c>
      <c r="L385" s="90">
        <v>23.04</v>
      </c>
      <c r="M385" s="90">
        <v>2.23</v>
      </c>
      <c r="N385" s="90">
        <v>59.6</v>
      </c>
    </row>
    <row r="386" ht="14.25" customHeight="1">
      <c r="A386" s="90">
        <v>53.10024294919193</v>
      </c>
      <c r="B386" s="90">
        <v>7.46804689975705</v>
      </c>
      <c r="C386" s="90">
        <v>38.32259427484948</v>
      </c>
      <c r="D386" s="90">
        <v>0.44364635048061685</v>
      </c>
      <c r="E386" s="90">
        <v>75.99</v>
      </c>
      <c r="F386" s="90">
        <v>6.56</v>
      </c>
      <c r="G386" s="90">
        <v>5.33</v>
      </c>
      <c r="H386" s="90">
        <v>0.0</v>
      </c>
      <c r="I386" s="90">
        <v>800.0</v>
      </c>
      <c r="J386" s="90">
        <v>1.33</v>
      </c>
      <c r="K386" s="90">
        <v>14.87</v>
      </c>
      <c r="L386" s="90">
        <v>23.04</v>
      </c>
      <c r="M386" s="90">
        <v>2.23</v>
      </c>
      <c r="N386" s="90">
        <v>59.6</v>
      </c>
    </row>
    <row r="387" ht="14.25" customHeight="1">
      <c r="A387" s="90">
        <v>50.30934213239843</v>
      </c>
      <c r="B387" s="90">
        <v>7.558259434935038</v>
      </c>
      <c r="C387" s="90">
        <v>41.431222932563415</v>
      </c>
      <c r="D387" s="90">
        <v>0.0</v>
      </c>
      <c r="E387" s="90">
        <v>79.67</v>
      </c>
      <c r="F387" s="90">
        <v>8.75</v>
      </c>
      <c r="G387" s="90">
        <v>3.02</v>
      </c>
      <c r="H387" s="90">
        <v>0.0</v>
      </c>
      <c r="I387" s="90">
        <v>800.0</v>
      </c>
      <c r="J387" s="90">
        <v>1.33</v>
      </c>
      <c r="K387" s="90">
        <v>14.87</v>
      </c>
      <c r="L387" s="90">
        <v>23.04</v>
      </c>
      <c r="M387" s="90">
        <v>2.23</v>
      </c>
      <c r="N387" s="90">
        <v>59.6</v>
      </c>
    </row>
    <row r="388" ht="14.25" customHeight="1">
      <c r="A388" s="90">
        <v>54.995398302484915</v>
      </c>
      <c r="B388" s="90">
        <v>7.362716024133347</v>
      </c>
      <c r="C388" s="90">
        <v>37.12035995500562</v>
      </c>
      <c r="D388" s="90">
        <v>0.0</v>
      </c>
      <c r="E388" s="90">
        <v>73.74</v>
      </c>
      <c r="F388" s="90">
        <v>5.73</v>
      </c>
      <c r="G388" s="90">
        <v>2.21</v>
      </c>
      <c r="H388" s="90">
        <v>0.0</v>
      </c>
      <c r="I388" s="90">
        <v>800.0</v>
      </c>
      <c r="J388" s="90">
        <v>0.67</v>
      </c>
      <c r="K388" s="90">
        <v>22.84</v>
      </c>
      <c r="L388" s="90">
        <v>19.83</v>
      </c>
      <c r="M388" s="90">
        <v>4.2</v>
      </c>
      <c r="N388" s="90">
        <v>52.58</v>
      </c>
    </row>
    <row r="389" ht="14.25" customHeight="1">
      <c r="A389" s="90">
        <v>53.10024294919193</v>
      </c>
      <c r="B389" s="90">
        <v>7.46804689975705</v>
      </c>
      <c r="C389" s="90">
        <v>38.32259427484948</v>
      </c>
      <c r="D389" s="90">
        <v>0.44364635048061685</v>
      </c>
      <c r="E389" s="90">
        <v>75.99</v>
      </c>
      <c r="F389" s="90">
        <v>6.56</v>
      </c>
      <c r="G389" s="90">
        <v>5.33</v>
      </c>
      <c r="H389" s="90">
        <v>0.0</v>
      </c>
      <c r="I389" s="90">
        <v>800.0</v>
      </c>
      <c r="J389" s="90">
        <v>0.67</v>
      </c>
      <c r="K389" s="90">
        <v>22.84</v>
      </c>
      <c r="L389" s="90">
        <v>19.83</v>
      </c>
      <c r="M389" s="90">
        <v>4.2</v>
      </c>
      <c r="N389" s="90">
        <v>52.58</v>
      </c>
    </row>
    <row r="390" ht="14.25" customHeight="1">
      <c r="A390" s="90">
        <v>50.30934213239843</v>
      </c>
      <c r="B390" s="90">
        <v>7.558259434935038</v>
      </c>
      <c r="C390" s="90">
        <v>41.431222932563415</v>
      </c>
      <c r="D390" s="90">
        <v>0.0</v>
      </c>
      <c r="E390" s="90">
        <v>79.67</v>
      </c>
      <c r="F390" s="90">
        <v>8.75</v>
      </c>
      <c r="G390" s="90">
        <v>3.02</v>
      </c>
      <c r="H390" s="90">
        <v>0.0</v>
      </c>
      <c r="I390" s="90">
        <v>800.0</v>
      </c>
      <c r="J390" s="90">
        <v>0.67</v>
      </c>
      <c r="K390" s="90">
        <v>22.84</v>
      </c>
      <c r="L390" s="90">
        <v>19.83</v>
      </c>
      <c r="M390" s="90">
        <v>4.2</v>
      </c>
      <c r="N390" s="90">
        <v>52.58</v>
      </c>
    </row>
    <row r="391" ht="14.25" customHeight="1">
      <c r="A391" s="90">
        <v>54.995398302484915</v>
      </c>
      <c r="B391" s="90">
        <v>7.362716024133347</v>
      </c>
      <c r="C391" s="90">
        <v>37.12035995500562</v>
      </c>
      <c r="D391" s="90">
        <v>0.0</v>
      </c>
      <c r="E391" s="90">
        <v>73.74</v>
      </c>
      <c r="F391" s="90">
        <v>5.73</v>
      </c>
      <c r="G391" s="90">
        <v>2.21</v>
      </c>
      <c r="H391" s="90">
        <v>0.0</v>
      </c>
      <c r="I391" s="90">
        <v>800.0</v>
      </c>
      <c r="J391" s="90">
        <v>1.33</v>
      </c>
      <c r="K391" s="90">
        <v>15.03</v>
      </c>
      <c r="L391" s="90">
        <v>23.14</v>
      </c>
      <c r="M391" s="90">
        <v>2.4</v>
      </c>
      <c r="N391" s="90">
        <v>59.8</v>
      </c>
    </row>
    <row r="392" ht="14.25" customHeight="1">
      <c r="A392" s="90">
        <v>53.10024294919193</v>
      </c>
      <c r="B392" s="90">
        <v>7.46804689975705</v>
      </c>
      <c r="C392" s="90">
        <v>38.32259427484948</v>
      </c>
      <c r="D392" s="90">
        <v>0.44364635048061685</v>
      </c>
      <c r="E392" s="90">
        <v>75.99</v>
      </c>
      <c r="F392" s="90">
        <v>6.56</v>
      </c>
      <c r="G392" s="90">
        <v>5.33</v>
      </c>
      <c r="H392" s="90">
        <v>0.0</v>
      </c>
      <c r="I392" s="90">
        <v>800.0</v>
      </c>
      <c r="J392" s="90">
        <v>1.33</v>
      </c>
      <c r="K392" s="90">
        <v>15.03</v>
      </c>
      <c r="L392" s="90">
        <v>23.14</v>
      </c>
      <c r="M392" s="90">
        <v>2.4</v>
      </c>
      <c r="N392" s="90">
        <v>59.8</v>
      </c>
    </row>
    <row r="393" ht="14.25" customHeight="1">
      <c r="A393" s="90">
        <v>50.30934213239843</v>
      </c>
      <c r="B393" s="90">
        <v>7.558259434935038</v>
      </c>
      <c r="C393" s="90">
        <v>41.431222932563415</v>
      </c>
      <c r="D393" s="90">
        <v>0.0</v>
      </c>
      <c r="E393" s="90">
        <v>79.67</v>
      </c>
      <c r="F393" s="90">
        <v>8.75</v>
      </c>
      <c r="G393" s="90">
        <v>3.02</v>
      </c>
      <c r="H393" s="90">
        <v>0.0</v>
      </c>
      <c r="I393" s="90">
        <v>800.0</v>
      </c>
      <c r="J393" s="90">
        <v>1.33</v>
      </c>
      <c r="K393" s="90">
        <v>15.03</v>
      </c>
      <c r="L393" s="90">
        <v>23.14</v>
      </c>
      <c r="M393" s="90">
        <v>2.4</v>
      </c>
      <c r="N393" s="90">
        <v>59.8</v>
      </c>
    </row>
    <row r="394" ht="14.25" customHeight="1">
      <c r="A394" s="90">
        <v>54.995398302484915</v>
      </c>
      <c r="B394" s="90">
        <v>7.362716024133347</v>
      </c>
      <c r="C394" s="90">
        <v>37.12035995500562</v>
      </c>
      <c r="D394" s="90">
        <v>0.0</v>
      </c>
      <c r="E394" s="90">
        <v>73.74</v>
      </c>
      <c r="F394" s="90">
        <v>5.73</v>
      </c>
      <c r="G394" s="90">
        <v>2.21</v>
      </c>
      <c r="H394" s="90">
        <v>0.0</v>
      </c>
      <c r="I394" s="90">
        <v>800.0</v>
      </c>
      <c r="J394" s="90">
        <v>2.0</v>
      </c>
      <c r="K394" s="90">
        <v>13.82</v>
      </c>
      <c r="L394" s="90">
        <v>25.64</v>
      </c>
      <c r="M394" s="90">
        <v>2.1</v>
      </c>
      <c r="N394" s="90">
        <v>57.29</v>
      </c>
    </row>
    <row r="395" ht="14.25" customHeight="1">
      <c r="A395" s="90">
        <v>53.10024294919193</v>
      </c>
      <c r="B395" s="90">
        <v>7.46804689975705</v>
      </c>
      <c r="C395" s="90">
        <v>38.32259427484948</v>
      </c>
      <c r="D395" s="90">
        <v>0.44364635048061685</v>
      </c>
      <c r="E395" s="90">
        <v>75.99</v>
      </c>
      <c r="F395" s="90">
        <v>6.56</v>
      </c>
      <c r="G395" s="90">
        <v>5.33</v>
      </c>
      <c r="H395" s="90">
        <v>0.0</v>
      </c>
      <c r="I395" s="90">
        <v>800.0</v>
      </c>
      <c r="J395" s="90">
        <v>2.0</v>
      </c>
      <c r="K395" s="90">
        <v>13.82</v>
      </c>
      <c r="L395" s="90">
        <v>25.64</v>
      </c>
      <c r="M395" s="90">
        <v>2.1</v>
      </c>
      <c r="N395" s="90">
        <v>57.29</v>
      </c>
    </row>
    <row r="396" ht="14.25" customHeight="1">
      <c r="A396" s="90">
        <v>50.30934213239843</v>
      </c>
      <c r="B396" s="90">
        <v>7.558259434935038</v>
      </c>
      <c r="C396" s="90">
        <v>41.431222932563415</v>
      </c>
      <c r="D396" s="90">
        <v>0.0</v>
      </c>
      <c r="E396" s="90">
        <v>79.67</v>
      </c>
      <c r="F396" s="90">
        <v>8.75</v>
      </c>
      <c r="G396" s="90">
        <v>3.02</v>
      </c>
      <c r="H396" s="90">
        <v>0.0</v>
      </c>
      <c r="I396" s="90">
        <v>800.0</v>
      </c>
      <c r="J396" s="90">
        <v>2.0</v>
      </c>
      <c r="K396" s="90">
        <v>13.82</v>
      </c>
      <c r="L396" s="90">
        <v>25.64</v>
      </c>
      <c r="M396" s="90">
        <v>2.1</v>
      </c>
      <c r="N396" s="90">
        <v>57.29</v>
      </c>
    </row>
    <row r="397" ht="14.25" customHeight="1">
      <c r="A397" s="90">
        <v>54.995398302484915</v>
      </c>
      <c r="B397" s="90">
        <v>7.362716024133347</v>
      </c>
      <c r="C397" s="90">
        <v>37.12035995500562</v>
      </c>
      <c r="D397" s="90">
        <v>0.0</v>
      </c>
      <c r="E397" s="90">
        <v>73.74</v>
      </c>
      <c r="F397" s="90">
        <v>5.73</v>
      </c>
      <c r="G397" s="90">
        <v>2.21</v>
      </c>
      <c r="H397" s="90">
        <v>0.0</v>
      </c>
      <c r="I397" s="90">
        <v>800.0</v>
      </c>
      <c r="J397" s="90">
        <v>2.67</v>
      </c>
      <c r="K397" s="90">
        <v>13.62</v>
      </c>
      <c r="L397" s="90">
        <v>26.85</v>
      </c>
      <c r="M397" s="90">
        <v>2.6</v>
      </c>
      <c r="N397" s="90">
        <v>56.69</v>
      </c>
    </row>
    <row r="398" ht="14.25" customHeight="1">
      <c r="A398" s="90">
        <v>53.10024294919193</v>
      </c>
      <c r="B398" s="90">
        <v>7.46804689975705</v>
      </c>
      <c r="C398" s="90">
        <v>38.32259427484948</v>
      </c>
      <c r="D398" s="90">
        <v>0.44364635048061685</v>
      </c>
      <c r="E398" s="90">
        <v>75.99</v>
      </c>
      <c r="F398" s="90">
        <v>6.56</v>
      </c>
      <c r="G398" s="90">
        <v>5.33</v>
      </c>
      <c r="H398" s="90">
        <v>0.0</v>
      </c>
      <c r="I398" s="90">
        <v>800.0</v>
      </c>
      <c r="J398" s="90">
        <v>2.67</v>
      </c>
      <c r="K398" s="90">
        <v>13.62</v>
      </c>
      <c r="L398" s="90">
        <v>26.85</v>
      </c>
      <c r="M398" s="90">
        <v>2.6</v>
      </c>
      <c r="N398" s="90">
        <v>56.69</v>
      </c>
    </row>
    <row r="399" ht="14.25" customHeight="1">
      <c r="A399" s="90">
        <v>50.30934213239843</v>
      </c>
      <c r="B399" s="90">
        <v>7.558259434935038</v>
      </c>
      <c r="C399" s="90">
        <v>41.431222932563415</v>
      </c>
      <c r="D399" s="90">
        <v>0.0</v>
      </c>
      <c r="E399" s="90">
        <v>79.67</v>
      </c>
      <c r="F399" s="90">
        <v>8.75</v>
      </c>
      <c r="G399" s="90">
        <v>3.02</v>
      </c>
      <c r="H399" s="90">
        <v>0.0</v>
      </c>
      <c r="I399" s="90">
        <v>800.0</v>
      </c>
      <c r="J399" s="90">
        <v>2.67</v>
      </c>
      <c r="K399" s="90">
        <v>13.62</v>
      </c>
      <c r="L399" s="90">
        <v>26.85</v>
      </c>
      <c r="M399" s="90">
        <v>2.6</v>
      </c>
      <c r="N399" s="90">
        <v>56.69</v>
      </c>
    </row>
    <row r="400" ht="14.25" customHeight="1">
      <c r="A400" s="90">
        <v>54.995398302484915</v>
      </c>
      <c r="B400" s="90">
        <v>7.362716024133347</v>
      </c>
      <c r="C400" s="90">
        <v>37.12035995500562</v>
      </c>
      <c r="D400" s="90">
        <v>0.0</v>
      </c>
      <c r="E400" s="90">
        <v>73.74</v>
      </c>
      <c r="F400" s="90">
        <v>5.73</v>
      </c>
      <c r="G400" s="90">
        <v>2.21</v>
      </c>
      <c r="H400" s="90">
        <v>0.0</v>
      </c>
      <c r="I400" s="90">
        <v>800.0</v>
      </c>
      <c r="J400" s="90">
        <v>1.33</v>
      </c>
      <c r="K400" s="90">
        <v>17.8</v>
      </c>
      <c r="L400" s="90">
        <v>20.0</v>
      </c>
      <c r="M400" s="90">
        <v>5.24</v>
      </c>
      <c r="N400" s="90">
        <v>54.69</v>
      </c>
    </row>
    <row r="401" ht="14.25" customHeight="1">
      <c r="A401" s="90">
        <v>53.10024294919193</v>
      </c>
      <c r="B401" s="90">
        <v>7.46804689975705</v>
      </c>
      <c r="C401" s="90">
        <v>38.32259427484948</v>
      </c>
      <c r="D401" s="90">
        <v>0.44364635048061685</v>
      </c>
      <c r="E401" s="90">
        <v>75.99</v>
      </c>
      <c r="F401" s="90">
        <v>6.56</v>
      </c>
      <c r="G401" s="90">
        <v>5.33</v>
      </c>
      <c r="H401" s="90">
        <v>0.0</v>
      </c>
      <c r="I401" s="90">
        <v>800.0</v>
      </c>
      <c r="J401" s="90">
        <v>1.33</v>
      </c>
      <c r="K401" s="90">
        <v>17.8</v>
      </c>
      <c r="L401" s="90">
        <v>20.0</v>
      </c>
      <c r="M401" s="90">
        <v>5.24</v>
      </c>
      <c r="N401" s="90">
        <v>54.69</v>
      </c>
    </row>
    <row r="402" ht="14.25" customHeight="1">
      <c r="A402" s="90">
        <v>50.30934213239843</v>
      </c>
      <c r="B402" s="90">
        <v>7.558259434935038</v>
      </c>
      <c r="C402" s="90">
        <v>41.431222932563415</v>
      </c>
      <c r="D402" s="90">
        <v>0.0</v>
      </c>
      <c r="E402" s="90">
        <v>79.67</v>
      </c>
      <c r="F402" s="90">
        <v>8.75</v>
      </c>
      <c r="G402" s="90">
        <v>3.02</v>
      </c>
      <c r="H402" s="90">
        <v>0.0</v>
      </c>
      <c r="I402" s="90">
        <v>800.0</v>
      </c>
      <c r="J402" s="90">
        <v>1.33</v>
      </c>
      <c r="K402" s="90">
        <v>17.8</v>
      </c>
      <c r="L402" s="90">
        <v>20.0</v>
      </c>
      <c r="M402" s="90">
        <v>5.24</v>
      </c>
      <c r="N402" s="90">
        <v>54.69</v>
      </c>
    </row>
    <row r="403" ht="14.25" customHeight="1">
      <c r="A403" s="90">
        <v>54.995398302484915</v>
      </c>
      <c r="B403" s="90">
        <v>7.362716024133347</v>
      </c>
      <c r="C403" s="90">
        <v>37.12035995500562</v>
      </c>
      <c r="D403" s="90">
        <v>0.0</v>
      </c>
      <c r="E403" s="90">
        <v>73.74</v>
      </c>
      <c r="F403" s="90">
        <v>5.73</v>
      </c>
      <c r="G403" s="90">
        <v>2.21</v>
      </c>
      <c r="H403" s="90">
        <v>0.0</v>
      </c>
      <c r="I403" s="90">
        <v>800.0</v>
      </c>
      <c r="J403" s="90">
        <v>1.33</v>
      </c>
      <c r="K403" s="90">
        <v>17.23</v>
      </c>
      <c r="L403" s="90">
        <v>21.56</v>
      </c>
      <c r="M403" s="90">
        <v>3.57</v>
      </c>
      <c r="N403" s="90">
        <v>56.33</v>
      </c>
    </row>
    <row r="404" ht="14.25" customHeight="1">
      <c r="A404" s="90">
        <v>53.10024294919193</v>
      </c>
      <c r="B404" s="90">
        <v>7.46804689975705</v>
      </c>
      <c r="C404" s="90">
        <v>38.32259427484948</v>
      </c>
      <c r="D404" s="90">
        <v>0.44364635048061685</v>
      </c>
      <c r="E404" s="90">
        <v>75.99</v>
      </c>
      <c r="F404" s="90">
        <v>6.56</v>
      </c>
      <c r="G404" s="90">
        <v>5.33</v>
      </c>
      <c r="H404" s="90">
        <v>0.0</v>
      </c>
      <c r="I404" s="90">
        <v>800.0</v>
      </c>
      <c r="J404" s="90">
        <v>1.33</v>
      </c>
      <c r="K404" s="90">
        <v>17.23</v>
      </c>
      <c r="L404" s="90">
        <v>21.56</v>
      </c>
      <c r="M404" s="90">
        <v>3.57</v>
      </c>
      <c r="N404" s="90">
        <v>56.33</v>
      </c>
    </row>
    <row r="405" ht="14.25" customHeight="1">
      <c r="A405" s="90">
        <v>50.30934213239843</v>
      </c>
      <c r="B405" s="90">
        <v>7.558259434935038</v>
      </c>
      <c r="C405" s="90">
        <v>41.431222932563415</v>
      </c>
      <c r="D405" s="90">
        <v>0.0</v>
      </c>
      <c r="E405" s="90">
        <v>79.67</v>
      </c>
      <c r="F405" s="90">
        <v>8.75</v>
      </c>
      <c r="G405" s="90">
        <v>3.02</v>
      </c>
      <c r="H405" s="90">
        <v>0.0</v>
      </c>
      <c r="I405" s="90">
        <v>800.0</v>
      </c>
      <c r="J405" s="90">
        <v>1.33</v>
      </c>
      <c r="K405" s="90">
        <v>17.23</v>
      </c>
      <c r="L405" s="90">
        <v>21.56</v>
      </c>
      <c r="M405" s="90">
        <v>3.57</v>
      </c>
      <c r="N405" s="90">
        <v>56.33</v>
      </c>
    </row>
    <row r="406" ht="14.25" customHeight="1">
      <c r="A406" s="90">
        <v>54.995398302484915</v>
      </c>
      <c r="B406" s="90">
        <v>7.362716024133347</v>
      </c>
      <c r="C406" s="90">
        <v>37.12035995500562</v>
      </c>
      <c r="D406" s="90">
        <v>0.0</v>
      </c>
      <c r="E406" s="90">
        <v>73.74</v>
      </c>
      <c r="F406" s="90">
        <v>5.73</v>
      </c>
      <c r="G406" s="90">
        <v>2.21</v>
      </c>
      <c r="H406" s="90">
        <v>0.0</v>
      </c>
      <c r="I406" s="90">
        <v>800.0</v>
      </c>
      <c r="J406" s="90">
        <v>1.33</v>
      </c>
      <c r="K406" s="90">
        <v>16.36</v>
      </c>
      <c r="L406" s="90">
        <v>22.59</v>
      </c>
      <c r="M406" s="90">
        <v>2.79</v>
      </c>
      <c r="N406" s="90">
        <v>57.47</v>
      </c>
    </row>
    <row r="407" ht="14.25" customHeight="1">
      <c r="A407" s="90">
        <v>53.10024294919193</v>
      </c>
      <c r="B407" s="90">
        <v>7.46804689975705</v>
      </c>
      <c r="C407" s="90">
        <v>38.32259427484948</v>
      </c>
      <c r="D407" s="90">
        <v>0.44364635048061685</v>
      </c>
      <c r="E407" s="90">
        <v>75.99</v>
      </c>
      <c r="F407" s="90">
        <v>6.56</v>
      </c>
      <c r="G407" s="90">
        <v>5.33</v>
      </c>
      <c r="H407" s="90">
        <v>0.0</v>
      </c>
      <c r="I407" s="90">
        <v>800.0</v>
      </c>
      <c r="J407" s="90">
        <v>1.33</v>
      </c>
      <c r="K407" s="90">
        <v>16.36</v>
      </c>
      <c r="L407" s="90">
        <v>22.59</v>
      </c>
      <c r="M407" s="90">
        <v>2.79</v>
      </c>
      <c r="N407" s="90">
        <v>57.47</v>
      </c>
    </row>
    <row r="408" ht="14.25" customHeight="1">
      <c r="A408" s="90">
        <v>50.30934213239843</v>
      </c>
      <c r="B408" s="90">
        <v>7.558259434935038</v>
      </c>
      <c r="C408" s="90">
        <v>41.431222932563415</v>
      </c>
      <c r="D408" s="90">
        <v>0.0</v>
      </c>
      <c r="E408" s="90">
        <v>79.67</v>
      </c>
      <c r="F408" s="90">
        <v>8.75</v>
      </c>
      <c r="G408" s="90">
        <v>3.02</v>
      </c>
      <c r="H408" s="90">
        <v>0.0</v>
      </c>
      <c r="I408" s="90">
        <v>800.0</v>
      </c>
      <c r="J408" s="90">
        <v>1.33</v>
      </c>
      <c r="K408" s="90">
        <v>16.36</v>
      </c>
      <c r="L408" s="90">
        <v>22.59</v>
      </c>
      <c r="M408" s="90">
        <v>2.79</v>
      </c>
      <c r="N408" s="90">
        <v>57.47</v>
      </c>
    </row>
    <row r="409" ht="14.25" customHeight="1">
      <c r="A409" s="90">
        <v>54.995398302484915</v>
      </c>
      <c r="B409" s="90">
        <v>7.362716024133347</v>
      </c>
      <c r="C409" s="90">
        <v>37.12035995500562</v>
      </c>
      <c r="D409" s="90">
        <v>0.0</v>
      </c>
      <c r="E409" s="90">
        <v>73.74</v>
      </c>
      <c r="F409" s="90">
        <v>5.73</v>
      </c>
      <c r="G409" s="90">
        <v>2.21</v>
      </c>
      <c r="H409" s="90">
        <v>0.0</v>
      </c>
      <c r="I409" s="90">
        <v>800.0</v>
      </c>
      <c r="J409" s="90">
        <v>1.33</v>
      </c>
      <c r="K409" s="90">
        <v>15.39</v>
      </c>
      <c r="L409" s="90">
        <v>23.33</v>
      </c>
      <c r="M409" s="90">
        <v>2.33</v>
      </c>
      <c r="N409" s="90">
        <v>58.3</v>
      </c>
    </row>
    <row r="410" ht="14.25" customHeight="1">
      <c r="A410" s="90">
        <v>53.10024294919193</v>
      </c>
      <c r="B410" s="90">
        <v>7.46804689975705</v>
      </c>
      <c r="C410" s="90">
        <v>38.32259427484948</v>
      </c>
      <c r="D410" s="90">
        <v>0.44364635048061685</v>
      </c>
      <c r="E410" s="90">
        <v>75.99</v>
      </c>
      <c r="F410" s="90">
        <v>6.56</v>
      </c>
      <c r="G410" s="90">
        <v>5.33</v>
      </c>
      <c r="H410" s="90">
        <v>0.0</v>
      </c>
      <c r="I410" s="90">
        <v>800.0</v>
      </c>
      <c r="J410" s="90">
        <v>1.33</v>
      </c>
      <c r="K410" s="90">
        <v>15.39</v>
      </c>
      <c r="L410" s="90">
        <v>23.33</v>
      </c>
      <c r="M410" s="90">
        <v>2.33</v>
      </c>
      <c r="N410" s="90">
        <v>58.3</v>
      </c>
    </row>
    <row r="411" ht="14.25" customHeight="1">
      <c r="A411" s="90">
        <v>50.30934213239843</v>
      </c>
      <c r="B411" s="90">
        <v>7.558259434935038</v>
      </c>
      <c r="C411" s="90">
        <v>41.431222932563415</v>
      </c>
      <c r="D411" s="90">
        <v>0.0</v>
      </c>
      <c r="E411" s="90">
        <v>79.67</v>
      </c>
      <c r="F411" s="90">
        <v>8.75</v>
      </c>
      <c r="G411" s="90">
        <v>3.02</v>
      </c>
      <c r="H411" s="90">
        <v>0.0</v>
      </c>
      <c r="I411" s="90">
        <v>800.0</v>
      </c>
      <c r="J411" s="90">
        <v>1.33</v>
      </c>
      <c r="K411" s="90">
        <v>15.39</v>
      </c>
      <c r="L411" s="90">
        <v>23.33</v>
      </c>
      <c r="M411" s="90">
        <v>2.33</v>
      </c>
      <c r="N411" s="90">
        <v>58.3</v>
      </c>
    </row>
    <row r="412" ht="14.25" customHeight="1">
      <c r="A412" s="90">
        <v>44.44</v>
      </c>
      <c r="B412" s="90">
        <v>6.17</v>
      </c>
      <c r="C412" s="90">
        <v>49.38</v>
      </c>
      <c r="D412" s="90">
        <v>0.01</v>
      </c>
      <c r="E412" s="90">
        <v>94.13</v>
      </c>
      <c r="F412" s="90">
        <v>5.8</v>
      </c>
      <c r="G412" s="90">
        <v>0.08</v>
      </c>
      <c r="H412" s="90">
        <v>0.2</v>
      </c>
      <c r="I412" s="90">
        <v>600.0</v>
      </c>
      <c r="J412" s="90">
        <v>0.0</v>
      </c>
      <c r="K412" s="90">
        <v>13.57</v>
      </c>
      <c r="L412" s="90">
        <v>21.64</v>
      </c>
      <c r="M412" s="90">
        <v>1.87</v>
      </c>
      <c r="N412" s="90">
        <v>5.95</v>
      </c>
    </row>
    <row r="413" ht="14.25" customHeight="1">
      <c r="A413" s="90">
        <v>44.44</v>
      </c>
      <c r="B413" s="90">
        <v>6.17</v>
      </c>
      <c r="C413" s="90">
        <v>49.38</v>
      </c>
      <c r="D413" s="90">
        <v>0.01</v>
      </c>
      <c r="E413" s="90">
        <v>94.13</v>
      </c>
      <c r="F413" s="90">
        <v>5.8</v>
      </c>
      <c r="G413" s="90">
        <v>0.08</v>
      </c>
      <c r="H413" s="90">
        <v>0.2</v>
      </c>
      <c r="I413" s="90">
        <v>700.0</v>
      </c>
      <c r="J413" s="90">
        <v>0.0</v>
      </c>
      <c r="K413" s="90">
        <v>14.58</v>
      </c>
      <c r="L413" s="90">
        <v>24.18</v>
      </c>
      <c r="M413" s="90">
        <v>4.15</v>
      </c>
      <c r="N413" s="90">
        <v>8.74</v>
      </c>
    </row>
    <row r="414" ht="14.25" customHeight="1">
      <c r="A414" s="90">
        <v>44.44</v>
      </c>
      <c r="B414" s="90">
        <v>6.17</v>
      </c>
      <c r="C414" s="90">
        <v>49.38</v>
      </c>
      <c r="D414" s="90">
        <v>0.01</v>
      </c>
      <c r="E414" s="90">
        <v>94.13</v>
      </c>
      <c r="F414" s="90">
        <v>5.8</v>
      </c>
      <c r="G414" s="90">
        <v>0.08</v>
      </c>
      <c r="H414" s="90">
        <v>0.2</v>
      </c>
      <c r="I414" s="90">
        <v>800.0</v>
      </c>
      <c r="J414" s="90">
        <v>0.0</v>
      </c>
      <c r="K414" s="90">
        <v>12.13</v>
      </c>
      <c r="L414" s="90">
        <v>25.12</v>
      </c>
      <c r="M414" s="90">
        <v>4.21</v>
      </c>
      <c r="N414" s="90">
        <v>16.08</v>
      </c>
    </row>
    <row r="415" ht="14.25" customHeight="1">
      <c r="A415" s="90">
        <v>44.44</v>
      </c>
      <c r="B415" s="90">
        <v>6.17</v>
      </c>
      <c r="C415" s="90">
        <v>49.38</v>
      </c>
      <c r="D415" s="90">
        <v>0.01</v>
      </c>
      <c r="E415" s="90">
        <v>94.13</v>
      </c>
      <c r="F415" s="90">
        <v>5.8</v>
      </c>
      <c r="G415" s="90">
        <v>0.08</v>
      </c>
      <c r="H415" s="90">
        <v>0.2</v>
      </c>
      <c r="I415" s="90">
        <v>900.0</v>
      </c>
      <c r="J415" s="90">
        <v>0.0</v>
      </c>
      <c r="K415" s="90">
        <v>16.92</v>
      </c>
      <c r="L415" s="90">
        <v>19.22</v>
      </c>
      <c r="M415" s="90">
        <v>4.84</v>
      </c>
      <c r="N415" s="90">
        <v>24.73</v>
      </c>
    </row>
    <row r="416" ht="14.25" customHeight="1">
      <c r="A416" s="90">
        <v>44.44</v>
      </c>
      <c r="B416" s="90">
        <v>6.17</v>
      </c>
      <c r="C416" s="90">
        <v>49.38</v>
      </c>
      <c r="D416" s="90">
        <v>0.01</v>
      </c>
      <c r="E416" s="90">
        <v>94.13</v>
      </c>
      <c r="F416" s="90">
        <v>5.8</v>
      </c>
      <c r="G416" s="90">
        <v>0.08</v>
      </c>
      <c r="H416" s="90">
        <v>0.2</v>
      </c>
      <c r="I416" s="90">
        <v>800.0</v>
      </c>
      <c r="J416" s="90">
        <v>0.0</v>
      </c>
      <c r="K416" s="90">
        <v>12.13</v>
      </c>
      <c r="L416" s="90">
        <v>25.12</v>
      </c>
      <c r="M416" s="90">
        <v>4.21</v>
      </c>
      <c r="N416" s="90">
        <v>16.08</v>
      </c>
    </row>
    <row r="417" ht="14.25" customHeight="1">
      <c r="A417" s="90">
        <v>44.44</v>
      </c>
      <c r="B417" s="90">
        <v>6.17</v>
      </c>
      <c r="C417" s="90">
        <v>49.38</v>
      </c>
      <c r="D417" s="90">
        <v>0.01</v>
      </c>
      <c r="E417" s="90">
        <v>94.13</v>
      </c>
      <c r="F417" s="90">
        <v>5.8</v>
      </c>
      <c r="G417" s="90">
        <v>0.08</v>
      </c>
      <c r="H417" s="90">
        <v>0.27</v>
      </c>
      <c r="I417" s="90">
        <v>800.0</v>
      </c>
      <c r="J417" s="90">
        <v>0.0</v>
      </c>
      <c r="K417" s="90">
        <v>11.21</v>
      </c>
      <c r="L417" s="90">
        <v>26.3</v>
      </c>
      <c r="M417" s="90">
        <v>3.58</v>
      </c>
      <c r="N417" s="90">
        <v>13.5</v>
      </c>
    </row>
    <row r="418" ht="14.25" customHeight="1">
      <c r="A418" s="90">
        <v>44.44</v>
      </c>
      <c r="B418" s="90">
        <v>6.17</v>
      </c>
      <c r="C418" s="90">
        <v>49.38</v>
      </c>
      <c r="D418" s="90">
        <v>0.01</v>
      </c>
      <c r="E418" s="90">
        <v>94.13</v>
      </c>
      <c r="F418" s="90">
        <v>5.8</v>
      </c>
      <c r="G418" s="90">
        <v>0.08</v>
      </c>
      <c r="H418" s="90">
        <v>0.34</v>
      </c>
      <c r="I418" s="90">
        <v>800.0</v>
      </c>
      <c r="J418" s="90">
        <v>0.0</v>
      </c>
      <c r="K418" s="90">
        <v>8.38</v>
      </c>
      <c r="L418" s="90">
        <v>27.98</v>
      </c>
      <c r="M418" s="90">
        <v>2.21</v>
      </c>
      <c r="N418" s="90">
        <v>10.23</v>
      </c>
    </row>
    <row r="419" ht="14.25" customHeight="1">
      <c r="A419" s="90">
        <v>44.44</v>
      </c>
      <c r="B419" s="90">
        <v>6.17</v>
      </c>
      <c r="C419" s="90">
        <v>49.38</v>
      </c>
      <c r="D419" s="90">
        <v>0.01</v>
      </c>
      <c r="E419" s="90">
        <v>94.13</v>
      </c>
      <c r="F419" s="90">
        <v>5.8</v>
      </c>
      <c r="G419" s="90">
        <v>0.08</v>
      </c>
      <c r="H419" s="90">
        <v>0.27</v>
      </c>
      <c r="I419" s="90">
        <v>800.0</v>
      </c>
      <c r="J419" s="90">
        <v>0.5</v>
      </c>
      <c r="K419" s="90">
        <v>6.45</v>
      </c>
      <c r="L419" s="90">
        <v>27.77</v>
      </c>
      <c r="M419" s="90">
        <v>3.73</v>
      </c>
      <c r="N419" s="90">
        <v>14.28</v>
      </c>
    </row>
    <row r="420" ht="14.25" customHeight="1">
      <c r="A420" s="90">
        <v>44.44</v>
      </c>
      <c r="B420" s="90">
        <v>6.17</v>
      </c>
      <c r="C420" s="90">
        <v>49.38</v>
      </c>
      <c r="D420" s="90">
        <v>0.01</v>
      </c>
      <c r="E420" s="90">
        <v>94.13</v>
      </c>
      <c r="F420" s="90">
        <v>5.8</v>
      </c>
      <c r="G420" s="90">
        <v>0.08</v>
      </c>
      <c r="H420" s="90">
        <v>0.27</v>
      </c>
      <c r="I420" s="90">
        <v>800.0</v>
      </c>
      <c r="J420" s="90">
        <v>1.0</v>
      </c>
      <c r="K420" s="90">
        <v>8.34</v>
      </c>
      <c r="L420" s="90">
        <v>27.51</v>
      </c>
      <c r="M420" s="90">
        <v>3.02</v>
      </c>
      <c r="N420" s="90">
        <v>18.56</v>
      </c>
    </row>
    <row r="421" ht="14.25" customHeight="1">
      <c r="A421" s="90">
        <v>44.44</v>
      </c>
      <c r="B421" s="90">
        <v>6.17</v>
      </c>
      <c r="C421" s="90">
        <v>49.38</v>
      </c>
      <c r="D421" s="90">
        <v>0.01</v>
      </c>
      <c r="E421" s="90">
        <v>94.13</v>
      </c>
      <c r="F421" s="90">
        <v>5.8</v>
      </c>
      <c r="G421" s="90">
        <v>0.08</v>
      </c>
      <c r="H421" s="90">
        <v>0.27</v>
      </c>
      <c r="I421" s="90">
        <v>800.0</v>
      </c>
      <c r="J421" s="90">
        <v>1.5</v>
      </c>
      <c r="K421" s="90">
        <v>7.82</v>
      </c>
      <c r="L421" s="90">
        <v>27.32</v>
      </c>
      <c r="M421" s="90">
        <v>2.21</v>
      </c>
      <c r="N421" s="90">
        <v>15.69</v>
      </c>
    </row>
    <row r="422" ht="14.25" customHeight="1">
      <c r="A422" s="90">
        <v>51.52</v>
      </c>
      <c r="B422" s="90">
        <v>5.57</v>
      </c>
      <c r="C422" s="90">
        <v>42.5</v>
      </c>
      <c r="D422" s="90">
        <v>0.18</v>
      </c>
      <c r="E422" s="90">
        <v>74.52</v>
      </c>
      <c r="F422" s="90">
        <v>8.0</v>
      </c>
      <c r="G422" s="90">
        <v>0.46</v>
      </c>
      <c r="H422" s="90">
        <v>0.3</v>
      </c>
      <c r="I422" s="90">
        <v>800.0</v>
      </c>
      <c r="J422" s="90">
        <v>0.85</v>
      </c>
      <c r="K422" s="90">
        <v>24.89</v>
      </c>
      <c r="L422" s="90">
        <v>27.62</v>
      </c>
      <c r="M422" s="90">
        <v>7.02</v>
      </c>
      <c r="N422" s="90">
        <v>38.38</v>
      </c>
    </row>
    <row r="423" ht="14.25" customHeight="1">
      <c r="A423" s="90">
        <v>51.52</v>
      </c>
      <c r="B423" s="90">
        <v>5.57</v>
      </c>
      <c r="C423" s="90">
        <v>42.5</v>
      </c>
      <c r="D423" s="90">
        <v>0.18</v>
      </c>
      <c r="E423" s="90">
        <v>74.52</v>
      </c>
      <c r="F423" s="90">
        <v>8.0</v>
      </c>
      <c r="G423" s="90">
        <v>0.46</v>
      </c>
      <c r="H423" s="90">
        <v>0.25</v>
      </c>
      <c r="I423" s="90">
        <v>800.0</v>
      </c>
      <c r="J423" s="90">
        <v>0.75</v>
      </c>
      <c r="K423" s="90">
        <v>26.06</v>
      </c>
      <c r="L423" s="90">
        <v>26.2</v>
      </c>
      <c r="M423" s="90">
        <v>7.48</v>
      </c>
      <c r="N423" s="90">
        <v>38.13</v>
      </c>
    </row>
    <row r="424" ht="14.25" customHeight="1">
      <c r="A424" s="90">
        <v>51.52</v>
      </c>
      <c r="B424" s="90">
        <v>5.57</v>
      </c>
      <c r="C424" s="90">
        <v>42.5</v>
      </c>
      <c r="D424" s="90">
        <v>0.18</v>
      </c>
      <c r="E424" s="90">
        <v>74.52</v>
      </c>
      <c r="F424" s="90">
        <v>8.0</v>
      </c>
      <c r="G424" s="90">
        <v>0.46</v>
      </c>
      <c r="H424" s="90">
        <v>0.3</v>
      </c>
      <c r="I424" s="90">
        <v>650.0</v>
      </c>
      <c r="J424" s="90">
        <v>0.85</v>
      </c>
      <c r="K424" s="90">
        <v>14.89</v>
      </c>
      <c r="L424" s="90">
        <v>32.16</v>
      </c>
      <c r="M424" s="90">
        <v>5.24</v>
      </c>
      <c r="N424" s="90">
        <v>46.28</v>
      </c>
    </row>
    <row r="425" ht="14.25" customHeight="1">
      <c r="A425" s="90">
        <v>51.52</v>
      </c>
      <c r="B425" s="90">
        <v>5.57</v>
      </c>
      <c r="C425" s="90">
        <v>42.5</v>
      </c>
      <c r="D425" s="90">
        <v>0.18</v>
      </c>
      <c r="E425" s="90">
        <v>74.52</v>
      </c>
      <c r="F425" s="90">
        <v>8.0</v>
      </c>
      <c r="G425" s="90">
        <v>0.46</v>
      </c>
      <c r="H425" s="90">
        <v>0.3</v>
      </c>
      <c r="I425" s="90">
        <v>700.0</v>
      </c>
      <c r="J425" s="90">
        <v>0.85</v>
      </c>
      <c r="K425" s="90">
        <v>12.28</v>
      </c>
      <c r="L425" s="90">
        <v>32.81</v>
      </c>
      <c r="M425" s="90">
        <v>4.89</v>
      </c>
      <c r="N425" s="90">
        <v>49.33</v>
      </c>
    </row>
    <row r="426" ht="14.25" customHeight="1">
      <c r="A426" s="90">
        <v>51.52</v>
      </c>
      <c r="B426" s="90">
        <v>5.57</v>
      </c>
      <c r="C426" s="90">
        <v>42.5</v>
      </c>
      <c r="D426" s="90">
        <v>0.18</v>
      </c>
      <c r="E426" s="90">
        <v>74.52</v>
      </c>
      <c r="F426" s="90">
        <v>8.0</v>
      </c>
      <c r="G426" s="90">
        <v>0.46</v>
      </c>
      <c r="H426" s="90">
        <v>0.3</v>
      </c>
      <c r="I426" s="90">
        <v>750.0</v>
      </c>
      <c r="J426" s="90">
        <v>0.85</v>
      </c>
      <c r="K426" s="90">
        <v>11.15</v>
      </c>
      <c r="L426" s="90">
        <v>34.37</v>
      </c>
      <c r="M426" s="90">
        <v>4.37</v>
      </c>
      <c r="N426" s="90">
        <v>49.65</v>
      </c>
    </row>
    <row r="427" ht="14.25" customHeight="1">
      <c r="A427" s="90">
        <v>51.52</v>
      </c>
      <c r="B427" s="90">
        <v>5.57</v>
      </c>
      <c r="C427" s="90">
        <v>42.5</v>
      </c>
      <c r="D427" s="90">
        <v>0.18</v>
      </c>
      <c r="E427" s="90">
        <v>74.52</v>
      </c>
      <c r="F427" s="90">
        <v>8.0</v>
      </c>
      <c r="G427" s="90">
        <v>0.46</v>
      </c>
      <c r="H427" s="90">
        <v>0.3</v>
      </c>
      <c r="I427" s="90">
        <v>800.0</v>
      </c>
      <c r="J427" s="90">
        <v>0.85</v>
      </c>
      <c r="K427" s="90">
        <v>12.3</v>
      </c>
      <c r="L427" s="90">
        <v>32.56</v>
      </c>
      <c r="M427" s="90">
        <v>4.3</v>
      </c>
      <c r="N427" s="90">
        <v>50.23</v>
      </c>
    </row>
    <row r="428" ht="14.25" customHeight="1">
      <c r="A428" s="90">
        <v>51.52</v>
      </c>
      <c r="B428" s="90">
        <v>5.57</v>
      </c>
      <c r="C428" s="90">
        <v>42.5</v>
      </c>
      <c r="D428" s="90">
        <v>0.18</v>
      </c>
      <c r="E428" s="90">
        <v>74.52</v>
      </c>
      <c r="F428" s="90">
        <v>8.0</v>
      </c>
      <c r="G428" s="90">
        <v>0.46</v>
      </c>
      <c r="H428" s="90">
        <v>0.3</v>
      </c>
      <c r="I428" s="90">
        <v>850.0</v>
      </c>
      <c r="J428" s="90">
        <v>0.85</v>
      </c>
      <c r="K428" s="90">
        <v>14.82</v>
      </c>
      <c r="L428" s="90">
        <v>29.65</v>
      </c>
      <c r="M428" s="90">
        <v>2.9</v>
      </c>
      <c r="N428" s="90">
        <v>52.47</v>
      </c>
    </row>
    <row r="429" ht="14.25" customHeight="1">
      <c r="A429" s="90">
        <v>51.52</v>
      </c>
      <c r="B429" s="90">
        <v>5.57</v>
      </c>
      <c r="C429" s="90">
        <v>42.5</v>
      </c>
      <c r="D429" s="90">
        <v>0.18</v>
      </c>
      <c r="E429" s="90">
        <v>74.52</v>
      </c>
      <c r="F429" s="90">
        <v>8.0</v>
      </c>
      <c r="G429" s="90">
        <v>0.46</v>
      </c>
      <c r="H429" s="90">
        <v>0.25</v>
      </c>
      <c r="I429" s="90">
        <v>700.0</v>
      </c>
      <c r="J429" s="90">
        <v>0.75</v>
      </c>
      <c r="K429" s="90">
        <v>20.35</v>
      </c>
      <c r="L429" s="90">
        <v>28.62</v>
      </c>
      <c r="M429" s="90">
        <v>6.59</v>
      </c>
      <c r="N429" s="90">
        <v>42.84</v>
      </c>
    </row>
    <row r="430" ht="14.25" customHeight="1">
      <c r="A430" s="90">
        <v>51.52</v>
      </c>
      <c r="B430" s="90">
        <v>5.57</v>
      </c>
      <c r="C430" s="90">
        <v>42.5</v>
      </c>
      <c r="D430" s="90">
        <v>0.18</v>
      </c>
      <c r="E430" s="90">
        <v>74.52</v>
      </c>
      <c r="F430" s="90">
        <v>8.0</v>
      </c>
      <c r="G430" s="90">
        <v>0.46</v>
      </c>
      <c r="H430" s="90">
        <v>0.25</v>
      </c>
      <c r="I430" s="90">
        <v>700.0</v>
      </c>
      <c r="J430" s="90">
        <v>0.75</v>
      </c>
      <c r="K430" s="90">
        <v>17.35</v>
      </c>
      <c r="L430" s="90">
        <v>29.42</v>
      </c>
      <c r="M430" s="90">
        <v>5.67</v>
      </c>
      <c r="N430" s="90">
        <v>46.67</v>
      </c>
    </row>
    <row r="431" ht="14.25" customHeight="1">
      <c r="A431" s="90">
        <v>51.52</v>
      </c>
      <c r="B431" s="90">
        <v>5.57</v>
      </c>
      <c r="C431" s="90">
        <v>42.5</v>
      </c>
      <c r="D431" s="90">
        <v>0.18</v>
      </c>
      <c r="E431" s="90">
        <v>74.52</v>
      </c>
      <c r="F431" s="90">
        <v>8.0</v>
      </c>
      <c r="G431" s="90">
        <v>0.46</v>
      </c>
      <c r="H431" s="90">
        <v>0.25</v>
      </c>
      <c r="I431" s="90">
        <v>700.0</v>
      </c>
      <c r="J431" s="90">
        <v>0.75</v>
      </c>
      <c r="K431" s="90">
        <v>16.44</v>
      </c>
      <c r="L431" s="90">
        <v>30.12</v>
      </c>
      <c r="M431" s="90">
        <v>5.18</v>
      </c>
      <c r="N431" s="90">
        <v>47.61</v>
      </c>
    </row>
    <row r="432" ht="14.25" customHeight="1">
      <c r="A432" s="90">
        <v>51.52</v>
      </c>
      <c r="B432" s="90">
        <v>5.57</v>
      </c>
      <c r="C432" s="90">
        <v>42.5</v>
      </c>
      <c r="D432" s="90">
        <v>0.18</v>
      </c>
      <c r="E432" s="90">
        <v>74.52</v>
      </c>
      <c r="F432" s="90">
        <v>8.0</v>
      </c>
      <c r="G432" s="90">
        <v>0.46</v>
      </c>
      <c r="H432" s="90">
        <v>0.25</v>
      </c>
      <c r="I432" s="90">
        <v>700.0</v>
      </c>
      <c r="J432" s="90">
        <v>0.75</v>
      </c>
      <c r="K432" s="90">
        <v>16.87</v>
      </c>
      <c r="L432" s="90">
        <v>30.08</v>
      </c>
      <c r="M432" s="90">
        <v>4.79</v>
      </c>
      <c r="N432" s="90">
        <v>47.62</v>
      </c>
    </row>
    <row r="433" ht="14.25" customHeight="1">
      <c r="A433" s="90">
        <v>51.52</v>
      </c>
      <c r="B433" s="90">
        <v>5.57</v>
      </c>
      <c r="C433" s="90">
        <v>42.5</v>
      </c>
      <c r="D433" s="90">
        <v>0.18</v>
      </c>
      <c r="E433" s="90">
        <v>74.52</v>
      </c>
      <c r="F433" s="90">
        <v>8.0</v>
      </c>
      <c r="G433" s="90">
        <v>0.46</v>
      </c>
      <c r="H433" s="90">
        <v>0.25</v>
      </c>
      <c r="I433" s="90">
        <v>700.0</v>
      </c>
      <c r="J433" s="90">
        <v>0.75</v>
      </c>
      <c r="K433" s="90">
        <v>15.93</v>
      </c>
      <c r="L433" s="90">
        <v>30.18</v>
      </c>
      <c r="M433" s="90">
        <v>5.12</v>
      </c>
      <c r="N433" s="90">
        <v>47.84</v>
      </c>
    </row>
    <row r="434" ht="14.25" customHeight="1">
      <c r="A434" s="90">
        <v>51.52</v>
      </c>
      <c r="B434" s="90">
        <v>5.57</v>
      </c>
      <c r="C434" s="90">
        <v>42.5</v>
      </c>
      <c r="D434" s="90">
        <v>0.18</v>
      </c>
      <c r="E434" s="90">
        <v>74.52</v>
      </c>
      <c r="F434" s="90">
        <v>8.0</v>
      </c>
      <c r="G434" s="90">
        <v>0.46</v>
      </c>
      <c r="H434" s="90">
        <v>0.25</v>
      </c>
      <c r="I434" s="90">
        <v>700.0</v>
      </c>
      <c r="J434" s="90">
        <v>0.75</v>
      </c>
      <c r="K434" s="90">
        <v>15.33</v>
      </c>
      <c r="L434" s="90">
        <v>29.99</v>
      </c>
      <c r="M434" s="90">
        <v>5.14</v>
      </c>
      <c r="N434" s="90">
        <v>48.93</v>
      </c>
    </row>
    <row r="435" ht="14.25" customHeight="1">
      <c r="A435" s="90">
        <v>51.52</v>
      </c>
      <c r="B435" s="90">
        <v>5.57</v>
      </c>
      <c r="C435" s="90">
        <v>42.5</v>
      </c>
      <c r="D435" s="90">
        <v>0.18</v>
      </c>
      <c r="E435" s="90">
        <v>74.52</v>
      </c>
      <c r="F435" s="90">
        <v>8.0</v>
      </c>
      <c r="G435" s="90">
        <v>0.46</v>
      </c>
      <c r="H435" s="90">
        <v>0.25</v>
      </c>
      <c r="I435" s="90">
        <v>700.0</v>
      </c>
      <c r="J435" s="90">
        <v>0.75</v>
      </c>
      <c r="K435" s="90">
        <v>14.78</v>
      </c>
      <c r="L435" s="90">
        <v>30.73</v>
      </c>
      <c r="M435" s="90">
        <v>4.72</v>
      </c>
      <c r="N435" s="90">
        <v>49.09</v>
      </c>
    </row>
    <row r="436" ht="14.25" customHeight="1">
      <c r="A436" s="90">
        <v>53.505050505050505</v>
      </c>
      <c r="B436" s="90">
        <v>6.575757575757576</v>
      </c>
      <c r="C436" s="90">
        <v>37.04040404040404</v>
      </c>
      <c r="D436" s="90">
        <v>2.8282828282828283</v>
      </c>
      <c r="E436" s="90">
        <v>71.8</v>
      </c>
      <c r="F436" s="90">
        <v>10.5</v>
      </c>
      <c r="G436" s="90">
        <v>1.0</v>
      </c>
      <c r="H436" s="90">
        <v>0.0</v>
      </c>
      <c r="I436" s="90">
        <v>819.85</v>
      </c>
      <c r="J436" s="90">
        <v>1.0</v>
      </c>
      <c r="K436" s="90">
        <v>28.2</v>
      </c>
      <c r="L436" s="90">
        <v>17.3</v>
      </c>
      <c r="M436" s="90">
        <v>13.6</v>
      </c>
      <c r="N436" s="90">
        <v>31.2</v>
      </c>
    </row>
    <row r="437" ht="14.25" customHeight="1">
      <c r="A437" s="90">
        <v>53.505050505050505</v>
      </c>
      <c r="B437" s="90">
        <v>6.575757575757576</v>
      </c>
      <c r="C437" s="90">
        <v>37.04040404040404</v>
      </c>
      <c r="D437" s="90">
        <v>2.8282828282828283</v>
      </c>
      <c r="E437" s="90">
        <v>71.8</v>
      </c>
      <c r="F437" s="90">
        <v>10.5</v>
      </c>
      <c r="G437" s="90">
        <v>1.0</v>
      </c>
      <c r="H437" s="90">
        <v>0.0</v>
      </c>
      <c r="I437" s="90">
        <v>816.85</v>
      </c>
      <c r="J437" s="90">
        <v>1.0</v>
      </c>
      <c r="K437" s="90">
        <v>36.6</v>
      </c>
      <c r="L437" s="90">
        <v>12.4</v>
      </c>
      <c r="M437" s="90">
        <v>15.8</v>
      </c>
      <c r="N437" s="90">
        <v>23.7</v>
      </c>
    </row>
    <row r="438" ht="14.25" customHeight="1">
      <c r="A438" s="90">
        <v>53.505050505050505</v>
      </c>
      <c r="B438" s="90">
        <v>6.575757575757576</v>
      </c>
      <c r="C438" s="90">
        <v>37.04040404040404</v>
      </c>
      <c r="D438" s="90">
        <v>2.8282828282828283</v>
      </c>
      <c r="E438" s="90">
        <v>71.8</v>
      </c>
      <c r="F438" s="90">
        <v>10.5</v>
      </c>
      <c r="G438" s="90">
        <v>1.0</v>
      </c>
      <c r="H438" s="90">
        <v>0.0</v>
      </c>
      <c r="I438" s="90">
        <v>821.85</v>
      </c>
      <c r="J438" s="90">
        <v>1.0</v>
      </c>
      <c r="K438" s="90">
        <v>33.7</v>
      </c>
      <c r="L438" s="90">
        <v>14.2</v>
      </c>
      <c r="M438" s="90">
        <v>15.7</v>
      </c>
      <c r="N438" s="90">
        <v>25.4</v>
      </c>
    </row>
    <row r="439" ht="14.25" customHeight="1">
      <c r="A439" s="90">
        <v>53.505050505050505</v>
      </c>
      <c r="B439" s="90">
        <v>6.575757575757576</v>
      </c>
      <c r="C439" s="90">
        <v>37.04040404040404</v>
      </c>
      <c r="D439" s="90">
        <v>2.8282828282828283</v>
      </c>
      <c r="E439" s="90">
        <v>71.8</v>
      </c>
      <c r="F439" s="90">
        <v>10.5</v>
      </c>
      <c r="G439" s="90">
        <v>1.0</v>
      </c>
      <c r="H439" s="90">
        <v>0.0</v>
      </c>
      <c r="I439" s="90">
        <v>829.85</v>
      </c>
      <c r="J439" s="90">
        <v>1.0</v>
      </c>
      <c r="K439" s="90">
        <v>37.4</v>
      </c>
      <c r="L439" s="90">
        <v>12.3</v>
      </c>
      <c r="M439" s="90">
        <v>17.8</v>
      </c>
      <c r="N439" s="90">
        <v>22.1</v>
      </c>
    </row>
    <row r="440" ht="14.25" customHeight="1">
      <c r="A440" s="90">
        <v>49.13</v>
      </c>
      <c r="B440" s="90">
        <v>6.54</v>
      </c>
      <c r="C440" s="90">
        <v>44.16</v>
      </c>
      <c r="D440" s="90">
        <v>0.12</v>
      </c>
      <c r="E440" s="90">
        <v>80.0</v>
      </c>
      <c r="F440" s="90">
        <v>7.3</v>
      </c>
      <c r="G440" s="90">
        <v>0.26</v>
      </c>
      <c r="H440" s="90">
        <v>0.0</v>
      </c>
      <c r="I440" s="90">
        <v>841.0</v>
      </c>
      <c r="J440" s="90">
        <v>0.63</v>
      </c>
      <c r="K440" s="90">
        <v>29.1</v>
      </c>
      <c r="L440" s="90">
        <v>17.5</v>
      </c>
      <c r="M440" s="90">
        <v>11.4</v>
      </c>
      <c r="N440" s="90">
        <v>39.1</v>
      </c>
    </row>
    <row r="441" ht="14.25" customHeight="1">
      <c r="A441" s="90">
        <v>49.13</v>
      </c>
      <c r="B441" s="90">
        <v>6.54</v>
      </c>
      <c r="C441" s="90">
        <v>44.16</v>
      </c>
      <c r="D441" s="90">
        <v>0.12</v>
      </c>
      <c r="E441" s="90">
        <v>80.0</v>
      </c>
      <c r="F441" s="90">
        <v>7.3</v>
      </c>
      <c r="G441" s="90">
        <v>0.26</v>
      </c>
      <c r="H441" s="90">
        <v>0.0</v>
      </c>
      <c r="I441" s="90">
        <v>645.0</v>
      </c>
      <c r="J441" s="90">
        <v>0.79</v>
      </c>
      <c r="K441" s="90">
        <v>6.1</v>
      </c>
      <c r="L441" s="90">
        <v>6.0</v>
      </c>
      <c r="M441" s="90">
        <v>11.7</v>
      </c>
      <c r="N441" s="90">
        <v>73.9</v>
      </c>
    </row>
    <row r="442" ht="14.25" customHeight="1">
      <c r="A442" s="90">
        <v>49.13</v>
      </c>
      <c r="B442" s="90">
        <v>6.54</v>
      </c>
      <c r="C442" s="90">
        <v>44.16</v>
      </c>
      <c r="D442" s="90">
        <v>0.12</v>
      </c>
      <c r="E442" s="90">
        <v>80.0</v>
      </c>
      <c r="F442" s="90">
        <v>7.3</v>
      </c>
      <c r="G442" s="90">
        <v>0.26</v>
      </c>
      <c r="H442" s="90">
        <v>0.0</v>
      </c>
      <c r="I442" s="90">
        <v>850.0</v>
      </c>
      <c r="J442" s="90">
        <v>0.63</v>
      </c>
      <c r="K442" s="90">
        <v>29.1</v>
      </c>
      <c r="L442" s="90">
        <v>19.6</v>
      </c>
      <c r="M442" s="90">
        <v>10.4</v>
      </c>
      <c r="N442" s="90">
        <v>37.7</v>
      </c>
    </row>
    <row r="443" ht="14.25" customHeight="1">
      <c r="A443" s="90">
        <v>49.13</v>
      </c>
      <c r="B443" s="90">
        <v>6.54</v>
      </c>
      <c r="C443" s="90">
        <v>44.16</v>
      </c>
      <c r="D443" s="90">
        <v>0.12</v>
      </c>
      <c r="E443" s="90">
        <v>80.0</v>
      </c>
      <c r="F443" s="90">
        <v>7.3</v>
      </c>
      <c r="G443" s="90">
        <v>0.26</v>
      </c>
      <c r="H443" s="90">
        <v>0.0</v>
      </c>
      <c r="I443" s="90">
        <v>840.0</v>
      </c>
      <c r="J443" s="90">
        <v>0.63</v>
      </c>
      <c r="K443" s="90">
        <v>17.6558891454965</v>
      </c>
      <c r="L443" s="90">
        <v>28.8337182448036</v>
      </c>
      <c r="M443" s="90">
        <v>11.0046189376443</v>
      </c>
      <c r="N443" s="90">
        <v>38.2563510392609</v>
      </c>
    </row>
    <row r="444" ht="14.25" customHeight="1">
      <c r="A444" s="90">
        <v>49.13</v>
      </c>
      <c r="B444" s="90">
        <v>6.54</v>
      </c>
      <c r="C444" s="90">
        <v>44.16</v>
      </c>
      <c r="D444" s="90">
        <v>0.12</v>
      </c>
      <c r="E444" s="90">
        <v>80.0</v>
      </c>
      <c r="F444" s="90">
        <v>7.3</v>
      </c>
      <c r="G444" s="90">
        <v>0.26</v>
      </c>
      <c r="H444" s="90">
        <v>0.0</v>
      </c>
      <c r="I444" s="90">
        <v>840.0</v>
      </c>
      <c r="J444" s="90">
        <v>0.63</v>
      </c>
      <c r="K444" s="90">
        <v>17.2863741339491</v>
      </c>
      <c r="L444" s="90">
        <v>29.9422632794457</v>
      </c>
      <c r="M444" s="90">
        <v>11.743648960739</v>
      </c>
      <c r="N444" s="90">
        <v>38.3487297921478</v>
      </c>
    </row>
    <row r="445" ht="14.25" customHeight="1">
      <c r="A445" s="90">
        <v>49.13</v>
      </c>
      <c r="B445" s="90">
        <v>6.54</v>
      </c>
      <c r="C445" s="90">
        <v>44.16</v>
      </c>
      <c r="D445" s="90">
        <v>0.12</v>
      </c>
      <c r="E445" s="90">
        <v>80.0</v>
      </c>
      <c r="F445" s="90">
        <v>7.3</v>
      </c>
      <c r="G445" s="90">
        <v>0.26</v>
      </c>
      <c r="H445" s="90">
        <v>0.0</v>
      </c>
      <c r="I445" s="90">
        <v>840.0</v>
      </c>
      <c r="J445" s="90">
        <v>0.63</v>
      </c>
      <c r="K445" s="90">
        <v>16.9168591224018</v>
      </c>
      <c r="L445" s="90">
        <v>28.8337182448036</v>
      </c>
      <c r="M445" s="90">
        <v>11.9284064665127</v>
      </c>
      <c r="N445" s="90">
        <v>39.0877598152424</v>
      </c>
    </row>
    <row r="446" ht="14.25" customHeight="1">
      <c r="A446" s="90">
        <v>49.13</v>
      </c>
      <c r="B446" s="90">
        <v>6.54</v>
      </c>
      <c r="C446" s="90">
        <v>44.16</v>
      </c>
      <c r="D446" s="90">
        <v>0.12</v>
      </c>
      <c r="E446" s="90">
        <v>80.0</v>
      </c>
      <c r="F446" s="90">
        <v>7.3</v>
      </c>
      <c r="G446" s="90">
        <v>0.26</v>
      </c>
      <c r="H446" s="90">
        <v>0.0</v>
      </c>
      <c r="I446" s="90">
        <v>840.0</v>
      </c>
      <c r="J446" s="90">
        <v>0.63</v>
      </c>
      <c r="K446" s="90">
        <v>16.5473441108545</v>
      </c>
      <c r="L446" s="90">
        <v>29.0184757505773</v>
      </c>
      <c r="M446" s="90">
        <v>11.3741339491916</v>
      </c>
      <c r="N446" s="90">
        <v>38.3487297921478</v>
      </c>
    </row>
    <row r="447" ht="14.25" customHeight="1">
      <c r="A447" s="90">
        <v>49.13</v>
      </c>
      <c r="B447" s="90">
        <v>6.54</v>
      </c>
      <c r="C447" s="90">
        <v>44.16</v>
      </c>
      <c r="D447" s="90">
        <v>0.12</v>
      </c>
      <c r="E447" s="90">
        <v>80.0</v>
      </c>
      <c r="F447" s="90">
        <v>7.3</v>
      </c>
      <c r="G447" s="90">
        <v>0.26</v>
      </c>
      <c r="H447" s="90">
        <v>0.0</v>
      </c>
      <c r="I447" s="90">
        <v>840.0</v>
      </c>
      <c r="J447" s="90">
        <v>0.63</v>
      </c>
      <c r="K447" s="90">
        <v>17.1939953810623</v>
      </c>
      <c r="L447" s="90">
        <v>28.8337182448036</v>
      </c>
      <c r="M447" s="90">
        <v>11.0969976905311</v>
      </c>
      <c r="N447" s="90">
        <v>38.7182448036951</v>
      </c>
    </row>
    <row r="448" ht="14.25" customHeight="1">
      <c r="A448" s="90">
        <v>49.13</v>
      </c>
      <c r="B448" s="90">
        <v>6.54</v>
      </c>
      <c r="C448" s="90">
        <v>44.16</v>
      </c>
      <c r="D448" s="90">
        <v>0.12</v>
      </c>
      <c r="E448" s="90">
        <v>80.0</v>
      </c>
      <c r="F448" s="90">
        <v>7.3</v>
      </c>
      <c r="G448" s="90">
        <v>0.26</v>
      </c>
      <c r="H448" s="90">
        <v>0.0</v>
      </c>
      <c r="I448" s="90">
        <v>840.0</v>
      </c>
      <c r="J448" s="90">
        <v>0.63</v>
      </c>
      <c r="K448" s="90">
        <v>17.0092378752886</v>
      </c>
      <c r="L448" s="90">
        <v>28.5565819861431</v>
      </c>
      <c r="M448" s="90">
        <v>11.0046189376443</v>
      </c>
      <c r="N448" s="90">
        <v>39.0877598152424</v>
      </c>
    </row>
    <row r="449" ht="14.25" customHeight="1">
      <c r="A449" s="90">
        <v>49.13</v>
      </c>
      <c r="B449" s="90">
        <v>6.54</v>
      </c>
      <c r="C449" s="90">
        <v>44.16</v>
      </c>
      <c r="D449" s="90">
        <v>0.12</v>
      </c>
      <c r="E449" s="90">
        <v>80.0</v>
      </c>
      <c r="F449" s="90">
        <v>7.3</v>
      </c>
      <c r="G449" s="90">
        <v>0.26</v>
      </c>
      <c r="H449" s="90">
        <v>0.0</v>
      </c>
      <c r="I449" s="90">
        <v>840.0</v>
      </c>
      <c r="J449" s="90">
        <v>0.63</v>
      </c>
      <c r="K449" s="90">
        <v>17.378752886836</v>
      </c>
      <c r="L449" s="90">
        <v>29.1108545034642</v>
      </c>
      <c r="M449" s="90">
        <v>11.0969976905311</v>
      </c>
      <c r="N449" s="90">
        <v>38.3487297921478</v>
      </c>
    </row>
    <row r="450" ht="14.25" customHeight="1">
      <c r="A450" s="90">
        <v>49.13</v>
      </c>
      <c r="B450" s="90">
        <v>6.54</v>
      </c>
      <c r="C450" s="90">
        <v>44.16</v>
      </c>
      <c r="D450" s="90">
        <v>0.12</v>
      </c>
      <c r="E450" s="90">
        <v>80.0</v>
      </c>
      <c r="F450" s="90">
        <v>7.3</v>
      </c>
      <c r="G450" s="90">
        <v>0.26</v>
      </c>
      <c r="H450" s="90">
        <v>0.0</v>
      </c>
      <c r="I450" s="90">
        <v>840.0</v>
      </c>
      <c r="J450" s="90">
        <v>0.63</v>
      </c>
      <c r="K450" s="90">
        <v>17.6558891454965</v>
      </c>
      <c r="L450" s="90">
        <v>29.5727482678983</v>
      </c>
      <c r="M450" s="90">
        <v>11.3741339491916</v>
      </c>
      <c r="N450" s="90">
        <v>38.9953810623556</v>
      </c>
    </row>
    <row r="451" ht="14.25" customHeight="1">
      <c r="A451" s="90">
        <v>49.13</v>
      </c>
      <c r="B451" s="90">
        <v>6.54</v>
      </c>
      <c r="C451" s="90">
        <v>44.16</v>
      </c>
      <c r="D451" s="90">
        <v>0.12</v>
      </c>
      <c r="E451" s="90">
        <v>80.0</v>
      </c>
      <c r="F451" s="90">
        <v>7.3</v>
      </c>
      <c r="G451" s="90">
        <v>0.26</v>
      </c>
      <c r="H451" s="90">
        <v>0.0</v>
      </c>
      <c r="I451" s="90">
        <v>840.0</v>
      </c>
      <c r="J451" s="90">
        <v>0.63</v>
      </c>
      <c r="K451" s="90">
        <v>18.0254041570438</v>
      </c>
      <c r="L451" s="90">
        <v>29.1108545034642</v>
      </c>
      <c r="M451" s="90">
        <v>11.4665127020785</v>
      </c>
      <c r="N451" s="90">
        <v>38.4411085450346</v>
      </c>
    </row>
    <row r="452" ht="14.25" customHeight="1">
      <c r="A452" s="90">
        <v>49.13</v>
      </c>
      <c r="B452" s="90">
        <v>6.54</v>
      </c>
      <c r="C452" s="90">
        <v>44.16</v>
      </c>
      <c r="D452" s="90">
        <v>0.12</v>
      </c>
      <c r="E452" s="90">
        <v>80.0</v>
      </c>
      <c r="F452" s="90">
        <v>7.3</v>
      </c>
      <c r="G452" s="90">
        <v>0.26</v>
      </c>
      <c r="H452" s="90">
        <v>0.0</v>
      </c>
      <c r="I452" s="90">
        <v>840.0</v>
      </c>
      <c r="J452" s="90">
        <v>0.63</v>
      </c>
      <c r="K452" s="90">
        <v>17.6558891454965</v>
      </c>
      <c r="L452" s="90">
        <v>29.5727482678983</v>
      </c>
      <c r="M452" s="90">
        <v>11.189376443418</v>
      </c>
      <c r="N452" s="90">
        <v>38.3487297921478</v>
      </c>
    </row>
    <row r="453" ht="14.25" customHeight="1">
      <c r="A453" s="90">
        <v>49.13</v>
      </c>
      <c r="B453" s="90">
        <v>6.54</v>
      </c>
      <c r="C453" s="90">
        <v>44.16</v>
      </c>
      <c r="D453" s="90">
        <v>0.12</v>
      </c>
      <c r="E453" s="90">
        <v>80.0</v>
      </c>
      <c r="F453" s="90">
        <v>7.3</v>
      </c>
      <c r="G453" s="90">
        <v>0.26</v>
      </c>
      <c r="H453" s="90">
        <v>0.0</v>
      </c>
      <c r="I453" s="90">
        <v>840.0</v>
      </c>
      <c r="J453" s="90">
        <v>0.63</v>
      </c>
      <c r="K453" s="90">
        <v>17.6558891454965</v>
      </c>
      <c r="L453" s="90">
        <v>29.4803695150115</v>
      </c>
      <c r="M453" s="90">
        <v>11.3741339491916</v>
      </c>
      <c r="N453" s="90">
        <v>38.0715935334873</v>
      </c>
    </row>
    <row r="454" ht="14.25" customHeight="1">
      <c r="A454" s="90">
        <v>49.13</v>
      </c>
      <c r="B454" s="90">
        <v>6.54</v>
      </c>
      <c r="C454" s="90">
        <v>44.16</v>
      </c>
      <c r="D454" s="90">
        <v>0.12</v>
      </c>
      <c r="E454" s="90">
        <v>80.0</v>
      </c>
      <c r="F454" s="90">
        <v>7.3</v>
      </c>
      <c r="G454" s="90">
        <v>0.26</v>
      </c>
      <c r="H454" s="90">
        <v>0.0</v>
      </c>
      <c r="I454" s="90">
        <v>840.0</v>
      </c>
      <c r="J454" s="90">
        <v>0.63</v>
      </c>
      <c r="K454" s="90">
        <v>17.5635103926097</v>
      </c>
      <c r="L454" s="90">
        <v>29.4803695150115</v>
      </c>
      <c r="M454" s="90">
        <v>11.743648960739</v>
      </c>
      <c r="N454" s="90">
        <v>38.0715935334873</v>
      </c>
    </row>
    <row r="455" ht="14.25" customHeight="1">
      <c r="A455" s="90">
        <v>49.13</v>
      </c>
      <c r="B455" s="90">
        <v>6.54</v>
      </c>
      <c r="C455" s="90">
        <v>44.16</v>
      </c>
      <c r="D455" s="90">
        <v>0.12</v>
      </c>
      <c r="E455" s="90">
        <v>80.0</v>
      </c>
      <c r="F455" s="90">
        <v>7.3</v>
      </c>
      <c r="G455" s="90">
        <v>0.26</v>
      </c>
      <c r="H455" s="90">
        <v>0.0</v>
      </c>
      <c r="I455" s="90">
        <v>840.0</v>
      </c>
      <c r="J455" s="90">
        <v>0.63</v>
      </c>
      <c r="K455" s="90">
        <v>17.7482678983833</v>
      </c>
      <c r="L455" s="90">
        <v>29.2956120092378</v>
      </c>
      <c r="M455" s="90">
        <v>11.5588914549653</v>
      </c>
      <c r="N455" s="90">
        <v>38.0715935334873</v>
      </c>
    </row>
    <row r="456" ht="14.25" customHeight="1">
      <c r="A456" s="90">
        <v>49.13</v>
      </c>
      <c r="B456" s="90">
        <v>6.54</v>
      </c>
      <c r="C456" s="90">
        <v>44.16</v>
      </c>
      <c r="D456" s="90">
        <v>0.12</v>
      </c>
      <c r="E456" s="90">
        <v>80.0</v>
      </c>
      <c r="F456" s="90">
        <v>7.3</v>
      </c>
      <c r="G456" s="90">
        <v>0.26</v>
      </c>
      <c r="H456" s="90">
        <v>0.0</v>
      </c>
      <c r="I456" s="90">
        <v>840.0</v>
      </c>
      <c r="J456" s="90">
        <v>0.63</v>
      </c>
      <c r="K456" s="90">
        <v>17.7482678983833</v>
      </c>
      <c r="L456" s="90">
        <v>29.5727482678983</v>
      </c>
      <c r="M456" s="90">
        <v>11.4665127020785</v>
      </c>
      <c r="N456" s="90">
        <v>39.0877598152424</v>
      </c>
    </row>
    <row r="457" ht="14.25" customHeight="1">
      <c r="A457" s="90">
        <v>49.13</v>
      </c>
      <c r="B457" s="90">
        <v>6.54</v>
      </c>
      <c r="C457" s="90">
        <v>44.16</v>
      </c>
      <c r="D457" s="90">
        <v>0.12</v>
      </c>
      <c r="E457" s="90">
        <v>80.0</v>
      </c>
      <c r="F457" s="90">
        <v>7.3</v>
      </c>
      <c r="G457" s="90">
        <v>0.26</v>
      </c>
      <c r="H457" s="90">
        <v>0.0</v>
      </c>
      <c r="I457" s="90">
        <v>840.0</v>
      </c>
      <c r="J457" s="90">
        <v>0.63</v>
      </c>
      <c r="K457" s="90">
        <v>17.6558891454965</v>
      </c>
      <c r="L457" s="90">
        <v>29.0184757505773</v>
      </c>
      <c r="M457" s="90">
        <v>11.0969976905311</v>
      </c>
      <c r="N457" s="90">
        <v>38.7182448036951</v>
      </c>
    </row>
    <row r="458" ht="14.25" customHeight="1">
      <c r="A458" s="90">
        <v>49.13</v>
      </c>
      <c r="B458" s="90">
        <v>6.54</v>
      </c>
      <c r="C458" s="90">
        <v>44.16</v>
      </c>
      <c r="D458" s="90">
        <v>0.12</v>
      </c>
      <c r="E458" s="90">
        <v>80.0</v>
      </c>
      <c r="F458" s="90">
        <v>7.3</v>
      </c>
      <c r="G458" s="90">
        <v>0.26</v>
      </c>
      <c r="H458" s="90">
        <v>0.0</v>
      </c>
      <c r="I458" s="90">
        <v>840.0</v>
      </c>
      <c r="J458" s="90">
        <v>0.63</v>
      </c>
      <c r="K458" s="90">
        <v>17.4711316397228</v>
      </c>
      <c r="L458" s="90">
        <v>29.4803695150115</v>
      </c>
      <c r="M458" s="90">
        <v>11.0969976905311</v>
      </c>
      <c r="N458" s="90">
        <v>38.4411085450346</v>
      </c>
    </row>
    <row r="459" ht="14.25" customHeight="1">
      <c r="A459" s="90">
        <v>49.13</v>
      </c>
      <c r="B459" s="90">
        <v>6.54</v>
      </c>
      <c r="C459" s="90">
        <v>44.16</v>
      </c>
      <c r="D459" s="90">
        <v>0.12</v>
      </c>
      <c r="E459" s="90">
        <v>80.0</v>
      </c>
      <c r="F459" s="90">
        <v>7.3</v>
      </c>
      <c r="G459" s="90">
        <v>0.26</v>
      </c>
      <c r="H459" s="90">
        <v>0.0</v>
      </c>
      <c r="I459" s="90">
        <v>840.0</v>
      </c>
      <c r="J459" s="90">
        <v>0.63</v>
      </c>
      <c r="K459" s="90">
        <v>17.5635103926097</v>
      </c>
      <c r="L459" s="90">
        <v>29.4803695150115</v>
      </c>
      <c r="M459" s="90">
        <v>11.2817551963048</v>
      </c>
      <c r="N459" s="90">
        <v>38.1639722863741</v>
      </c>
    </row>
    <row r="460" ht="14.25" customHeight="1">
      <c r="A460" s="90">
        <v>49.13</v>
      </c>
      <c r="B460" s="90">
        <v>6.54</v>
      </c>
      <c r="C460" s="90">
        <v>44.16</v>
      </c>
      <c r="D460" s="90">
        <v>0.12</v>
      </c>
      <c r="E460" s="90">
        <v>80.0</v>
      </c>
      <c r="F460" s="90">
        <v>7.3</v>
      </c>
      <c r="G460" s="90">
        <v>0.26</v>
      </c>
      <c r="H460" s="90">
        <v>0.0</v>
      </c>
      <c r="I460" s="90">
        <v>840.0</v>
      </c>
      <c r="J460" s="90">
        <v>0.63</v>
      </c>
      <c r="K460" s="90">
        <v>17.7482678983833</v>
      </c>
      <c r="L460" s="90">
        <v>29.4803695150115</v>
      </c>
      <c r="M460" s="90">
        <v>11.5588914549653</v>
      </c>
      <c r="N460" s="90">
        <v>38.2563510392609</v>
      </c>
    </row>
    <row r="461" ht="14.25" customHeight="1">
      <c r="A461" s="90">
        <v>49.13</v>
      </c>
      <c r="B461" s="90">
        <v>6.54</v>
      </c>
      <c r="C461" s="90">
        <v>44.16</v>
      </c>
      <c r="D461" s="90">
        <v>0.12</v>
      </c>
      <c r="E461" s="90">
        <v>80.0</v>
      </c>
      <c r="F461" s="90">
        <v>7.3</v>
      </c>
      <c r="G461" s="90">
        <v>0.26</v>
      </c>
      <c r="H461" s="90">
        <v>0.0</v>
      </c>
      <c r="I461" s="90">
        <v>840.0</v>
      </c>
      <c r="J461" s="90">
        <v>0.63</v>
      </c>
      <c r="K461" s="90">
        <v>18.0254041570438</v>
      </c>
      <c r="L461" s="90">
        <v>29.4803695150115</v>
      </c>
      <c r="M461" s="90">
        <v>11.6512702078522</v>
      </c>
      <c r="N461" s="90">
        <v>37.8868360277136</v>
      </c>
    </row>
    <row r="462" ht="14.25" customHeight="1">
      <c r="A462" s="90">
        <v>49.13</v>
      </c>
      <c r="B462" s="90">
        <v>6.54</v>
      </c>
      <c r="C462" s="90">
        <v>44.16</v>
      </c>
      <c r="D462" s="90">
        <v>0.12</v>
      </c>
      <c r="E462" s="90">
        <v>80.0</v>
      </c>
      <c r="F462" s="90">
        <v>7.3</v>
      </c>
      <c r="G462" s="90">
        <v>0.26</v>
      </c>
      <c r="H462" s="90">
        <v>0.0</v>
      </c>
      <c r="I462" s="90">
        <v>840.0</v>
      </c>
      <c r="J462" s="90">
        <v>0.63</v>
      </c>
      <c r="K462" s="90">
        <v>17.6558891454965</v>
      </c>
      <c r="L462" s="90">
        <v>29.757505773672</v>
      </c>
      <c r="M462" s="90">
        <v>11.0969976905311</v>
      </c>
      <c r="N462" s="90">
        <v>38.8106235565819</v>
      </c>
    </row>
    <row r="463" ht="14.25" customHeight="1">
      <c r="A463" s="90">
        <v>49.13</v>
      </c>
      <c r="B463" s="90">
        <v>6.54</v>
      </c>
      <c r="C463" s="90">
        <v>44.16</v>
      </c>
      <c r="D463" s="90">
        <v>0.12</v>
      </c>
      <c r="E463" s="90">
        <v>80.0</v>
      </c>
      <c r="F463" s="90">
        <v>7.3</v>
      </c>
      <c r="G463" s="90">
        <v>0.26</v>
      </c>
      <c r="H463" s="90">
        <v>0.0</v>
      </c>
      <c r="I463" s="90">
        <v>840.0</v>
      </c>
      <c r="J463" s="90">
        <v>0.63</v>
      </c>
      <c r="K463" s="90">
        <v>17.7482678983833</v>
      </c>
      <c r="L463" s="90">
        <v>29.5727482678983</v>
      </c>
      <c r="M463" s="90">
        <v>11.3741339491916</v>
      </c>
      <c r="N463" s="90">
        <v>38.4411085450346</v>
      </c>
    </row>
    <row r="464" ht="14.25" customHeight="1">
      <c r="A464" s="90">
        <v>49.13</v>
      </c>
      <c r="B464" s="90">
        <v>6.54</v>
      </c>
      <c r="C464" s="90">
        <v>44.16</v>
      </c>
      <c r="D464" s="90">
        <v>0.12</v>
      </c>
      <c r="E464" s="90">
        <v>80.0</v>
      </c>
      <c r="F464" s="90">
        <v>7.3</v>
      </c>
      <c r="G464" s="90">
        <v>0.26</v>
      </c>
      <c r="H464" s="90">
        <v>0.0</v>
      </c>
      <c r="I464" s="90">
        <v>840.0</v>
      </c>
      <c r="J464" s="90">
        <v>0.63</v>
      </c>
      <c r="K464" s="90">
        <v>17.933025404157</v>
      </c>
      <c r="L464" s="90">
        <v>29.2956120092378</v>
      </c>
      <c r="M464" s="90">
        <v>11.5588914549653</v>
      </c>
      <c r="N464" s="90">
        <v>38.2563510392609</v>
      </c>
    </row>
    <row r="465" ht="14.25" customHeight="1">
      <c r="A465" s="90">
        <v>49.13</v>
      </c>
      <c r="B465" s="90">
        <v>6.54</v>
      </c>
      <c r="C465" s="90">
        <v>44.16</v>
      </c>
      <c r="D465" s="90">
        <v>0.12</v>
      </c>
      <c r="E465" s="90">
        <v>80.0</v>
      </c>
      <c r="F465" s="90">
        <v>7.3</v>
      </c>
      <c r="G465" s="90">
        <v>0.26</v>
      </c>
      <c r="H465" s="90">
        <v>0.0</v>
      </c>
      <c r="I465" s="90">
        <v>840.0</v>
      </c>
      <c r="J465" s="90">
        <v>0.63</v>
      </c>
      <c r="K465" s="90">
        <v>17.378752886836</v>
      </c>
      <c r="L465" s="90">
        <v>29.5727482678983</v>
      </c>
      <c r="M465" s="90">
        <v>11.5588914549653</v>
      </c>
      <c r="N465" s="90">
        <v>38.1639722863741</v>
      </c>
    </row>
    <row r="466" ht="14.25" customHeight="1">
      <c r="A466" s="90">
        <v>49.13</v>
      </c>
      <c r="B466" s="90">
        <v>6.54</v>
      </c>
      <c r="C466" s="90">
        <v>44.16</v>
      </c>
      <c r="D466" s="90">
        <v>0.12</v>
      </c>
      <c r="E466" s="90">
        <v>80.0</v>
      </c>
      <c r="F466" s="90">
        <v>7.3</v>
      </c>
      <c r="G466" s="90">
        <v>0.26</v>
      </c>
      <c r="H466" s="90">
        <v>0.0</v>
      </c>
      <c r="I466" s="90">
        <v>840.0</v>
      </c>
      <c r="J466" s="90">
        <v>0.63</v>
      </c>
      <c r="K466" s="90">
        <v>17.5635103926097</v>
      </c>
      <c r="L466" s="90">
        <v>29.4803695150115</v>
      </c>
      <c r="M466" s="90">
        <v>11.6512702078522</v>
      </c>
      <c r="N466" s="90">
        <v>38.5334872979214</v>
      </c>
    </row>
    <row r="467" ht="14.25" customHeight="1">
      <c r="A467" s="90">
        <v>49.13</v>
      </c>
      <c r="B467" s="90">
        <v>6.54</v>
      </c>
      <c r="C467" s="90">
        <v>44.16</v>
      </c>
      <c r="D467" s="90">
        <v>0.12</v>
      </c>
      <c r="E467" s="90">
        <v>80.0</v>
      </c>
      <c r="F467" s="90">
        <v>7.3</v>
      </c>
      <c r="G467" s="90">
        <v>0.26</v>
      </c>
      <c r="H467" s="90">
        <v>0.0</v>
      </c>
      <c r="I467" s="90">
        <v>840.0</v>
      </c>
      <c r="J467" s="90">
        <v>0.63</v>
      </c>
      <c r="K467" s="90">
        <v>18.0254041570438</v>
      </c>
      <c r="L467" s="90">
        <v>29.3879907621247</v>
      </c>
      <c r="M467" s="90">
        <v>11.5588914549653</v>
      </c>
      <c r="N467" s="90">
        <v>38.7182448036951</v>
      </c>
    </row>
    <row r="468" ht="14.25" customHeight="1">
      <c r="A468" s="90">
        <v>49.13</v>
      </c>
      <c r="B468" s="90">
        <v>6.54</v>
      </c>
      <c r="C468" s="90">
        <v>44.16</v>
      </c>
      <c r="D468" s="90">
        <v>0.12</v>
      </c>
      <c r="E468" s="90">
        <v>80.0</v>
      </c>
      <c r="F468" s="90">
        <v>7.3</v>
      </c>
      <c r="G468" s="90">
        <v>0.26</v>
      </c>
      <c r="H468" s="90">
        <v>0.0</v>
      </c>
      <c r="I468" s="90">
        <v>840.0</v>
      </c>
      <c r="J468" s="90">
        <v>0.63</v>
      </c>
      <c r="K468" s="90">
        <v>17.4711316397228</v>
      </c>
      <c r="L468" s="90">
        <v>28.9260969976905</v>
      </c>
      <c r="M468" s="90">
        <v>11.4665127020785</v>
      </c>
      <c r="N468" s="90">
        <v>38.3487297921478</v>
      </c>
    </row>
    <row r="469" ht="14.25" customHeight="1">
      <c r="A469" s="90">
        <v>49.13</v>
      </c>
      <c r="B469" s="90">
        <v>6.54</v>
      </c>
      <c r="C469" s="90">
        <v>44.16</v>
      </c>
      <c r="D469" s="90">
        <v>0.12</v>
      </c>
      <c r="E469" s="90">
        <v>80.0</v>
      </c>
      <c r="F469" s="90">
        <v>7.3</v>
      </c>
      <c r="G469" s="90">
        <v>0.26</v>
      </c>
      <c r="H469" s="90">
        <v>0.0</v>
      </c>
      <c r="I469" s="90">
        <v>840.0</v>
      </c>
      <c r="J469" s="90">
        <v>0.63</v>
      </c>
      <c r="K469" s="90">
        <v>17.6558891454965</v>
      </c>
      <c r="L469" s="90">
        <v>29.2956120092378</v>
      </c>
      <c r="M469" s="90">
        <v>11.6512702078522</v>
      </c>
      <c r="N469" s="90">
        <v>37.6096997690531</v>
      </c>
    </row>
    <row r="470" ht="14.25" customHeight="1">
      <c r="A470" s="90">
        <v>49.13</v>
      </c>
      <c r="B470" s="90">
        <v>6.54</v>
      </c>
      <c r="C470" s="90">
        <v>44.16</v>
      </c>
      <c r="D470" s="90">
        <v>0.12</v>
      </c>
      <c r="E470" s="90">
        <v>80.0</v>
      </c>
      <c r="F470" s="90">
        <v>7.3</v>
      </c>
      <c r="G470" s="90">
        <v>0.26</v>
      </c>
      <c r="H470" s="90">
        <v>0.0</v>
      </c>
      <c r="I470" s="90">
        <v>840.0</v>
      </c>
      <c r="J470" s="90">
        <v>0.63</v>
      </c>
      <c r="K470" s="90">
        <v>18.1177829099307</v>
      </c>
      <c r="L470" s="90">
        <v>29.2956120092378</v>
      </c>
      <c r="M470" s="90">
        <v>11.6512702078522</v>
      </c>
      <c r="N470" s="90">
        <v>38.2563510392609</v>
      </c>
    </row>
    <row r="471" ht="14.25" customHeight="1">
      <c r="A471" s="90">
        <v>49.13</v>
      </c>
      <c r="B471" s="90">
        <v>6.54</v>
      </c>
      <c r="C471" s="90">
        <v>44.16</v>
      </c>
      <c r="D471" s="90">
        <v>0.12</v>
      </c>
      <c r="E471" s="90">
        <v>80.0</v>
      </c>
      <c r="F471" s="90">
        <v>7.3</v>
      </c>
      <c r="G471" s="90">
        <v>0.26</v>
      </c>
      <c r="H471" s="90">
        <v>0.0</v>
      </c>
      <c r="I471" s="90">
        <v>840.0</v>
      </c>
      <c r="J471" s="90">
        <v>0.63</v>
      </c>
      <c r="K471" s="90">
        <v>17.8406466512702</v>
      </c>
      <c r="L471" s="90">
        <v>29.3879907621247</v>
      </c>
      <c r="M471" s="90">
        <v>11.3741339491916</v>
      </c>
      <c r="N471" s="90">
        <v>37.7020785219399</v>
      </c>
    </row>
    <row r="472" ht="14.25" customHeight="1">
      <c r="A472" s="90">
        <v>49.13</v>
      </c>
      <c r="B472" s="90">
        <v>6.54</v>
      </c>
      <c r="C472" s="90">
        <v>44.16</v>
      </c>
      <c r="D472" s="90">
        <v>0.12</v>
      </c>
      <c r="E472" s="90">
        <v>80.0</v>
      </c>
      <c r="F472" s="90">
        <v>7.3</v>
      </c>
      <c r="G472" s="90">
        <v>0.26</v>
      </c>
      <c r="H472" s="90">
        <v>0.0</v>
      </c>
      <c r="I472" s="90">
        <v>840.0</v>
      </c>
      <c r="J472" s="90">
        <v>0.63</v>
      </c>
      <c r="K472" s="90">
        <v>18.0254041570438</v>
      </c>
      <c r="L472" s="90">
        <v>29.4803695150115</v>
      </c>
      <c r="M472" s="90">
        <v>11.3741339491916</v>
      </c>
      <c r="N472" s="90">
        <v>38.7182448036951</v>
      </c>
    </row>
    <row r="473" ht="14.25" customHeight="1">
      <c r="A473" s="90">
        <v>49.13</v>
      </c>
      <c r="B473" s="90">
        <v>6.54</v>
      </c>
      <c r="C473" s="90">
        <v>44.16</v>
      </c>
      <c r="D473" s="90">
        <v>0.12</v>
      </c>
      <c r="E473" s="90">
        <v>80.0</v>
      </c>
      <c r="F473" s="90">
        <v>7.3</v>
      </c>
      <c r="G473" s="90">
        <v>0.26</v>
      </c>
      <c r="H473" s="90">
        <v>0.0</v>
      </c>
      <c r="I473" s="90">
        <v>840.0</v>
      </c>
      <c r="J473" s="90">
        <v>0.63</v>
      </c>
      <c r="K473" s="90">
        <v>17.933025404157</v>
      </c>
      <c r="L473" s="90">
        <v>29.8498845265588</v>
      </c>
      <c r="M473" s="90">
        <v>11.5588914549653</v>
      </c>
      <c r="N473" s="90">
        <v>37.5173210161662</v>
      </c>
    </row>
    <row r="474" ht="14.25" customHeight="1">
      <c r="A474" s="90">
        <v>49.13</v>
      </c>
      <c r="B474" s="90">
        <v>6.54</v>
      </c>
      <c r="C474" s="90">
        <v>44.16</v>
      </c>
      <c r="D474" s="90">
        <v>0.12</v>
      </c>
      <c r="E474" s="90">
        <v>80.0</v>
      </c>
      <c r="F474" s="90">
        <v>7.3</v>
      </c>
      <c r="G474" s="90">
        <v>0.26</v>
      </c>
      <c r="H474" s="90">
        <v>0.0</v>
      </c>
      <c r="I474" s="90">
        <v>840.0</v>
      </c>
      <c r="J474" s="90">
        <v>0.63</v>
      </c>
      <c r="K474" s="90">
        <v>17.6558891454965</v>
      </c>
      <c r="L474" s="90">
        <v>29.8498845265588</v>
      </c>
      <c r="M474" s="90">
        <v>11.4665127020785</v>
      </c>
      <c r="N474" s="90">
        <v>37.1478060046189</v>
      </c>
    </row>
    <row r="475" ht="14.25" customHeight="1">
      <c r="A475" s="90">
        <v>49.13</v>
      </c>
      <c r="B475" s="90">
        <v>6.54</v>
      </c>
      <c r="C475" s="90">
        <v>44.16</v>
      </c>
      <c r="D475" s="90">
        <v>0.12</v>
      </c>
      <c r="E475" s="90">
        <v>80.0</v>
      </c>
      <c r="F475" s="90">
        <v>7.3</v>
      </c>
      <c r="G475" s="90">
        <v>0.26</v>
      </c>
      <c r="H475" s="90">
        <v>0.0</v>
      </c>
      <c r="I475" s="90">
        <v>840.0</v>
      </c>
      <c r="J475" s="90">
        <v>0.63</v>
      </c>
      <c r="K475" s="90">
        <v>17.8406466512702</v>
      </c>
      <c r="L475" s="90">
        <v>29.8498845265588</v>
      </c>
      <c r="M475" s="90">
        <v>11.4665127020785</v>
      </c>
      <c r="N475" s="90">
        <v>37.6096997690531</v>
      </c>
    </row>
    <row r="476" ht="14.25" customHeight="1">
      <c r="A476" s="90">
        <v>49.13</v>
      </c>
      <c r="B476" s="90">
        <v>6.54</v>
      </c>
      <c r="C476" s="90">
        <v>44.16</v>
      </c>
      <c r="D476" s="90">
        <v>0.12</v>
      </c>
      <c r="E476" s="90">
        <v>80.0</v>
      </c>
      <c r="F476" s="90">
        <v>7.3</v>
      </c>
      <c r="G476" s="90">
        <v>0.26</v>
      </c>
      <c r="H476" s="90">
        <v>0.0</v>
      </c>
      <c r="I476" s="90">
        <v>840.0</v>
      </c>
      <c r="J476" s="90">
        <v>0.63</v>
      </c>
      <c r="K476" s="90">
        <v>18.0254041570438</v>
      </c>
      <c r="L476" s="90">
        <v>29.4803695150115</v>
      </c>
      <c r="M476" s="90">
        <v>11.4665127020785</v>
      </c>
      <c r="N476" s="90">
        <v>37.9792147806004</v>
      </c>
    </row>
    <row r="477" ht="14.25" customHeight="1">
      <c r="A477" s="90">
        <v>49.13</v>
      </c>
      <c r="B477" s="90">
        <v>6.54</v>
      </c>
      <c r="C477" s="90">
        <v>44.16</v>
      </c>
      <c r="D477" s="90">
        <v>0.12</v>
      </c>
      <c r="E477" s="90">
        <v>80.0</v>
      </c>
      <c r="F477" s="90">
        <v>7.3</v>
      </c>
      <c r="G477" s="90">
        <v>0.26</v>
      </c>
      <c r="H477" s="90">
        <v>0.0</v>
      </c>
      <c r="I477" s="90">
        <v>840.0</v>
      </c>
      <c r="J477" s="90">
        <v>0.63</v>
      </c>
      <c r="K477" s="90">
        <v>17.6558891454965</v>
      </c>
      <c r="L477" s="90">
        <v>29.6651270207852</v>
      </c>
      <c r="M477" s="90">
        <v>11.743648960739</v>
      </c>
      <c r="N477" s="90">
        <v>38.1639722863741</v>
      </c>
    </row>
    <row r="478" ht="14.25" customHeight="1">
      <c r="A478" s="90">
        <v>49.13</v>
      </c>
      <c r="B478" s="90">
        <v>6.54</v>
      </c>
      <c r="C478" s="90">
        <v>44.16</v>
      </c>
      <c r="D478" s="90">
        <v>0.12</v>
      </c>
      <c r="E478" s="90">
        <v>80.0</v>
      </c>
      <c r="F478" s="90">
        <v>7.3</v>
      </c>
      <c r="G478" s="90">
        <v>0.26</v>
      </c>
      <c r="H478" s="90">
        <v>0.0</v>
      </c>
      <c r="I478" s="90">
        <v>840.0</v>
      </c>
      <c r="J478" s="90">
        <v>0.63</v>
      </c>
      <c r="K478" s="90">
        <v>17.933025404157</v>
      </c>
      <c r="L478" s="90">
        <v>29.4803695150115</v>
      </c>
      <c r="M478" s="90">
        <v>10.9122401847575</v>
      </c>
      <c r="N478" s="90">
        <v>37.7020785219399</v>
      </c>
    </row>
    <row r="479" ht="14.25" customHeight="1">
      <c r="A479" s="90">
        <v>49.13</v>
      </c>
      <c r="B479" s="90">
        <v>6.54</v>
      </c>
      <c r="C479" s="90">
        <v>44.16</v>
      </c>
      <c r="D479" s="90">
        <v>0.12</v>
      </c>
      <c r="E479" s="90">
        <v>80.0</v>
      </c>
      <c r="F479" s="90">
        <v>7.3</v>
      </c>
      <c r="G479" s="90">
        <v>0.26</v>
      </c>
      <c r="H479" s="90">
        <v>0.0</v>
      </c>
      <c r="I479" s="90">
        <v>840.0</v>
      </c>
      <c r="J479" s="90">
        <v>0.63</v>
      </c>
      <c r="K479" s="90">
        <v>17.6558891454965</v>
      </c>
      <c r="L479" s="90">
        <v>29.203233256351</v>
      </c>
      <c r="M479" s="90">
        <v>10.8198614318706</v>
      </c>
      <c r="N479" s="90">
        <v>38.5334872979214</v>
      </c>
    </row>
    <row r="480" ht="14.25" customHeight="1">
      <c r="A480" s="90">
        <v>49.13</v>
      </c>
      <c r="B480" s="90">
        <v>6.54</v>
      </c>
      <c r="C480" s="90">
        <v>44.16</v>
      </c>
      <c r="D480" s="90">
        <v>0.12</v>
      </c>
      <c r="E480" s="90">
        <v>80.0</v>
      </c>
      <c r="F480" s="90">
        <v>7.3</v>
      </c>
      <c r="G480" s="90">
        <v>0.26</v>
      </c>
      <c r="H480" s="90">
        <v>0.0</v>
      </c>
      <c r="I480" s="90">
        <v>840.0</v>
      </c>
      <c r="J480" s="90">
        <v>0.63</v>
      </c>
      <c r="K480" s="90">
        <v>17.1939953810623</v>
      </c>
      <c r="L480" s="90">
        <v>28.7413394919168</v>
      </c>
      <c r="M480" s="90">
        <v>10.7274826789838</v>
      </c>
      <c r="N480" s="90">
        <v>39.4572748267898</v>
      </c>
    </row>
    <row r="481" ht="14.25" customHeight="1">
      <c r="A481" s="90">
        <v>49.13</v>
      </c>
      <c r="B481" s="90">
        <v>6.54</v>
      </c>
      <c r="C481" s="90">
        <v>44.16</v>
      </c>
      <c r="D481" s="90">
        <v>0.12</v>
      </c>
      <c r="E481" s="90">
        <v>80.0</v>
      </c>
      <c r="F481" s="90">
        <v>7.3</v>
      </c>
      <c r="G481" s="90">
        <v>0.26</v>
      </c>
      <c r="H481" s="90">
        <v>0.0</v>
      </c>
      <c r="I481" s="90">
        <v>840.0</v>
      </c>
      <c r="J481" s="90">
        <v>0.63</v>
      </c>
      <c r="K481" s="90">
        <v>17.1939953810623</v>
      </c>
      <c r="L481" s="90">
        <v>29.4803695150115</v>
      </c>
      <c r="M481" s="90">
        <v>11.6512702078522</v>
      </c>
      <c r="N481" s="90">
        <v>39.7344110854503</v>
      </c>
    </row>
    <row r="482" ht="14.25" customHeight="1">
      <c r="A482" s="90">
        <v>49.13</v>
      </c>
      <c r="B482" s="90">
        <v>6.54</v>
      </c>
      <c r="C482" s="90">
        <v>44.16</v>
      </c>
      <c r="D482" s="90">
        <v>0.12</v>
      </c>
      <c r="E482" s="90">
        <v>80.0</v>
      </c>
      <c r="F482" s="90">
        <v>7.3</v>
      </c>
      <c r="G482" s="90">
        <v>0.26</v>
      </c>
      <c r="H482" s="90">
        <v>0.0</v>
      </c>
      <c r="I482" s="90">
        <v>840.0</v>
      </c>
      <c r="J482" s="90">
        <v>0.63</v>
      </c>
      <c r="K482" s="90">
        <v>17.5635103926097</v>
      </c>
      <c r="L482" s="90">
        <v>28.7413394919168</v>
      </c>
      <c r="M482" s="90">
        <v>10.4503464203233</v>
      </c>
      <c r="N482" s="90">
        <v>40.2886836027713</v>
      </c>
    </row>
    <row r="483" ht="14.25" customHeight="1">
      <c r="A483" s="90">
        <v>49.13</v>
      </c>
      <c r="B483" s="90">
        <v>6.54</v>
      </c>
      <c r="C483" s="90">
        <v>44.16</v>
      </c>
      <c r="D483" s="90">
        <v>0.12</v>
      </c>
      <c r="E483" s="90">
        <v>80.0</v>
      </c>
      <c r="F483" s="90">
        <v>7.3</v>
      </c>
      <c r="G483" s="90">
        <v>0.26</v>
      </c>
      <c r="H483" s="90">
        <v>0.0</v>
      </c>
      <c r="I483" s="90">
        <v>840.0</v>
      </c>
      <c r="J483" s="90">
        <v>0.63</v>
      </c>
      <c r="K483" s="90">
        <v>17.1016166281755</v>
      </c>
      <c r="L483" s="90">
        <v>28.7413394919168</v>
      </c>
      <c r="M483" s="90">
        <v>11.6512702078522</v>
      </c>
      <c r="N483" s="90">
        <v>39.6420323325635</v>
      </c>
    </row>
    <row r="484" ht="14.25" customHeight="1">
      <c r="A484" s="90">
        <v>49.13</v>
      </c>
      <c r="B484" s="90">
        <v>6.54</v>
      </c>
      <c r="C484" s="90">
        <v>44.16</v>
      </c>
      <c r="D484" s="90">
        <v>0.12</v>
      </c>
      <c r="E484" s="90">
        <v>80.0</v>
      </c>
      <c r="F484" s="90">
        <v>7.3</v>
      </c>
      <c r="G484" s="90">
        <v>0.26</v>
      </c>
      <c r="H484" s="90">
        <v>0.0</v>
      </c>
      <c r="I484" s="90">
        <v>840.0</v>
      </c>
      <c r="J484" s="90">
        <v>0.63</v>
      </c>
      <c r="K484" s="90">
        <v>17.0092378752886</v>
      </c>
      <c r="L484" s="90">
        <v>29.203233256351</v>
      </c>
      <c r="M484" s="90">
        <v>11.2817551963048</v>
      </c>
      <c r="N484" s="90">
        <v>39.0877598152424</v>
      </c>
    </row>
    <row r="485" ht="14.25" customHeight="1">
      <c r="A485" s="90">
        <v>49.13</v>
      </c>
      <c r="B485" s="90">
        <v>6.54</v>
      </c>
      <c r="C485" s="90">
        <v>44.16</v>
      </c>
      <c r="D485" s="90">
        <v>0.12</v>
      </c>
      <c r="E485" s="90">
        <v>80.0</v>
      </c>
      <c r="F485" s="90">
        <v>7.3</v>
      </c>
      <c r="G485" s="90">
        <v>0.26</v>
      </c>
      <c r="H485" s="90">
        <v>0.0</v>
      </c>
      <c r="I485" s="90">
        <v>840.0</v>
      </c>
      <c r="J485" s="90">
        <v>0.63</v>
      </c>
      <c r="K485" s="90">
        <v>16.9168591224018</v>
      </c>
      <c r="L485" s="90">
        <v>28.64896073903</v>
      </c>
      <c r="M485" s="90">
        <v>11.2817551963048</v>
      </c>
      <c r="N485" s="90">
        <v>40.0115473441108</v>
      </c>
    </row>
    <row r="486" ht="14.25" customHeight="1">
      <c r="A486" s="90">
        <v>49.13</v>
      </c>
      <c r="B486" s="90">
        <v>6.54</v>
      </c>
      <c r="C486" s="90">
        <v>44.16</v>
      </c>
      <c r="D486" s="90">
        <v>0.12</v>
      </c>
      <c r="E486" s="90">
        <v>80.0</v>
      </c>
      <c r="F486" s="90">
        <v>7.3</v>
      </c>
      <c r="G486" s="90">
        <v>0.26</v>
      </c>
      <c r="H486" s="90">
        <v>0.0</v>
      </c>
      <c r="I486" s="90">
        <v>840.0</v>
      </c>
      <c r="J486" s="90">
        <v>0.63</v>
      </c>
      <c r="K486" s="90">
        <v>17.378752886836</v>
      </c>
      <c r="L486" s="90">
        <v>28.8337182448036</v>
      </c>
      <c r="M486" s="90">
        <v>11.2817551963048</v>
      </c>
      <c r="N486" s="90">
        <v>39.364896073903</v>
      </c>
    </row>
    <row r="487" ht="14.25" customHeight="1">
      <c r="A487" s="90">
        <v>49.13</v>
      </c>
      <c r="B487" s="90">
        <v>6.54</v>
      </c>
      <c r="C487" s="90">
        <v>44.16</v>
      </c>
      <c r="D487" s="90">
        <v>0.12</v>
      </c>
      <c r="E487" s="90">
        <v>80.0</v>
      </c>
      <c r="F487" s="90">
        <v>7.3</v>
      </c>
      <c r="G487" s="90">
        <v>0.26</v>
      </c>
      <c r="H487" s="90">
        <v>0.0</v>
      </c>
      <c r="I487" s="90">
        <v>840.0</v>
      </c>
      <c r="J487" s="90">
        <v>0.63</v>
      </c>
      <c r="K487" s="90">
        <v>17.5635103926097</v>
      </c>
      <c r="L487" s="90">
        <v>29.203233256351</v>
      </c>
      <c r="M487" s="90">
        <v>11.8360277136258</v>
      </c>
      <c r="N487" s="90">
        <v>39.364896073903</v>
      </c>
    </row>
    <row r="488" ht="14.25" customHeight="1">
      <c r="A488" s="90">
        <v>49.13</v>
      </c>
      <c r="B488" s="90">
        <v>6.54</v>
      </c>
      <c r="C488" s="90">
        <v>44.16</v>
      </c>
      <c r="D488" s="90">
        <v>0.12</v>
      </c>
      <c r="E488" s="90">
        <v>80.0</v>
      </c>
      <c r="F488" s="90">
        <v>7.3</v>
      </c>
      <c r="G488" s="90">
        <v>0.26</v>
      </c>
      <c r="H488" s="90">
        <v>0.0</v>
      </c>
      <c r="I488" s="90">
        <v>840.0</v>
      </c>
      <c r="J488" s="90">
        <v>0.63</v>
      </c>
      <c r="K488" s="90">
        <v>17.1016166281755</v>
      </c>
      <c r="L488" s="90">
        <v>29.0184757505773</v>
      </c>
      <c r="M488" s="90">
        <v>11.9284064665127</v>
      </c>
      <c r="N488" s="90">
        <v>38.9953810623556</v>
      </c>
    </row>
    <row r="489" ht="14.25" customHeight="1">
      <c r="A489" s="90">
        <v>49.13</v>
      </c>
      <c r="B489" s="90">
        <v>6.54</v>
      </c>
      <c r="C489" s="90">
        <v>44.16</v>
      </c>
      <c r="D489" s="90">
        <v>0.12</v>
      </c>
      <c r="E489" s="90">
        <v>80.0</v>
      </c>
      <c r="F489" s="90">
        <v>7.3</v>
      </c>
      <c r="G489" s="90">
        <v>0.26</v>
      </c>
      <c r="H489" s="90">
        <v>0.0</v>
      </c>
      <c r="I489" s="90">
        <v>840.0</v>
      </c>
      <c r="J489" s="90">
        <v>0.63</v>
      </c>
      <c r="K489" s="90">
        <v>17.6558891454965</v>
      </c>
      <c r="L489" s="90">
        <v>29.4803695150115</v>
      </c>
      <c r="M489" s="90">
        <v>11.5588914549653</v>
      </c>
      <c r="N489" s="90">
        <v>39.1801385681293</v>
      </c>
    </row>
    <row r="490" ht="14.25" customHeight="1">
      <c r="A490" s="90">
        <v>49.13</v>
      </c>
      <c r="B490" s="90">
        <v>6.54</v>
      </c>
      <c r="C490" s="90">
        <v>44.16</v>
      </c>
      <c r="D490" s="90">
        <v>0.12</v>
      </c>
      <c r="E490" s="90">
        <v>80.0</v>
      </c>
      <c r="F490" s="90">
        <v>7.3</v>
      </c>
      <c r="G490" s="90">
        <v>0.26</v>
      </c>
      <c r="H490" s="90">
        <v>0.0</v>
      </c>
      <c r="I490" s="90">
        <v>840.0</v>
      </c>
      <c r="J490" s="90">
        <v>0.63</v>
      </c>
      <c r="K490" s="90">
        <v>17.6558891454965</v>
      </c>
      <c r="L490" s="90">
        <v>28.7413394919168</v>
      </c>
      <c r="M490" s="90">
        <v>11.189376443418</v>
      </c>
      <c r="N490" s="90">
        <v>39.0877598152424</v>
      </c>
    </row>
    <row r="491" ht="14.25" customHeight="1">
      <c r="A491" s="90">
        <v>49.13</v>
      </c>
      <c r="B491" s="90">
        <v>6.54</v>
      </c>
      <c r="C491" s="90">
        <v>44.16</v>
      </c>
      <c r="D491" s="90">
        <v>0.12</v>
      </c>
      <c r="E491" s="90">
        <v>80.0</v>
      </c>
      <c r="F491" s="90">
        <v>7.3</v>
      </c>
      <c r="G491" s="90">
        <v>0.26</v>
      </c>
      <c r="H491" s="90">
        <v>0.0</v>
      </c>
      <c r="I491" s="90">
        <v>840.0</v>
      </c>
      <c r="J491" s="90">
        <v>0.63</v>
      </c>
      <c r="K491" s="90">
        <v>17.1016166281755</v>
      </c>
      <c r="L491" s="90">
        <v>28.64896073903</v>
      </c>
      <c r="M491" s="90">
        <v>11.4665127020785</v>
      </c>
      <c r="N491" s="90">
        <v>39.1801385681293</v>
      </c>
    </row>
    <row r="492" ht="14.25" customHeight="1">
      <c r="A492" s="90">
        <v>49.13</v>
      </c>
      <c r="B492" s="90">
        <v>6.54</v>
      </c>
      <c r="C492" s="90">
        <v>44.16</v>
      </c>
      <c r="D492" s="90">
        <v>0.12</v>
      </c>
      <c r="E492" s="90">
        <v>80.0</v>
      </c>
      <c r="F492" s="90">
        <v>7.3</v>
      </c>
      <c r="G492" s="90">
        <v>0.26</v>
      </c>
      <c r="H492" s="90">
        <v>0.0</v>
      </c>
      <c r="I492" s="90">
        <v>840.0</v>
      </c>
      <c r="J492" s="90">
        <v>0.63</v>
      </c>
      <c r="K492" s="90">
        <v>17.1016166281755</v>
      </c>
      <c r="L492" s="90">
        <v>29.0184757505773</v>
      </c>
      <c r="M492" s="90">
        <v>11.5588914549653</v>
      </c>
      <c r="N492" s="90">
        <v>38.9953810623556</v>
      </c>
    </row>
    <row r="493" ht="14.25" customHeight="1">
      <c r="A493" s="90">
        <v>49.13</v>
      </c>
      <c r="B493" s="90">
        <v>6.54</v>
      </c>
      <c r="C493" s="90">
        <v>44.16</v>
      </c>
      <c r="D493" s="90">
        <v>0.12</v>
      </c>
      <c r="E493" s="90">
        <v>80.0</v>
      </c>
      <c r="F493" s="90">
        <v>7.3</v>
      </c>
      <c r="G493" s="90">
        <v>0.26</v>
      </c>
      <c r="H493" s="90">
        <v>0.0</v>
      </c>
      <c r="I493" s="90">
        <v>840.0</v>
      </c>
      <c r="J493" s="90">
        <v>0.63</v>
      </c>
      <c r="K493" s="90">
        <v>17.8406466512702</v>
      </c>
      <c r="L493" s="90">
        <v>29.0184757505773</v>
      </c>
      <c r="M493" s="90">
        <v>11.3741339491916</v>
      </c>
      <c r="N493" s="90">
        <v>38.5334872979214</v>
      </c>
    </row>
    <row r="494" ht="14.25" customHeight="1">
      <c r="A494" s="90">
        <v>49.13</v>
      </c>
      <c r="B494" s="90">
        <v>6.54</v>
      </c>
      <c r="C494" s="90">
        <v>44.16</v>
      </c>
      <c r="D494" s="90">
        <v>0.12</v>
      </c>
      <c r="E494" s="90">
        <v>80.0</v>
      </c>
      <c r="F494" s="90">
        <v>7.3</v>
      </c>
      <c r="G494" s="90">
        <v>0.26</v>
      </c>
      <c r="H494" s="90">
        <v>0.0</v>
      </c>
      <c r="I494" s="90">
        <v>840.0</v>
      </c>
      <c r="J494" s="90">
        <v>0.63</v>
      </c>
      <c r="K494" s="90">
        <v>17.4711316397228</v>
      </c>
      <c r="L494" s="90">
        <v>28.64896073903</v>
      </c>
      <c r="M494" s="90">
        <v>10.6351039260969</v>
      </c>
      <c r="N494" s="90">
        <v>38.5334872979214</v>
      </c>
    </row>
    <row r="495" ht="14.25" customHeight="1">
      <c r="A495" s="90">
        <v>49.13</v>
      </c>
      <c r="B495" s="90">
        <v>6.54</v>
      </c>
      <c r="C495" s="90">
        <v>44.16</v>
      </c>
      <c r="D495" s="90">
        <v>0.12</v>
      </c>
      <c r="E495" s="90">
        <v>80.0</v>
      </c>
      <c r="F495" s="90">
        <v>7.3</v>
      </c>
      <c r="G495" s="90">
        <v>0.26</v>
      </c>
      <c r="H495" s="90">
        <v>0.0</v>
      </c>
      <c r="I495" s="90">
        <v>840.0</v>
      </c>
      <c r="J495" s="90">
        <v>0.63</v>
      </c>
      <c r="K495" s="90">
        <v>17.0092378752886</v>
      </c>
      <c r="L495" s="90">
        <v>28.64896073903</v>
      </c>
      <c r="M495" s="90">
        <v>10.7274826789838</v>
      </c>
      <c r="N495" s="90">
        <v>38.9953810623556</v>
      </c>
    </row>
    <row r="496" ht="14.25" customHeight="1">
      <c r="A496" s="90">
        <v>49.13</v>
      </c>
      <c r="B496" s="90">
        <v>6.54</v>
      </c>
      <c r="C496" s="90">
        <v>44.16</v>
      </c>
      <c r="D496" s="90">
        <v>0.12</v>
      </c>
      <c r="E496" s="90">
        <v>80.0</v>
      </c>
      <c r="F496" s="90">
        <v>7.3</v>
      </c>
      <c r="G496" s="90">
        <v>0.26</v>
      </c>
      <c r="H496" s="90">
        <v>0.0</v>
      </c>
      <c r="I496" s="90">
        <v>840.0</v>
      </c>
      <c r="J496" s="90">
        <v>0.63</v>
      </c>
      <c r="K496" s="90">
        <v>17.6558891454965</v>
      </c>
      <c r="L496" s="90">
        <v>28.64896073903</v>
      </c>
      <c r="M496" s="90">
        <v>11.6512702078522</v>
      </c>
      <c r="N496" s="90">
        <v>39.4572748267898</v>
      </c>
    </row>
    <row r="497" ht="14.25" customHeight="1">
      <c r="A497" s="90">
        <v>49.13</v>
      </c>
      <c r="B497" s="90">
        <v>6.54</v>
      </c>
      <c r="C497" s="90">
        <v>44.16</v>
      </c>
      <c r="D497" s="90">
        <v>0.12</v>
      </c>
      <c r="E497" s="90">
        <v>80.0</v>
      </c>
      <c r="F497" s="90">
        <v>7.3</v>
      </c>
      <c r="G497" s="90">
        <v>0.26</v>
      </c>
      <c r="H497" s="90">
        <v>0.0</v>
      </c>
      <c r="I497" s="90">
        <v>840.0</v>
      </c>
      <c r="J497" s="90">
        <v>0.63</v>
      </c>
      <c r="K497" s="90">
        <v>17.5635103926097</v>
      </c>
      <c r="L497" s="90">
        <v>28.094688221709</v>
      </c>
      <c r="M497" s="90">
        <v>10.7274826789838</v>
      </c>
      <c r="N497" s="90">
        <v>39.919168591224</v>
      </c>
    </row>
    <row r="498" ht="14.25" customHeight="1">
      <c r="A498" s="90">
        <v>49.13</v>
      </c>
      <c r="B498" s="90">
        <v>6.54</v>
      </c>
      <c r="C498" s="90">
        <v>44.16</v>
      </c>
      <c r="D498" s="90">
        <v>0.12</v>
      </c>
      <c r="E498" s="90">
        <v>80.0</v>
      </c>
      <c r="F498" s="90">
        <v>7.3</v>
      </c>
      <c r="G498" s="90">
        <v>0.26</v>
      </c>
      <c r="H498" s="90">
        <v>0.0</v>
      </c>
      <c r="I498" s="90">
        <v>840.0</v>
      </c>
      <c r="J498" s="90">
        <v>0.63</v>
      </c>
      <c r="K498" s="90">
        <v>16.6397228637413</v>
      </c>
      <c r="L498" s="90">
        <v>28.4642032332563</v>
      </c>
      <c r="M498" s="90">
        <v>10.2655889145496</v>
      </c>
      <c r="N498" s="90">
        <v>39.919168591224</v>
      </c>
    </row>
    <row r="499" ht="14.25" customHeight="1">
      <c r="A499" s="90">
        <v>49.13</v>
      </c>
      <c r="B499" s="90">
        <v>6.54</v>
      </c>
      <c r="C499" s="90">
        <v>44.16</v>
      </c>
      <c r="D499" s="90">
        <v>0.12</v>
      </c>
      <c r="E499" s="90">
        <v>80.0</v>
      </c>
      <c r="F499" s="90">
        <v>7.3</v>
      </c>
      <c r="G499" s="90">
        <v>0.26</v>
      </c>
      <c r="H499" s="90">
        <v>0.0</v>
      </c>
      <c r="I499" s="90">
        <v>840.0</v>
      </c>
      <c r="J499" s="90">
        <v>0.63</v>
      </c>
      <c r="K499" s="90">
        <v>17.0092378752886</v>
      </c>
      <c r="L499" s="90">
        <v>28.64896073903</v>
      </c>
      <c r="M499" s="90">
        <v>10.4503464203233</v>
      </c>
      <c r="N499" s="90">
        <v>39.8267898383371</v>
      </c>
    </row>
    <row r="500" ht="14.25" customHeight="1">
      <c r="A500" s="90">
        <v>49.13</v>
      </c>
      <c r="B500" s="90">
        <v>6.54</v>
      </c>
      <c r="C500" s="90">
        <v>44.16</v>
      </c>
      <c r="D500" s="90">
        <v>0.12</v>
      </c>
      <c r="E500" s="90">
        <v>80.0</v>
      </c>
      <c r="F500" s="90">
        <v>7.3</v>
      </c>
      <c r="G500" s="90">
        <v>0.26</v>
      </c>
      <c r="H500" s="90">
        <v>0.0</v>
      </c>
      <c r="I500" s="90">
        <v>840.0</v>
      </c>
      <c r="J500" s="90">
        <v>0.63</v>
      </c>
      <c r="K500" s="90">
        <v>17.6558891454965</v>
      </c>
      <c r="L500" s="90">
        <v>28.2794457274826</v>
      </c>
      <c r="M500" s="90">
        <v>10.9122401847575</v>
      </c>
      <c r="N500" s="90">
        <v>39.6420323325635</v>
      </c>
    </row>
    <row r="501" ht="14.25" customHeight="1">
      <c r="A501" s="90">
        <v>49.13</v>
      </c>
      <c r="B501" s="90">
        <v>6.54</v>
      </c>
      <c r="C501" s="90">
        <v>44.16</v>
      </c>
      <c r="D501" s="90">
        <v>0.12</v>
      </c>
      <c r="E501" s="90">
        <v>80.0</v>
      </c>
      <c r="F501" s="90">
        <v>7.3</v>
      </c>
      <c r="G501" s="90">
        <v>0.26</v>
      </c>
      <c r="H501" s="90">
        <v>0.0</v>
      </c>
      <c r="I501" s="90">
        <v>840.0</v>
      </c>
      <c r="J501" s="90">
        <v>0.63</v>
      </c>
      <c r="K501" s="90">
        <v>17.1016166281755</v>
      </c>
      <c r="L501" s="90">
        <v>28.7413394919168</v>
      </c>
      <c r="M501" s="90">
        <v>11.5588914549653</v>
      </c>
      <c r="N501" s="90">
        <v>39.1801385681293</v>
      </c>
    </row>
    <row r="502" ht="14.25" customHeight="1">
      <c r="A502" s="90">
        <v>49.13</v>
      </c>
      <c r="B502" s="90">
        <v>6.54</v>
      </c>
      <c r="C502" s="90">
        <v>44.16</v>
      </c>
      <c r="D502" s="90">
        <v>0.12</v>
      </c>
      <c r="E502" s="90">
        <v>80.0</v>
      </c>
      <c r="F502" s="90">
        <v>7.3</v>
      </c>
      <c r="G502" s="90">
        <v>0.26</v>
      </c>
      <c r="H502" s="90">
        <v>0.0</v>
      </c>
      <c r="I502" s="90">
        <v>840.0</v>
      </c>
      <c r="J502" s="90">
        <v>0.63</v>
      </c>
      <c r="K502" s="90">
        <v>16.6397228637413</v>
      </c>
      <c r="L502" s="90">
        <v>28.7413394919168</v>
      </c>
      <c r="M502" s="90">
        <v>11.0046189376443</v>
      </c>
      <c r="N502" s="90">
        <v>40.3810623556582</v>
      </c>
    </row>
    <row r="503" ht="14.25" customHeight="1">
      <c r="A503" s="90">
        <v>49.13</v>
      </c>
      <c r="B503" s="90">
        <v>6.54</v>
      </c>
      <c r="C503" s="90">
        <v>44.16</v>
      </c>
      <c r="D503" s="90">
        <v>0.12</v>
      </c>
      <c r="E503" s="90">
        <v>80.0</v>
      </c>
      <c r="F503" s="90">
        <v>7.3</v>
      </c>
      <c r="G503" s="90">
        <v>0.26</v>
      </c>
      <c r="H503" s="90">
        <v>0.0</v>
      </c>
      <c r="I503" s="90">
        <v>840.0</v>
      </c>
      <c r="J503" s="90">
        <v>0.63</v>
      </c>
      <c r="K503" s="90">
        <v>17.1016166281755</v>
      </c>
      <c r="L503" s="90">
        <v>29.0184757505773</v>
      </c>
      <c r="M503" s="90">
        <v>12.0207852193995</v>
      </c>
      <c r="N503" s="90">
        <v>40.0115473441108</v>
      </c>
    </row>
    <row r="504" ht="14.25" customHeight="1">
      <c r="A504" s="90">
        <v>49.13</v>
      </c>
      <c r="B504" s="90">
        <v>6.54</v>
      </c>
      <c r="C504" s="90">
        <v>44.16</v>
      </c>
      <c r="D504" s="90">
        <v>0.12</v>
      </c>
      <c r="E504" s="90">
        <v>80.0</v>
      </c>
      <c r="F504" s="90">
        <v>7.3</v>
      </c>
      <c r="G504" s="90">
        <v>0.26</v>
      </c>
      <c r="H504" s="90">
        <v>0.0</v>
      </c>
      <c r="I504" s="90">
        <v>840.0</v>
      </c>
      <c r="J504" s="90">
        <v>0.63</v>
      </c>
      <c r="K504" s="90">
        <v>17.1016166281755</v>
      </c>
      <c r="L504" s="90">
        <v>28.9260969976905</v>
      </c>
      <c r="M504" s="90">
        <v>11.189376443418</v>
      </c>
      <c r="N504" s="90">
        <v>40.1963048498845</v>
      </c>
    </row>
    <row r="505" ht="14.25" customHeight="1">
      <c r="A505" s="90">
        <v>49.13</v>
      </c>
      <c r="B505" s="90">
        <v>6.54</v>
      </c>
      <c r="C505" s="90">
        <v>44.16</v>
      </c>
      <c r="D505" s="90">
        <v>0.12</v>
      </c>
      <c r="E505" s="90">
        <v>80.0</v>
      </c>
      <c r="F505" s="90">
        <v>7.3</v>
      </c>
      <c r="G505" s="90">
        <v>0.26</v>
      </c>
      <c r="H505" s="90">
        <v>0.0</v>
      </c>
      <c r="I505" s="90">
        <v>840.0</v>
      </c>
      <c r="J505" s="90">
        <v>0.63</v>
      </c>
      <c r="K505" s="90">
        <v>16.1778290993071</v>
      </c>
      <c r="L505" s="90">
        <v>28.9260969976905</v>
      </c>
      <c r="M505" s="90">
        <v>11.3741339491916</v>
      </c>
      <c r="N505" s="90">
        <v>39.7344110854503</v>
      </c>
    </row>
    <row r="506" ht="14.25" customHeight="1">
      <c r="A506" s="90">
        <v>49.13</v>
      </c>
      <c r="B506" s="90">
        <v>6.54</v>
      </c>
      <c r="C506" s="90">
        <v>44.16</v>
      </c>
      <c r="D506" s="90">
        <v>0.12</v>
      </c>
      <c r="E506" s="90">
        <v>80.0</v>
      </c>
      <c r="F506" s="90">
        <v>7.3</v>
      </c>
      <c r="G506" s="90">
        <v>0.26</v>
      </c>
      <c r="H506" s="90">
        <v>0.0</v>
      </c>
      <c r="I506" s="90">
        <v>840.0</v>
      </c>
      <c r="J506" s="90">
        <v>0.63</v>
      </c>
      <c r="K506" s="90">
        <v>16.1778290993071</v>
      </c>
      <c r="L506" s="90">
        <v>28.8337182448036</v>
      </c>
      <c r="M506" s="90">
        <v>11.4665127020785</v>
      </c>
      <c r="N506" s="90">
        <v>39.0877598152424</v>
      </c>
    </row>
    <row r="507" ht="14.25" customHeight="1">
      <c r="A507" s="90">
        <v>49.13</v>
      </c>
      <c r="B507" s="90">
        <v>6.54</v>
      </c>
      <c r="C507" s="90">
        <v>44.16</v>
      </c>
      <c r="D507" s="90">
        <v>0.12</v>
      </c>
      <c r="E507" s="90">
        <v>80.0</v>
      </c>
      <c r="F507" s="90">
        <v>7.3</v>
      </c>
      <c r="G507" s="90">
        <v>0.26</v>
      </c>
      <c r="H507" s="90">
        <v>0.0</v>
      </c>
      <c r="I507" s="90">
        <v>840.0</v>
      </c>
      <c r="J507" s="90">
        <v>0.63</v>
      </c>
      <c r="K507" s="90">
        <v>17.1939953810623</v>
      </c>
      <c r="L507" s="90">
        <v>28.8337182448036</v>
      </c>
      <c r="M507" s="90">
        <v>11.4665127020785</v>
      </c>
      <c r="N507" s="90">
        <v>38.4411085450346</v>
      </c>
    </row>
    <row r="508" ht="14.25" customHeight="1">
      <c r="A508" s="90">
        <v>49.13</v>
      </c>
      <c r="B508" s="90">
        <v>6.54</v>
      </c>
      <c r="C508" s="90">
        <v>44.16</v>
      </c>
      <c r="D508" s="90">
        <v>0.12</v>
      </c>
      <c r="E508" s="90">
        <v>80.0</v>
      </c>
      <c r="F508" s="90">
        <v>7.3</v>
      </c>
      <c r="G508" s="90">
        <v>0.26</v>
      </c>
      <c r="H508" s="90">
        <v>0.0</v>
      </c>
      <c r="I508" s="90">
        <v>840.0</v>
      </c>
      <c r="J508" s="90">
        <v>0.63</v>
      </c>
      <c r="K508" s="90">
        <v>17.378752886836</v>
      </c>
      <c r="L508" s="90">
        <v>28.9260969976905</v>
      </c>
      <c r="M508" s="90">
        <v>11.3741339491916</v>
      </c>
      <c r="N508" s="90">
        <v>39.0877598152424</v>
      </c>
    </row>
    <row r="509" ht="14.25" customHeight="1">
      <c r="A509" s="90">
        <v>49.13</v>
      </c>
      <c r="B509" s="90">
        <v>6.54</v>
      </c>
      <c r="C509" s="90">
        <v>44.16</v>
      </c>
      <c r="D509" s="90">
        <v>0.12</v>
      </c>
      <c r="E509" s="90">
        <v>80.0</v>
      </c>
      <c r="F509" s="90">
        <v>7.3</v>
      </c>
      <c r="G509" s="90">
        <v>0.26</v>
      </c>
      <c r="H509" s="90">
        <v>0.0</v>
      </c>
      <c r="I509" s="90">
        <v>840.0</v>
      </c>
      <c r="J509" s="90">
        <v>0.63</v>
      </c>
      <c r="K509" s="90">
        <v>16.9168591224018</v>
      </c>
      <c r="L509" s="90">
        <v>28.8337182448036</v>
      </c>
      <c r="M509" s="90">
        <v>11.6512702078522</v>
      </c>
      <c r="N509" s="90">
        <v>39.1801385681293</v>
      </c>
    </row>
    <row r="510" ht="14.25" customHeight="1">
      <c r="A510" s="90">
        <v>49.13</v>
      </c>
      <c r="B510" s="90">
        <v>6.54</v>
      </c>
      <c r="C510" s="90">
        <v>44.16</v>
      </c>
      <c r="D510" s="90">
        <v>0.12</v>
      </c>
      <c r="E510" s="90">
        <v>80.0</v>
      </c>
      <c r="F510" s="90">
        <v>7.3</v>
      </c>
      <c r="G510" s="90">
        <v>0.26</v>
      </c>
      <c r="H510" s="90">
        <v>0.0</v>
      </c>
      <c r="I510" s="90">
        <v>840.0</v>
      </c>
      <c r="J510" s="90">
        <v>0.63</v>
      </c>
      <c r="K510" s="90">
        <v>16.9168591224018</v>
      </c>
      <c r="L510" s="90">
        <v>28.8337182448036</v>
      </c>
      <c r="M510" s="90">
        <v>11.4665127020785</v>
      </c>
      <c r="N510" s="90">
        <v>39.7344110854503</v>
      </c>
    </row>
    <row r="511" ht="14.25" customHeight="1">
      <c r="A511" s="90">
        <v>49.13</v>
      </c>
      <c r="B511" s="90">
        <v>6.54</v>
      </c>
      <c r="C511" s="90">
        <v>44.16</v>
      </c>
      <c r="D511" s="90">
        <v>0.12</v>
      </c>
      <c r="E511" s="90">
        <v>80.0</v>
      </c>
      <c r="F511" s="90">
        <v>7.3</v>
      </c>
      <c r="G511" s="90">
        <v>0.26</v>
      </c>
      <c r="H511" s="90">
        <v>0.0</v>
      </c>
      <c r="I511" s="90">
        <v>840.0</v>
      </c>
      <c r="J511" s="90">
        <v>0.63</v>
      </c>
      <c r="K511" s="90">
        <v>16.9168591224018</v>
      </c>
      <c r="L511" s="90">
        <v>29.2956120092378</v>
      </c>
      <c r="M511" s="90">
        <v>11.3741339491916</v>
      </c>
      <c r="N511" s="90">
        <v>39.6420323325635</v>
      </c>
    </row>
    <row r="512" ht="14.25" customHeight="1">
      <c r="A512" s="90">
        <v>49.13</v>
      </c>
      <c r="B512" s="90">
        <v>6.54</v>
      </c>
      <c r="C512" s="90">
        <v>44.16</v>
      </c>
      <c r="D512" s="90">
        <v>0.12</v>
      </c>
      <c r="E512" s="90">
        <v>80.0</v>
      </c>
      <c r="F512" s="90">
        <v>7.3</v>
      </c>
      <c r="G512" s="90">
        <v>0.26</v>
      </c>
      <c r="H512" s="90">
        <v>0.0</v>
      </c>
      <c r="I512" s="90">
        <v>840.0</v>
      </c>
      <c r="J512" s="90">
        <v>0.63</v>
      </c>
      <c r="K512" s="90">
        <v>17.0092378752886</v>
      </c>
      <c r="L512" s="90">
        <v>29.203233256351</v>
      </c>
      <c r="M512" s="90">
        <v>11.2817551963048</v>
      </c>
      <c r="N512" s="90">
        <v>39.4572748267898</v>
      </c>
    </row>
    <row r="513" ht="14.25" customHeight="1">
      <c r="A513" s="90">
        <v>49.13</v>
      </c>
      <c r="B513" s="90">
        <v>6.54</v>
      </c>
      <c r="C513" s="90">
        <v>44.16</v>
      </c>
      <c r="D513" s="90">
        <v>0.12</v>
      </c>
      <c r="E513" s="90">
        <v>80.0</v>
      </c>
      <c r="F513" s="90">
        <v>7.3</v>
      </c>
      <c r="G513" s="90">
        <v>0.26</v>
      </c>
      <c r="H513" s="90">
        <v>0.0</v>
      </c>
      <c r="I513" s="90">
        <v>840.0</v>
      </c>
      <c r="J513" s="90">
        <v>0.63</v>
      </c>
      <c r="K513" s="90">
        <v>17.4711316397228</v>
      </c>
      <c r="L513" s="90">
        <v>29.5727482678983</v>
      </c>
      <c r="M513" s="90">
        <v>11.5588914549653</v>
      </c>
      <c r="N513" s="90">
        <v>39.4572748267898</v>
      </c>
    </row>
    <row r="514" ht="14.25" customHeight="1">
      <c r="A514" s="90">
        <v>49.13</v>
      </c>
      <c r="B514" s="90">
        <v>6.54</v>
      </c>
      <c r="C514" s="90">
        <v>44.16</v>
      </c>
      <c r="D514" s="90">
        <v>0.12</v>
      </c>
      <c r="E514" s="90">
        <v>80.0</v>
      </c>
      <c r="F514" s="90">
        <v>7.3</v>
      </c>
      <c r="G514" s="90">
        <v>0.26</v>
      </c>
      <c r="H514" s="90">
        <v>0.0</v>
      </c>
      <c r="I514" s="90">
        <v>840.0</v>
      </c>
      <c r="J514" s="90">
        <v>0.63</v>
      </c>
      <c r="K514" s="90">
        <v>16.9168591224018</v>
      </c>
      <c r="L514" s="90">
        <v>28.9260969976905</v>
      </c>
      <c r="M514" s="90">
        <v>11.743648960739</v>
      </c>
      <c r="N514" s="90">
        <v>39.0877598152424</v>
      </c>
    </row>
    <row r="515" ht="14.25" customHeight="1">
      <c r="A515" s="90">
        <v>49.13</v>
      </c>
      <c r="B515" s="90">
        <v>6.54</v>
      </c>
      <c r="C515" s="90">
        <v>44.16</v>
      </c>
      <c r="D515" s="90">
        <v>0.12</v>
      </c>
      <c r="E515" s="90">
        <v>80.0</v>
      </c>
      <c r="F515" s="90">
        <v>7.3</v>
      </c>
      <c r="G515" s="90">
        <v>0.26</v>
      </c>
      <c r="H515" s="90">
        <v>0.0</v>
      </c>
      <c r="I515" s="90">
        <v>840.0</v>
      </c>
      <c r="J515" s="90">
        <v>0.63</v>
      </c>
      <c r="K515" s="90">
        <v>17.4711316397228</v>
      </c>
      <c r="L515" s="90">
        <v>29.4803695150115</v>
      </c>
      <c r="M515" s="90">
        <v>11.743648960739</v>
      </c>
      <c r="N515" s="90">
        <v>38.5334872979214</v>
      </c>
    </row>
    <row r="516" ht="14.25" customHeight="1">
      <c r="A516" s="90">
        <v>49.13</v>
      </c>
      <c r="B516" s="90">
        <v>6.54</v>
      </c>
      <c r="C516" s="90">
        <v>44.16</v>
      </c>
      <c r="D516" s="90">
        <v>0.12</v>
      </c>
      <c r="E516" s="90">
        <v>80.0</v>
      </c>
      <c r="F516" s="90">
        <v>7.3</v>
      </c>
      <c r="G516" s="90">
        <v>0.26</v>
      </c>
      <c r="H516" s="90">
        <v>0.0</v>
      </c>
      <c r="I516" s="90">
        <v>840.0</v>
      </c>
      <c r="J516" s="90">
        <v>0.63</v>
      </c>
      <c r="K516" s="90">
        <v>17.6558891454965</v>
      </c>
      <c r="L516" s="90">
        <v>29.3879907621247</v>
      </c>
      <c r="M516" s="90">
        <v>11.5588914549653</v>
      </c>
      <c r="N516" s="90">
        <v>38.0715935334873</v>
      </c>
    </row>
    <row r="517" ht="14.25" customHeight="1">
      <c r="A517" s="90">
        <v>49.13</v>
      </c>
      <c r="B517" s="90">
        <v>6.54</v>
      </c>
      <c r="C517" s="90">
        <v>44.16</v>
      </c>
      <c r="D517" s="90">
        <v>0.12</v>
      </c>
      <c r="E517" s="90">
        <v>80.0</v>
      </c>
      <c r="F517" s="90">
        <v>7.3</v>
      </c>
      <c r="G517" s="90">
        <v>0.26</v>
      </c>
      <c r="H517" s="90">
        <v>0.0</v>
      </c>
      <c r="I517" s="90">
        <v>840.0</v>
      </c>
      <c r="J517" s="90">
        <v>0.63</v>
      </c>
      <c r="K517" s="90">
        <v>17.6558891454965</v>
      </c>
      <c r="L517" s="90">
        <v>29.8498845265588</v>
      </c>
      <c r="M517" s="90">
        <v>11.743648960739</v>
      </c>
      <c r="N517" s="90">
        <v>37.9792147806004</v>
      </c>
    </row>
    <row r="518" ht="14.25" customHeight="1">
      <c r="A518" s="90">
        <v>49.13</v>
      </c>
      <c r="B518" s="90">
        <v>6.54</v>
      </c>
      <c r="C518" s="90">
        <v>44.16</v>
      </c>
      <c r="D518" s="90">
        <v>0.12</v>
      </c>
      <c r="E518" s="90">
        <v>80.0</v>
      </c>
      <c r="F518" s="90">
        <v>7.3</v>
      </c>
      <c r="G518" s="90">
        <v>0.26</v>
      </c>
      <c r="H518" s="90">
        <v>0.0</v>
      </c>
      <c r="I518" s="90">
        <v>840.0</v>
      </c>
      <c r="J518" s="90">
        <v>0.63</v>
      </c>
      <c r="K518" s="90">
        <v>17.7482678983833</v>
      </c>
      <c r="L518" s="90">
        <v>29.0184757505773</v>
      </c>
      <c r="M518" s="90">
        <v>10.8198614318706</v>
      </c>
      <c r="N518" s="90">
        <v>38.5334872979214</v>
      </c>
    </row>
    <row r="519" ht="14.25" customHeight="1">
      <c r="A519" s="90">
        <v>49.13</v>
      </c>
      <c r="B519" s="90">
        <v>6.54</v>
      </c>
      <c r="C519" s="90">
        <v>44.16</v>
      </c>
      <c r="D519" s="90">
        <v>0.12</v>
      </c>
      <c r="E519" s="90">
        <v>80.0</v>
      </c>
      <c r="F519" s="90">
        <v>7.3</v>
      </c>
      <c r="G519" s="90">
        <v>0.26</v>
      </c>
      <c r="H519" s="90">
        <v>0.0</v>
      </c>
      <c r="I519" s="90">
        <v>840.0</v>
      </c>
      <c r="J519" s="90">
        <v>0.63</v>
      </c>
      <c r="K519" s="90">
        <v>17.8406466512702</v>
      </c>
      <c r="L519" s="90">
        <v>29.203233256351</v>
      </c>
      <c r="M519" s="90">
        <v>11.2817551963048</v>
      </c>
      <c r="N519" s="90">
        <v>39.0877598152424</v>
      </c>
    </row>
    <row r="520" ht="14.25" customHeight="1">
      <c r="A520" s="90">
        <v>49.13</v>
      </c>
      <c r="B520" s="90">
        <v>6.54</v>
      </c>
      <c r="C520" s="90">
        <v>44.16</v>
      </c>
      <c r="D520" s="90">
        <v>0.12</v>
      </c>
      <c r="E520" s="90">
        <v>80.0</v>
      </c>
      <c r="F520" s="90">
        <v>7.3</v>
      </c>
      <c r="G520" s="90">
        <v>0.26</v>
      </c>
      <c r="H520" s="90">
        <v>0.0</v>
      </c>
      <c r="I520" s="90">
        <v>840.0</v>
      </c>
      <c r="J520" s="90">
        <v>0.63</v>
      </c>
      <c r="K520" s="90">
        <v>17.5635103926097</v>
      </c>
      <c r="L520" s="90">
        <v>28.7413394919168</v>
      </c>
      <c r="M520" s="90">
        <v>11.3741339491916</v>
      </c>
      <c r="N520" s="90">
        <v>39.0877598152424</v>
      </c>
    </row>
    <row r="521" ht="14.25" customHeight="1">
      <c r="A521" s="90">
        <v>49.13</v>
      </c>
      <c r="B521" s="90">
        <v>6.54</v>
      </c>
      <c r="C521" s="90">
        <v>44.16</v>
      </c>
      <c r="D521" s="90">
        <v>0.12</v>
      </c>
      <c r="E521" s="90">
        <v>80.0</v>
      </c>
      <c r="F521" s="90">
        <v>7.3</v>
      </c>
      <c r="G521" s="90">
        <v>0.26</v>
      </c>
      <c r="H521" s="90">
        <v>0.0</v>
      </c>
      <c r="I521" s="90">
        <v>840.0</v>
      </c>
      <c r="J521" s="90">
        <v>0.63</v>
      </c>
      <c r="K521" s="90">
        <v>17.378752886836</v>
      </c>
      <c r="L521" s="90">
        <v>29.2956120092378</v>
      </c>
      <c r="M521" s="90">
        <v>11.6512702078522</v>
      </c>
      <c r="N521" s="90">
        <v>38.3487297921478</v>
      </c>
    </row>
    <row r="522" ht="14.25" customHeight="1">
      <c r="A522" s="90">
        <v>49.13</v>
      </c>
      <c r="B522" s="90">
        <v>6.54</v>
      </c>
      <c r="C522" s="90">
        <v>44.16</v>
      </c>
      <c r="D522" s="90">
        <v>0.12</v>
      </c>
      <c r="E522" s="90">
        <v>80.0</v>
      </c>
      <c r="F522" s="90">
        <v>7.3</v>
      </c>
      <c r="G522" s="90">
        <v>0.26</v>
      </c>
      <c r="H522" s="90">
        <v>0.0</v>
      </c>
      <c r="I522" s="90">
        <v>840.0</v>
      </c>
      <c r="J522" s="90">
        <v>0.63</v>
      </c>
      <c r="K522" s="90">
        <v>17.4711316397228</v>
      </c>
      <c r="L522" s="90">
        <v>29.4803695150115</v>
      </c>
      <c r="M522" s="90">
        <v>11.5588914549653</v>
      </c>
      <c r="N522" s="90">
        <v>39.2725173210161</v>
      </c>
    </row>
    <row r="523" ht="14.25" customHeight="1">
      <c r="A523" s="90">
        <v>49.13</v>
      </c>
      <c r="B523" s="90">
        <v>6.54</v>
      </c>
      <c r="C523" s="90">
        <v>44.16</v>
      </c>
      <c r="D523" s="90">
        <v>0.12</v>
      </c>
      <c r="E523" s="90">
        <v>80.0</v>
      </c>
      <c r="F523" s="90">
        <v>7.3</v>
      </c>
      <c r="G523" s="90">
        <v>0.26</v>
      </c>
      <c r="H523" s="90">
        <v>0.0</v>
      </c>
      <c r="I523" s="90">
        <v>840.0</v>
      </c>
      <c r="J523" s="90">
        <v>0.63</v>
      </c>
      <c r="K523" s="90">
        <v>17.4711316397228</v>
      </c>
      <c r="L523" s="90">
        <v>29.2956120092378</v>
      </c>
      <c r="M523" s="90">
        <v>11.743648960739</v>
      </c>
      <c r="N523" s="90">
        <v>38.5334872979214</v>
      </c>
    </row>
    <row r="524" ht="14.25" customHeight="1">
      <c r="A524" s="90">
        <v>49.13</v>
      </c>
      <c r="B524" s="90">
        <v>6.54</v>
      </c>
      <c r="C524" s="90">
        <v>44.16</v>
      </c>
      <c r="D524" s="90">
        <v>0.12</v>
      </c>
      <c r="E524" s="90">
        <v>80.0</v>
      </c>
      <c r="F524" s="90">
        <v>7.3</v>
      </c>
      <c r="G524" s="90">
        <v>0.26</v>
      </c>
      <c r="H524" s="90">
        <v>0.0</v>
      </c>
      <c r="I524" s="90">
        <v>840.0</v>
      </c>
      <c r="J524" s="90">
        <v>0.63</v>
      </c>
      <c r="K524" s="90">
        <v>17.4711316397228</v>
      </c>
      <c r="L524" s="90">
        <v>29.3879907621247</v>
      </c>
      <c r="M524" s="90">
        <v>11.743648960739</v>
      </c>
      <c r="N524" s="90">
        <v>38.4411085450346</v>
      </c>
    </row>
    <row r="525" ht="14.25" customHeight="1">
      <c r="A525" s="90">
        <v>49.13</v>
      </c>
      <c r="B525" s="90">
        <v>6.54</v>
      </c>
      <c r="C525" s="90">
        <v>44.16</v>
      </c>
      <c r="D525" s="90">
        <v>0.12</v>
      </c>
      <c r="E525" s="90">
        <v>80.0</v>
      </c>
      <c r="F525" s="90">
        <v>7.3</v>
      </c>
      <c r="G525" s="90">
        <v>0.26</v>
      </c>
      <c r="H525" s="90">
        <v>0.0</v>
      </c>
      <c r="I525" s="90">
        <v>840.0</v>
      </c>
      <c r="J525" s="90">
        <v>0.63</v>
      </c>
      <c r="K525" s="90">
        <v>17.2863741339491</v>
      </c>
      <c r="L525" s="90">
        <v>29.0184757505773</v>
      </c>
      <c r="M525" s="90">
        <v>11.5588914549653</v>
      </c>
      <c r="N525" s="90">
        <v>38.0715935334873</v>
      </c>
    </row>
    <row r="526" ht="14.25" customHeight="1">
      <c r="A526" s="90">
        <v>49.13</v>
      </c>
      <c r="B526" s="90">
        <v>6.54</v>
      </c>
      <c r="C526" s="90">
        <v>44.16</v>
      </c>
      <c r="D526" s="90">
        <v>0.12</v>
      </c>
      <c r="E526" s="90">
        <v>80.0</v>
      </c>
      <c r="F526" s="90">
        <v>7.3</v>
      </c>
      <c r="G526" s="90">
        <v>0.26</v>
      </c>
      <c r="H526" s="90">
        <v>0.0</v>
      </c>
      <c r="I526" s="90">
        <v>840.0</v>
      </c>
      <c r="J526" s="90">
        <v>0.63</v>
      </c>
      <c r="K526" s="90">
        <v>17.378752886836</v>
      </c>
      <c r="L526" s="90">
        <v>29.4803695150115</v>
      </c>
      <c r="M526" s="90">
        <v>11.189376443418</v>
      </c>
      <c r="N526" s="90">
        <v>37.7020785219399</v>
      </c>
    </row>
    <row r="527" ht="14.25" customHeight="1">
      <c r="A527" s="90">
        <v>49.13</v>
      </c>
      <c r="B527" s="90">
        <v>6.54</v>
      </c>
      <c r="C527" s="90">
        <v>44.16</v>
      </c>
      <c r="D527" s="90">
        <v>0.12</v>
      </c>
      <c r="E527" s="90">
        <v>80.0</v>
      </c>
      <c r="F527" s="90">
        <v>7.3</v>
      </c>
      <c r="G527" s="90">
        <v>0.26</v>
      </c>
      <c r="H527" s="90">
        <v>0.0</v>
      </c>
      <c r="I527" s="90">
        <v>840.0</v>
      </c>
      <c r="J527" s="90">
        <v>0.63</v>
      </c>
      <c r="K527" s="90">
        <v>17.6558891454965</v>
      </c>
      <c r="L527" s="90">
        <v>29.757505773672</v>
      </c>
      <c r="M527" s="90">
        <v>11.5588914549653</v>
      </c>
      <c r="N527" s="90">
        <v>38.4411085450346</v>
      </c>
    </row>
    <row r="528" ht="14.25" customHeight="1">
      <c r="A528" s="90">
        <v>49.13</v>
      </c>
      <c r="B528" s="90">
        <v>6.54</v>
      </c>
      <c r="C528" s="90">
        <v>44.16</v>
      </c>
      <c r="D528" s="90">
        <v>0.12</v>
      </c>
      <c r="E528" s="90">
        <v>80.0</v>
      </c>
      <c r="F528" s="90">
        <v>7.3</v>
      </c>
      <c r="G528" s="90">
        <v>0.26</v>
      </c>
      <c r="H528" s="90">
        <v>0.0</v>
      </c>
      <c r="I528" s="90">
        <v>840.0</v>
      </c>
      <c r="J528" s="90">
        <v>0.63</v>
      </c>
      <c r="K528" s="90">
        <v>18.0254041570438</v>
      </c>
      <c r="L528" s="90">
        <v>29.0184757505773</v>
      </c>
      <c r="M528" s="90">
        <v>11.8360277136258</v>
      </c>
      <c r="N528" s="90">
        <v>37.9792147806004</v>
      </c>
    </row>
    <row r="529" ht="14.25" customHeight="1">
      <c r="A529" s="90">
        <v>49.13</v>
      </c>
      <c r="B529" s="90">
        <v>6.54</v>
      </c>
      <c r="C529" s="90">
        <v>44.16</v>
      </c>
      <c r="D529" s="90">
        <v>0.12</v>
      </c>
      <c r="E529" s="90">
        <v>80.0</v>
      </c>
      <c r="F529" s="90">
        <v>7.3</v>
      </c>
      <c r="G529" s="90">
        <v>0.26</v>
      </c>
      <c r="H529" s="90">
        <v>0.0</v>
      </c>
      <c r="I529" s="90">
        <v>840.0</v>
      </c>
      <c r="J529" s="90">
        <v>0.63</v>
      </c>
      <c r="K529" s="90">
        <v>18.0254041570438</v>
      </c>
      <c r="L529" s="90">
        <v>28.4642032332563</v>
      </c>
      <c r="M529" s="90">
        <v>11.0046189376443</v>
      </c>
      <c r="N529" s="90">
        <v>39.0877598152424</v>
      </c>
    </row>
    <row r="530" ht="14.25" customHeight="1">
      <c r="A530" s="90">
        <v>49.13</v>
      </c>
      <c r="B530" s="90">
        <v>6.54</v>
      </c>
      <c r="C530" s="90">
        <v>44.16</v>
      </c>
      <c r="D530" s="90">
        <v>0.12</v>
      </c>
      <c r="E530" s="90">
        <v>80.0</v>
      </c>
      <c r="F530" s="90">
        <v>7.3</v>
      </c>
      <c r="G530" s="90">
        <v>0.26</v>
      </c>
      <c r="H530" s="90">
        <v>0.0</v>
      </c>
      <c r="I530" s="90">
        <v>645.0</v>
      </c>
      <c r="J530" s="90">
        <v>0.79</v>
      </c>
      <c r="K530" s="90">
        <v>6.35496183206106</v>
      </c>
      <c r="L530" s="90">
        <v>6.78435114503816</v>
      </c>
      <c r="M530" s="90">
        <v>11.6793893129771</v>
      </c>
      <c r="N530" s="90">
        <v>78.84</v>
      </c>
    </row>
    <row r="531" ht="14.25" customHeight="1">
      <c r="A531" s="90">
        <v>49.13</v>
      </c>
      <c r="B531" s="90">
        <v>6.54</v>
      </c>
      <c r="C531" s="90">
        <v>44.16</v>
      </c>
      <c r="D531" s="90">
        <v>0.12</v>
      </c>
      <c r="E531" s="90">
        <v>80.0</v>
      </c>
      <c r="F531" s="90">
        <v>7.3</v>
      </c>
      <c r="G531" s="90">
        <v>0.26</v>
      </c>
      <c r="H531" s="90">
        <v>0.0</v>
      </c>
      <c r="I531" s="90">
        <v>645.0</v>
      </c>
      <c r="J531" s="90">
        <v>0.79</v>
      </c>
      <c r="K531" s="90">
        <v>6.61259541984733</v>
      </c>
      <c r="L531" s="90">
        <v>7.21374045801526</v>
      </c>
      <c r="M531" s="90">
        <v>11.3358778625954</v>
      </c>
      <c r="N531" s="90">
        <v>79.18</v>
      </c>
    </row>
    <row r="532" ht="14.25" customHeight="1">
      <c r="A532" s="90">
        <v>49.13</v>
      </c>
      <c r="B532" s="90">
        <v>6.54</v>
      </c>
      <c r="C532" s="90">
        <v>44.16</v>
      </c>
      <c r="D532" s="90">
        <v>0.12</v>
      </c>
      <c r="E532" s="90">
        <v>80.0</v>
      </c>
      <c r="F532" s="90">
        <v>7.3</v>
      </c>
      <c r="G532" s="90">
        <v>0.26</v>
      </c>
      <c r="H532" s="90">
        <v>0.0</v>
      </c>
      <c r="I532" s="90">
        <v>645.0</v>
      </c>
      <c r="J532" s="90">
        <v>0.79</v>
      </c>
      <c r="K532" s="90">
        <v>6.87022900763358</v>
      </c>
      <c r="L532" s="90">
        <v>7.47137404580152</v>
      </c>
      <c r="M532" s="90">
        <v>11.2499999999999</v>
      </c>
      <c r="N532" s="90">
        <v>78.83</v>
      </c>
    </row>
    <row r="533" ht="14.25" customHeight="1">
      <c r="A533" s="90">
        <v>49.13</v>
      </c>
      <c r="B533" s="90">
        <v>6.54</v>
      </c>
      <c r="C533" s="90">
        <v>44.16</v>
      </c>
      <c r="D533" s="90">
        <v>0.12</v>
      </c>
      <c r="E533" s="90">
        <v>80.0</v>
      </c>
      <c r="F533" s="90">
        <v>7.3</v>
      </c>
      <c r="G533" s="90">
        <v>0.26</v>
      </c>
      <c r="H533" s="90">
        <v>0.0</v>
      </c>
      <c r="I533" s="90">
        <v>645.0</v>
      </c>
      <c r="J533" s="90">
        <v>0.79</v>
      </c>
      <c r="K533" s="90">
        <v>6.44083969465648</v>
      </c>
      <c r="L533" s="90">
        <v>6.78435114503816</v>
      </c>
      <c r="M533" s="90">
        <v>11.8511450381679</v>
      </c>
      <c r="N533" s="90">
        <v>78.83</v>
      </c>
    </row>
    <row r="534" ht="14.25" customHeight="1">
      <c r="A534" s="90">
        <v>49.13</v>
      </c>
      <c r="B534" s="90">
        <v>6.54</v>
      </c>
      <c r="C534" s="90">
        <v>44.16</v>
      </c>
      <c r="D534" s="90">
        <v>0.12</v>
      </c>
      <c r="E534" s="90">
        <v>80.0</v>
      </c>
      <c r="F534" s="90">
        <v>7.3</v>
      </c>
      <c r="G534" s="90">
        <v>0.26</v>
      </c>
      <c r="H534" s="90">
        <v>0.0</v>
      </c>
      <c r="I534" s="90">
        <v>645.0</v>
      </c>
      <c r="J534" s="90">
        <v>0.79</v>
      </c>
      <c r="K534" s="90">
        <v>7.04198473282442</v>
      </c>
      <c r="L534" s="90">
        <v>6.78435114503816</v>
      </c>
      <c r="M534" s="90">
        <v>11.8511450381679</v>
      </c>
      <c r="N534" s="90">
        <v>78.3</v>
      </c>
    </row>
    <row r="535" ht="14.25" customHeight="1">
      <c r="A535" s="90">
        <v>44.18</v>
      </c>
      <c r="B535" s="90">
        <v>6.38</v>
      </c>
      <c r="C535" s="90">
        <v>49.32</v>
      </c>
      <c r="D535" s="90">
        <v>0.12</v>
      </c>
      <c r="E535" s="90">
        <v>76.86</v>
      </c>
      <c r="F535" s="90">
        <v>8.16</v>
      </c>
      <c r="G535" s="90">
        <v>0.12</v>
      </c>
      <c r="H535" s="90">
        <v>0.0</v>
      </c>
      <c r="I535" s="90">
        <v>650.0</v>
      </c>
      <c r="J535" s="90">
        <v>0.85</v>
      </c>
      <c r="K535" s="90">
        <v>45.0</v>
      </c>
      <c r="L535" s="90">
        <v>14.99</v>
      </c>
      <c r="M535" s="90">
        <v>13.61</v>
      </c>
      <c r="N535" s="90">
        <v>21.84</v>
      </c>
    </row>
    <row r="536" ht="14.25" customHeight="1">
      <c r="A536" s="90">
        <v>44.18</v>
      </c>
      <c r="B536" s="90">
        <v>6.38</v>
      </c>
      <c r="C536" s="90">
        <v>49.32</v>
      </c>
      <c r="D536" s="90">
        <v>0.12</v>
      </c>
      <c r="E536" s="90">
        <v>76.86</v>
      </c>
      <c r="F536" s="90">
        <v>8.16</v>
      </c>
      <c r="G536" s="90">
        <v>0.12</v>
      </c>
      <c r="H536" s="90">
        <v>0.0</v>
      </c>
      <c r="I536" s="90">
        <v>650.0</v>
      </c>
      <c r="J536" s="90">
        <v>0.85</v>
      </c>
      <c r="K536" s="90">
        <v>4.85</v>
      </c>
      <c r="L536" s="90">
        <v>24.75</v>
      </c>
      <c r="M536" s="90">
        <v>5.75</v>
      </c>
      <c r="N536" s="90">
        <v>63.56</v>
      </c>
    </row>
    <row r="537" ht="14.25" customHeight="1">
      <c r="A537" s="90">
        <v>44.18</v>
      </c>
      <c r="B537" s="90">
        <v>6.38</v>
      </c>
      <c r="C537" s="90">
        <v>49.32</v>
      </c>
      <c r="D537" s="90">
        <v>0.12</v>
      </c>
      <c r="E537" s="90">
        <v>76.86</v>
      </c>
      <c r="F537" s="90">
        <v>8.16</v>
      </c>
      <c r="G537" s="90">
        <v>0.12</v>
      </c>
      <c r="H537" s="90">
        <v>0.0</v>
      </c>
      <c r="I537" s="90">
        <v>650.0</v>
      </c>
      <c r="J537" s="90">
        <v>0.85</v>
      </c>
      <c r="K537" s="90">
        <v>14.18</v>
      </c>
      <c r="L537" s="90">
        <v>30.55</v>
      </c>
      <c r="M537" s="90">
        <v>6.81</v>
      </c>
      <c r="N537" s="90">
        <v>46.94</v>
      </c>
    </row>
    <row r="538" ht="14.25" customHeight="1">
      <c r="A538" s="90">
        <v>44.18</v>
      </c>
      <c r="B538" s="90">
        <v>6.38</v>
      </c>
      <c r="C538" s="90">
        <v>49.32</v>
      </c>
      <c r="D538" s="90">
        <v>0.12</v>
      </c>
      <c r="E538" s="90">
        <v>76.86</v>
      </c>
      <c r="F538" s="90">
        <v>8.16</v>
      </c>
      <c r="G538" s="90">
        <v>0.12</v>
      </c>
      <c r="H538" s="90">
        <v>0.0</v>
      </c>
      <c r="I538" s="90">
        <v>750.0</v>
      </c>
      <c r="J538" s="90">
        <v>0.85</v>
      </c>
      <c r="K538" s="90">
        <v>35.54</v>
      </c>
      <c r="L538" s="90">
        <v>12.16</v>
      </c>
      <c r="M538" s="90">
        <v>9.93</v>
      </c>
      <c r="N538" s="90">
        <v>38.03</v>
      </c>
    </row>
    <row r="539" ht="14.25" customHeight="1">
      <c r="A539" s="90">
        <v>44.18</v>
      </c>
      <c r="B539" s="90">
        <v>6.38</v>
      </c>
      <c r="C539" s="90">
        <v>49.32</v>
      </c>
      <c r="D539" s="90">
        <v>0.12</v>
      </c>
      <c r="E539" s="90">
        <v>76.86</v>
      </c>
      <c r="F539" s="90">
        <v>8.16</v>
      </c>
      <c r="G539" s="90">
        <v>0.12</v>
      </c>
      <c r="H539" s="90">
        <v>0.0</v>
      </c>
      <c r="I539" s="90">
        <v>750.0</v>
      </c>
      <c r="J539" s="90">
        <v>0.85</v>
      </c>
      <c r="K539" s="90">
        <v>7.71</v>
      </c>
      <c r="L539" s="90">
        <v>29.23</v>
      </c>
      <c r="M539" s="90">
        <v>5.72</v>
      </c>
      <c r="N539" s="90">
        <v>55.97</v>
      </c>
    </row>
    <row r="540" ht="14.25" customHeight="1">
      <c r="A540" s="90">
        <v>44.18</v>
      </c>
      <c r="B540" s="90">
        <v>6.38</v>
      </c>
      <c r="C540" s="90">
        <v>49.32</v>
      </c>
      <c r="D540" s="90">
        <v>0.12</v>
      </c>
      <c r="E540" s="90">
        <v>76.86</v>
      </c>
      <c r="F540" s="90">
        <v>8.16</v>
      </c>
      <c r="G540" s="90">
        <v>0.12</v>
      </c>
      <c r="H540" s="90">
        <v>0.0</v>
      </c>
      <c r="I540" s="90">
        <v>750.0</v>
      </c>
      <c r="J540" s="90">
        <v>0.85</v>
      </c>
      <c r="K540" s="90">
        <v>15.17</v>
      </c>
      <c r="L540" s="90">
        <v>27.14</v>
      </c>
      <c r="M540" s="90">
        <v>7.18</v>
      </c>
      <c r="N540" s="90">
        <v>48.26</v>
      </c>
    </row>
    <row r="541" ht="14.25" customHeight="1">
      <c r="A541" s="90">
        <v>44.18</v>
      </c>
      <c r="B541" s="90">
        <v>6.38</v>
      </c>
      <c r="C541" s="90">
        <v>49.32</v>
      </c>
      <c r="D541" s="90">
        <v>0.12</v>
      </c>
      <c r="E541" s="90">
        <v>76.86</v>
      </c>
      <c r="F541" s="90">
        <v>8.16</v>
      </c>
      <c r="G541" s="90">
        <v>0.12</v>
      </c>
      <c r="H541" s="90">
        <v>0.0</v>
      </c>
      <c r="I541" s="90">
        <v>750.0</v>
      </c>
      <c r="J541" s="90">
        <v>0.85</v>
      </c>
      <c r="K541" s="90">
        <v>7.4</v>
      </c>
      <c r="L541" s="90">
        <v>29.57</v>
      </c>
      <c r="M541" s="90">
        <v>5.91</v>
      </c>
      <c r="N541" s="90">
        <v>55.68</v>
      </c>
    </row>
    <row r="542" ht="14.25" customHeight="1">
      <c r="A542" s="90">
        <v>50.8</v>
      </c>
      <c r="B542" s="90">
        <v>5.4</v>
      </c>
      <c r="C542" s="90">
        <v>43.6</v>
      </c>
      <c r="D542" s="90">
        <v>0.19379999999999598</v>
      </c>
      <c r="E542" s="90">
        <v>75.9</v>
      </c>
      <c r="F542" s="90">
        <v>6.4</v>
      </c>
      <c r="G542" s="90">
        <v>0.3</v>
      </c>
      <c r="H542" s="90">
        <v>0.0</v>
      </c>
      <c r="I542" s="90">
        <v>800.0</v>
      </c>
      <c r="J542" s="90">
        <v>0.3</v>
      </c>
      <c r="K542" s="90">
        <v>27.8688760771124</v>
      </c>
      <c r="L542" s="90">
        <v>17.737945904054</v>
      </c>
      <c r="M542" s="90">
        <v>9.0044984735991</v>
      </c>
      <c r="N542" s="90">
        <v>34.9432288160643</v>
      </c>
    </row>
    <row r="543" ht="14.25" customHeight="1">
      <c r="A543" s="90">
        <v>50.8</v>
      </c>
      <c r="B543" s="90">
        <v>5.4</v>
      </c>
      <c r="C543" s="90">
        <v>43.6</v>
      </c>
      <c r="D543" s="90">
        <v>0.19379999999999598</v>
      </c>
      <c r="E543" s="90">
        <v>75.9</v>
      </c>
      <c r="F543" s="90">
        <v>6.4</v>
      </c>
      <c r="G543" s="90">
        <v>0.3</v>
      </c>
      <c r="H543" s="90">
        <v>0.0</v>
      </c>
      <c r="I543" s="90">
        <v>800.0</v>
      </c>
      <c r="J543" s="90">
        <v>0.3</v>
      </c>
      <c r="K543" s="90">
        <v>30.0557651752069</v>
      </c>
      <c r="L543" s="90">
        <v>17.7410260295443</v>
      </c>
      <c r="M543" s="90">
        <v>9.44416154761402</v>
      </c>
      <c r="N543" s="90">
        <v>35.2083183260014</v>
      </c>
    </row>
    <row r="544" ht="14.25" customHeight="1">
      <c r="A544" s="90">
        <v>50.8</v>
      </c>
      <c r="B544" s="90">
        <v>5.4</v>
      </c>
      <c r="C544" s="90">
        <v>43.6</v>
      </c>
      <c r="D544" s="90">
        <v>0.19379999999999598</v>
      </c>
      <c r="E544" s="90">
        <v>75.9</v>
      </c>
      <c r="F544" s="90">
        <v>6.4</v>
      </c>
      <c r="G544" s="90">
        <v>0.3</v>
      </c>
      <c r="H544" s="90">
        <v>0.0</v>
      </c>
      <c r="I544" s="90">
        <v>800.0</v>
      </c>
      <c r="J544" s="90">
        <v>0.3</v>
      </c>
      <c r="K544" s="90">
        <v>30.7570401981216</v>
      </c>
      <c r="L544" s="90">
        <v>17.4815999761538</v>
      </c>
      <c r="M544" s="90">
        <v>9.70905233977758</v>
      </c>
      <c r="N544" s="90">
        <v>34.9491903492713</v>
      </c>
    </row>
    <row r="545" ht="14.25" customHeight="1">
      <c r="A545" s="90">
        <v>50.8</v>
      </c>
      <c r="B545" s="90">
        <v>5.4</v>
      </c>
      <c r="C545" s="90">
        <v>43.6</v>
      </c>
      <c r="D545" s="90">
        <v>0.19379999999999598</v>
      </c>
      <c r="E545" s="90">
        <v>75.9</v>
      </c>
      <c r="F545" s="90">
        <v>6.4</v>
      </c>
      <c r="G545" s="90">
        <v>0.3</v>
      </c>
      <c r="H545" s="90">
        <v>0.0</v>
      </c>
      <c r="I545" s="90">
        <v>800.0</v>
      </c>
      <c r="J545" s="90">
        <v>0.3</v>
      </c>
      <c r="K545" s="90">
        <v>31.4587126565833</v>
      </c>
      <c r="L545" s="90">
        <v>16.7859884097858</v>
      </c>
      <c r="M545" s="90">
        <v>9.97374441416758</v>
      </c>
      <c r="N545" s="90">
        <v>34.6027259110589</v>
      </c>
    </row>
    <row r="546" ht="14.25" customHeight="1">
      <c r="A546" s="90">
        <v>50.8</v>
      </c>
      <c r="B546" s="90">
        <v>5.4</v>
      </c>
      <c r="C546" s="90">
        <v>43.6</v>
      </c>
      <c r="D546" s="90">
        <v>0.19379999999999598</v>
      </c>
      <c r="E546" s="90">
        <v>75.9</v>
      </c>
      <c r="F546" s="90">
        <v>6.4</v>
      </c>
      <c r="G546" s="90">
        <v>0.3</v>
      </c>
      <c r="H546" s="90">
        <v>0.0</v>
      </c>
      <c r="I546" s="90">
        <v>800.0</v>
      </c>
      <c r="J546" s="90">
        <v>0.3</v>
      </c>
      <c r="K546" s="90">
        <v>30.3262200650303</v>
      </c>
      <c r="L546" s="90">
        <v>17.4005231245389</v>
      </c>
      <c r="M546" s="90">
        <v>9.8020522578065</v>
      </c>
      <c r="N546" s="90">
        <v>35.6537442154498</v>
      </c>
    </row>
    <row r="547" ht="14.25" customHeight="1">
      <c r="A547" s="90">
        <v>50.8</v>
      </c>
      <c r="B547" s="90">
        <v>5.4</v>
      </c>
      <c r="C547" s="90">
        <v>43.6</v>
      </c>
      <c r="D547" s="90">
        <v>0.19379999999999598</v>
      </c>
      <c r="E547" s="90">
        <v>75.9</v>
      </c>
      <c r="F547" s="90">
        <v>6.4</v>
      </c>
      <c r="G547" s="90">
        <v>0.3</v>
      </c>
      <c r="H547" s="90">
        <v>0.0</v>
      </c>
      <c r="I547" s="90">
        <v>800.0</v>
      </c>
      <c r="J547" s="90">
        <v>0.3</v>
      </c>
      <c r="K547" s="90">
        <v>29.4557368579242</v>
      </c>
      <c r="L547" s="90">
        <v>17.7524523015244</v>
      </c>
      <c r="M547" s="90">
        <v>9.36845007588534</v>
      </c>
      <c r="N547" s="90">
        <v>36.3551185972512</v>
      </c>
    </row>
    <row r="548" ht="14.25" customHeight="1">
      <c r="A548" s="90">
        <v>50.8</v>
      </c>
      <c r="B548" s="90">
        <v>5.4</v>
      </c>
      <c r="C548" s="90">
        <v>43.6</v>
      </c>
      <c r="D548" s="90">
        <v>0.19379999999999598</v>
      </c>
      <c r="E548" s="90">
        <v>75.9</v>
      </c>
      <c r="F548" s="90">
        <v>6.4</v>
      </c>
      <c r="G548" s="90">
        <v>0.3</v>
      </c>
      <c r="H548" s="90">
        <v>0.0</v>
      </c>
      <c r="I548" s="90">
        <v>800.0</v>
      </c>
      <c r="J548" s="90">
        <v>0.3</v>
      </c>
      <c r="K548" s="90">
        <v>30.331883521577</v>
      </c>
      <c r="L548" s="90">
        <v>17.6681959655323</v>
      </c>
      <c r="M548" s="90">
        <v>9.45856858619756</v>
      </c>
      <c r="N548" s="90">
        <v>35.484635390145</v>
      </c>
    </row>
    <row r="549" ht="14.25" customHeight="1">
      <c r="A549" s="90">
        <v>50.8</v>
      </c>
      <c r="B549" s="90">
        <v>5.4</v>
      </c>
      <c r="C549" s="90">
        <v>43.6</v>
      </c>
      <c r="D549" s="90">
        <v>0.19379999999999598</v>
      </c>
      <c r="E549" s="90">
        <v>75.9</v>
      </c>
      <c r="F549" s="90">
        <v>6.4</v>
      </c>
      <c r="G549" s="90">
        <v>0.3</v>
      </c>
      <c r="H549" s="90">
        <v>0.0</v>
      </c>
      <c r="I549" s="90">
        <v>800.0</v>
      </c>
      <c r="J549" s="90">
        <v>0.3</v>
      </c>
      <c r="K549" s="90">
        <v>30.7714472367051</v>
      </c>
      <c r="L549" s="90">
        <v>17.4092667065758</v>
      </c>
      <c r="M549" s="90">
        <v>9.72355873724791</v>
      </c>
      <c r="N549" s="90">
        <v>35.0512319259975</v>
      </c>
    </row>
    <row r="550" ht="14.25" customHeight="1">
      <c r="A550" s="90">
        <v>50.8</v>
      </c>
      <c r="B550" s="90">
        <v>5.4</v>
      </c>
      <c r="C550" s="90">
        <v>43.6</v>
      </c>
      <c r="D550" s="90">
        <v>0.19379999999999598</v>
      </c>
      <c r="E550" s="90">
        <v>75.9</v>
      </c>
      <c r="F550" s="90">
        <v>6.4</v>
      </c>
      <c r="G550" s="90">
        <v>0.3</v>
      </c>
      <c r="H550" s="90">
        <v>0.0</v>
      </c>
      <c r="I550" s="90">
        <v>800.0</v>
      </c>
      <c r="J550" s="90">
        <v>0.3</v>
      </c>
      <c r="K550" s="90">
        <v>30.8617644647909</v>
      </c>
      <c r="L550" s="90">
        <v>17.4120487554057</v>
      </c>
      <c r="M550" s="90">
        <v>9.81357788867333</v>
      </c>
      <c r="N550" s="90">
        <v>35.0541133337142</v>
      </c>
    </row>
    <row r="551" ht="14.25" customHeight="1">
      <c r="A551" s="90">
        <v>50.8</v>
      </c>
      <c r="B551" s="90">
        <v>5.4</v>
      </c>
      <c r="C551" s="90">
        <v>43.6</v>
      </c>
      <c r="D551" s="90">
        <v>0.19379999999999598</v>
      </c>
      <c r="E551" s="90">
        <v>75.9</v>
      </c>
      <c r="F551" s="90">
        <v>6.4</v>
      </c>
      <c r="G551" s="90">
        <v>0.3</v>
      </c>
      <c r="H551" s="90">
        <v>0.0</v>
      </c>
      <c r="I551" s="90">
        <v>800.0</v>
      </c>
      <c r="J551" s="90">
        <v>0.3</v>
      </c>
      <c r="K551" s="90">
        <v>29.816707693607</v>
      </c>
      <c r="L551" s="90">
        <v>17.851513111647</v>
      </c>
      <c r="M551" s="90">
        <v>9.4671134504609</v>
      </c>
      <c r="N551" s="90">
        <v>36.1047342025579</v>
      </c>
    </row>
    <row r="552" ht="14.25" customHeight="1">
      <c r="A552" s="90">
        <v>50.8</v>
      </c>
      <c r="B552" s="90">
        <v>5.4</v>
      </c>
      <c r="C552" s="90">
        <v>43.6</v>
      </c>
      <c r="D552" s="90">
        <v>0.19379999999999598</v>
      </c>
      <c r="E552" s="90">
        <v>75.9</v>
      </c>
      <c r="F552" s="90">
        <v>6.4</v>
      </c>
      <c r="G552" s="90">
        <v>0.3</v>
      </c>
      <c r="H552" s="90">
        <v>0.0</v>
      </c>
      <c r="I552" s="90">
        <v>800.0</v>
      </c>
      <c r="J552" s="90">
        <v>0.3</v>
      </c>
      <c r="K552" s="90">
        <v>30.0814991268837</v>
      </c>
      <c r="L552" s="90">
        <v>17.5926832115772</v>
      </c>
      <c r="M552" s="90">
        <v>9.55743067854667</v>
      </c>
      <c r="N552" s="90">
        <v>35.2343503543386</v>
      </c>
    </row>
    <row r="553" ht="14.25" customHeight="1">
      <c r="A553" s="90">
        <v>50.8</v>
      </c>
      <c r="B553" s="90">
        <v>5.4</v>
      </c>
      <c r="C553" s="90">
        <v>43.6</v>
      </c>
      <c r="D553" s="90">
        <v>0.19379999999999598</v>
      </c>
      <c r="E553" s="90">
        <v>75.9</v>
      </c>
      <c r="F553" s="90">
        <v>6.4</v>
      </c>
      <c r="G553" s="90">
        <v>0.3</v>
      </c>
      <c r="H553" s="90">
        <v>0.0</v>
      </c>
      <c r="I553" s="90">
        <v>800.0</v>
      </c>
      <c r="J553" s="90">
        <v>0.3</v>
      </c>
      <c r="K553" s="90">
        <v>30.1715182783092</v>
      </c>
      <c r="L553" s="90">
        <v>17.857474644854</v>
      </c>
      <c r="M553" s="90">
        <v>9.38583788107237</v>
      </c>
      <c r="N553" s="90">
        <v>35.3248663001979</v>
      </c>
    </row>
    <row r="554" ht="14.25" customHeight="1">
      <c r="A554" s="90">
        <v>50.8</v>
      </c>
      <c r="B554" s="90">
        <v>5.4</v>
      </c>
      <c r="C554" s="90">
        <v>43.6</v>
      </c>
      <c r="D554" s="90">
        <v>0.19379999999999598</v>
      </c>
      <c r="E554" s="90">
        <v>75.9</v>
      </c>
      <c r="F554" s="90">
        <v>6.4</v>
      </c>
      <c r="G554" s="90">
        <v>0.3</v>
      </c>
      <c r="H554" s="90">
        <v>0.0</v>
      </c>
      <c r="I554" s="90">
        <v>800.0</v>
      </c>
      <c r="J554" s="90">
        <v>0.3</v>
      </c>
      <c r="K554" s="90">
        <v>30.8734888134313</v>
      </c>
      <c r="L554" s="90">
        <v>17.3361385659035</v>
      </c>
      <c r="M554" s="90">
        <v>9.91263869879601</v>
      </c>
      <c r="N554" s="90">
        <v>34.8035302212474</v>
      </c>
    </row>
    <row r="555" ht="14.25" customHeight="1">
      <c r="A555" s="90">
        <v>50.8</v>
      </c>
      <c r="B555" s="90">
        <v>5.4</v>
      </c>
      <c r="C555" s="90">
        <v>43.6</v>
      </c>
      <c r="D555" s="90">
        <v>0.19379999999999598</v>
      </c>
      <c r="E555" s="90">
        <v>75.9</v>
      </c>
      <c r="F555" s="90">
        <v>6.4</v>
      </c>
      <c r="G555" s="90">
        <v>0.3</v>
      </c>
      <c r="H555" s="90">
        <v>0.0</v>
      </c>
      <c r="I555" s="90">
        <v>800.0</v>
      </c>
      <c r="J555" s="90">
        <v>0.3</v>
      </c>
      <c r="K555" s="90">
        <v>30.701896015957</v>
      </c>
      <c r="L555" s="90">
        <v>17.3393180502805</v>
      </c>
      <c r="M555" s="90">
        <v>9.74094654243494</v>
      </c>
      <c r="N555" s="90">
        <v>34.7190751674818</v>
      </c>
    </row>
    <row r="556" ht="14.25" customHeight="1">
      <c r="A556" s="90">
        <v>50.8</v>
      </c>
      <c r="B556" s="90">
        <v>5.4</v>
      </c>
      <c r="C556" s="90">
        <v>43.6</v>
      </c>
      <c r="D556" s="90">
        <v>0.19379999999999598</v>
      </c>
      <c r="E556" s="90">
        <v>75.9</v>
      </c>
      <c r="F556" s="90">
        <v>6.4</v>
      </c>
      <c r="G556" s="90">
        <v>0.3</v>
      </c>
      <c r="H556" s="90">
        <v>0.0</v>
      </c>
      <c r="I556" s="90">
        <v>800.0</v>
      </c>
      <c r="J556" s="90">
        <v>0.3</v>
      </c>
      <c r="K556" s="90">
        <v>30.6173416033046</v>
      </c>
      <c r="L556" s="90">
        <v>17.1674271761459</v>
      </c>
      <c r="M556" s="90">
        <v>9.83106505274715</v>
      </c>
      <c r="N556" s="90">
        <v>34.3727100881561</v>
      </c>
    </row>
    <row r="557" ht="14.25" customHeight="1">
      <c r="A557" s="90">
        <v>50.8</v>
      </c>
      <c r="B557" s="90">
        <v>5.4</v>
      </c>
      <c r="C557" s="90">
        <v>43.6</v>
      </c>
      <c r="D557" s="90">
        <v>0.19379999999999598</v>
      </c>
      <c r="E557" s="90">
        <v>75.9</v>
      </c>
      <c r="F557" s="90">
        <v>6.4</v>
      </c>
      <c r="G557" s="90">
        <v>0.3</v>
      </c>
      <c r="H557" s="90">
        <v>0.0</v>
      </c>
      <c r="I557" s="90">
        <v>800.0</v>
      </c>
      <c r="J557" s="90">
        <v>0.3</v>
      </c>
      <c r="K557" s="90">
        <v>29.4847496528648</v>
      </c>
      <c r="L557" s="90">
        <v>17.4320198916491</v>
      </c>
      <c r="M557" s="90">
        <v>9.48469997342149</v>
      </c>
      <c r="N557" s="90">
        <v>35.2489561106957</v>
      </c>
    </row>
    <row r="558" ht="14.25" customHeight="1">
      <c r="A558" s="90">
        <v>50.8</v>
      </c>
      <c r="B558" s="90">
        <v>5.4</v>
      </c>
      <c r="C558" s="90">
        <v>43.6</v>
      </c>
      <c r="D558" s="90">
        <v>0.19379999999999598</v>
      </c>
      <c r="E558" s="90">
        <v>75.9</v>
      </c>
      <c r="F558" s="90">
        <v>6.4</v>
      </c>
      <c r="G558" s="90">
        <v>0.3</v>
      </c>
      <c r="H558" s="90">
        <v>0.0</v>
      </c>
      <c r="I558" s="90">
        <v>800.0</v>
      </c>
      <c r="J558" s="90">
        <v>0.3</v>
      </c>
      <c r="K558" s="90">
        <v>30.1864221113266</v>
      </c>
      <c r="L558" s="90">
        <v>17.5222377608481</v>
      </c>
      <c r="M558" s="90">
        <v>9.57491784262048</v>
      </c>
      <c r="N558" s="90">
        <v>34.7278187495187</v>
      </c>
    </row>
    <row r="559" ht="14.25" customHeight="1">
      <c r="A559" s="90">
        <v>50.8</v>
      </c>
      <c r="B559" s="90">
        <v>5.4</v>
      </c>
      <c r="C559" s="90">
        <v>43.6</v>
      </c>
      <c r="D559" s="90">
        <v>0.19379999999999598</v>
      </c>
      <c r="E559" s="90">
        <v>75.9</v>
      </c>
      <c r="F559" s="90">
        <v>6.4</v>
      </c>
      <c r="G559" s="90">
        <v>0.3</v>
      </c>
      <c r="H559" s="90">
        <v>0.0</v>
      </c>
      <c r="I559" s="90">
        <v>800.0</v>
      </c>
      <c r="J559" s="90">
        <v>0.3</v>
      </c>
      <c r="K559" s="90">
        <v>29.7526212116319</v>
      </c>
      <c r="L559" s="90">
        <v>17.5255166041119</v>
      </c>
      <c r="M559" s="90">
        <v>9.66533442959305</v>
      </c>
      <c r="N559" s="90">
        <v>34.2939184909372</v>
      </c>
    </row>
    <row r="560" ht="14.25" customHeight="1">
      <c r="A560" s="90">
        <v>50.8</v>
      </c>
      <c r="B560" s="90">
        <v>5.4</v>
      </c>
      <c r="C560" s="90">
        <v>43.6</v>
      </c>
      <c r="D560" s="90">
        <v>0.19379999999999598</v>
      </c>
      <c r="E560" s="90">
        <v>75.9</v>
      </c>
      <c r="F560" s="90">
        <v>6.4</v>
      </c>
      <c r="G560" s="90">
        <v>0.3</v>
      </c>
      <c r="H560" s="90">
        <v>0.0</v>
      </c>
      <c r="I560" s="90">
        <v>800.0</v>
      </c>
      <c r="J560" s="90">
        <v>0.3</v>
      </c>
      <c r="K560" s="90">
        <v>29.6682655167531</v>
      </c>
      <c r="L560" s="90">
        <v>17.2661899096082</v>
      </c>
      <c r="M560" s="90">
        <v>9.5806806580539</v>
      </c>
      <c r="N560" s="90">
        <v>34.2969986164275</v>
      </c>
    </row>
    <row r="561" ht="14.25" customHeight="1">
      <c r="A561" s="90">
        <v>50.8</v>
      </c>
      <c r="B561" s="90">
        <v>5.4</v>
      </c>
      <c r="C561" s="90">
        <v>43.6</v>
      </c>
      <c r="D561" s="90">
        <v>0.19379999999999598</v>
      </c>
      <c r="E561" s="90">
        <v>75.9</v>
      </c>
      <c r="F561" s="90">
        <v>6.4</v>
      </c>
      <c r="G561" s="90">
        <v>0.3</v>
      </c>
      <c r="H561" s="90">
        <v>0.0</v>
      </c>
      <c r="I561" s="90">
        <v>800.0</v>
      </c>
      <c r="J561" s="90">
        <v>0.3</v>
      </c>
      <c r="K561" s="90">
        <v>29.409137540023</v>
      </c>
      <c r="L561" s="90">
        <v>17.2692700350985</v>
      </c>
      <c r="M561" s="90">
        <v>9.49642432206189</v>
      </c>
      <c r="N561" s="90">
        <v>34.3871171267397</v>
      </c>
    </row>
    <row r="562" ht="14.25" customHeight="1">
      <c r="A562" s="90">
        <v>50.8</v>
      </c>
      <c r="B562" s="90">
        <v>5.4</v>
      </c>
      <c r="C562" s="90">
        <v>43.6</v>
      </c>
      <c r="D562" s="90">
        <v>0.19379999999999598</v>
      </c>
      <c r="E562" s="90">
        <v>75.9</v>
      </c>
      <c r="F562" s="90">
        <v>6.4</v>
      </c>
      <c r="G562" s="90">
        <v>0.3</v>
      </c>
      <c r="H562" s="90">
        <v>0.0</v>
      </c>
      <c r="I562" s="90">
        <v>800.0</v>
      </c>
      <c r="J562" s="90">
        <v>0.3</v>
      </c>
      <c r="K562" s="90">
        <v>28.7132278969946</v>
      </c>
      <c r="L562" s="90">
        <v>17.2723501605888</v>
      </c>
      <c r="M562" s="90">
        <v>9.32463280681403</v>
      </c>
      <c r="N562" s="90">
        <v>34.5647708163077</v>
      </c>
    </row>
    <row r="563" ht="14.25" customHeight="1">
      <c r="A563" s="90">
        <v>50.8</v>
      </c>
      <c r="B563" s="90">
        <v>5.4</v>
      </c>
      <c r="C563" s="90">
        <v>43.6</v>
      </c>
      <c r="D563" s="90">
        <v>0.19379999999999598</v>
      </c>
      <c r="E563" s="90">
        <v>75.9</v>
      </c>
      <c r="F563" s="90">
        <v>6.4</v>
      </c>
      <c r="G563" s="90">
        <v>0.3</v>
      </c>
      <c r="H563" s="90">
        <v>0.0</v>
      </c>
      <c r="I563" s="90">
        <v>800.0</v>
      </c>
      <c r="J563" s="90">
        <v>0.3</v>
      </c>
      <c r="K563" s="90">
        <v>28.1047540743353</v>
      </c>
      <c r="L563" s="90">
        <v>16.751113440525</v>
      </c>
      <c r="M563" s="90">
        <v>9.15284129156616</v>
      </c>
      <c r="N563" s="90">
        <v>33.5199127628974</v>
      </c>
    </row>
    <row r="564" ht="14.25" customHeight="1">
      <c r="A564" s="90">
        <v>50.8</v>
      </c>
      <c r="B564" s="90">
        <v>5.4</v>
      </c>
      <c r="C564" s="90">
        <v>43.6</v>
      </c>
      <c r="D564" s="90">
        <v>0.19379999999999598</v>
      </c>
      <c r="E564" s="90">
        <v>75.9</v>
      </c>
      <c r="F564" s="90">
        <v>6.4</v>
      </c>
      <c r="G564" s="90">
        <v>0.3</v>
      </c>
      <c r="H564" s="90">
        <v>0.0</v>
      </c>
      <c r="I564" s="90">
        <v>800.0</v>
      </c>
      <c r="J564" s="90">
        <v>0.3</v>
      </c>
      <c r="K564" s="90">
        <v>27.496280251676</v>
      </c>
      <c r="L564" s="90">
        <v>16.9289658478666</v>
      </c>
      <c r="M564" s="90">
        <v>9.15572269928286</v>
      </c>
      <c r="N564" s="90">
        <v>33.6974670935786</v>
      </c>
    </row>
    <row r="565" ht="14.25" customHeight="1">
      <c r="A565" s="90">
        <v>50.8</v>
      </c>
      <c r="B565" s="90">
        <v>5.4</v>
      </c>
      <c r="C565" s="90">
        <v>43.6</v>
      </c>
      <c r="D565" s="90">
        <v>0.19379999999999598</v>
      </c>
      <c r="E565" s="90">
        <v>75.9</v>
      </c>
      <c r="F565" s="90">
        <v>6.4</v>
      </c>
      <c r="G565" s="90">
        <v>0.3</v>
      </c>
      <c r="H565" s="90">
        <v>0.0</v>
      </c>
      <c r="I565" s="90">
        <v>800.0</v>
      </c>
      <c r="J565" s="90">
        <v>0.3</v>
      </c>
      <c r="K565" s="90">
        <v>28.5473979149537</v>
      </c>
      <c r="L565" s="90">
        <v>16.8443120763274</v>
      </c>
      <c r="M565" s="90">
        <v>9.42041477367286</v>
      </c>
      <c r="N565" s="90">
        <v>33.0015574505503</v>
      </c>
    </row>
    <row r="566" ht="14.25" customHeight="1">
      <c r="A566" s="90">
        <v>50.8</v>
      </c>
      <c r="B566" s="90">
        <v>5.4</v>
      </c>
      <c r="C566" s="90">
        <v>43.6</v>
      </c>
      <c r="D566" s="90">
        <v>0.19379999999999598</v>
      </c>
      <c r="E566" s="90">
        <v>75.9</v>
      </c>
      <c r="F566" s="90">
        <v>6.4</v>
      </c>
      <c r="G566" s="90">
        <v>0.3</v>
      </c>
      <c r="H566" s="90">
        <v>0.0</v>
      </c>
      <c r="I566" s="90">
        <v>800.0</v>
      </c>
      <c r="J566" s="90">
        <v>0.3</v>
      </c>
      <c r="K566" s="90">
        <v>28.724952245635</v>
      </c>
      <c r="L566" s="90">
        <v>15.8865917666258</v>
      </c>
      <c r="M566" s="90">
        <v>9.1613861558295</v>
      </c>
      <c r="N566" s="90">
        <v>31.6942925771459</v>
      </c>
    </row>
    <row r="567" ht="14.25" customHeight="1">
      <c r="A567" s="90">
        <v>50.8</v>
      </c>
      <c r="B567" s="90">
        <v>5.4</v>
      </c>
      <c r="C567" s="90">
        <v>43.6</v>
      </c>
      <c r="D567" s="90">
        <v>0.19379999999999598</v>
      </c>
      <c r="E567" s="90">
        <v>75.9</v>
      </c>
      <c r="F567" s="90">
        <v>6.4</v>
      </c>
      <c r="G567" s="90">
        <v>0.3</v>
      </c>
      <c r="H567" s="90">
        <v>0.0</v>
      </c>
      <c r="I567" s="90">
        <v>800.0</v>
      </c>
      <c r="J567" s="90">
        <v>0.3</v>
      </c>
      <c r="K567" s="90">
        <v>27.8543696796421</v>
      </c>
      <c r="L567" s="90">
        <v>16.6753026099095</v>
      </c>
      <c r="M567" s="90">
        <v>8.90265561464649</v>
      </c>
      <c r="N567" s="90">
        <v>33.1817944711747</v>
      </c>
    </row>
    <row r="568" ht="14.25" customHeight="1">
      <c r="A568" s="90">
        <v>50.8</v>
      </c>
      <c r="B568" s="90">
        <v>5.4</v>
      </c>
      <c r="C568" s="90">
        <v>43.6</v>
      </c>
      <c r="D568" s="90">
        <v>0.19379999999999598</v>
      </c>
      <c r="E568" s="90">
        <v>75.9</v>
      </c>
      <c r="F568" s="90">
        <v>6.4</v>
      </c>
      <c r="G568" s="90">
        <v>0.3</v>
      </c>
      <c r="H568" s="90">
        <v>0.0</v>
      </c>
      <c r="I568" s="90">
        <v>800.0</v>
      </c>
      <c r="J568" s="90">
        <v>0.3</v>
      </c>
      <c r="K568" s="90">
        <v>26.9839858314227</v>
      </c>
      <c r="L568" s="90">
        <v>16.6784820942866</v>
      </c>
      <c r="M568" s="90">
        <v>8.81820056088091</v>
      </c>
      <c r="N568" s="90">
        <v>33.0975381351827</v>
      </c>
    </row>
    <row r="569" ht="14.25" customHeight="1">
      <c r="A569" s="90">
        <v>50.8</v>
      </c>
      <c r="B569" s="90">
        <v>5.4</v>
      </c>
      <c r="C569" s="90">
        <v>43.6</v>
      </c>
      <c r="D569" s="90">
        <v>0.19379999999999598</v>
      </c>
      <c r="E569" s="90">
        <v>75.9</v>
      </c>
      <c r="F569" s="90">
        <v>6.4</v>
      </c>
      <c r="G569" s="90">
        <v>0.3</v>
      </c>
      <c r="H569" s="90">
        <v>0.0</v>
      </c>
      <c r="I569" s="90">
        <v>800.0</v>
      </c>
      <c r="J569" s="90">
        <v>0.3</v>
      </c>
      <c r="K569" s="90">
        <v>26.9871653157998</v>
      </c>
      <c r="L569" s="90">
        <v>16.7686006045988</v>
      </c>
      <c r="M569" s="90">
        <v>8.90831907119312</v>
      </c>
      <c r="N569" s="90">
        <v>33.0132817991907</v>
      </c>
    </row>
    <row r="570" ht="14.25" customHeight="1">
      <c r="A570" s="90">
        <v>50.8</v>
      </c>
      <c r="B570" s="90">
        <v>5.4</v>
      </c>
      <c r="C570" s="90">
        <v>43.6</v>
      </c>
      <c r="D570" s="90">
        <v>0.19379999999999598</v>
      </c>
      <c r="E570" s="90">
        <v>75.9</v>
      </c>
      <c r="F570" s="90">
        <v>6.4</v>
      </c>
      <c r="G570" s="90">
        <v>0.3</v>
      </c>
      <c r="H570" s="90">
        <v>0.0</v>
      </c>
      <c r="I570" s="90">
        <v>700.0</v>
      </c>
      <c r="J570" s="90">
        <v>0.3</v>
      </c>
      <c r="K570" s="90">
        <v>40.59</v>
      </c>
      <c r="L570" s="90">
        <v>17.88</v>
      </c>
      <c r="M570" s="90">
        <v>12.39</v>
      </c>
      <c r="N570" s="90">
        <v>29.29</v>
      </c>
    </row>
    <row r="571" ht="14.25" customHeight="1">
      <c r="A571" s="90">
        <v>50.8</v>
      </c>
      <c r="B571" s="90">
        <v>5.4</v>
      </c>
      <c r="C571" s="90">
        <v>43.6</v>
      </c>
      <c r="D571" s="90">
        <v>0.19379999999999598</v>
      </c>
      <c r="E571" s="90">
        <v>75.9</v>
      </c>
      <c r="F571" s="90">
        <v>6.4</v>
      </c>
      <c r="G571" s="90">
        <v>0.3</v>
      </c>
      <c r="H571" s="90">
        <v>0.0</v>
      </c>
      <c r="I571" s="90">
        <v>800.0</v>
      </c>
      <c r="J571" s="90">
        <v>0.3</v>
      </c>
      <c r="K571" s="90">
        <v>32.88</v>
      </c>
      <c r="L571" s="90">
        <v>18.73</v>
      </c>
      <c r="M571" s="90">
        <v>10.38</v>
      </c>
      <c r="N571" s="90">
        <v>37.96</v>
      </c>
    </row>
    <row r="572" ht="14.25" customHeight="1">
      <c r="A572" s="90">
        <v>50.8</v>
      </c>
      <c r="B572" s="90">
        <v>5.4</v>
      </c>
      <c r="C572" s="90">
        <v>43.6</v>
      </c>
      <c r="D572" s="90">
        <v>0.19379999999999598</v>
      </c>
      <c r="E572" s="90">
        <v>75.9</v>
      </c>
      <c r="F572" s="90">
        <v>6.4</v>
      </c>
      <c r="G572" s="90">
        <v>0.3</v>
      </c>
      <c r="H572" s="90">
        <v>0.0</v>
      </c>
      <c r="I572" s="90">
        <v>900.0</v>
      </c>
      <c r="J572" s="90">
        <v>0.3</v>
      </c>
      <c r="K572" s="90">
        <v>26.88</v>
      </c>
      <c r="L572" s="90">
        <v>20.42</v>
      </c>
      <c r="M572" s="90">
        <v>8.38</v>
      </c>
      <c r="N572" s="90">
        <v>44.29</v>
      </c>
    </row>
    <row r="573" ht="14.25" customHeight="1">
      <c r="A573" s="90">
        <v>50.8</v>
      </c>
      <c r="B573" s="90">
        <v>5.4</v>
      </c>
      <c r="C573" s="90">
        <v>43.6</v>
      </c>
      <c r="D573" s="90">
        <v>0.19379999999999598</v>
      </c>
      <c r="E573" s="90">
        <v>75.9</v>
      </c>
      <c r="F573" s="90">
        <v>6.4</v>
      </c>
      <c r="G573" s="90">
        <v>0.3</v>
      </c>
      <c r="H573" s="90">
        <v>0.0</v>
      </c>
      <c r="I573" s="90">
        <v>750.0</v>
      </c>
      <c r="J573" s="90">
        <v>0.6</v>
      </c>
      <c r="K573" s="90">
        <v>29.01</v>
      </c>
      <c r="L573" s="90">
        <v>18.96</v>
      </c>
      <c r="M573" s="90">
        <v>7.1</v>
      </c>
      <c r="N573" s="90">
        <v>50.64</v>
      </c>
    </row>
    <row r="574" ht="14.25" customHeight="1">
      <c r="A574" s="90">
        <v>50.8</v>
      </c>
      <c r="B574" s="90">
        <v>5.4</v>
      </c>
      <c r="C574" s="90">
        <v>43.6</v>
      </c>
      <c r="D574" s="90">
        <v>0.19379999999999598</v>
      </c>
      <c r="E574" s="90">
        <v>75.9</v>
      </c>
      <c r="F574" s="90">
        <v>6.4</v>
      </c>
      <c r="G574" s="90">
        <v>0.3</v>
      </c>
      <c r="H574" s="90">
        <v>0.0</v>
      </c>
      <c r="I574" s="90">
        <v>750.0</v>
      </c>
      <c r="J574" s="90">
        <v>1.0</v>
      </c>
      <c r="K574" s="90">
        <v>23.94</v>
      </c>
      <c r="L574" s="90">
        <v>23.38</v>
      </c>
      <c r="M574" s="90">
        <v>6.36</v>
      </c>
      <c r="N574" s="90">
        <v>51.57</v>
      </c>
    </row>
    <row r="575" ht="14.25" customHeight="1">
      <c r="A575" s="90">
        <v>50.8</v>
      </c>
      <c r="B575" s="90">
        <v>5.4</v>
      </c>
      <c r="C575" s="90">
        <v>43.6</v>
      </c>
      <c r="D575" s="90">
        <v>0.19379999999999598</v>
      </c>
      <c r="E575" s="90">
        <v>75.9</v>
      </c>
      <c r="F575" s="90">
        <v>6.4</v>
      </c>
      <c r="G575" s="90">
        <v>0.3</v>
      </c>
      <c r="H575" s="90">
        <v>0.0</v>
      </c>
      <c r="I575" s="90">
        <v>750.0</v>
      </c>
      <c r="J575" s="90">
        <v>1.3</v>
      </c>
      <c r="K575" s="90">
        <v>20.83</v>
      </c>
      <c r="L575" s="90">
        <v>24.32</v>
      </c>
      <c r="M575" s="90">
        <v>6.46</v>
      </c>
      <c r="N575" s="90">
        <v>54.04</v>
      </c>
    </row>
    <row r="576" ht="14.25" customHeight="1">
      <c r="A576" s="90">
        <v>50.8</v>
      </c>
      <c r="B576" s="90">
        <v>5.4</v>
      </c>
      <c r="C576" s="90">
        <v>43.6</v>
      </c>
      <c r="D576" s="90">
        <v>0.19379999999999598</v>
      </c>
      <c r="E576" s="90">
        <v>75.9</v>
      </c>
      <c r="F576" s="90">
        <v>6.4</v>
      </c>
      <c r="G576" s="90">
        <v>0.3</v>
      </c>
      <c r="H576" s="90">
        <v>0.0</v>
      </c>
      <c r="I576" s="90">
        <v>750.0</v>
      </c>
      <c r="J576" s="90">
        <v>1.7</v>
      </c>
      <c r="K576" s="90">
        <v>18.28</v>
      </c>
      <c r="L576" s="90">
        <v>26.09</v>
      </c>
      <c r="M576" s="90">
        <v>6.14</v>
      </c>
      <c r="N576" s="90">
        <v>54.69</v>
      </c>
    </row>
    <row r="577" ht="14.25" customHeight="1">
      <c r="A577" s="90">
        <v>50.8</v>
      </c>
      <c r="B577" s="90">
        <v>5.4</v>
      </c>
      <c r="C577" s="90">
        <v>43.6</v>
      </c>
      <c r="D577" s="90">
        <v>0.19379999999999598</v>
      </c>
      <c r="E577" s="90">
        <v>75.9</v>
      </c>
      <c r="F577" s="90">
        <v>6.4</v>
      </c>
      <c r="G577" s="90">
        <v>0.3</v>
      </c>
      <c r="H577" s="90">
        <v>0.0</v>
      </c>
      <c r="I577" s="90">
        <v>750.0</v>
      </c>
      <c r="J577" s="90">
        <v>0.5</v>
      </c>
      <c r="K577" s="90">
        <v>31.38</v>
      </c>
      <c r="L577" s="90">
        <v>12.66</v>
      </c>
      <c r="M577" s="90">
        <v>10.6</v>
      </c>
      <c r="N577" s="90">
        <v>39.63</v>
      </c>
    </row>
    <row r="578" ht="14.25" customHeight="1">
      <c r="A578" s="90">
        <v>50.8</v>
      </c>
      <c r="B578" s="90">
        <v>5.4</v>
      </c>
      <c r="C578" s="90">
        <v>43.6</v>
      </c>
      <c r="D578" s="90">
        <v>0.19379999999999598</v>
      </c>
      <c r="E578" s="90">
        <v>75.9</v>
      </c>
      <c r="F578" s="90">
        <v>6.4</v>
      </c>
      <c r="G578" s="90">
        <v>0.3</v>
      </c>
      <c r="H578" s="90">
        <v>0.0</v>
      </c>
      <c r="I578" s="90">
        <v>750.0</v>
      </c>
      <c r="J578" s="90">
        <v>0.8</v>
      </c>
      <c r="K578" s="90">
        <v>21.08</v>
      </c>
      <c r="L578" s="90">
        <v>13.51</v>
      </c>
      <c r="M578" s="90">
        <v>7.6</v>
      </c>
      <c r="N578" s="90">
        <v>55.21</v>
      </c>
    </row>
    <row r="579" ht="14.25" customHeight="1">
      <c r="A579" s="90">
        <v>50.8</v>
      </c>
      <c r="B579" s="90">
        <v>5.4</v>
      </c>
      <c r="C579" s="90">
        <v>43.6</v>
      </c>
      <c r="D579" s="90">
        <v>0.19379999999999598</v>
      </c>
      <c r="E579" s="90">
        <v>75.9</v>
      </c>
      <c r="F579" s="90">
        <v>6.4</v>
      </c>
      <c r="G579" s="90">
        <v>0.3</v>
      </c>
      <c r="H579" s="90">
        <v>0.0</v>
      </c>
      <c r="I579" s="90">
        <v>750.0</v>
      </c>
      <c r="J579" s="90">
        <v>1.1</v>
      </c>
      <c r="K579" s="90">
        <v>17.66</v>
      </c>
      <c r="L579" s="90">
        <v>15.87</v>
      </c>
      <c r="M579" s="90">
        <v>6.92</v>
      </c>
      <c r="N579" s="90">
        <v>56.46</v>
      </c>
    </row>
    <row r="580" ht="14.25" customHeight="1">
      <c r="A580" s="90">
        <v>50.8</v>
      </c>
      <c r="B580" s="90">
        <v>5.4</v>
      </c>
      <c r="C580" s="90">
        <v>43.6</v>
      </c>
      <c r="D580" s="90">
        <v>0.19379999999999598</v>
      </c>
      <c r="E580" s="90">
        <v>75.9</v>
      </c>
      <c r="F580" s="90">
        <v>6.4</v>
      </c>
      <c r="G580" s="90">
        <v>0.3</v>
      </c>
      <c r="H580" s="90">
        <v>0.0</v>
      </c>
      <c r="I580" s="90">
        <v>750.0</v>
      </c>
      <c r="J580" s="90">
        <v>1.6</v>
      </c>
      <c r="K580" s="90">
        <v>13.7</v>
      </c>
      <c r="L580" s="90">
        <v>18.11</v>
      </c>
      <c r="M580" s="90">
        <v>5.31</v>
      </c>
      <c r="N580" s="90">
        <v>59.11</v>
      </c>
    </row>
    <row r="581" ht="14.25" customHeight="1">
      <c r="A581" s="90">
        <v>50.8</v>
      </c>
      <c r="B581" s="90">
        <v>5.4</v>
      </c>
      <c r="C581" s="90">
        <v>43.6</v>
      </c>
      <c r="D581" s="90">
        <v>0.19379999999999598</v>
      </c>
      <c r="E581" s="90">
        <v>75.9</v>
      </c>
      <c r="F581" s="90">
        <v>6.4</v>
      </c>
      <c r="G581" s="90">
        <v>0.3</v>
      </c>
      <c r="H581" s="90">
        <v>0.0</v>
      </c>
      <c r="I581" s="90">
        <v>750.0</v>
      </c>
      <c r="J581" s="90">
        <v>1.8</v>
      </c>
      <c r="K581" s="90">
        <v>14.4</v>
      </c>
      <c r="L581" s="90">
        <v>18.81</v>
      </c>
      <c r="M581" s="90">
        <v>4.91</v>
      </c>
      <c r="N581" s="90">
        <v>57.89</v>
      </c>
    </row>
    <row r="582" ht="14.25" customHeight="1">
      <c r="A582" s="90">
        <v>50.8</v>
      </c>
      <c r="B582" s="90">
        <v>5.4</v>
      </c>
      <c r="C582" s="90">
        <v>43.6</v>
      </c>
      <c r="D582" s="90">
        <v>0.19379999999999598</v>
      </c>
      <c r="E582" s="90">
        <v>75.9</v>
      </c>
      <c r="F582" s="90">
        <v>6.4</v>
      </c>
      <c r="G582" s="90">
        <v>0.3</v>
      </c>
      <c r="H582" s="90">
        <v>0.0</v>
      </c>
      <c r="I582" s="90">
        <v>750.0</v>
      </c>
      <c r="J582" s="90">
        <v>2.6</v>
      </c>
      <c r="K582" s="90">
        <v>10.06</v>
      </c>
      <c r="L582" s="90">
        <v>26.98</v>
      </c>
      <c r="M582" s="90">
        <v>3.04</v>
      </c>
      <c r="N582" s="90">
        <v>58.36</v>
      </c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autoFilter ref="$A$1:$N$582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2020-09-28T23:15:03Z</dcterms:created>
  <dc:creator>Fernanda Pimentel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38cb3f-a960-40d2-b589-fe5c7caef41b_Enabled">
    <vt:lpwstr>true</vt:lpwstr>
  </property>
  <property fmtid="{D5CDD505-2E9C-101B-9397-08002B2CF9AE}" pid="3" name="MSIP_Label_8b38cb3f-a960-40d2-b589-fe5c7caef41b_SetDate">
    <vt:lpwstr>2022-02-23T14:35:25Z</vt:lpwstr>
  </property>
  <property fmtid="{D5CDD505-2E9C-101B-9397-08002B2CF9AE}" pid="4" name="MSIP_Label_8b38cb3f-a960-40d2-b589-fe5c7caef41b_Method">
    <vt:lpwstr>Privileged</vt:lpwstr>
  </property>
  <property fmtid="{D5CDD505-2E9C-101B-9397-08002B2CF9AE}" pid="5" name="MSIP_Label_8b38cb3f-a960-40d2-b589-fe5c7caef41b_Name">
    <vt:lpwstr>CONFIDENTIAL</vt:lpwstr>
  </property>
  <property fmtid="{D5CDD505-2E9C-101B-9397-08002B2CF9AE}" pid="6" name="MSIP_Label_8b38cb3f-a960-40d2-b589-fe5c7caef41b_SiteId">
    <vt:lpwstr>a5a01691-338c-4b57-812c-24d594995cd6</vt:lpwstr>
  </property>
  <property fmtid="{D5CDD505-2E9C-101B-9397-08002B2CF9AE}" pid="7" name="MSIP_Label_8b38cb3f-a960-40d2-b589-fe5c7caef41b_ActionId">
    <vt:lpwstr>6aa8cd26-3190-49cf-b4ea-abf481345006</vt:lpwstr>
  </property>
  <property fmtid="{D5CDD505-2E9C-101B-9397-08002B2CF9AE}" pid="8" name="MSIP_Label_8b38cb3f-a960-40d2-b589-fe5c7caef41b_ContentBits">
    <vt:lpwstr>1</vt:lpwstr>
  </property>
</Properties>
</file>